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582" firstSheet="2" activeTab="8"/>
  </bookViews>
  <sheets>
    <sheet name="BD - Heats Maps (2)" sheetId="52" state="hidden" r:id="rId1"/>
    <sheet name="Dragons - Unlock" sheetId="4" r:id="rId2"/>
    <sheet name="Run - Duration" sheetId="13" r:id="rId3"/>
    <sheet name="Link table" sheetId="14" r:id="rId4"/>
    <sheet name="Timers" sheetId="29" r:id="rId5"/>
    <sheet name="Balance - XP points" sheetId="32" r:id="rId6"/>
    <sheet name="Missions rewards&amp;quantities" sheetId="2" r:id="rId7"/>
    <sheet name="Daily Rewards" sheetId="53" r:id="rId8"/>
    <sheet name="Offer Simulator" sheetId="15" r:id="rId9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AA14" i="53" l="1"/>
  <c r="AA15" i="53"/>
  <c r="AA16" i="53"/>
  <c r="AA17" i="53"/>
  <c r="AA18" i="53"/>
  <c r="AA19" i="53"/>
  <c r="AA20" i="53"/>
  <c r="AA21" i="53"/>
  <c r="AA22" i="53"/>
  <c r="AA23" i="53"/>
  <c r="AA24" i="53"/>
  <c r="AA25" i="53"/>
  <c r="AA26" i="53"/>
  <c r="AA27" i="53"/>
  <c r="AA28" i="53"/>
  <c r="AA29" i="53"/>
  <c r="AA30" i="53"/>
  <c r="AA31" i="53"/>
  <c r="C41" i="53"/>
  <c r="C42" i="53"/>
  <c r="C43" i="53"/>
  <c r="C44" i="53"/>
  <c r="C45" i="53"/>
  <c r="C46" i="53"/>
  <c r="C47" i="53"/>
  <c r="C48" i="53"/>
  <c r="E48" i="53"/>
  <c r="F108" i="53"/>
  <c r="F103" i="53"/>
  <c r="F98" i="53"/>
  <c r="F93" i="53"/>
  <c r="F88" i="53"/>
  <c r="F83" i="53"/>
  <c r="F78" i="53"/>
  <c r="F73" i="53"/>
  <c r="F69" i="53"/>
  <c r="F68" i="53"/>
  <c r="F64" i="53"/>
  <c r="F63" i="53"/>
  <c r="F62" i="53"/>
  <c r="AH14" i="53" l="1"/>
  <c r="AG16" i="53"/>
  <c r="AF14" i="53"/>
  <c r="AF15" i="53"/>
  <c r="AF16" i="53"/>
  <c r="AF17" i="53"/>
  <c r="AF18" i="53"/>
  <c r="AF19" i="53"/>
  <c r="AF20" i="53"/>
  <c r="AF21" i="53"/>
  <c r="AF22" i="53"/>
  <c r="AF23" i="53"/>
  <c r="AF24" i="53"/>
  <c r="AF25" i="53"/>
  <c r="AF26" i="53"/>
  <c r="AF27" i="53"/>
  <c r="AF28" i="53"/>
  <c r="AF29" i="53"/>
  <c r="AF30" i="53"/>
  <c r="AF31" i="53"/>
  <c r="B9" i="15" l="1"/>
  <c r="B10" i="15"/>
  <c r="N14" i="53" l="1"/>
  <c r="N15" i="53"/>
  <c r="N16" i="53"/>
  <c r="N17" i="53"/>
  <c r="N18" i="53"/>
  <c r="N19" i="53"/>
  <c r="N20" i="53"/>
  <c r="N21" i="53"/>
  <c r="N22" i="53"/>
  <c r="N23" i="53"/>
  <c r="N24" i="53"/>
  <c r="N25" i="53"/>
  <c r="N26" i="53"/>
  <c r="N27" i="53"/>
  <c r="N28" i="53"/>
  <c r="N29" i="53"/>
  <c r="N30" i="53"/>
  <c r="N31" i="53"/>
  <c r="AI14" i="53" l="1"/>
  <c r="AI15" i="53"/>
  <c r="AI16" i="53"/>
  <c r="AI17" i="53"/>
  <c r="AI18" i="53"/>
  <c r="AI19" i="53"/>
  <c r="AI20" i="53"/>
  <c r="AB14" i="53"/>
  <c r="AB15" i="53"/>
  <c r="AB16" i="53"/>
  <c r="AB17" i="53"/>
  <c r="AB18" i="53"/>
  <c r="AB19" i="53"/>
  <c r="AB20" i="53"/>
  <c r="F92" i="53"/>
  <c r="F91" i="53"/>
  <c r="F90" i="53"/>
  <c r="F87" i="53"/>
  <c r="F86" i="53"/>
  <c r="F85" i="53"/>
  <c r="F82" i="53"/>
  <c r="F81" i="53"/>
  <c r="F80" i="53"/>
  <c r="F77" i="53"/>
  <c r="F76" i="53"/>
  <c r="F75" i="53"/>
  <c r="F72" i="53"/>
  <c r="F71" i="53"/>
  <c r="F70" i="53"/>
  <c r="F67" i="53"/>
  <c r="F66" i="53"/>
  <c r="F65" i="53"/>
  <c r="F61" i="53"/>
  <c r="F60" i="53"/>
  <c r="C39" i="53" l="1"/>
  <c r="C40" i="53"/>
  <c r="AJ15" i="53"/>
  <c r="AJ16" i="53"/>
  <c r="AJ17" i="53"/>
  <c r="AJ18" i="53"/>
  <c r="AJ19" i="53"/>
  <c r="AJ20" i="53"/>
  <c r="AJ21" i="53"/>
  <c r="AJ22" i="53"/>
  <c r="AJ23" i="53"/>
  <c r="AJ24" i="53"/>
  <c r="AJ25" i="53"/>
  <c r="AJ26" i="53"/>
  <c r="AJ27" i="53"/>
  <c r="AJ28" i="53"/>
  <c r="AJ29" i="53"/>
  <c r="AJ30" i="53"/>
  <c r="AJ31" i="53"/>
  <c r="AJ14" i="53"/>
  <c r="AG15" i="53"/>
  <c r="AG17" i="53"/>
  <c r="AG18" i="53"/>
  <c r="AG19" i="53"/>
  <c r="AG20" i="53"/>
  <c r="AG21" i="53"/>
  <c r="AG22" i="53"/>
  <c r="AG23" i="53"/>
  <c r="AG24" i="53"/>
  <c r="AG25" i="53"/>
  <c r="AG26" i="53"/>
  <c r="AG27" i="53"/>
  <c r="AG28" i="53"/>
  <c r="AG29" i="53"/>
  <c r="AG30" i="53"/>
  <c r="AG31" i="53"/>
  <c r="AG14" i="53"/>
  <c r="AE15" i="53"/>
  <c r="AE16" i="53"/>
  <c r="AE17" i="53"/>
  <c r="AE18" i="53"/>
  <c r="AE19" i="53"/>
  <c r="AE20" i="53"/>
  <c r="AE21" i="53"/>
  <c r="AE22" i="53"/>
  <c r="AE23" i="53"/>
  <c r="AE24" i="53"/>
  <c r="AE25" i="53"/>
  <c r="AE26" i="53"/>
  <c r="AE27" i="53"/>
  <c r="AE28" i="53"/>
  <c r="AE29" i="53"/>
  <c r="AE30" i="53"/>
  <c r="AE31" i="53"/>
  <c r="AE14" i="53"/>
  <c r="AD15" i="53"/>
  <c r="AD16" i="53"/>
  <c r="AD17" i="53"/>
  <c r="AD18" i="53"/>
  <c r="AD19" i="53"/>
  <c r="AD20" i="53"/>
  <c r="AD21" i="53"/>
  <c r="AD22" i="53"/>
  <c r="AD23" i="53"/>
  <c r="AD24" i="53"/>
  <c r="AD25" i="53"/>
  <c r="AD26" i="53"/>
  <c r="AD27" i="53"/>
  <c r="AD28" i="53"/>
  <c r="AD29" i="53"/>
  <c r="AD30" i="53"/>
  <c r="AD31" i="53"/>
  <c r="AD14" i="53"/>
  <c r="J106" i="53"/>
  <c r="J107" i="53"/>
  <c r="J108" i="53"/>
  <c r="F48" i="53" s="1"/>
  <c r="J105" i="53"/>
  <c r="J101" i="53"/>
  <c r="J102" i="53"/>
  <c r="J103" i="53"/>
  <c r="F47" i="53" s="1"/>
  <c r="J100" i="53"/>
  <c r="J98" i="53"/>
  <c r="F46" i="53" s="1"/>
  <c r="AI21" i="53" s="1"/>
  <c r="J96" i="53"/>
  <c r="J97" i="53"/>
  <c r="J95" i="53"/>
  <c r="J91" i="53"/>
  <c r="J92" i="53"/>
  <c r="J93" i="53"/>
  <c r="J90" i="53"/>
  <c r="J86" i="53"/>
  <c r="J87" i="53"/>
  <c r="J88" i="53"/>
  <c r="J85" i="53"/>
  <c r="J81" i="53"/>
  <c r="J82" i="53"/>
  <c r="J83" i="53"/>
  <c r="J80" i="53"/>
  <c r="J76" i="53"/>
  <c r="J77" i="53"/>
  <c r="J78" i="53"/>
  <c r="J75" i="53"/>
  <c r="J71" i="53"/>
  <c r="J72" i="53"/>
  <c r="J73" i="53"/>
  <c r="J70" i="53"/>
  <c r="J69" i="53"/>
  <c r="J66" i="53"/>
  <c r="J67" i="53"/>
  <c r="J68" i="53"/>
  <c r="J65" i="53"/>
  <c r="J64" i="53"/>
  <c r="J61" i="53"/>
  <c r="J62" i="53"/>
  <c r="J63" i="53"/>
  <c r="J60" i="53"/>
  <c r="Y14" i="53"/>
  <c r="W14" i="53"/>
  <c r="AC15" i="53"/>
  <c r="AC14" i="53"/>
  <c r="AC16" i="53"/>
  <c r="AC17" i="53"/>
  <c r="AC18" i="53"/>
  <c r="AC19" i="53"/>
  <c r="AC20" i="53"/>
  <c r="AC21" i="53"/>
  <c r="AC22" i="53"/>
  <c r="AC23" i="53"/>
  <c r="AC24" i="53"/>
  <c r="AC25" i="53"/>
  <c r="AC26" i="53"/>
  <c r="AC27" i="53"/>
  <c r="AC28" i="53"/>
  <c r="AC29" i="53"/>
  <c r="AC30" i="53"/>
  <c r="AC31" i="53"/>
  <c r="Z14" i="53"/>
  <c r="Z15" i="53"/>
  <c r="Z16" i="53"/>
  <c r="Z17" i="53"/>
  <c r="Z18" i="53"/>
  <c r="Z19" i="53"/>
  <c r="Z20" i="53"/>
  <c r="Z21" i="53"/>
  <c r="Z22" i="53"/>
  <c r="Z23" i="53"/>
  <c r="Z24" i="53"/>
  <c r="Z25" i="53"/>
  <c r="Z26" i="53"/>
  <c r="Z27" i="53"/>
  <c r="Z28" i="53"/>
  <c r="Z29" i="53"/>
  <c r="Z30" i="53"/>
  <c r="Z31" i="53"/>
  <c r="Y15" i="53"/>
  <c r="Y16" i="53"/>
  <c r="Y17" i="53"/>
  <c r="Y18" i="53"/>
  <c r="Y19" i="53"/>
  <c r="Y20" i="53"/>
  <c r="Y21" i="53"/>
  <c r="Y22" i="53"/>
  <c r="Y23" i="53"/>
  <c r="Y24" i="53"/>
  <c r="Y25" i="53"/>
  <c r="Y26" i="53"/>
  <c r="Y27" i="53"/>
  <c r="Y28" i="53"/>
  <c r="Y29" i="53"/>
  <c r="Y30" i="53"/>
  <c r="Y31" i="53"/>
  <c r="X14" i="53"/>
  <c r="X15" i="53"/>
  <c r="X16" i="53"/>
  <c r="X17" i="53"/>
  <c r="X18" i="53"/>
  <c r="X19" i="53"/>
  <c r="X20" i="53"/>
  <c r="X21" i="53"/>
  <c r="X22" i="53"/>
  <c r="X23" i="53"/>
  <c r="X24" i="53"/>
  <c r="X25" i="53"/>
  <c r="X26" i="53"/>
  <c r="X27" i="53"/>
  <c r="X28" i="53"/>
  <c r="X29" i="53"/>
  <c r="X30" i="53"/>
  <c r="X31" i="53"/>
  <c r="W15" i="53"/>
  <c r="W16" i="53"/>
  <c r="W17" i="53"/>
  <c r="W18" i="53"/>
  <c r="W19" i="53"/>
  <c r="W20" i="53"/>
  <c r="W21" i="53"/>
  <c r="W22" i="53"/>
  <c r="W23" i="53"/>
  <c r="W24" i="53"/>
  <c r="W25" i="53"/>
  <c r="W26" i="53"/>
  <c r="W27" i="53"/>
  <c r="W28" i="53"/>
  <c r="W29" i="53"/>
  <c r="W30" i="53"/>
  <c r="W31" i="53"/>
  <c r="M16" i="53" l="1"/>
  <c r="AI23" i="53"/>
  <c r="M23" i="53" s="1"/>
  <c r="AI22" i="53"/>
  <c r="M22" i="53" s="1"/>
  <c r="AI26" i="53"/>
  <c r="M26" i="53" s="1"/>
  <c r="AI29" i="53"/>
  <c r="M29" i="53" s="1"/>
  <c r="AI27" i="53"/>
  <c r="M27" i="53" s="1"/>
  <c r="AI31" i="53"/>
  <c r="M31" i="53" s="1"/>
  <c r="AI28" i="53"/>
  <c r="M28" i="53" s="1"/>
  <c r="AI24" i="53"/>
  <c r="M24" i="53" s="1"/>
  <c r="AI25" i="53"/>
  <c r="M25" i="53" s="1"/>
  <c r="AI30" i="53"/>
  <c r="M30" i="53" s="1"/>
  <c r="M17" i="53"/>
  <c r="M21" i="53"/>
  <c r="M15" i="53"/>
  <c r="M14" i="53"/>
  <c r="M20" i="53"/>
  <c r="M18" i="53"/>
  <c r="K14" i="53"/>
  <c r="M19" i="53"/>
  <c r="K15" i="53"/>
  <c r="E39" i="53"/>
  <c r="K20" i="53"/>
  <c r="E41" i="53"/>
  <c r="E44" i="53"/>
  <c r="E47" i="53"/>
  <c r="K16" i="53"/>
  <c r="E42" i="53"/>
  <c r="E45" i="53"/>
  <c r="E46" i="53"/>
  <c r="E40" i="53"/>
  <c r="E43" i="53"/>
  <c r="K17" i="53"/>
  <c r="K19" i="53"/>
  <c r="K18" i="53"/>
  <c r="AH17" i="53" l="1"/>
  <c r="L17" i="53" s="1"/>
  <c r="I17" i="53" s="1"/>
  <c r="AH19" i="53"/>
  <c r="L19" i="53" s="1"/>
  <c r="I19" i="53" s="1"/>
  <c r="AH18" i="53"/>
  <c r="L18" i="53" s="1"/>
  <c r="I18" i="53" s="1"/>
  <c r="AH15" i="53"/>
  <c r="L15" i="53" s="1"/>
  <c r="I15" i="53" s="1"/>
  <c r="AH21" i="53"/>
  <c r="L21" i="53" s="1"/>
  <c r="I21" i="53" s="1"/>
  <c r="L14" i="53"/>
  <c r="I14" i="53" s="1"/>
  <c r="AH22" i="53"/>
  <c r="L22" i="53" s="1"/>
  <c r="I22" i="53" s="1"/>
  <c r="AH23" i="53"/>
  <c r="L23" i="53" s="1"/>
  <c r="I23" i="53" s="1"/>
  <c r="AH16" i="53"/>
  <c r="L16" i="53" s="1"/>
  <c r="I16" i="53" s="1"/>
  <c r="AH20" i="53"/>
  <c r="L20" i="53" s="1"/>
  <c r="I20" i="53" s="1"/>
  <c r="AH25" i="53"/>
  <c r="L25" i="53" s="1"/>
  <c r="I25" i="53" s="1"/>
  <c r="AH28" i="53"/>
  <c r="L28" i="53" s="1"/>
  <c r="I28" i="53" s="1"/>
  <c r="AH30" i="53"/>
  <c r="L30" i="53" s="1"/>
  <c r="I30" i="53" s="1"/>
  <c r="AH26" i="53"/>
  <c r="L26" i="53" s="1"/>
  <c r="I26" i="53" s="1"/>
  <c r="AH27" i="53"/>
  <c r="L27" i="53" s="1"/>
  <c r="I27" i="53" s="1"/>
  <c r="AH29" i="53"/>
  <c r="L29" i="53" s="1"/>
  <c r="I29" i="53" s="1"/>
  <c r="AH24" i="53"/>
  <c r="L24" i="53" s="1"/>
  <c r="I24" i="53" s="1"/>
  <c r="AH31" i="53"/>
  <c r="L31" i="53" s="1"/>
  <c r="I31" i="53" s="1"/>
  <c r="F106" i="53" l="1"/>
  <c r="F107" i="53"/>
  <c r="D48" i="53"/>
  <c r="F105" i="53"/>
  <c r="F101" i="53"/>
  <c r="F102" i="53"/>
  <c r="D47" i="53"/>
  <c r="F100" i="53"/>
  <c r="D46" i="53"/>
  <c r="F96" i="53"/>
  <c r="F97" i="53"/>
  <c r="F95" i="53"/>
  <c r="AB31" i="53" l="1"/>
  <c r="K31" i="53" s="1"/>
  <c r="AB28" i="53"/>
  <c r="K28" i="53" s="1"/>
  <c r="AB29" i="53"/>
  <c r="K29" i="53" s="1"/>
  <c r="AB30" i="53"/>
  <c r="K30" i="53" s="1"/>
  <c r="AB26" i="53"/>
  <c r="K26" i="53" s="1"/>
  <c r="AB27" i="53"/>
  <c r="K27" i="53" s="1"/>
  <c r="AB24" i="53"/>
  <c r="K24" i="53" s="1"/>
  <c r="AB25" i="53"/>
  <c r="K25" i="53" s="1"/>
  <c r="AB21" i="53"/>
  <c r="K21" i="53" s="1"/>
  <c r="AB22" i="53"/>
  <c r="K22" i="53" s="1"/>
  <c r="AB23" i="53"/>
  <c r="K23" i="53" s="1"/>
  <c r="J21" i="53"/>
  <c r="H21" i="53" s="1"/>
  <c r="J14" i="53"/>
  <c r="H14" i="53" s="1"/>
  <c r="J19" i="53"/>
  <c r="H19" i="53" s="1"/>
  <c r="J20" i="53"/>
  <c r="H20" i="53" s="1"/>
  <c r="J17" i="53"/>
  <c r="H17" i="53" s="1"/>
  <c r="J18" i="53"/>
  <c r="H18" i="53" s="1"/>
  <c r="J15" i="53"/>
  <c r="H15" i="53" s="1"/>
  <c r="J16" i="53"/>
  <c r="H16" i="53" s="1"/>
  <c r="J22" i="53" l="1"/>
  <c r="H22" i="53" s="1"/>
  <c r="J23" i="53"/>
  <c r="H23" i="53" s="1"/>
  <c r="J26" i="53"/>
  <c r="H26" i="53" s="1"/>
  <c r="J27" i="53"/>
  <c r="H27" i="53" s="1"/>
  <c r="J28" i="53"/>
  <c r="H28" i="53" s="1"/>
  <c r="J25" i="53"/>
  <c r="H25" i="53" s="1"/>
  <c r="J29" i="53"/>
  <c r="H29" i="53" s="1"/>
  <c r="J30" i="53"/>
  <c r="H30" i="53" s="1"/>
  <c r="J24" i="53"/>
  <c r="H24" i="53" s="1"/>
  <c r="J31" i="53"/>
  <c r="H31" i="53" s="1"/>
  <c r="G30" i="15"/>
  <c r="G29" i="15"/>
  <c r="G26" i="2"/>
  <c r="G27" i="2"/>
  <c r="G28" i="2"/>
  <c r="G29" i="2"/>
  <c r="G30" i="2"/>
  <c r="H26" i="2"/>
  <c r="H27" i="2"/>
  <c r="H28" i="2"/>
  <c r="H29" i="2"/>
  <c r="H30" i="2"/>
  <c r="I26" i="2"/>
  <c r="I27" i="2"/>
  <c r="I28" i="2"/>
  <c r="I29" i="2"/>
  <c r="I30" i="2"/>
  <c r="B11" i="15" l="1"/>
  <c r="B7" i="15"/>
  <c r="M74" i="15" l="1"/>
  <c r="H79" i="15"/>
  <c r="H76" i="15"/>
  <c r="H77" i="15"/>
  <c r="H78" i="15"/>
  <c r="H74" i="15"/>
  <c r="H75" i="15"/>
  <c r="H72" i="15"/>
  <c r="H73" i="15"/>
  <c r="H70" i="15"/>
  <c r="H71" i="15"/>
  <c r="H69" i="15"/>
  <c r="H68" i="15"/>
  <c r="S27" i="15" l="1"/>
  <c r="S26" i="15"/>
  <c r="S25" i="15"/>
  <c r="S24" i="15"/>
  <c r="S23" i="15"/>
  <c r="S22" i="15"/>
  <c r="P27" i="15"/>
  <c r="P26" i="15"/>
  <c r="P25" i="15"/>
  <c r="P24" i="15"/>
  <c r="P23" i="15"/>
  <c r="P22" i="15"/>
  <c r="P21" i="15"/>
  <c r="P20" i="15"/>
  <c r="P19" i="15"/>
  <c r="M27" i="15"/>
  <c r="M26" i="15"/>
  <c r="M25" i="15"/>
  <c r="M24" i="15"/>
  <c r="M23" i="15"/>
  <c r="M22" i="15"/>
  <c r="M21" i="15"/>
  <c r="M20" i="15"/>
  <c r="M19" i="15"/>
  <c r="M18" i="15"/>
  <c r="M17" i="15"/>
  <c r="S28" i="15"/>
  <c r="P28" i="15"/>
  <c r="M28" i="15"/>
  <c r="J17" i="15"/>
  <c r="J27" i="15"/>
  <c r="J28" i="15"/>
  <c r="J26" i="15"/>
  <c r="J25" i="15"/>
  <c r="J24" i="15"/>
  <c r="J23" i="15"/>
  <c r="J22" i="15"/>
  <c r="J21" i="15"/>
  <c r="J20" i="15"/>
  <c r="J19" i="15"/>
  <c r="J18" i="15"/>
  <c r="G17" i="15"/>
  <c r="H90" i="15" l="1"/>
  <c r="M90" i="15"/>
  <c r="C90" i="15"/>
  <c r="C104" i="15"/>
  <c r="H104" i="15"/>
  <c r="M104" i="15"/>
  <c r="C99" i="15"/>
  <c r="H99" i="15"/>
  <c r="M99" i="15"/>
  <c r="C116" i="15"/>
  <c r="M116" i="15"/>
  <c r="H116" i="15"/>
  <c r="C111" i="15"/>
  <c r="H111" i="15"/>
  <c r="M111" i="15"/>
  <c r="H101" i="15"/>
  <c r="C101" i="15"/>
  <c r="M101" i="15"/>
  <c r="C100" i="15"/>
  <c r="H100" i="15"/>
  <c r="M100" i="15"/>
  <c r="H108" i="15"/>
  <c r="M108" i="15"/>
  <c r="C108" i="15"/>
  <c r="M103" i="15"/>
  <c r="C103" i="15"/>
  <c r="H103" i="15"/>
  <c r="M118" i="15"/>
  <c r="C118" i="15"/>
  <c r="H118" i="15"/>
  <c r="C85" i="15"/>
  <c r="M85" i="15"/>
  <c r="H85" i="15"/>
  <c r="C123" i="15"/>
  <c r="H123" i="15"/>
  <c r="M123" i="15"/>
  <c r="H89" i="15"/>
  <c r="M89" i="15"/>
  <c r="C89" i="15"/>
  <c r="C91" i="15"/>
  <c r="H91" i="15"/>
  <c r="M91" i="15"/>
  <c r="H113" i="15"/>
  <c r="M113" i="15"/>
  <c r="C113" i="15"/>
  <c r="M102" i="15"/>
  <c r="H102" i="15"/>
  <c r="C102" i="15"/>
  <c r="M106" i="15"/>
  <c r="C106" i="15"/>
  <c r="H106" i="15"/>
  <c r="C110" i="15"/>
  <c r="H110" i="15"/>
  <c r="M110" i="15"/>
  <c r="M114" i="15"/>
  <c r="H114" i="15"/>
  <c r="C114" i="15"/>
  <c r="C122" i="15"/>
  <c r="H122" i="15"/>
  <c r="M122" i="15"/>
  <c r="H107" i="15"/>
  <c r="M107" i="15"/>
  <c r="C107" i="15"/>
  <c r="C87" i="15"/>
  <c r="H87" i="15"/>
  <c r="M87" i="15"/>
  <c r="C105" i="15"/>
  <c r="H105" i="15"/>
  <c r="M105" i="15"/>
  <c r="M119" i="15"/>
  <c r="H119" i="15"/>
  <c r="C119" i="15"/>
  <c r="C92" i="15"/>
  <c r="H92" i="15"/>
  <c r="M92" i="15"/>
  <c r="H125" i="15"/>
  <c r="M125" i="15"/>
  <c r="C125" i="15"/>
  <c r="H95" i="15"/>
  <c r="C95" i="15"/>
  <c r="M95" i="15"/>
  <c r="C86" i="15"/>
  <c r="H86" i="15"/>
  <c r="M86" i="15"/>
  <c r="C94" i="15"/>
  <c r="H94" i="15"/>
  <c r="M94" i="15"/>
  <c r="C117" i="15"/>
  <c r="H117" i="15"/>
  <c r="M117" i="15"/>
  <c r="C93" i="15"/>
  <c r="H93" i="15"/>
  <c r="M93" i="15"/>
  <c r="M96" i="15"/>
  <c r="H96" i="15"/>
  <c r="C96" i="15"/>
  <c r="H112" i="15"/>
  <c r="C112" i="15"/>
  <c r="M112" i="15"/>
  <c r="H120" i="15"/>
  <c r="M120" i="15"/>
  <c r="C120" i="15"/>
  <c r="M115" i="15"/>
  <c r="C115" i="15"/>
  <c r="H115" i="15"/>
  <c r="C124" i="15"/>
  <c r="H124" i="15"/>
  <c r="M124" i="15"/>
  <c r="H109" i="15"/>
  <c r="M109" i="15"/>
  <c r="C109" i="15"/>
  <c r="C98" i="15"/>
  <c r="H98" i="15"/>
  <c r="M98" i="15"/>
  <c r="H88" i="15"/>
  <c r="C88" i="15"/>
  <c r="M88" i="15"/>
  <c r="M97" i="15"/>
  <c r="C97" i="15"/>
  <c r="H97" i="15"/>
  <c r="H121" i="15"/>
  <c r="M121" i="15"/>
  <c r="C121" i="15"/>
  <c r="G19" i="15"/>
  <c r="F4" i="15"/>
  <c r="F3" i="15"/>
  <c r="B35" i="15" s="1"/>
  <c r="B31" i="15"/>
  <c r="B22" i="15"/>
  <c r="B21" i="15"/>
  <c r="G3" i="15" l="1"/>
  <c r="M60" i="15"/>
  <c r="F40" i="15"/>
  <c r="F13" i="15"/>
  <c r="F12" i="15"/>
  <c r="G13" i="15" l="1"/>
  <c r="M64" i="15" s="1"/>
  <c r="N40" i="15"/>
  <c r="C64" i="15" s="1"/>
  <c r="H64" i="15"/>
  <c r="J40" i="15"/>
  <c r="C63" i="15" s="1"/>
  <c r="H63" i="15"/>
  <c r="G12" i="15"/>
  <c r="M63" i="15" s="1"/>
  <c r="E35" i="15"/>
  <c r="F9" i="15"/>
  <c r="G9" i="15" s="1"/>
  <c r="F8" i="15"/>
  <c r="G8" i="15" s="1"/>
  <c r="F7" i="15"/>
  <c r="B23" i="15"/>
  <c r="B24" i="15"/>
  <c r="B25" i="15"/>
  <c r="B26" i="15"/>
  <c r="B40" i="15" l="1"/>
  <c r="G7" i="15"/>
  <c r="M59" i="15"/>
  <c r="H67" i="15"/>
  <c r="H66" i="15"/>
  <c r="H65" i="15"/>
  <c r="H62" i="15"/>
  <c r="H61" i="15"/>
  <c r="H60" i="15"/>
  <c r="H59" i="15"/>
  <c r="M66" i="15" l="1"/>
  <c r="C60" i="15" l="1"/>
  <c r="G33" i="15"/>
  <c r="G32" i="15"/>
  <c r="G31" i="15"/>
  <c r="M84" i="15" l="1"/>
  <c r="H84" i="15"/>
  <c r="M83" i="15"/>
  <c r="H83" i="15"/>
  <c r="M82" i="15"/>
  <c r="H82" i="15"/>
  <c r="M81" i="15"/>
  <c r="H81" i="15"/>
  <c r="M80" i="15"/>
  <c r="H80" i="15"/>
  <c r="C81" i="15"/>
  <c r="C84" i="15"/>
  <c r="C83" i="15"/>
  <c r="C82" i="15"/>
  <c r="C80" i="15"/>
  <c r="N9" i="4"/>
  <c r="C62" i="15" l="1"/>
  <c r="G4" i="15"/>
  <c r="M62" i="15" s="1"/>
  <c r="M61" i="15"/>
  <c r="L31" i="32" l="1"/>
  <c r="K31" i="32"/>
  <c r="J31" i="32"/>
  <c r="G28" i="15" l="1"/>
  <c r="M79" i="15" s="1"/>
  <c r="C79" i="15" l="1"/>
  <c r="G25" i="2"/>
  <c r="H25" i="2"/>
  <c r="I25" i="2"/>
  <c r="B87" i="32"/>
  <c r="B71" i="32"/>
  <c r="C71" i="32"/>
  <c r="D71" i="32"/>
  <c r="E71" i="32"/>
  <c r="F71" i="32"/>
  <c r="G71" i="32"/>
  <c r="H71" i="32"/>
  <c r="I71" i="32"/>
  <c r="J71" i="32"/>
  <c r="K71" i="32"/>
  <c r="L71" i="32"/>
  <c r="M71" i="32"/>
  <c r="N71" i="32"/>
  <c r="O71" i="32"/>
  <c r="P71" i="32"/>
  <c r="Q71" i="32"/>
  <c r="R71" i="32"/>
  <c r="S71" i="32"/>
  <c r="T71" i="32"/>
  <c r="G55" i="32"/>
  <c r="H55" i="32"/>
  <c r="I55" i="32"/>
  <c r="J55" i="32"/>
  <c r="K55" i="32"/>
  <c r="L55" i="32"/>
  <c r="M55" i="32"/>
  <c r="N55" i="32"/>
  <c r="O55" i="32"/>
  <c r="P55" i="32"/>
  <c r="Q55" i="32"/>
  <c r="R55" i="32"/>
  <c r="S55" i="32"/>
  <c r="T55" i="32"/>
  <c r="U55" i="32"/>
  <c r="V55" i="32"/>
  <c r="W55" i="32"/>
  <c r="X55" i="32"/>
  <c r="F55" i="32"/>
  <c r="F31" i="32"/>
  <c r="F49" i="32"/>
  <c r="F53" i="32"/>
  <c r="Y54" i="32"/>
  <c r="X54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D55" i="32" a="1"/>
  <c r="D55" i="32" s="1"/>
  <c r="C55" i="32"/>
  <c r="C54" i="32"/>
  <c r="N11" i="4"/>
  <c r="M11" i="4"/>
  <c r="C19" i="13"/>
  <c r="E23" i="32" s="1"/>
  <c r="C23" i="32"/>
  <c r="C87" i="32" l="1"/>
  <c r="E55" i="32"/>
  <c r="M67" i="15"/>
  <c r="M65" i="15"/>
  <c r="C59" i="15"/>
  <c r="G27" i="15"/>
  <c r="M78" i="15" s="1"/>
  <c r="G26" i="15"/>
  <c r="M77" i="15" s="1"/>
  <c r="G25" i="15"/>
  <c r="M76" i="15" s="1"/>
  <c r="G24" i="15"/>
  <c r="M75" i="15" s="1"/>
  <c r="G23" i="15"/>
  <c r="G22" i="15"/>
  <c r="M73" i="15" s="1"/>
  <c r="G21" i="15"/>
  <c r="M72" i="15" s="1"/>
  <c r="G20" i="15"/>
  <c r="M71" i="15" s="1"/>
  <c r="M70" i="15"/>
  <c r="G18" i="15"/>
  <c r="M69" i="15" s="1"/>
  <c r="M68" i="15"/>
  <c r="C73" i="15" l="1"/>
  <c r="C74" i="15"/>
  <c r="C75" i="15"/>
  <c r="C76" i="15"/>
  <c r="C71" i="15"/>
  <c r="C72" i="15"/>
  <c r="C77" i="15"/>
  <c r="C69" i="15"/>
  <c r="C70" i="15"/>
  <c r="C78" i="15"/>
  <c r="C68" i="15"/>
  <c r="B13" i="15"/>
  <c r="B4" i="15" s="1"/>
  <c r="H30" i="15" s="1"/>
  <c r="T25" i="15" l="1"/>
  <c r="Q19" i="15"/>
  <c r="T28" i="15"/>
  <c r="T23" i="15"/>
  <c r="T26" i="15"/>
  <c r="N17" i="15"/>
  <c r="T22" i="15"/>
  <c r="Q20" i="15"/>
  <c r="T24" i="15"/>
  <c r="T27" i="15"/>
  <c r="Q21" i="15"/>
  <c r="N18" i="15"/>
  <c r="B41" i="15"/>
  <c r="B36" i="15"/>
  <c r="H20" i="15"/>
  <c r="F41" i="15"/>
  <c r="D62" i="15" s="1"/>
  <c r="N41" i="15"/>
  <c r="D64" i="15" s="1"/>
  <c r="I64" i="15"/>
  <c r="I63" i="15"/>
  <c r="J41" i="15"/>
  <c r="D63" i="15" s="1"/>
  <c r="B18" i="15"/>
  <c r="H13" i="15"/>
  <c r="N64" i="15" s="1"/>
  <c r="H12" i="15"/>
  <c r="N63" i="15" s="1"/>
  <c r="N59" i="15"/>
  <c r="I59" i="15"/>
  <c r="I67" i="15"/>
  <c r="I62" i="15"/>
  <c r="I61" i="15"/>
  <c r="I65" i="15"/>
  <c r="I66" i="15"/>
  <c r="H33" i="15"/>
  <c r="H31" i="15"/>
  <c r="H32" i="15"/>
  <c r="H29" i="15"/>
  <c r="H4" i="15"/>
  <c r="N62" i="15" s="1"/>
  <c r="H3" i="15"/>
  <c r="N61" i="15" s="1"/>
  <c r="H28" i="15"/>
  <c r="N12" i="4"/>
  <c r="H18" i="15"/>
  <c r="H17" i="15"/>
  <c r="H19" i="15"/>
  <c r="H27" i="15"/>
  <c r="H23" i="15"/>
  <c r="H22" i="15"/>
  <c r="H8" i="15"/>
  <c r="N66" i="15" s="1"/>
  <c r="H26" i="15"/>
  <c r="H9" i="15"/>
  <c r="N67" i="15" s="1"/>
  <c r="H25" i="15"/>
  <c r="H7" i="15"/>
  <c r="N65" i="15" s="1"/>
  <c r="H24" i="15"/>
  <c r="H21" i="15"/>
  <c r="B50" i="15"/>
  <c r="C67" i="15" s="1"/>
  <c r="B45" i="15"/>
  <c r="C66" i="15" s="1"/>
  <c r="C65" i="15"/>
  <c r="C61" i="15"/>
  <c r="N77" i="15" l="1"/>
  <c r="I77" i="15"/>
  <c r="D94" i="15"/>
  <c r="N94" i="15"/>
  <c r="I94" i="15"/>
  <c r="N74" i="15"/>
  <c r="I74" i="15"/>
  <c r="I101" i="15"/>
  <c r="N101" i="15"/>
  <c r="D101" i="15"/>
  <c r="D121" i="15"/>
  <c r="I121" i="15"/>
  <c r="N121" i="15"/>
  <c r="N73" i="15"/>
  <c r="I73" i="15"/>
  <c r="D86" i="15"/>
  <c r="I86" i="15"/>
  <c r="N86" i="15"/>
  <c r="N70" i="15"/>
  <c r="I70" i="15"/>
  <c r="I117" i="15"/>
  <c r="N117" i="15"/>
  <c r="D117" i="15"/>
  <c r="N68" i="15"/>
  <c r="I68" i="15"/>
  <c r="N69" i="15"/>
  <c r="I69" i="15"/>
  <c r="N71" i="15"/>
  <c r="I71" i="15"/>
  <c r="I125" i="15"/>
  <c r="N125" i="15"/>
  <c r="D125" i="15"/>
  <c r="N75" i="15"/>
  <c r="I75" i="15"/>
  <c r="D91" i="15"/>
  <c r="I91" i="15"/>
  <c r="N91" i="15"/>
  <c r="N76" i="15"/>
  <c r="I76" i="15"/>
  <c r="D88" i="15"/>
  <c r="I88" i="15"/>
  <c r="N88" i="15"/>
  <c r="D97" i="15"/>
  <c r="I97" i="15"/>
  <c r="N97" i="15"/>
  <c r="D109" i="15"/>
  <c r="I109" i="15"/>
  <c r="N109" i="15"/>
  <c r="N78" i="15"/>
  <c r="I78" i="15"/>
  <c r="N105" i="15"/>
  <c r="D105" i="15"/>
  <c r="I105" i="15"/>
  <c r="N72" i="15"/>
  <c r="I72" i="15"/>
  <c r="N79" i="15"/>
  <c r="I79" i="15"/>
  <c r="I113" i="15"/>
  <c r="N113" i="15"/>
  <c r="D113" i="15"/>
  <c r="C128" i="15"/>
  <c r="B130" i="15" s="1"/>
  <c r="N84" i="15"/>
  <c r="I84" i="15"/>
  <c r="N83" i="15"/>
  <c r="I83" i="15"/>
  <c r="N82" i="15"/>
  <c r="I82" i="15"/>
  <c r="N81" i="15"/>
  <c r="I81" i="15"/>
  <c r="N80" i="15"/>
  <c r="I80" i="15"/>
  <c r="N60" i="15"/>
  <c r="Q25" i="15"/>
  <c r="N22" i="15"/>
  <c r="K23" i="15"/>
  <c r="N21" i="15"/>
  <c r="Q23" i="15"/>
  <c r="N26" i="15"/>
  <c r="N28" i="15"/>
  <c r="K28" i="15"/>
  <c r="Q27" i="15"/>
  <c r="K17" i="15"/>
  <c r="Q24" i="15"/>
  <c r="K25" i="15"/>
  <c r="Q22" i="15"/>
  <c r="N25" i="15"/>
  <c r="N19" i="15"/>
  <c r="K19" i="15"/>
  <c r="N24" i="15"/>
  <c r="K21" i="15"/>
  <c r="Q28" i="15"/>
  <c r="K27" i="15"/>
  <c r="K18" i="15"/>
  <c r="K20" i="15"/>
  <c r="Q26" i="15"/>
  <c r="N23" i="15"/>
  <c r="K22" i="15"/>
  <c r="K24" i="15"/>
  <c r="N27" i="15"/>
  <c r="K26" i="15"/>
  <c r="N20" i="15"/>
  <c r="E36" i="15"/>
  <c r="D60" i="15"/>
  <c r="I60" i="15"/>
  <c r="D82" i="15"/>
  <c r="D73" i="15"/>
  <c r="D80" i="15"/>
  <c r="D75" i="15"/>
  <c r="D77" i="15"/>
  <c r="D71" i="15"/>
  <c r="D74" i="15"/>
  <c r="D83" i="15"/>
  <c r="D78" i="15"/>
  <c r="D70" i="15"/>
  <c r="D84" i="15"/>
  <c r="D72" i="15"/>
  <c r="D68" i="15"/>
  <c r="D81" i="15"/>
  <c r="D69" i="15"/>
  <c r="D76" i="15"/>
  <c r="D79" i="15"/>
  <c r="B81" i="32"/>
  <c r="I110" i="15" l="1"/>
  <c r="N110" i="15"/>
  <c r="D110" i="15"/>
  <c r="N87" i="15"/>
  <c r="I87" i="15"/>
  <c r="D87" i="15"/>
  <c r="N118" i="15"/>
  <c r="D118" i="15"/>
  <c r="I118" i="15"/>
  <c r="D124" i="15"/>
  <c r="I124" i="15"/>
  <c r="N124" i="15"/>
  <c r="N123" i="15"/>
  <c r="I123" i="15"/>
  <c r="D123" i="15"/>
  <c r="D108" i="15"/>
  <c r="I108" i="15"/>
  <c r="N108" i="15"/>
  <c r="D92" i="15"/>
  <c r="N92" i="15"/>
  <c r="I92" i="15"/>
  <c r="I115" i="15"/>
  <c r="D115" i="15"/>
  <c r="N115" i="15"/>
  <c r="N93" i="15"/>
  <c r="D93" i="15"/>
  <c r="I93" i="15"/>
  <c r="N107" i="15"/>
  <c r="I107" i="15"/>
  <c r="D107" i="15"/>
  <c r="I104" i="15"/>
  <c r="D104" i="15"/>
  <c r="N104" i="15"/>
  <c r="I103" i="15"/>
  <c r="D103" i="15"/>
  <c r="N103" i="15"/>
  <c r="D120" i="15"/>
  <c r="I120" i="15"/>
  <c r="N120" i="15"/>
  <c r="I95" i="15"/>
  <c r="D95" i="15"/>
  <c r="N95" i="15"/>
  <c r="I114" i="15"/>
  <c r="N114" i="15"/>
  <c r="D114" i="15"/>
  <c r="N89" i="15"/>
  <c r="I89" i="15"/>
  <c r="D89" i="15"/>
  <c r="N119" i="15"/>
  <c r="D119" i="15"/>
  <c r="I119" i="15"/>
  <c r="N90" i="15"/>
  <c r="I90" i="15"/>
  <c r="D90" i="15"/>
  <c r="I102" i="15"/>
  <c r="N102" i="15"/>
  <c r="D102" i="15"/>
  <c r="D116" i="15"/>
  <c r="I116" i="15"/>
  <c r="N116" i="15"/>
  <c r="D85" i="15"/>
  <c r="N85" i="15"/>
  <c r="I85" i="15"/>
  <c r="I122" i="15"/>
  <c r="N122" i="15"/>
  <c r="D122" i="15"/>
  <c r="N96" i="15"/>
  <c r="D96" i="15"/>
  <c r="I96" i="15"/>
  <c r="N106" i="15"/>
  <c r="D106" i="15"/>
  <c r="I106" i="15"/>
  <c r="I111" i="15"/>
  <c r="D111" i="15"/>
  <c r="N111" i="15"/>
  <c r="I99" i="15"/>
  <c r="D99" i="15"/>
  <c r="N99" i="15"/>
  <c r="N98" i="15"/>
  <c r="D98" i="15"/>
  <c r="I98" i="15"/>
  <c r="D100" i="15"/>
  <c r="N100" i="15"/>
  <c r="I100" i="15"/>
  <c r="D112" i="15"/>
  <c r="I112" i="15"/>
  <c r="N112" i="15"/>
  <c r="C11" i="32"/>
  <c r="D53" i="32" a="1"/>
  <c r="E53" i="32" s="1"/>
  <c r="D51" i="32" a="1"/>
  <c r="D51" i="32" s="1"/>
  <c r="C51" i="32"/>
  <c r="C49" i="32"/>
  <c r="B84" i="32"/>
  <c r="B86" i="32"/>
  <c r="B85" i="32"/>
  <c r="Y53" i="32"/>
  <c r="F52" i="32"/>
  <c r="Y52" i="32"/>
  <c r="X52" i="32"/>
  <c r="W52" i="32"/>
  <c r="V52" i="32"/>
  <c r="U52" i="32"/>
  <c r="T52" i="32"/>
  <c r="S52" i="32"/>
  <c r="R52" i="32"/>
  <c r="Q52" i="32"/>
  <c r="P52" i="32"/>
  <c r="O52" i="32"/>
  <c r="N52" i="32"/>
  <c r="M52" i="32"/>
  <c r="L52" i="32"/>
  <c r="K52" i="32"/>
  <c r="J52" i="32"/>
  <c r="I52" i="32"/>
  <c r="H52" i="32"/>
  <c r="G52" i="32"/>
  <c r="C53" i="32"/>
  <c r="C52" i="32"/>
  <c r="Y50" i="32"/>
  <c r="Y51" i="32" s="1"/>
  <c r="X50" i="32"/>
  <c r="W50" i="32"/>
  <c r="V50" i="32"/>
  <c r="U50" i="32"/>
  <c r="T50" i="32"/>
  <c r="S50" i="32"/>
  <c r="R50" i="32"/>
  <c r="Q50" i="32"/>
  <c r="P50" i="32"/>
  <c r="O50" i="32"/>
  <c r="N50" i="32"/>
  <c r="M50" i="32"/>
  <c r="L50" i="32"/>
  <c r="K50" i="32"/>
  <c r="J50" i="32"/>
  <c r="I50" i="32"/>
  <c r="H50" i="32"/>
  <c r="G50" i="32"/>
  <c r="F50" i="32"/>
  <c r="C50" i="32"/>
  <c r="C21" i="32"/>
  <c r="C22" i="32"/>
  <c r="C20" i="32"/>
  <c r="D53" i="32" l="1"/>
  <c r="E51" i="32"/>
  <c r="F51" i="32"/>
  <c r="G53" i="32"/>
  <c r="B69" i="32"/>
  <c r="S53" i="32" l="1"/>
  <c r="K53" i="32"/>
  <c r="N53" i="32"/>
  <c r="R53" i="32"/>
  <c r="U53" i="32"/>
  <c r="B70" i="32"/>
  <c r="L53" i="32"/>
  <c r="I53" i="32"/>
  <c r="E70" i="32" s="1"/>
  <c r="Q53" i="32"/>
  <c r="J53" i="32"/>
  <c r="F70" i="32" s="1"/>
  <c r="P53" i="32"/>
  <c r="L70" i="32" s="1"/>
  <c r="V53" i="32"/>
  <c r="H53" i="32"/>
  <c r="W53" i="32"/>
  <c r="T53" i="32"/>
  <c r="X53" i="32"/>
  <c r="M53" i="32"/>
  <c r="O53" i="32"/>
  <c r="W51" i="32"/>
  <c r="G51" i="32"/>
  <c r="C69" i="32" s="1"/>
  <c r="I51" i="32"/>
  <c r="Q51" i="32"/>
  <c r="V51" i="32"/>
  <c r="L51" i="32"/>
  <c r="J51" i="32"/>
  <c r="T51" i="32"/>
  <c r="S51" i="32"/>
  <c r="X51" i="32"/>
  <c r="R51" i="32"/>
  <c r="N51" i="32"/>
  <c r="M51" i="32"/>
  <c r="K51" i="32"/>
  <c r="O51" i="32"/>
  <c r="U51" i="32"/>
  <c r="P51" i="32"/>
  <c r="H51" i="32"/>
  <c r="H70" i="32" l="1"/>
  <c r="I70" i="32"/>
  <c r="T70" i="32"/>
  <c r="N70" i="32"/>
  <c r="M70" i="32"/>
  <c r="K70" i="32"/>
  <c r="Q70" i="32"/>
  <c r="P70" i="32"/>
  <c r="J70" i="32"/>
  <c r="S70" i="32"/>
  <c r="G70" i="32"/>
  <c r="D70" i="32"/>
  <c r="O70" i="32"/>
  <c r="R70" i="32"/>
  <c r="C70" i="32"/>
  <c r="G69" i="32"/>
  <c r="L69" i="32"/>
  <c r="E69" i="32"/>
  <c r="R69" i="32"/>
  <c r="M69" i="32"/>
  <c r="S69" i="32"/>
  <c r="Q69" i="32"/>
  <c r="N69" i="32"/>
  <c r="K69" i="32"/>
  <c r="J69" i="32"/>
  <c r="O69" i="32"/>
  <c r="I69" i="32"/>
  <c r="P69" i="32"/>
  <c r="F69" i="32"/>
  <c r="T69" i="32"/>
  <c r="D69" i="32"/>
  <c r="H69" i="32"/>
  <c r="C86" i="32" l="1"/>
  <c r="C85" i="32"/>
  <c r="F9" i="4"/>
  <c r="G24" i="2"/>
  <c r="H24" i="2"/>
  <c r="I24" i="2"/>
  <c r="G23" i="2"/>
  <c r="H47" i="2" s="1"/>
  <c r="H23" i="2"/>
  <c r="I23" i="2"/>
  <c r="E37" i="2"/>
  <c r="F40" i="2" s="1"/>
  <c r="I37" i="2"/>
  <c r="G13" i="2"/>
  <c r="I14" i="2"/>
  <c r="I13" i="2"/>
  <c r="G72" i="2" l="1"/>
  <c r="G68" i="2"/>
  <c r="G64" i="2"/>
  <c r="G60" i="2"/>
  <c r="G56" i="2"/>
  <c r="G71" i="2"/>
  <c r="G67" i="2"/>
  <c r="G63" i="2"/>
  <c r="G59" i="2"/>
  <c r="G55" i="2"/>
  <c r="G53" i="2"/>
  <c r="G51" i="2"/>
  <c r="G49" i="2"/>
  <c r="G73" i="2"/>
  <c r="G69" i="2"/>
  <c r="G65" i="2"/>
  <c r="G61" i="2"/>
  <c r="G57" i="2"/>
  <c r="G50" i="2"/>
  <c r="G54" i="2"/>
  <c r="G48" i="2"/>
  <c r="G66" i="2"/>
  <c r="G58" i="2"/>
  <c r="G70" i="2"/>
  <c r="G62" i="2"/>
  <c r="G47" i="2"/>
  <c r="G52" i="2"/>
  <c r="G46" i="2"/>
  <c r="G45" i="2"/>
  <c r="H40" i="2"/>
  <c r="G40" i="2"/>
  <c r="I46" i="2" s="1"/>
  <c r="I45" i="2" l="1"/>
  <c r="K72" i="2"/>
  <c r="K68" i="2"/>
  <c r="K64" i="2"/>
  <c r="K60" i="2"/>
  <c r="K56" i="2"/>
  <c r="K47" i="2"/>
  <c r="K61" i="2"/>
  <c r="K50" i="2"/>
  <c r="K71" i="2"/>
  <c r="K67" i="2"/>
  <c r="K63" i="2"/>
  <c r="K59" i="2"/>
  <c r="K55" i="2"/>
  <c r="K53" i="2"/>
  <c r="K51" i="2"/>
  <c r="K49" i="2"/>
  <c r="K48" i="2"/>
  <c r="K70" i="2"/>
  <c r="K66" i="2"/>
  <c r="K62" i="2"/>
  <c r="K58" i="2"/>
  <c r="K73" i="2"/>
  <c r="K65" i="2"/>
  <c r="K57" i="2"/>
  <c r="K52" i="2"/>
  <c r="K69" i="2"/>
  <c r="K54" i="2"/>
  <c r="I73" i="2"/>
  <c r="I69" i="2"/>
  <c r="I65" i="2"/>
  <c r="I61" i="2"/>
  <c r="I57" i="2"/>
  <c r="I50" i="2"/>
  <c r="I72" i="2"/>
  <c r="I68" i="2"/>
  <c r="I64" i="2"/>
  <c r="I60" i="2"/>
  <c r="I56" i="2"/>
  <c r="I52" i="2"/>
  <c r="I71" i="2"/>
  <c r="I67" i="2"/>
  <c r="I63" i="2"/>
  <c r="I59" i="2"/>
  <c r="I55" i="2"/>
  <c r="I53" i="2"/>
  <c r="I51" i="2"/>
  <c r="I49" i="2"/>
  <c r="I47" i="2"/>
  <c r="I48" i="2"/>
  <c r="I54" i="2"/>
  <c r="I70" i="2"/>
  <c r="I66" i="2"/>
  <c r="I62" i="2"/>
  <c r="I58" i="2"/>
  <c r="K45" i="2"/>
  <c r="K46" i="2"/>
  <c r="C31" i="32"/>
  <c r="M9" i="4" l="1"/>
  <c r="B8" i="15" l="1"/>
  <c r="B12" i="15"/>
  <c r="B51" i="15"/>
  <c r="D67" i="15" s="1"/>
  <c r="B46" i="15" l="1"/>
  <c r="D66" i="15" s="1"/>
  <c r="D65" i="15"/>
  <c r="D61" i="15"/>
  <c r="D59" i="15"/>
  <c r="M12" i="4"/>
  <c r="S59" i="32"/>
  <c r="Q64" i="32"/>
  <c r="C9" i="4"/>
  <c r="E9" i="4"/>
  <c r="G9" i="4"/>
  <c r="H9" i="4"/>
  <c r="I9" i="4"/>
  <c r="K9" i="4"/>
  <c r="B9" i="4"/>
  <c r="B75" i="32"/>
  <c r="B76" i="32"/>
  <c r="B77" i="32"/>
  <c r="B78" i="32"/>
  <c r="B79" i="32"/>
  <c r="B80" i="32"/>
  <c r="B82" i="32"/>
  <c r="B83" i="32"/>
  <c r="C12" i="29"/>
  <c r="D12" i="29" s="1"/>
  <c r="C4" i="13" a="1"/>
  <c r="D4" i="13" s="1"/>
  <c r="C4" i="13"/>
  <c r="L11" i="4"/>
  <c r="C9" i="29"/>
  <c r="D9" i="29" s="1"/>
  <c r="C10" i="29"/>
  <c r="D10" i="29" s="1"/>
  <c r="C11" i="29"/>
  <c r="D11" i="29" s="1"/>
  <c r="U59" i="32"/>
  <c r="U60" i="32"/>
  <c r="U61" i="32"/>
  <c r="U62" i="32"/>
  <c r="U63" i="32"/>
  <c r="U64" i="32"/>
  <c r="U65" i="32"/>
  <c r="U66" i="32"/>
  <c r="U67" i="32"/>
  <c r="U68" i="32"/>
  <c r="C32" i="32"/>
  <c r="C33" i="32"/>
  <c r="C34" i="32"/>
  <c r="C35" i="32"/>
  <c r="C36" i="32"/>
  <c r="C37" i="32"/>
  <c r="C38" i="32"/>
  <c r="C39" i="32"/>
  <c r="C40" i="32"/>
  <c r="C41" i="32"/>
  <c r="D41" i="32" s="1" a="1"/>
  <c r="C42" i="32"/>
  <c r="C43" i="32"/>
  <c r="C44" i="32"/>
  <c r="C45" i="32"/>
  <c r="C46" i="32"/>
  <c r="C47" i="32"/>
  <c r="C48" i="32"/>
  <c r="C30" i="32"/>
  <c r="H44" i="32"/>
  <c r="L40" i="32"/>
  <c r="G32" i="32"/>
  <c r="I30" i="32"/>
  <c r="G48" i="32"/>
  <c r="H48" i="32"/>
  <c r="I48" i="32"/>
  <c r="J48" i="32"/>
  <c r="K48" i="32"/>
  <c r="L48" i="32"/>
  <c r="M48" i="32"/>
  <c r="N48" i="32"/>
  <c r="O48" i="32"/>
  <c r="P48" i="32"/>
  <c r="Q48" i="32"/>
  <c r="R48" i="32"/>
  <c r="S48" i="32"/>
  <c r="T48" i="32"/>
  <c r="U48" i="32"/>
  <c r="V48" i="32"/>
  <c r="W48" i="32"/>
  <c r="X48" i="32"/>
  <c r="Y48" i="32"/>
  <c r="Y49" i="32"/>
  <c r="F48" i="32"/>
  <c r="G46" i="32"/>
  <c r="H46" i="32"/>
  <c r="I46" i="32"/>
  <c r="J46" i="32"/>
  <c r="K46" i="32"/>
  <c r="L46" i="32"/>
  <c r="M46" i="32"/>
  <c r="N46" i="32"/>
  <c r="O46" i="32"/>
  <c r="P46" i="32"/>
  <c r="Q46" i="32"/>
  <c r="R46" i="32"/>
  <c r="S46" i="32"/>
  <c r="T46" i="32"/>
  <c r="U46" i="32"/>
  <c r="V46" i="32"/>
  <c r="W46" i="32"/>
  <c r="X46" i="32"/>
  <c r="Y46" i="32"/>
  <c r="Y47" i="32"/>
  <c r="F46" i="32"/>
  <c r="G44" i="32"/>
  <c r="K44" i="32"/>
  <c r="L44" i="32"/>
  <c r="M44" i="32"/>
  <c r="Q44" i="32"/>
  <c r="R44" i="32"/>
  <c r="S44" i="32"/>
  <c r="W44" i="32"/>
  <c r="X44" i="32"/>
  <c r="Y44" i="32"/>
  <c r="Y45" i="32"/>
  <c r="G42" i="32"/>
  <c r="H42" i="32"/>
  <c r="I42" i="32"/>
  <c r="J42" i="32"/>
  <c r="K42" i="32"/>
  <c r="L42" i="32"/>
  <c r="M42" i="32"/>
  <c r="N42" i="32"/>
  <c r="O42" i="32"/>
  <c r="P42" i="32"/>
  <c r="Q42" i="32"/>
  <c r="R42" i="32"/>
  <c r="S42" i="32"/>
  <c r="T42" i="32"/>
  <c r="U42" i="32"/>
  <c r="U43" i="32"/>
  <c r="Q65" i="32" s="1"/>
  <c r="V42" i="32"/>
  <c r="V43" i="32"/>
  <c r="R65" i="32" s="1"/>
  <c r="W42" i="32"/>
  <c r="W43" i="32"/>
  <c r="S65" i="32" s="1"/>
  <c r="X42" i="32"/>
  <c r="X43" i="32"/>
  <c r="T65" i="32" s="1"/>
  <c r="Y42" i="32"/>
  <c r="Y43" i="32"/>
  <c r="F42" i="32"/>
  <c r="G40" i="32"/>
  <c r="I40" i="32"/>
  <c r="J40" i="32"/>
  <c r="K40" i="32"/>
  <c r="M40" i="32"/>
  <c r="O40" i="32"/>
  <c r="P40" i="32"/>
  <c r="Q40" i="32"/>
  <c r="S40" i="32"/>
  <c r="U40" i="32"/>
  <c r="U41" i="32"/>
  <c r="V40" i="32"/>
  <c r="V41" i="32"/>
  <c r="R64" i="32" s="1"/>
  <c r="W40" i="32"/>
  <c r="W41" i="32"/>
  <c r="S64" i="32" s="1"/>
  <c r="Y40" i="32"/>
  <c r="Y41" i="32"/>
  <c r="G38" i="32"/>
  <c r="H38" i="32"/>
  <c r="I38" i="32"/>
  <c r="J38" i="32"/>
  <c r="K38" i="32"/>
  <c r="L38" i="32"/>
  <c r="M38" i="32"/>
  <c r="N38" i="32"/>
  <c r="O38" i="32"/>
  <c r="P38" i="32"/>
  <c r="Q38" i="32"/>
  <c r="R38" i="32"/>
  <c r="S38" i="32"/>
  <c r="T38" i="32"/>
  <c r="T39" i="32"/>
  <c r="P63" i="32" s="1"/>
  <c r="U38" i="32"/>
  <c r="U39" i="32"/>
  <c r="Q63" i="32" s="1"/>
  <c r="V38" i="32"/>
  <c r="V39" i="32"/>
  <c r="R63" i="32" s="1"/>
  <c r="W38" i="32"/>
  <c r="W39" i="32"/>
  <c r="S63" i="32" s="1"/>
  <c r="X38" i="32"/>
  <c r="X39" i="32"/>
  <c r="T63" i="32" s="1"/>
  <c r="Y38" i="32"/>
  <c r="Y39" i="32"/>
  <c r="F38" i="32"/>
  <c r="H36" i="32"/>
  <c r="I36" i="32"/>
  <c r="J36" i="32"/>
  <c r="N36" i="32"/>
  <c r="O36" i="32"/>
  <c r="O37" i="32" s="1"/>
  <c r="K62" i="32" s="1"/>
  <c r="P36" i="32"/>
  <c r="P37" i="32"/>
  <c r="L62" i="32" s="1"/>
  <c r="T36" i="32"/>
  <c r="T37" i="32"/>
  <c r="P62" i="32" s="1"/>
  <c r="U36" i="32"/>
  <c r="U37" i="32" s="1"/>
  <c r="Q62" i="32" s="1"/>
  <c r="V36" i="32"/>
  <c r="V37" i="32"/>
  <c r="R62" i="32" s="1"/>
  <c r="F36" i="32"/>
  <c r="H34" i="32"/>
  <c r="K34" i="32"/>
  <c r="L34" i="32"/>
  <c r="N34" i="32"/>
  <c r="Q34" i="32"/>
  <c r="Q35" i="32"/>
  <c r="M61" i="32" s="1"/>
  <c r="R34" i="32"/>
  <c r="R35" i="32"/>
  <c r="N61" i="32" s="1"/>
  <c r="T34" i="32"/>
  <c r="T35" i="32"/>
  <c r="P61" i="32" s="1"/>
  <c r="W34" i="32"/>
  <c r="W35" i="32"/>
  <c r="S61" i="32" s="1"/>
  <c r="X34" i="32"/>
  <c r="X35" i="32"/>
  <c r="T61" i="32" s="1"/>
  <c r="F34" i="32"/>
  <c r="I32" i="32"/>
  <c r="K32" i="32"/>
  <c r="L32" i="32"/>
  <c r="M32" i="32"/>
  <c r="N32" i="32"/>
  <c r="O32" i="32"/>
  <c r="O33" i="32"/>
  <c r="K60" i="32" s="1"/>
  <c r="P32" i="32"/>
  <c r="P33" i="32"/>
  <c r="L60" i="32" s="1"/>
  <c r="Q32" i="32"/>
  <c r="Q33" i="32"/>
  <c r="M60" i="32" s="1"/>
  <c r="R32" i="32"/>
  <c r="R33" i="32"/>
  <c r="N60" i="32" s="1"/>
  <c r="S32" i="32"/>
  <c r="S33" i="32"/>
  <c r="O60" i="32" s="1"/>
  <c r="T32" i="32"/>
  <c r="T33" i="32"/>
  <c r="P60" i="32" s="1"/>
  <c r="U32" i="32"/>
  <c r="U33" i="32"/>
  <c r="Q60" i="32" s="1"/>
  <c r="V32" i="32"/>
  <c r="V33" i="32"/>
  <c r="R60" i="32" s="1"/>
  <c r="W32" i="32"/>
  <c r="W33" i="32"/>
  <c r="S60" i="32" s="1"/>
  <c r="X32" i="32"/>
  <c r="X33" i="32"/>
  <c r="T60" i="32" s="1"/>
  <c r="Y32" i="32"/>
  <c r="Y33" i="32"/>
  <c r="F32" i="32"/>
  <c r="H30" i="32"/>
  <c r="J30" i="32"/>
  <c r="N30" i="32"/>
  <c r="N31" i="32"/>
  <c r="J59" i="32" s="1"/>
  <c r="P30" i="32"/>
  <c r="P31" i="32"/>
  <c r="L59" i="32" s="1"/>
  <c r="T30" i="32"/>
  <c r="T31" i="32"/>
  <c r="P59" i="32" s="1"/>
  <c r="V30" i="32"/>
  <c r="V31" i="32"/>
  <c r="R59" i="32" s="1"/>
  <c r="F30" i="32"/>
  <c r="V44" i="32"/>
  <c r="P44" i="32"/>
  <c r="J44" i="32"/>
  <c r="U44" i="32"/>
  <c r="O44" i="32"/>
  <c r="I44" i="32"/>
  <c r="F44" i="32"/>
  <c r="T44" i="32"/>
  <c r="N44" i="32"/>
  <c r="F40" i="32"/>
  <c r="T40" i="32"/>
  <c r="T41" i="32"/>
  <c r="P64" i="32" s="1"/>
  <c r="N40" i="32"/>
  <c r="H40" i="32"/>
  <c r="X40" i="32"/>
  <c r="X41" i="32"/>
  <c r="T64" i="32" s="1"/>
  <c r="R40" i="32"/>
  <c r="Y36" i="32"/>
  <c r="Y37" i="32" s="1"/>
  <c r="S36" i="32"/>
  <c r="S37" i="32" s="1"/>
  <c r="O62" i="32" s="1"/>
  <c r="M36" i="32"/>
  <c r="G36" i="32"/>
  <c r="X36" i="32"/>
  <c r="X37" i="32"/>
  <c r="T62" i="32" s="1"/>
  <c r="R36" i="32"/>
  <c r="R37" i="32" s="1"/>
  <c r="N62" i="32" s="1"/>
  <c r="L36" i="32"/>
  <c r="W36" i="32"/>
  <c r="W37" i="32" s="1"/>
  <c r="S62" i="32" s="1"/>
  <c r="Q36" i="32"/>
  <c r="Q37" i="32" s="1"/>
  <c r="M62" i="32" s="1"/>
  <c r="K36" i="32"/>
  <c r="V34" i="32"/>
  <c r="V35" i="32"/>
  <c r="R61" i="32" s="1"/>
  <c r="P34" i="32"/>
  <c r="P35" i="32"/>
  <c r="L61" i="32" s="1"/>
  <c r="J34" i="32"/>
  <c r="U34" i="32"/>
  <c r="U35" i="32"/>
  <c r="Q61" i="32" s="1"/>
  <c r="O34" i="32"/>
  <c r="O35" i="32"/>
  <c r="K61" i="32" s="1"/>
  <c r="I34" i="32"/>
  <c r="Y34" i="32"/>
  <c r="Y35" i="32"/>
  <c r="S34" i="32"/>
  <c r="S35" i="32"/>
  <c r="O61" i="32" s="1"/>
  <c r="M34" i="32"/>
  <c r="G34" i="32"/>
  <c r="J32" i="32"/>
  <c r="H32" i="32"/>
  <c r="Y30" i="32"/>
  <c r="Y31" i="32"/>
  <c r="S30" i="32"/>
  <c r="S31" i="32"/>
  <c r="O59" i="32" s="1"/>
  <c r="M30" i="32"/>
  <c r="M31" i="32"/>
  <c r="I59" i="32" s="1"/>
  <c r="G30" i="32"/>
  <c r="X30" i="32"/>
  <c r="X31" i="32"/>
  <c r="T59" i="32" s="1"/>
  <c r="R30" i="32"/>
  <c r="R31" i="32"/>
  <c r="N59" i="32" s="1"/>
  <c r="L30" i="32"/>
  <c r="W30" i="32"/>
  <c r="W31" i="32"/>
  <c r="Q30" i="32"/>
  <c r="Q31" i="32"/>
  <c r="M59" i="32" s="1"/>
  <c r="K30" i="32"/>
  <c r="U30" i="32"/>
  <c r="U31" i="32"/>
  <c r="Q59" i="32" s="1"/>
  <c r="O30" i="32"/>
  <c r="O31" i="32"/>
  <c r="K59" i="32" s="1"/>
  <c r="T43" i="32"/>
  <c r="P65" i="32" s="1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C11" i="4"/>
  <c r="D11" i="4"/>
  <c r="E11" i="4"/>
  <c r="F11" i="4"/>
  <c r="G11" i="4"/>
  <c r="H11" i="4"/>
  <c r="I11" i="4"/>
  <c r="J11" i="4"/>
  <c r="K11" i="4"/>
  <c r="B11" i="4"/>
  <c r="L3" i="32" a="1"/>
  <c r="L3" i="32"/>
  <c r="D31" i="32" a="1"/>
  <c r="E31" i="32" s="1"/>
  <c r="D31" i="32"/>
  <c r="M3" i="32"/>
  <c r="C19" i="32"/>
  <c r="C13" i="32"/>
  <c r="C18" i="32"/>
  <c r="C17" i="32"/>
  <c r="C16" i="32"/>
  <c r="C15" i="32"/>
  <c r="C12" i="32"/>
  <c r="C14" i="32"/>
  <c r="D128" i="15" l="1"/>
  <c r="L55" i="2"/>
  <c r="L67" i="2"/>
  <c r="L53" i="2"/>
  <c r="L49" i="2"/>
  <c r="L72" i="2"/>
  <c r="L73" i="2"/>
  <c r="L46" i="2"/>
  <c r="L56" i="2"/>
  <c r="L68" i="2"/>
  <c r="L61" i="2"/>
  <c r="L54" i="2"/>
  <c r="L66" i="2"/>
  <c r="L57" i="2"/>
  <c r="L69" i="2"/>
  <c r="L71" i="2"/>
  <c r="L60" i="2"/>
  <c r="L51" i="2"/>
  <c r="L64" i="2"/>
  <c r="L58" i="2"/>
  <c r="L70" i="2"/>
  <c r="L52" i="2"/>
  <c r="L48" i="2"/>
  <c r="L59" i="2"/>
  <c r="L65" i="2"/>
  <c r="L62" i="2"/>
  <c r="L47" i="2"/>
  <c r="L63" i="2"/>
  <c r="L50" i="2"/>
  <c r="L45" i="2"/>
  <c r="H65" i="2"/>
  <c r="H70" i="2"/>
  <c r="H51" i="2"/>
  <c r="H54" i="2"/>
  <c r="H66" i="2"/>
  <c r="H57" i="2"/>
  <c r="H58" i="2"/>
  <c r="H71" i="2"/>
  <c r="H50" i="2"/>
  <c r="H55" i="2"/>
  <c r="H67" i="2"/>
  <c r="H53" i="2"/>
  <c r="H49" i="2"/>
  <c r="H46" i="2"/>
  <c r="H69" i="2"/>
  <c r="H52" i="2"/>
  <c r="H59" i="2"/>
  <c r="H56" i="2"/>
  <c r="H68" i="2"/>
  <c r="H45" i="2"/>
  <c r="H48" i="2"/>
  <c r="H73" i="2"/>
  <c r="H62" i="2"/>
  <c r="H64" i="2"/>
  <c r="H60" i="2"/>
  <c r="H72" i="2"/>
  <c r="H61" i="2"/>
  <c r="H63" i="2"/>
  <c r="J60" i="2"/>
  <c r="J72" i="2"/>
  <c r="J46" i="2"/>
  <c r="J45" i="2"/>
  <c r="J64" i="2"/>
  <c r="J69" i="2"/>
  <c r="J58" i="2"/>
  <c r="J61" i="2"/>
  <c r="J73" i="2"/>
  <c r="J53" i="2"/>
  <c r="J49" i="2"/>
  <c r="J48" i="2"/>
  <c r="J47" i="2"/>
  <c r="J70" i="2"/>
  <c r="J62" i="2"/>
  <c r="J54" i="2"/>
  <c r="J59" i="2"/>
  <c r="J63" i="2"/>
  <c r="J52" i="2"/>
  <c r="J65" i="2"/>
  <c r="J66" i="2"/>
  <c r="J50" i="2"/>
  <c r="J55" i="2"/>
  <c r="J67" i="2"/>
  <c r="J51" i="2"/>
  <c r="J56" i="2"/>
  <c r="J68" i="2"/>
  <c r="J57" i="2"/>
  <c r="J71" i="2"/>
  <c r="C16" i="13"/>
  <c r="C11" i="13"/>
  <c r="E15" i="32" s="1"/>
  <c r="C12" i="13"/>
  <c r="E16" i="32" s="1"/>
  <c r="C17" i="13"/>
  <c r="E21" i="32" s="1"/>
  <c r="C18" i="13"/>
  <c r="E22" i="32" s="1"/>
  <c r="C7" i="13"/>
  <c r="E11" i="32" s="1"/>
  <c r="C14" i="13"/>
  <c r="E18" i="32" s="1"/>
  <c r="C8" i="13"/>
  <c r="E12" i="32" s="1"/>
  <c r="C13" i="13"/>
  <c r="C9" i="13"/>
  <c r="E13" i="32" s="1"/>
  <c r="C15" i="13"/>
  <c r="E19" i="32" s="1"/>
  <c r="C10" i="13"/>
  <c r="D45" i="32" a="1"/>
  <c r="D33" i="32" a="1"/>
  <c r="D39" i="32" a="1"/>
  <c r="D39" i="32" s="1"/>
  <c r="D49" i="32" a="1"/>
  <c r="E49" i="32" s="1"/>
  <c r="D37" i="32" a="1"/>
  <c r="E37" i="32" s="1"/>
  <c r="D35" i="32" a="1"/>
  <c r="E35" i="32" s="1"/>
  <c r="D43" i="32" a="1"/>
  <c r="D43" i="32" s="1"/>
  <c r="D47" i="32" a="1"/>
  <c r="E47" i="32" s="1"/>
  <c r="D41" i="32"/>
  <c r="E41" i="32"/>
  <c r="G39" i="32"/>
  <c r="E45" i="32"/>
  <c r="D45" i="32"/>
  <c r="D33" i="32"/>
  <c r="E33" i="32"/>
  <c r="G31" i="32"/>
  <c r="C59" i="32" s="1"/>
  <c r="E39" i="32"/>
  <c r="M39" i="32" s="1"/>
  <c r="B59" i="32"/>
  <c r="H31" i="32"/>
  <c r="I31" i="32"/>
  <c r="J9" i="4"/>
  <c r="D9" i="4"/>
  <c r="L9" i="4"/>
  <c r="E12" i="4"/>
  <c r="I12" i="4"/>
  <c r="D12" i="4"/>
  <c r="F12" i="4"/>
  <c r="K12" i="4"/>
  <c r="C12" i="4"/>
  <c r="J12" i="4"/>
  <c r="E9" i="29"/>
  <c r="E11" i="29"/>
  <c r="L12" i="4"/>
  <c r="B12" i="4"/>
  <c r="G12" i="4"/>
  <c r="E10" i="29"/>
  <c r="E12" i="29"/>
  <c r="H12" i="4"/>
  <c r="D37" i="32" l="1"/>
  <c r="E17" i="32"/>
  <c r="E14" i="32"/>
  <c r="E20" i="32"/>
  <c r="D49" i="32"/>
  <c r="H49" i="32" s="1"/>
  <c r="D35" i="32"/>
  <c r="I37" i="32"/>
  <c r="E62" i="32" s="1"/>
  <c r="F37" i="32"/>
  <c r="B62" i="32" s="1"/>
  <c r="G37" i="32"/>
  <c r="C62" i="32" s="1"/>
  <c r="K37" i="32"/>
  <c r="N37" i="32"/>
  <c r="L37" i="32"/>
  <c r="J37" i="32"/>
  <c r="H37" i="32"/>
  <c r="B68" i="32"/>
  <c r="D47" i="32"/>
  <c r="V47" i="32" s="1"/>
  <c r="V49" i="32"/>
  <c r="E43" i="32"/>
  <c r="S43" i="32" s="1"/>
  <c r="T49" i="32"/>
  <c r="M37" i="32"/>
  <c r="S49" i="32"/>
  <c r="N49" i="32"/>
  <c r="I49" i="32"/>
  <c r="K49" i="32"/>
  <c r="Q49" i="32"/>
  <c r="M49" i="32"/>
  <c r="L49" i="32"/>
  <c r="U49" i="32"/>
  <c r="R49" i="32"/>
  <c r="P49" i="32"/>
  <c r="W49" i="32"/>
  <c r="O49" i="32"/>
  <c r="J49" i="32"/>
  <c r="X49" i="32"/>
  <c r="G49" i="32"/>
  <c r="H39" i="32"/>
  <c r="F39" i="32"/>
  <c r="B63" i="32" s="1"/>
  <c r="N35" i="32"/>
  <c r="L35" i="32"/>
  <c r="J35" i="32"/>
  <c r="F35" i="32"/>
  <c r="B61" i="32" s="1"/>
  <c r="M35" i="32"/>
  <c r="I35" i="32"/>
  <c r="K35" i="32"/>
  <c r="G35" i="32"/>
  <c r="H35" i="32"/>
  <c r="K39" i="32"/>
  <c r="F59" i="32"/>
  <c r="O39" i="32"/>
  <c r="S39" i="32"/>
  <c r="Q39" i="32"/>
  <c r="D59" i="32"/>
  <c r="P39" i="32"/>
  <c r="R39" i="32"/>
  <c r="E59" i="32"/>
  <c r="H33" i="32"/>
  <c r="J33" i="32"/>
  <c r="K33" i="32"/>
  <c r="G33" i="32"/>
  <c r="L33" i="32"/>
  <c r="N33" i="32"/>
  <c r="M33" i="32"/>
  <c r="I33" i="32"/>
  <c r="F33" i="32"/>
  <c r="B60" i="32" s="1"/>
  <c r="J39" i="32"/>
  <c r="N39" i="32"/>
  <c r="L39" i="32"/>
  <c r="M45" i="32"/>
  <c r="J45" i="32"/>
  <c r="K45" i="32"/>
  <c r="I45" i="32"/>
  <c r="H45" i="32"/>
  <c r="S45" i="32"/>
  <c r="T45" i="32"/>
  <c r="Q45" i="32"/>
  <c r="O45" i="32"/>
  <c r="R45" i="32"/>
  <c r="V45" i="32"/>
  <c r="N45" i="32"/>
  <c r="F45" i="32"/>
  <c r="B66" i="32" s="1"/>
  <c r="W45" i="32"/>
  <c r="X45" i="32"/>
  <c r="P45" i="32"/>
  <c r="L45" i="32"/>
  <c r="U45" i="32"/>
  <c r="G45" i="32"/>
  <c r="I39" i="32"/>
  <c r="P41" i="32"/>
  <c r="I41" i="32"/>
  <c r="F41" i="32"/>
  <c r="B64" i="32" s="1"/>
  <c r="M41" i="32"/>
  <c r="O41" i="32"/>
  <c r="Q41" i="32"/>
  <c r="G41" i="32"/>
  <c r="N41" i="32"/>
  <c r="K41" i="32"/>
  <c r="L41" i="32"/>
  <c r="R41" i="32"/>
  <c r="S41" i="32"/>
  <c r="J41" i="32"/>
  <c r="H41" i="32"/>
  <c r="H59" i="32"/>
  <c r="I11" i="32" s="1"/>
  <c r="G59" i="32"/>
  <c r="J11" i="32" l="1"/>
  <c r="M11" i="32" s="1"/>
  <c r="D62" i="32"/>
  <c r="I47" i="32"/>
  <c r="P43" i="32"/>
  <c r="S47" i="32"/>
  <c r="N47" i="32"/>
  <c r="H62" i="32"/>
  <c r="O47" i="32"/>
  <c r="K43" i="32"/>
  <c r="T47" i="32"/>
  <c r="K47" i="32"/>
  <c r="F62" i="32"/>
  <c r="E63" i="32"/>
  <c r="H47" i="32"/>
  <c r="F67" i="32" s="1"/>
  <c r="L47" i="32"/>
  <c r="R47" i="32"/>
  <c r="Q43" i="32"/>
  <c r="O43" i="32"/>
  <c r="C68" i="32"/>
  <c r="M47" i="32"/>
  <c r="G43" i="32"/>
  <c r="C65" i="32" s="1"/>
  <c r="G62" i="32"/>
  <c r="W47" i="32"/>
  <c r="M43" i="32"/>
  <c r="I43" i="32"/>
  <c r="P47" i="32"/>
  <c r="N43" i="32"/>
  <c r="I62" i="32"/>
  <c r="F43" i="32"/>
  <c r="B65" i="32" s="1"/>
  <c r="G47" i="32"/>
  <c r="F47" i="32"/>
  <c r="B67" i="32" s="1"/>
  <c r="J62" i="32"/>
  <c r="Q47" i="32"/>
  <c r="R43" i="32"/>
  <c r="J43" i="32"/>
  <c r="X47" i="32"/>
  <c r="H43" i="32"/>
  <c r="M65" i="32" s="1"/>
  <c r="U47" i="32"/>
  <c r="L43" i="32"/>
  <c r="J47" i="32"/>
  <c r="S68" i="32"/>
  <c r="K68" i="32"/>
  <c r="F68" i="32"/>
  <c r="I68" i="32"/>
  <c r="H66" i="32"/>
  <c r="D66" i="32"/>
  <c r="M68" i="32"/>
  <c r="D68" i="32"/>
  <c r="N68" i="32"/>
  <c r="C64" i="32"/>
  <c r="G63" i="32"/>
  <c r="L68" i="32"/>
  <c r="Q68" i="32"/>
  <c r="C63" i="32"/>
  <c r="J60" i="32"/>
  <c r="H60" i="32"/>
  <c r="J68" i="32"/>
  <c r="C60" i="32"/>
  <c r="H68" i="32"/>
  <c r="G68" i="32"/>
  <c r="R68" i="32"/>
  <c r="T68" i="32"/>
  <c r="P68" i="32"/>
  <c r="O68" i="32"/>
  <c r="J63" i="32"/>
  <c r="D63" i="32"/>
  <c r="F63" i="32"/>
  <c r="E68" i="32"/>
  <c r="N63" i="32"/>
  <c r="F61" i="32"/>
  <c r="I64" i="32"/>
  <c r="G60" i="32"/>
  <c r="L63" i="32"/>
  <c r="J61" i="32"/>
  <c r="I66" i="32"/>
  <c r="F60" i="32"/>
  <c r="L66" i="32"/>
  <c r="K64" i="32"/>
  <c r="F64" i="32"/>
  <c r="L64" i="32"/>
  <c r="R66" i="32"/>
  <c r="O64" i="32"/>
  <c r="N66" i="32"/>
  <c r="H63" i="32"/>
  <c r="M63" i="32"/>
  <c r="D61" i="32"/>
  <c r="E66" i="32"/>
  <c r="T66" i="32"/>
  <c r="J66" i="32"/>
  <c r="D60" i="32"/>
  <c r="N64" i="32"/>
  <c r="C61" i="32"/>
  <c r="H64" i="32"/>
  <c r="M66" i="32"/>
  <c r="G61" i="32"/>
  <c r="M64" i="32"/>
  <c r="H61" i="32"/>
  <c r="S66" i="32"/>
  <c r="D64" i="32"/>
  <c r="K66" i="32"/>
  <c r="I63" i="32"/>
  <c r="G64" i="32"/>
  <c r="C66" i="32"/>
  <c r="P66" i="32"/>
  <c r="E60" i="32"/>
  <c r="K63" i="32"/>
  <c r="E61" i="32"/>
  <c r="G66" i="32"/>
  <c r="F66" i="32"/>
  <c r="E64" i="32"/>
  <c r="O63" i="32"/>
  <c r="J64" i="32"/>
  <c r="Q66" i="32"/>
  <c r="O66" i="32"/>
  <c r="I60" i="32"/>
  <c r="I61" i="32"/>
  <c r="C75" i="32"/>
  <c r="E65" i="32" l="1"/>
  <c r="C78" i="32"/>
  <c r="S67" i="32"/>
  <c r="K67" i="32"/>
  <c r="G67" i="32"/>
  <c r="O67" i="32"/>
  <c r="I65" i="32"/>
  <c r="F65" i="32"/>
  <c r="M67" i="32"/>
  <c r="L67" i="32"/>
  <c r="O65" i="32"/>
  <c r="N65" i="32"/>
  <c r="I67" i="32"/>
  <c r="T67" i="32"/>
  <c r="K65" i="32"/>
  <c r="N67" i="32"/>
  <c r="L65" i="32"/>
  <c r="C67" i="32"/>
  <c r="R67" i="32"/>
  <c r="P67" i="32"/>
  <c r="G65" i="32"/>
  <c r="Q67" i="32"/>
  <c r="J67" i="32"/>
  <c r="H67" i="32"/>
  <c r="D65" i="32"/>
  <c r="E67" i="32"/>
  <c r="H65" i="32"/>
  <c r="J65" i="32"/>
  <c r="D67" i="32"/>
  <c r="C84" i="32"/>
  <c r="C76" i="32"/>
  <c r="C77" i="32"/>
  <c r="C80" i="32"/>
  <c r="C82" i="32"/>
  <c r="C79" i="32"/>
  <c r="C81" i="32" l="1"/>
  <c r="C83" i="32"/>
  <c r="C89" i="32" l="1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4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6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6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6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58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2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<sst xmlns="http://schemas.openxmlformats.org/spreadsheetml/2006/main" count="1031" uniqueCount="494">
  <si>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</si>
  <si>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</si>
  <si>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</si>
  <si>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</si>
  <si>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</si>
  <si>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</si>
  <si>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</si>
  <si>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</si>
  <si>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</si>
  <si>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</si>
  <si>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</si>
  <si>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</si>
  <si>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</si>
  <si>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</si>
  <si>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</si>
  <si>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</si>
  <si>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</si>
  <si>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</si>
  <si>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</si>
  <si>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</si>
  <si>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</si>
  <si>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</si>
  <si>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</si>
  <si>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</si>
  <si>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</si>
  <si>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</si>
  <si>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</si>
  <si>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</si>
  <si>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</si>
  <si>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</si>
  <si>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</si>
  <si>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</si>
  <si>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</si>
  <si>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</si>
  <si>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</si>
  <si>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</si>
  <si>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</si>
  <si>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</si>
  <si>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</si>
  <si>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</si>
  <si>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</si>
  <si>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</si>
  <si>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</si>
  <si>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</si>
  <si>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</si>
  <si>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</si>
  <si>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</si>
  <si>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</si>
  <si>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</si>
  <si>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</si>
  <si>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</si>
  <si>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</si>
  <si>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</si>
  <si>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</si>
  <si>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</si>
  <si>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</si>
  <si>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</si>
  <si>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</si>
  <si>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</si>
  <si>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</si>
  <si>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</si>
  <si>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</si>
  <si>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</si>
  <si>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</si>
  <si>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</si>
  <si>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</si>
  <si>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</si>
  <si>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</si>
  <si>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</si>
  <si>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</si>
  <si>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</si>
  <si>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</si>
  <si>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</si>
  <si>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</si>
  <si>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</si>
  <si>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</si>
  <si>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</si>
  <si>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</si>
  <si>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</si>
  <si>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</si>
  <si>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</si>
  <si>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</si>
  <si>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</si>
  <si>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</si>
  <si>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</si>
  <si>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</si>
  <si>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</si>
  <si>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</si>
  <si>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</si>
  <si>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</si>
  <si>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</si>
  <si>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</si>
  <si>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</si>
  <si>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</si>
  <si>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</si>
  <si>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</si>
  <si>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</si>
  <si>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</si>
  <si>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</si>
  <si>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</si>
  <si>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</si>
  <si>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</si>
  <si>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</si>
  <si>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</si>
  <si>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</si>
  <si>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</si>
  <si>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</si>
  <si>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</si>
  <si>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</si>
  <si>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</si>
  <si>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</si>
  <si>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</si>
  <si>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</si>
  <si>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</si>
  <si>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</si>
  <si>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</si>
  <si>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</si>
  <si>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</si>
  <si>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</si>
  <si>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</si>
  <si>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</si>
  <si>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</si>
  <si>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</si>
  <si>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</si>
  <si>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</si>
  <si>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</si>
  <si>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</si>
  <si>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</si>
  <si>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QUANTITY MODIFIER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</si>
  <si>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</si>
  <si>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</si>
  <si>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</si>
  <si>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</si>
  <si>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</si>
  <si>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</si>
  <si>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</si>
  <si>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</si>
  <si>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</si>
  <si>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</si>
  <si>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</si>
  <si>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</si>
  <si>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</si>
  <si>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</si>
  <si>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</si>
  <si>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</si>
  <si>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</si>
  <si>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</si>
  <si>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</si>
  <si>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</si>
  <si>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</si>
  <si>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</si>
  <si>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</si>
  <si>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</si>
  <si>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</si>
  <si>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</si>
  <si>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</si>
  <si>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</si>
  <si>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</si>
  <si>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</si>
  <si>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</si>
  <si>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</si>
  <si>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</si>
  <si>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</si>
  <si>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</si>
  <si>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</si>
  <si>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</si>
  <si>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</si>
  <si>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</si>
  <si>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</si>
  <si>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</si>
  <si>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</si>
  <si>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</si>
  <si>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</si>
  <si>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</si>
  <si>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</si>
  <si>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</si>
  <si>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</si>
  <si>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</si>
  <si>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</si>
  <si>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</si>
  <si>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</si>
  <si>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</si>
  <si>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</si>
  <si>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</si>
  <si>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</si>
  <si>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</si>
  <si>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</si>
  <si>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</si>
  <si>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</si>
  <si>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</si>
  <si>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</si>
  <si>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</si>
  <si>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</si>
  <si>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</si>
  <si>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</si>
  <si>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</si>
  <si>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</si>
  <si>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</si>
  <si>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</si>
  <si>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</si>
  <si>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</si>
  <si>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</si>
  <si>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</si>
  <si>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</si>
  <si>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</si>
  <si>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</si>
  <si>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</si>
  <si>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</si>
  <si>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</si>
  <si>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</si>
  <si>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</si>
  <si>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</si>
  <si>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</si>
  <si>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</si>
  <si>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</si>
  <si>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</si>
  <si>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</si>
  <si>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</si>
  <si>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</si>
  <si>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</si>
  <si>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</si>
  <si>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</si>
  <si>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</si>
  <si>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</si>
  <si>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</si>
  <si>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</si>
  <si>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</si>
  <si>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</si>
  <si>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</si>
  <si>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</si>
  <si>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</si>
  <si>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</si>
  <si>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</si>
  <si>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</si>
  <si>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</si>
  <si>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</si>
  <si>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</si>
  <si>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</si>
  <si>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</si>
  <si>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</si>
  <si>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</si>
  <si>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</si>
  <si>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</si>
  <si>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</si>
  <si>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</si>
  <si>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</si>
  <si>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</si>
  <si>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</si>
  <si>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</si>
  <si>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</si>
  <si>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</si>
  <si>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</si>
  <si>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</si>
  <si>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</si>
  <si>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</si>
  <si>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</si>
  <si>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</si>
  <si>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</si>
  <si>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</si>
  <si>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</si>
  <si>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</si>
  <si>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</si>
  <si>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</si>
  <si>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</si>
  <si>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</si>
  <si>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</si>
  <si>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</si>
  <si>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</si>
  <si>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</si>
  <si>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</si>
  <si>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</si>
  <si>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</si>
  <si>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</si>
  <si>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</si>
  <si>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</si>
  <si>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</si>
  <si>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</si>
  <si>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</si>
  <si>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</si>
  <si>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</si>
  <si>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</si>
  <si>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</si>
  <si>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</si>
  <si>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</si>
  <si>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</si>
  <si>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</si>
  <si>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</si>
  <si>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</si>
  <si>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</si>
  <si>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</si>
  <si>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</si>
  <si>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</si>
  <si>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</si>
  <si>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</si>
  <si>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</si>
  <si>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</si>
  <si>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</si>
  <si>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</si>
  <si>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</si>
  <si>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</si>
  <si>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</si>
  <si>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</si>
  <si>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</si>
  <si>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</si>
  <si>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</si>
  <si>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</si>
  <si>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</si>
  <si>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</si>
  <si>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</si>
  <si>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</si>
  <si>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</si>
  <si>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</si>
  <si>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</si>
  <si>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</si>
  <si>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</si>
  <si>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</si>
  <si>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</si>
  <si>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</si>
  <si>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</si>
  <si>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</si>
  <si>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</si>
  <si>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</si>
  <si>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</si>
  <si>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</si>
  <si>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</si>
  <si>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</si>
  <si>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</si>
  <si>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</si>
  <si>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</si>
  <si>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</si>
  <si>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</si>
  <si>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</si>
  <si>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</si>
  <si>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</si>
  <si>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</si>
  <si>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</si>
  <si>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</si>
  <si>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</si>
  <si>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</si>
  <si>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</si>
  <si>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</si>
  <si>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</si>
  <si>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</si>
  <si>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</si>
  <si>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</si>
  <si>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</si>
  <si>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</si>
  <si>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</si>
  <si>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</si>
  <si>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</si>
  <si>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</si>
  <si>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</si>
  <si>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</si>
  <si>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</si>
  <si>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</si>
  <si>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</si>
  <si>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</si>
  <si>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</si>
  <si>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</si>
  <si>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</si>
  <si>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</si>
  <si>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</si>
  <si>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</si>
  <si>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</si>
  <si>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</si>
  <si>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</si>
  <si>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</si>
  <si>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</si>
  <si>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</si>
  <si>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</si>
  <si>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</si>
  <si>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</si>
  <si>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</si>
  <si>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</si>
  <si>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</si>
  <si>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</si>
  <si>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</si>
  <si>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</si>
  <si>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</si>
  <si>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</si>
  <si>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</si>
  <si>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</si>
  <si>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</si>
  <si>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</si>
  <si>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</si>
  <si>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</si>
  <si>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</si>
  <si>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</si>
  <si>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</si>
  <si>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</si>
  <si>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</si>
  <si>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</si>
  <si>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</si>
  <si>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</si>
  <si>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</si>
  <si>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</si>
  <si>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</si>
  <si>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</si>
  <si>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</si>
  <si>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</si>
  <si>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</si>
  <si>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</si>
  <si>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</si>
  <si>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</si>
  <si>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</si>
  <si>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</si>
  <si>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* Pet list is in tab 'Link table'. Need to be updated if more pets added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</si>
  <si>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</si>
  <si>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</si>
  <si>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</si>
  <si>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</si>
  <si>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</si>
  <si>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</si>
  <si>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</si>
  <si>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</si>
  <si>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</si>
  <si>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</si>
  <si>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</si>
  <si>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</si>
  <si>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</si>
  <si>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</si>
  <si>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</si>
  <si>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</si>
  <si>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</si>
  <si>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</si>
  <si>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</si>
  <si>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</si>
  <si>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</si>
  <si>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</si>
  <si>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</si>
  <si>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</si>
  <si>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</si>
  <si>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</si>
  <si>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</si>
  <si>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</si>
  <si>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</si>
  <si>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</si>
  <si>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</si>
  <si>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</si>
  <si>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</si>
  <si>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</si>
  <si>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</si>
  <si>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</si>
  <si>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</si>
  <si>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</si>
  <si>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</si>
  <si>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</si>
  <si>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</si>
  <si>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</si>
  <si>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</si>
  <si>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</si>
  <si>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</si>
  <si>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</si>
  <si>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</si>
  <si>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</si>
  <si>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</si>
  <si>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</si>
  <si>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</si>
  <si>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</si>
  <si>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</si>
  <si>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</si>
  <si>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</si>
  <si>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</si>
  <si>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</si>
  <si>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</si>
  <si>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</si>
  <si>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</si>
  <si>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</si>
  <si>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</si>
  <si>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</si>
  <si>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</si>
  <si>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</si>
  <si>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</si>
  <si>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</si>
  <si>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</si>
  <si>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</si>
  <si>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</si>
  <si>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</si>
  <si>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</si>
  <si>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</si>
  <si>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</si>
  <si>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</si>
  <si>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</si>
  <si>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</si>
  <si>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</si>
  <si>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</si>
  <si>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</si>
  <si>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</si>
  <si>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</si>
  <si>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</si>
  <si>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</si>
  <si>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</si>
  <si>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</si>
  <si>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common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</si>
</sst>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6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11"/>
      <color theme="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</fills>
  <borders count="7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/>
      <top style="thin">
        <color auto="1"/>
      </top>
      <bottom style="thin">
        <color indexed="64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386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4" xfId="0" applyFill="1" applyBorder="1" applyAlignment="1">
      <alignment horizontal="center" vertical="center"/>
    </xf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4" borderId="0" xfId="0" applyFont="1" applyFill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3" xfId="0" applyNumberFormat="1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10" fillId="0" borderId="0" xfId="0" applyFont="1" applyAlignment="1">
      <alignment horizontal="center" vertical="center"/>
    </xf>
    <xf numFmtId="0" fontId="10" fillId="3" borderId="10" xfId="0" applyFont="1" applyFill="1" applyBorder="1" applyAlignment="1">
      <alignment horizontal="center" vertical="center"/>
    </xf>
    <xf numFmtId="0" fontId="10" fillId="3" borderId="18" xfId="0" applyFont="1" applyFill="1" applyBorder="1" applyAlignment="1">
      <alignment horizontal="center" vertical="center"/>
    </xf>
    <xf numFmtId="165" fontId="6" fillId="13" borderId="17" xfId="0" applyNumberFormat="1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1" xfId="0" quotePrefix="1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165" fontId="6" fillId="13" borderId="17" xfId="0" quotePrefix="1" applyNumberFormat="1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165" fontId="0" fillId="28" borderId="20" xfId="0" applyNumberForma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51" xfId="0" applyFill="1" applyBorder="1" applyAlignment="1">
      <alignment horizontal="center" vertical="center"/>
    </xf>
    <xf numFmtId="0" fontId="0" fillId="4" borderId="52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165" fontId="0" fillId="4" borderId="51" xfId="0" applyNumberFormat="1" applyFill="1" applyBorder="1" applyAlignment="1">
      <alignment horizontal="center" vertical="center"/>
    </xf>
    <xf numFmtId="165" fontId="0" fillId="4" borderId="52" xfId="0" applyNumberFormat="1" applyFill="1" applyBorder="1" applyAlignment="1">
      <alignment horizontal="center" vertical="center"/>
    </xf>
    <xf numFmtId="0" fontId="0" fillId="28" borderId="53" xfId="0" applyFill="1" applyBorder="1"/>
    <xf numFmtId="0" fontId="0" fillId="10" borderId="53" xfId="0" applyFill="1" applyBorder="1"/>
    <xf numFmtId="165" fontId="0" fillId="5" borderId="55" xfId="2" applyNumberFormat="1" applyFont="1" applyFill="1" applyBorder="1" applyAlignment="1">
      <alignment horizontal="center" vertical="center"/>
    </xf>
    <xf numFmtId="0" fontId="3" fillId="3" borderId="57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2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5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6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4" xfId="0" applyFill="1" applyBorder="1"/>
    <xf numFmtId="0" fontId="0" fillId="29" borderId="19" xfId="0" applyFill="1" applyBorder="1"/>
    <xf numFmtId="0" fontId="0" fillId="29" borderId="58" xfId="0" applyFill="1" applyBorder="1"/>
    <xf numFmtId="165" fontId="0" fillId="29" borderId="0" xfId="0" applyNumberFormat="1" applyFill="1" applyBorder="1"/>
    <xf numFmtId="0" fontId="13" fillId="0" borderId="0" xfId="0" applyFont="1" applyAlignment="1"/>
    <xf numFmtId="0" fontId="13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6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4" xfId="0" applyFont="1" applyFill="1" applyBorder="1" applyAlignment="1"/>
    <xf numFmtId="0" fontId="9" fillId="0" borderId="0" xfId="0" applyFont="1" applyBorder="1"/>
    <xf numFmtId="0" fontId="0" fillId="28" borderId="54" xfId="0" applyFont="1" applyFill="1" applyBorder="1" applyAlignment="1"/>
    <xf numFmtId="0" fontId="0" fillId="28" borderId="55" xfId="0" applyFont="1" applyFill="1" applyBorder="1" applyAlignment="1"/>
    <xf numFmtId="0" fontId="3" fillId="10" borderId="59" xfId="0" applyFont="1" applyFill="1" applyBorder="1" applyAlignment="1">
      <alignment horizontal="center" vertical="center"/>
    </xf>
    <xf numFmtId="0" fontId="3" fillId="10" borderId="60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6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13" fillId="38" borderId="22" xfId="0" applyNumberFormat="1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2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2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15" fillId="37" borderId="52" xfId="0" applyFont="1" applyFill="1" applyBorder="1"/>
    <xf numFmtId="0" fontId="13" fillId="28" borderId="25" xfId="0" applyFont="1" applyFill="1" applyBorder="1" applyAlignment="1">
      <alignment horizontal="center" vertical="center"/>
    </xf>
    <xf numFmtId="0" fontId="13" fillId="28" borderId="26" xfId="0" applyFont="1" applyFill="1" applyBorder="1" applyAlignment="1">
      <alignment horizontal="center" vertical="center"/>
    </xf>
    <xf numFmtId="0" fontId="15" fillId="37" borderId="56" xfId="0" applyFont="1" applyFill="1" applyBorder="1"/>
    <xf numFmtId="0" fontId="15" fillId="37" borderId="29" xfId="0" applyFont="1" applyFill="1" applyBorder="1"/>
    <xf numFmtId="0" fontId="0" fillId="10" borderId="63" xfId="0" applyFill="1" applyBorder="1"/>
    <xf numFmtId="0" fontId="0" fillId="38" borderId="63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4" xfId="0" applyFont="1" applyFill="1" applyBorder="1" applyAlignment="1"/>
    <xf numFmtId="0" fontId="0" fillId="28" borderId="65" xfId="0" applyFont="1" applyFill="1" applyBorder="1" applyAlignment="1"/>
    <xf numFmtId="0" fontId="0" fillId="6" borderId="54" xfId="0" applyFont="1" applyFill="1" applyBorder="1" applyAlignment="1"/>
    <xf numFmtId="0" fontId="0" fillId="6" borderId="55" xfId="0" applyFont="1" applyFill="1" applyBorder="1" applyAlignment="1"/>
    <xf numFmtId="0" fontId="6" fillId="38" borderId="65" xfId="0" applyFont="1" applyFill="1" applyBorder="1" applyAlignment="1"/>
    <xf numFmtId="0" fontId="0" fillId="10" borderId="67" xfId="0" applyFill="1" applyBorder="1"/>
    <xf numFmtId="0" fontId="0" fillId="28" borderId="66" xfId="0" applyFont="1" applyFill="1" applyBorder="1" applyAlignment="1"/>
    <xf numFmtId="0" fontId="0" fillId="28" borderId="68" xfId="0" applyFont="1" applyFill="1" applyBorder="1" applyAlignment="1"/>
    <xf numFmtId="0" fontId="13" fillId="38" borderId="65" xfId="0" applyNumberFormat="1" applyFont="1" applyFill="1" applyBorder="1" applyAlignment="1"/>
    <xf numFmtId="0" fontId="0" fillId="38" borderId="65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70" xfId="0" applyFill="1" applyBorder="1"/>
    <xf numFmtId="0" fontId="6" fillId="38" borderId="61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8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2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9" xfId="0" applyFont="1" applyFill="1" applyBorder="1" applyAlignment="1"/>
    <xf numFmtId="0" fontId="0" fillId="30" borderId="61" xfId="0" applyFont="1" applyFill="1" applyBorder="1" applyAlignment="1"/>
    <xf numFmtId="0" fontId="0" fillId="30" borderId="0" xfId="0" applyFont="1" applyFill="1" applyBorder="1" applyAlignment="1"/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20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1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0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9" Type="http://schemas.microsoft.com/office/2006/relationships/vbaProject" Target="vbaProject.bin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38" Type="http://schemas.openxmlformats.org/officeDocument/2006/relationships/customXml" Target="../customXml/item2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37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36" Type="http://schemas.openxmlformats.org/officeDocument/2006/relationships/customXml" Target="../customXml/item21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Unlock'!$B$8:$N$8</c:f>
              <c:numCache>
                <c:formatCode>General</c:formatCode>
                <c:ptCount val="13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Unlock'!$B$12:$N$12</c:f>
              <c:numCache>
                <c:formatCode>_("€"* #,##0.00_);_("€"* \(#,##0.00\);_("€"* "-"??_);_(@_)</c:formatCode>
                <c:ptCount val="13"/>
                <c:pt idx="0" formatCode="General">
                  <c:v>0</c:v>
                </c:pt>
                <c:pt idx="1">
                  <c:v>1.3333333333333333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Unlock'!$B$10:$N$10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A-449C-8986-E8C1F90E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Rewards'!$H$14:$H$31</c:f>
              <c:numCache>
                <c:formatCode>General</c:formatCode>
                <c:ptCount val="18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138575</c:v>
                </c:pt>
                <c:pt idx="14">
                  <c:v>138575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85-411B-859E-47F727FECF00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Rewards'!$I$14:$I$31</c:f>
              <c:numCache>
                <c:formatCode>General</c:formatCode>
                <c:ptCount val="18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138575</c:v>
                </c:pt>
                <c:pt idx="14">
                  <c:v>138575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85-411B-859E-47F727FEC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Rewards'!$W$14:$W$31</c:f>
              <c:numCache>
                <c:formatCode>General</c:formatCode>
                <c:ptCount val="18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33750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90-4F05-9623-1F374FC50040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Rewards'!$Y$14:$Y$31</c:f>
              <c:numCache>
                <c:formatCode>General</c:formatCode>
                <c:ptCount val="18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90-4F05-9623-1F374FC50040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Rewards'!$AA$14:$AA$31</c:f>
              <c:numCache>
                <c:formatCode>General</c:formatCode>
                <c:ptCount val="18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90-4F05-9623-1F374FC50040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Rewards'!$AC$14:$AC$31</c:f>
              <c:numCache>
                <c:formatCode>General</c:formatCode>
                <c:ptCount val="18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82500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690-4F05-9623-1F374FC50040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Rewards'!$AK$14:$AK$31</c:f>
              <c:numCache>
                <c:formatCode>General</c:formatCode>
                <c:ptCount val="18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AE-406D-B6B7-AE141CD5D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Rewards'!$AD$14:$AD$31</c:f>
              <c:numCache>
                <c:formatCode>General</c:formatCode>
                <c:ptCount val="18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33750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80-43A8-9819-FD02EB3D5618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Rewards'!$AF$14:$AF$31</c:f>
              <c:numCache>
                <c:formatCode>General</c:formatCode>
                <c:ptCount val="18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80-43A8-9819-FD02EB3D5618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Rewards'!$AH$14:$AH$31</c:f>
              <c:numCache>
                <c:formatCode>General</c:formatCode>
                <c:ptCount val="18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80-43A8-9819-FD02EB3D5618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Rewards'!$AJ$14:$AJ$31</c:f>
              <c:numCache>
                <c:formatCode>General</c:formatCode>
                <c:ptCount val="18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82500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80-43A8-9819-FD02EB3D5618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Rewards'!$AK$14:$AK$31</c:f>
              <c:numCache>
                <c:formatCode>General</c:formatCode>
                <c:ptCount val="18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E7-4FB6-9E5C-7ED5202C1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Rewards'!$W$14:$W$31</c:f>
              <c:numCache>
                <c:formatCode>General</c:formatCode>
                <c:ptCount val="18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33750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DD-4E07-82FE-5AF1D88D135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Rewards'!$AD$14:$AD$31</c:f>
              <c:numCache>
                <c:formatCode>General</c:formatCode>
                <c:ptCount val="18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33750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DD-4E07-82FE-5AF1D88D1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Rewards'!$Y$14:$Y$31</c:f>
              <c:numCache>
                <c:formatCode>General</c:formatCode>
                <c:ptCount val="18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07-4561-A19D-19F9BB1A964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Rewards'!$AF$14:$AF$31</c:f>
              <c:numCache>
                <c:formatCode>General</c:formatCode>
                <c:ptCount val="18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07-4561-A19D-19F9BB1A9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Rewards'!$AA$14:$AA$31</c:f>
              <c:numCache>
                <c:formatCode>General</c:formatCode>
                <c:ptCount val="18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1C-4CD6-AE1A-4C4B0B770132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Rewards'!$AH$14:$AH$31</c:f>
              <c:numCache>
                <c:formatCode>General</c:formatCode>
                <c:ptCount val="18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1C-4CD6-AE1A-4C4B0B770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Rewards'!$AC$14:$AC$31</c:f>
              <c:numCache>
                <c:formatCode>General</c:formatCode>
                <c:ptCount val="18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82500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1C-4686-B27D-B9DF94FB0000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Rewards'!$AJ$14:$AJ$31</c:f>
              <c:numCache>
                <c:formatCode>General</c:formatCode>
                <c:ptCount val="18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82500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1C-4686-B27D-B9DF94FB0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Rewards'!$AK$14:$AK$31</c:f>
              <c:numCache>
                <c:formatCode>General</c:formatCode>
                <c:ptCount val="18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81-40CF-AD37-C0D2F9696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57199"/>
          <a:ext cx="332422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119061</xdr:colOff>
      <xdr:row>31</xdr:row>
      <xdr:rowOff>133350</xdr:rowOff>
    </xdr:from>
    <xdr:to>
      <xdr:col>14</xdr:col>
      <xdr:colOff>923925</xdr:colOff>
      <xdr:row>57</xdr:row>
      <xdr:rowOff>161925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1095375</xdr:colOff>
      <xdr:row>31</xdr:row>
      <xdr:rowOff>123825</xdr:rowOff>
    </xdr:from>
    <xdr:to>
      <xdr:col>23</xdr:col>
      <xdr:colOff>433389</xdr:colOff>
      <xdr:row>57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1095375</xdr:colOff>
      <xdr:row>58</xdr:row>
      <xdr:rowOff>38100</xdr:rowOff>
    </xdr:from>
    <xdr:to>
      <xdr:col>23</xdr:col>
      <xdr:colOff>433389</xdr:colOff>
      <xdr:row>84</xdr:row>
      <xdr:rowOff>66675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742950</xdr:colOff>
      <xdr:row>31</xdr:row>
      <xdr:rowOff>123825</xdr:rowOff>
    </xdr:from>
    <xdr:to>
      <xdr:col>31</xdr:col>
      <xdr:colOff>404814</xdr:colOff>
      <xdr:row>57</xdr:row>
      <xdr:rowOff>152400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733425</xdr:colOff>
      <xdr:row>58</xdr:row>
      <xdr:rowOff>76200</xdr:rowOff>
    </xdr:from>
    <xdr:to>
      <xdr:col>31</xdr:col>
      <xdr:colOff>395289</xdr:colOff>
      <xdr:row>84</xdr:row>
      <xdr:rowOff>104775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733425</xdr:colOff>
      <xdr:row>85</xdr:row>
      <xdr:rowOff>0</xdr:rowOff>
    </xdr:from>
    <xdr:to>
      <xdr:col>31</xdr:col>
      <xdr:colOff>395289</xdr:colOff>
      <xdr:row>111</xdr:row>
      <xdr:rowOff>28575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742950</xdr:colOff>
      <xdr:row>111</xdr:row>
      <xdr:rowOff>133350</xdr:rowOff>
    </xdr:from>
    <xdr:to>
      <xdr:col>31</xdr:col>
      <xdr:colOff>404814</xdr:colOff>
      <xdr:row>137</xdr:row>
      <xdr:rowOff>161925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571500</xdr:colOff>
      <xdr:row>31</xdr:row>
      <xdr:rowOff>123825</xdr:rowOff>
    </xdr:from>
    <xdr:to>
      <xdr:col>39</xdr:col>
      <xdr:colOff>33339</xdr:colOff>
      <xdr:row>57</xdr:row>
      <xdr:rowOff>152400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129</xdr:row>
          <xdr:rowOff>76200</xdr:rowOff>
        </xdr:from>
        <xdr:to>
          <xdr:col>3</xdr:col>
          <xdr:colOff>647700</xdr:colOff>
          <xdr:row>131</xdr:row>
          <xdr:rowOff>95250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129</xdr:row>
          <xdr:rowOff>76200</xdr:rowOff>
        </xdr:from>
        <xdr:to>
          <xdr:col>6</xdr:col>
          <xdr:colOff>1390650</xdr:colOff>
          <xdr:row>131</xdr:row>
          <xdr:rowOff>85725</xdr:rowOff>
        </xdr:to>
        <xdr:sp macro="" textlink="">
          <xdr:nvSpPr>
            <xdr:cNvPr id="8196" name="CommandButton2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N13" totalsRowShown="0">
  <autoFilter ref="A5:N13"/>
  <tableColumns count="14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19" totalsRowShown="0" headerRowDxfId="201" dataDxfId="200">
  <autoFilter ref="A6:C19"/>
  <tableColumns count="3">
    <tableColumn id="1" name="Dragon ID / Level" dataDxfId="199"/>
    <tableColumn id="2" name="Max level" dataDxfId="198"/>
    <tableColumn id="24" name="Expected AVG time (mn)" dataDxfId="197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6" totalsRowShown="0" headerRowDxfId="196" dataDxfId="195">
  <autoFilter ref="A3:U16"/>
  <tableColumns count="21">
    <tableColumn id="1" name="Dragon ID / Level" dataDxfId="194"/>
    <tableColumn id="2" name="1" dataDxfId="193"/>
    <tableColumn id="3" name="2" dataDxfId="192"/>
    <tableColumn id="4" name="3" dataDxfId="191"/>
    <tableColumn id="5" name="4" dataDxfId="190"/>
    <tableColumn id="6" name="5" dataDxfId="189"/>
    <tableColumn id="7" name="6" dataDxfId="188"/>
    <tableColumn id="8" name="7" dataDxfId="187"/>
    <tableColumn id="9" name="8" dataDxfId="186"/>
    <tableColumn id="10" name="9" dataDxfId="185"/>
    <tableColumn id="11" name="10" dataDxfId="184"/>
    <tableColumn id="12" name="11" dataDxfId="183"/>
    <tableColumn id="13" name="12" dataDxfId="182"/>
    <tableColumn id="14" name="13" dataDxfId="181"/>
    <tableColumn id="15" name="14" dataDxfId="180"/>
    <tableColumn id="16" name="15" dataDxfId="179"/>
    <tableColumn id="17" name="16" dataDxfId="178"/>
    <tableColumn id="18" name="17" dataDxfId="177"/>
    <tableColumn id="19" name="18" dataDxfId="176"/>
    <tableColumn id="20" name="19" dataDxfId="175"/>
    <tableColumn id="21" name="20" dataDxfId="174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173" dataDxfId="172">
  <autoFilter ref="B8:E12"/>
  <tableColumns count="4">
    <tableColumn id="1" name="Equivalence (min)" dataDxfId="171"/>
    <tableColumn id="2" name="HC" dataDxfId="170">
      <calculatedColumnFormula>IF(ROUND(HCtoSkipTimers[[#This Row],[Equivalence (min)]]*$F$3+$G$3,0)=0,1,ROUND(HCtoSkipTimers[[#This Row],[Equivalence (min)]]*$F$3+$G$3,0))</calculatedColumnFormula>
    </tableColumn>
    <tableColumn id="3" name="$ min" dataDxfId="169" dataCellStyle="Currency">
      <calculatedColumnFormula>C9/'Offer Simulator'!$B$3</calculatedColumnFormula>
    </tableColumn>
    <tableColumn id="4" name="$ max" dataDxfId="168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73" name="Table73" displayName="Table73" ref="A58:T71" totalsRowShown="0" headerRowDxfId="167" dataDxfId="166">
  <autoFilter ref="A58:T71"/>
  <tableColumns count="20">
    <tableColumn id="1" name="Dragon ID / Step XP per Level" dataDxfId="165"/>
    <tableColumn id="2" name="1" dataDxfId="164">
      <calculatedColumnFormula>IF(OFFSET(F30,$A59,0)="","",ROUND(SUM(OFFSET($F30:F30,$A59,0)),0))</calculatedColumnFormula>
    </tableColumn>
    <tableColumn id="3" name="2" dataDxfId="163">
      <calculatedColumnFormula>IF(OFFSET(G30,$A59,0)="","",ROUND(SUM(OFFSET($F30:G30,$A59,0)),0))</calculatedColumnFormula>
    </tableColumn>
    <tableColumn id="4" name="3" dataDxfId="162">
      <calculatedColumnFormula>IF(OFFSET(H30,$A59,0)="","",ROUND(SUM(OFFSET($F30:H30,$A59,0)),0))</calculatedColumnFormula>
    </tableColumn>
    <tableColumn id="5" name="4" dataDxfId="161">
      <calculatedColumnFormula>IF(OFFSET(I30,$A59,0)="","",ROUND(SUM(OFFSET($F30:I30,$A59,0)),0))</calculatedColumnFormula>
    </tableColumn>
    <tableColumn id="6" name="5" dataDxfId="160">
      <calculatedColumnFormula>IF(OFFSET(J30,$A59,0)="","",ROUND(SUM(OFFSET($F30:J30,$A59,0)),0))</calculatedColumnFormula>
    </tableColumn>
    <tableColumn id="7" name="6" dataDxfId="159">
      <calculatedColumnFormula>IF(OFFSET(K30,$A59,0)="","",ROUND(SUM(OFFSET($F30:K30,$A59,0)),0))</calculatedColumnFormula>
    </tableColumn>
    <tableColumn id="8" name="7" dataDxfId="158">
      <calculatedColumnFormula>IF(OFFSET(L30,$A59,0)="","",ROUND(SUM(OFFSET($F30:L30,$A59,0)),0))</calculatedColumnFormula>
    </tableColumn>
    <tableColumn id="9" name="8" dataDxfId="157">
      <calculatedColumnFormula>IF(OFFSET(M30,$A59,0)="","",ROUND(SUM(OFFSET($F30:M30,$A59,0)),0))</calculatedColumnFormula>
    </tableColumn>
    <tableColumn id="10" name="9" dataDxfId="156">
      <calculatedColumnFormula>IF(OFFSET(N30,$A59,0)="","",ROUND(SUM(OFFSET($F30:N30,$A59,0)),0))</calculatedColumnFormula>
    </tableColumn>
    <tableColumn id="11" name="10" dataDxfId="155">
      <calculatedColumnFormula>IF(OFFSET(O30,$A59,0)="","",ROUND(SUM(OFFSET($F30:O30,$A59,0)),0))</calculatedColumnFormula>
    </tableColumn>
    <tableColumn id="12" name="11" dataDxfId="154">
      <calculatedColumnFormula>IF(OFFSET(P30,$A59,0)="","",ROUND(SUM(OFFSET($F30:P30,$A59,0)),0))</calculatedColumnFormula>
    </tableColumn>
    <tableColumn id="13" name="12" dataDxfId="153">
      <calculatedColumnFormula>IF(OFFSET(Q30,$A59,0)="","",ROUND(SUM(OFFSET($F30:Q30,$A59,0)),0))</calculatedColumnFormula>
    </tableColumn>
    <tableColumn id="14" name="13" dataDxfId="152">
      <calculatedColumnFormula>IF(OFFSET(R30,$A59,0)="","",ROUND(SUM(OFFSET($F30:R30,$A59,0)),0))</calculatedColumnFormula>
    </tableColumn>
    <tableColumn id="15" name="14" dataDxfId="151">
      <calculatedColumnFormula>IF(OFFSET(S30,$A59,0)="","",ROUND(SUM(OFFSET($F30:S30,$A59,0)),0))</calculatedColumnFormula>
    </tableColumn>
    <tableColumn id="16" name="15" dataDxfId="150">
      <calculatedColumnFormula>IF(OFFSET(T30,$A59,0)="","",ROUND(SUM(OFFSET($F30:T30,$A59,0)),0))</calculatedColumnFormula>
    </tableColumn>
    <tableColumn id="17" name="16" dataDxfId="149">
      <calculatedColumnFormula>IF(OFFSET(U30,$A59,0)="","",ROUND(SUM(OFFSET($F30:U30,$A59,0)),0))</calculatedColumnFormula>
    </tableColumn>
    <tableColumn id="18" name="17" dataDxfId="148">
      <calculatedColumnFormula>IF(OFFSET(V30,$A59,0)="","",ROUND(SUM(OFFSET($F30:V30,$A59,0)),0))</calculatedColumnFormula>
    </tableColumn>
    <tableColumn id="19" name="18" dataDxfId="147">
      <calculatedColumnFormula>IF(OFFSET(W30,$A59,0)="","",ROUND(SUM(OFFSET($F30:W30,$A59,0)),0))</calculatedColumnFormula>
    </tableColumn>
    <tableColumn id="20" name="19" dataDxfId="146">
      <calculatedColumnFormula>IF(OFFSET(X30,$A59,0)="","",ROUND(SUM(OFFSET($F30:X30,$A59,0)),0))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74" name="Table74" displayName="Table74" ref="A74:C87" totalsRowShown="0" headerRowDxfId="145" dataDxfId="144">
  <autoFilter ref="A74:C87"/>
  <tableColumns count="3">
    <tableColumn id="1" name="Dragon ID" dataDxfId="143"/>
    <tableColumn id="2" name="AVG_XP/min" dataDxfId="142">
      <calculatedColumnFormula>ROUND(AVERAGE(D11:D11),0)</calculatedColumnFormula>
    </tableColumn>
    <tableColumn id="3" name="AVG_TIME_TO_MAX_LEVEL" dataDxfId="141">
      <calculatedColumnFormula>MAX(B59:T59)/Table74[[#This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J30" totalsRowShown="0" headerRowDxfId="140" dataDxfId="139">
  <autoFilter ref="E12:J30"/>
  <tableColumns count="6">
    <tableColumn id="1" name="Dragon" dataDxfId="138"/>
    <tableColumn id="2" name="Reward Multiplier" dataDxfId="137"/>
    <tableColumn id="6" name="Easy Mission Reward" dataDxfId="136">
      <calculatedColumnFormula>missionsDragonRelativeMetrics[[#This Row],[Reward Multiplier]]*$C$5</calculatedColumnFormula>
    </tableColumn>
    <tableColumn id="7" name="Medium Mission Reward" dataDxfId="135">
      <calculatedColumnFormula>missionsDragonRelativeMetrics[[#This Row],[Reward Multiplier]]*$C$6</calculatedColumnFormula>
    </tableColumn>
    <tableColumn id="3" name="Hard Mission Reward" dataDxfId="134">
      <calculatedColumnFormula>missionsDragonRelativeMetrics[[#This Row],[Reward Multiplier]]*$C$7</calculatedColumnFormula>
    </tableColumn>
    <tableColumn id="4" name="Max. Nb. Missions" dataDxfId="133"/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32" dataDxfId="131">
  <autoFilter ref="A4:C7"/>
  <tableColumns count="3">
    <tableColumn id="6" name="Difficulty" dataDxfId="130"/>
    <tableColumn id="1" name="Mission Level" dataDxfId="129" totalsRowDxfId="128"/>
    <tableColumn id="2" name="Max Reward" dataDxfId="127" totalsRowDxfId="126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B30" totalsRowShown="0" headerRowDxfId="125" dataDxfId="124" tableBorderDxfId="123">
  <autoFilter ref="A12:B30"/>
  <tableColumns count="2">
    <tableColumn id="1" name="Dragon" dataDxfId="122"/>
    <tableColumn id="2" name="QuantityModifier" dataDxfId="121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4:L73" totalsRowShown="0" headerRowDxfId="120" headerRowBorderDxfId="119" tableBorderDxfId="118">
  <autoFilter ref="B44:L73"/>
  <tableColumns count="11">
    <tableColumn id="1" name="MISSION TYPE"/>
    <tableColumn id="2" name="PARAM"/>
    <tableColumn id="3" name="HAS SINGLE RUN"/>
    <tableColumn id="4" name="OBJ. BASE. QU. MIN" dataDxfId="117"/>
    <tableColumn id="5" name="OBJ. BASE. QU. MAX" dataDxfId="116"/>
    <tableColumn id="6" name="OBJ. QU. RANGE" dataDxfId="115">
      <calculatedColumnFormula>CONCATENATE(ROUND((E45*$F$40)*(1-$I$37),0), " to ",ROUND((F45*$F$40)*(1-$I$37),0))</calculatedColumnFormula>
    </tableColumn>
    <tableColumn id="7" name="REWARD">
      <calculatedColumnFormula>CONCATENATE(INDEX(missionsDragonRelativeMetrics[Easy Mission Reward],MATCH($E$35,missionsDragonRelativeMetrics[Dragon],0)), " coins")</calculatedColumnFormula>
    </tableColumn>
    <tableColumn id="8" name="OBJ. QU. RANGE2" dataDxfId="114">
      <calculatedColumnFormula>CONCATENATE(ROUND((E45*$G$40)*(1-$I$37),0), " to ",ROUND((F45*$G$40)*(1-$I$37),0))</calculatedColumnFormula>
    </tableColumn>
    <tableColumn id="9" name="REWARD2">
      <calculatedColumnFormula>CONCATENATE(INDEX(missionsDragonRelativeMetrics[Medium Mission Reward],MATCH($E$35,missionsDragonRelativeMetrics[Dragon],0)), " coins")</calculatedColumnFormula>
    </tableColumn>
    <tableColumn id="10" name="OBJ. QU. RANGE3" dataDxfId="113">
      <calculatedColumnFormula>CONCATENATE(ROUND((E45*$H$40)*(1-$I$37),0), " to ",ROUND((F45*$H$40)*(1-$I$37),0))</calculatedColumnFormula>
    </tableColumn>
    <tableColumn id="11" name="REWARD3">
      <calculatedColumnFormula>CONCATENATE(INDEX(missionsDragonRelativeMetrics[Hard Mission Reward],MATCH($E$35,missionsDragonRelativeMetrics[Dragon],0)), " coins")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3" name="Table3" displayName="Table3" ref="B13:E18" totalsRowShown="0" headerRowDxfId="112" headerRowBorderDxfId="111" tableBorderDxfId="110">
  <autoFilter ref="B13:E18"/>
  <tableColumns count="4">
    <tableColumn id="1" name="CHESTS" dataDxfId="109"/>
    <tableColumn id="2" name="TYPE" dataDxfId="108"/>
    <tableColumn id="3" name="AMOUNT" dataDxfId="107"/>
    <tableColumn id="4" name="AMOUNT NEW" dataDxfId="106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6" name="Table6" displayName="Table6" ref="G13:AL31" totalsRowShown="0" headerRowDxfId="105" headerRowBorderDxfId="104" tableBorderDxfId="103">
  <autoFilter ref="G13:AL31"/>
  <tableColumns count="32">
    <tableColumn id="1" name="DRAGON" dataDxfId="102"/>
    <tableColumn id="35" name="COINS" dataDxfId="101">
      <calculatedColumnFormula>Table6[[#This Row],[TOTAL COINS]] +Table6[[#This Row],[COINS IN RUNS PER DAY]]</calculatedColumnFormula>
    </tableColumn>
    <tableColumn id="34" name="COINS NEW" dataDxfId="100">
      <calculatedColumnFormula>Table6[[#This Row],[TOTAL COINS NEW]] + Table6[[#This Row],[COINS IN RUNS PER DAY]]</calculatedColumnFormula>
    </tableColumn>
    <tableColumn id="17" name="TOTAL COINS" dataDxfId="99">
      <calculatedColumnFormula>Table6[[#This Row],[CHESTS COINS]] + Table6[[#This Row],[DAILY COINS]]+Table6[[#This Row],[LEAGUES COINS]]+Table6[[#This Row],[MISSIONS COINS]]</calculatedColumnFormula>
    </tableColumn>
    <tableColumn id="16" name="TOTAL GEMS" dataDxfId="98">
      <calculatedColumnFormula>Table6[[#This Row],[CHESTS GEMS]]+Table6[[#This Row],[DAILY GEMS]]+Table6[[#This Row],[LEAGUES GEMS]]</calculatedColumnFormula>
    </tableColumn>
    <tableColumn id="28" name="TOTAL COINS NEW" dataDxfId="97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96">
      <calculatedColumnFormula>Table6[[#This Row],[CHESTS GEMS NEW]] +Table6[[#This Row],[DAILY GEMS NEW]] +Table6[[#This Row],[LEAGUES GEMS NEW]]</calculatedColumnFormula>
    </tableColumn>
    <tableColumn id="31" name="COINS IN RUNS PER DAY" dataDxfId="95">
      <calculatedColumnFormula>Table6[[#This Row],[COINS PER RUN]] *Table6[[#This Row],[RUNS PER DAY]]</calculatedColumnFormula>
    </tableColumn>
    <tableColumn id="2" name="CHEST REW. MOD." dataDxfId="94"/>
    <tableColumn id="3" name="DAILY REW. MOD." dataDxfId="93"/>
    <tableColumn id="19" name="CHEST REW. MOD. NEW" dataDxfId="92"/>
    <tableColumn id="18" name="DAILY REW. MOD. NEW" dataDxfId="91"/>
    <tableColumn id="4" name="LEAGUE" dataDxfId="90"/>
    <tableColumn id="5" name="NUM. EASY" dataDxfId="89"/>
    <tableColumn id="6" name="NUM. MED." dataDxfId="88"/>
    <tableColumn id="7" name="NUM. HARD" dataDxfId="87"/>
    <tableColumn id="8" name="CHESTS COINS" dataDxfId="86">
      <calculatedColumnFormula>Table6[[#This Row],[CHEST REW. MOD.]]*($D$14+$D$15+$D$16)</calculatedColumnFormula>
    </tableColumn>
    <tableColumn id="9" name="CHESTS GEMS" dataDxfId="85">
      <calculatedColumnFormula>$D$17+$D$18</calculatedColumnFormula>
    </tableColumn>
    <tableColumn id="10" name="DAILY COINS" dataDxfId="84">
      <calculatedColumnFormula>ROUND((Table6[[#This Row],[DAILY REW. MOD.]]*($D$24+$D$26+$D$28))/7,0)</calculatedColumnFormula>
    </tableColumn>
    <tableColumn id="11" name="DAILY GEMS" dataDxfId="83">
      <calculatedColumnFormula>ROUND(($D$25+$D$27+$D$29)/7,1)</calculatedColumnFormula>
    </tableColumn>
    <tableColumn id="12" name="LEAGUES COINS" dataDxfId="82">
      <calculatedColumnFormula>ROUND((INDEX(Table12[AVG COINS],MATCH(Table6[[#This Row],[LEAGUE]],Table12[LEAGUE],0))) /$C$36,0)</calculatedColumnFormula>
    </tableColumn>
    <tableColumn id="13" name="LEAGUES GEMS" dataDxfId="81">
      <calculatedColumnFormula>ROUND((INDEX(Table12[AVG GEMS],MATCH(Table6[[#This Row],[LEAGUE]],Table12[LEAGUE],0))) /$C$35,2)</calculatedColumnFormula>
    </tableColumn>
    <tableColumn id="14" name="MISSIONS COINS" dataDxfId="80">
      <calculatedColumnFormula>(Table6[[#This Row],[CHEST REW. MOD.]]*$D$113 * Table6[[#This Row],[NUM. EASY]]) + (Table6[[#This Row],[CHEST REW. MOD.]]*$D$114 * Table6[[#This Row],[NUM. MED.]]) + (Table6[[#This Row],[CHEST REW. MOD.]]*$D$115 * Table6[[#This Row],[NUM. HARD]])</calculatedColumnFormula>
    </tableColumn>
    <tableColumn id="20" name="CHESTS COINS NEW" dataDxfId="79">
      <calculatedColumnFormula>Table6[[#This Row],[CHEST REW. MOD. NEW]]*($D$14+$D$15+$D$16)</calculatedColumnFormula>
    </tableColumn>
    <tableColumn id="21" name="CHESTS GEMS NEW" dataDxfId="78">
      <calculatedColumnFormula>$E$17+$E$18</calculatedColumnFormula>
    </tableColumn>
    <tableColumn id="22" name="DAILY COINS NEW" dataDxfId="77">
      <calculatedColumnFormula>ROUND((Table6[[#This Row],[DAILY REW. MOD. NEW]]*($E$24+$E$26+$E$28))/7,0)</calculatedColumnFormula>
    </tableColumn>
    <tableColumn id="23" name="DAILY GEMS NEW" dataDxfId="76">
      <calculatedColumnFormula>ROUND(($E$25+$E$27+$E$29)/7,1)</calculatedColumnFormula>
    </tableColumn>
    <tableColumn id="24" name="LEAGUES COINS NEW" dataDxfId="75">
      <calculatedColumnFormula>ROUND((INDEX(Table12[AVG COINS NEW],MATCH(Table6[[#This Row],[LEAGUE]],Table12[LEAGUE],0))) /$C$36,0)</calculatedColumnFormula>
    </tableColumn>
    <tableColumn id="25" name="LEAGUES GEMS NEW" dataDxfId="74">
      <calculatedColumnFormula>ROUND((INDEX(Table12[AVG GEMS NEW],MATCH(Table6[[#This Row],[LEAGUE]],Table12[LEAGUE],0))) / $C$36,2)</calculatedColumnFormula>
    </tableColumn>
    <tableColumn id="26" name="MISSIONS COINS NEW" dataDxfId="73">
      <calculatedColumnFormula>(Table6[[#This Row],[CHEST REW. MOD. NEW]]*$E$113 * Table6[[#This Row],[NUM. EASY]]) + (Table6[[#This Row],[CHEST REW. MOD. NEW]]*$E$114 * Table6[[#This Row],[NUM. MED.]]) + (Table6[[#This Row],[CHEST REW. MOD. NEW]]*$E$115 * Table6[[#This Row],[NUM. HARD]])</calculatedColumnFormula>
    </tableColumn>
    <tableColumn id="29" name="COINS PER RUN" dataDxfId="72"/>
    <tableColumn id="30" name="RUNS PER DAY" dataDxfId="71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0" name="Table10" displayName="Table10" ref="B23:E31" totalsRowShown="0" headerRowDxfId="70" dataDxfId="68" headerRowBorderDxfId="69" tableBorderDxfId="67">
  <autoFilter ref="B23:E31"/>
  <tableColumns count="4">
    <tableColumn id="1" name="DAY" dataDxfId="66"/>
    <tableColumn id="2" name="TYPE" dataDxfId="65"/>
    <tableColumn id="3" name="AMOUNT" dataDxfId="64"/>
    <tableColumn id="4" name="AMOUNT NEW" dataDxfId="63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12" name="Table12" displayName="Table12" ref="B38:F48" totalsRowShown="0" headerRowDxfId="62" headerRowBorderDxfId="61" tableBorderDxfId="60">
  <autoFilter ref="B38:F48"/>
  <tableColumns count="5">
    <tableColumn id="1" name="LEAGUE" dataDxfId="59"/>
    <tableColumn id="2" name="AVG COINS" dataDxfId="58">
      <calculatedColumnFormula>SUM(F60:F64)/100</calculatedColumnFormula>
    </tableColumn>
    <tableColumn id="3" name="AVG GEMS" dataDxfId="57"/>
    <tableColumn id="4" name="AVG COINS NEW" dataDxfId="56"/>
    <tableColumn id="5" name="AVG GEMS NEW" dataDxfId="55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13" name="Table13" displayName="Table13" ref="B59:J109" totalsRowShown="0" headerRowDxfId="54" dataDxfId="52" headerRowBorderDxfId="53" tableBorderDxfId="51">
  <autoFilter ref="B59:J109"/>
  <tableColumns count="9">
    <tableColumn id="1" name="LEAGUE" dataDxfId="50"/>
    <tableColumn id="2" name="TYPE" dataDxfId="49"/>
    <tableColumn id="3" name="AMOUNT" dataDxfId="48"/>
    <tableColumn id="4" name="TARGET" dataDxfId="47"/>
    <tableColumn id="5" name="AUX 1" dataDxfId="46">
      <calculatedColumnFormula>Table13[[#This Row],[AMOUNT]]*(Table13[[#This Row],[TARGET]]/100)</calculatedColumnFormula>
    </tableColumn>
    <tableColumn id="10" name="TYPE NEW" dataDxfId="45"/>
    <tableColumn id="6" name="AMOUNT NEW" dataDxfId="44"/>
    <tableColumn id="7" name="TARGET NEW" dataDxfId="43"/>
    <tableColumn id="8" name="AUX 1 NEW" dataDxfId="42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14" name="Table215" displayName="Table215" ref="B112:E115" totalsRowShown="0" headerRowDxfId="41" dataDxfId="40">
  <autoFilter ref="B112:E115"/>
  <tableColumns count="4">
    <tableColumn id="6" name="DIFFICULTY" dataDxfId="39"/>
    <tableColumn id="1" name="MISSION LV." dataDxfId="38" totalsRowDxfId="37"/>
    <tableColumn id="2" name="MAX. REW." dataDxfId="36" totalsRowDxfId="35"/>
    <tableColumn id="3" name="MAX REW. NEW" dataDxfId="34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47" name="Table47" displayName="Table47" ref="A6:C13" totalsRowShown="0" headerRowDxfId="33" dataDxfId="32" tableBorderDxfId="31">
  <autoFilter ref="A6:C13"/>
  <tableColumns count="3">
    <tableColumn id="1" name="Price" dataDxfId="30"/>
    <tableColumn id="2" name="HC earned" dataDxfId="29">
      <calculatedColumnFormula>ROUND(Table47[[#This Row],[Price]]*$B$3+Table47[[#This Row],[Price]]*$B$3*Table47[[#This Row],[Discount]],0)</calculatedColumnFormula>
    </tableColumn>
    <tableColumn id="3" name="Discount" dataDxfId="28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8" name="Table479" displayName="Table479" ref="A20:C26" totalsRowShown="0" headerRowDxfId="27" dataDxfId="26" tableBorderDxfId="25">
  <autoFilter ref="A20:C26"/>
  <tableColumns count="3">
    <tableColumn id="1" name="Price HC" dataDxfId="24"/>
    <tableColumn id="2" name="SC earned" dataDxfId="23">
      <calculatedColumnFormula>ROUND((($B$17/$B$3)*Table479[[#This Row],[Price HC]])+((($B$17/$B$3)*Table479[[#This Row],[Price HC]])*Table479[[#This Row],[Discount]]),0)</calculatedColumnFormula>
    </tableColumn>
    <tableColumn id="3" name="Discount" dataDxfId="22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9" name="Table9" displayName="Table9" ref="E16:T33" totalsRowShown="0" headerRowDxfId="21" tableBorderDxfId="20">
  <autoFilter ref="E16:T33"/>
  <tableColumns count="16">
    <tableColumn id="1" name="Dragon" dataDxfId="19"/>
    <tableColumn id="2" name="pricing (HC)" dataDxfId="18"/>
    <tableColumn id="3" name="Equivalence Base" dataDxfId="17">
      <calculatedColumnFormula>F17/$B$3</calculatedColumnFormula>
    </tableColumn>
    <tableColumn id="4" name="Equivalence better" dataDxfId="16">
      <calculatedColumnFormula>ROUND(F17/$B$4,2)</calculatedColumnFormula>
    </tableColumn>
    <tableColumn id="5" name="Dis. 1 price (SC or HC)" dataDxfId="15"/>
    <tableColumn id="6" name="Dis. 1 Eq. Base" dataDxfId="14">
      <calculatedColumnFormula>(Table9[[#This Row],[Dis. 1 price (SC or HC)]]/($B$17/$B$3))/$B$3</calculatedColumnFormula>
    </tableColumn>
    <tableColumn id="7" name="Dis 1 Eq. better" dataDxfId="13">
      <calculatedColumnFormula>Table9[[#This Row],[Dis. 1 price (SC or HC)]]/$B$18</calculatedColumnFormula>
    </tableColumn>
    <tableColumn id="8" name="Dis. 2 price (SC or HC)" dataDxfId="12"/>
    <tableColumn id="9" name="Dis. 2 Eq. Base" dataDxfId="11"/>
    <tableColumn id="10" name="Dis 2 Eq. better" dataDxfId="10"/>
    <tableColumn id="11" name="Dis. 3 price (SC or HC)" dataDxfId="9"/>
    <tableColumn id="12" name="Dis. 3 Eq. Base" dataDxfId="8"/>
    <tableColumn id="13" name="Dis 3 Eq. better" dataDxfId="7"/>
    <tableColumn id="14" name="Dis. 4 price (SC or HC)" dataDxfId="6"/>
    <tableColumn id="15" name="Dis. 4 Eq. Base" dataDxfId="5"/>
    <tableColumn id="16" name="Dis 4 Eq. better" dataDxfId="4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11" name="Table11" displayName="Table11" ref="A30:B31" totalsRowShown="0" headerRowDxfId="3" tableBorderDxfId="2">
  <autoFilter ref="A30:B31"/>
  <tableColumns count="2">
    <tableColumn id="1" name="price HC" dataDxfId="1"/>
    <tableColumn id="2" name="Price $" dataDxfId="0">
      <calculatedColumnFormula>A31/B3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 x14ac:dyDescent="0.25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 x14ac:dyDescent="0.25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 x14ac:dyDescent="0.25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 x14ac:dyDescent="0.25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 x14ac:dyDescent="0.25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 x14ac:dyDescent="0.3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 x14ac:dyDescent="0.3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 x14ac:dyDescent="0.25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 x14ac:dyDescent="0.3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 x14ac:dyDescent="0.25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 x14ac:dyDescent="0.25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 x14ac:dyDescent="0.25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 x14ac:dyDescent="0.25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 x14ac:dyDescent="0.25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 x14ac:dyDescent="0.25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 x14ac:dyDescent="0.25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 x14ac:dyDescent="0.25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 x14ac:dyDescent="0.25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 x14ac:dyDescent="0.25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 x14ac:dyDescent="0.3"/>
    <row r="22" spans="1:42" x14ac:dyDescent="0.25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 x14ac:dyDescent="0.25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 x14ac:dyDescent="0.25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 x14ac:dyDescent="0.25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 x14ac:dyDescent="0.25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 x14ac:dyDescent="0.25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 x14ac:dyDescent="0.3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 x14ac:dyDescent="0.3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 x14ac:dyDescent="0.25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 x14ac:dyDescent="0.3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 x14ac:dyDescent="0.25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 x14ac:dyDescent="0.25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 x14ac:dyDescent="0.25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 x14ac:dyDescent="0.25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 x14ac:dyDescent="0.25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 x14ac:dyDescent="0.25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 x14ac:dyDescent="0.25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 x14ac:dyDescent="0.25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 x14ac:dyDescent="0.25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 x14ac:dyDescent="0.25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 x14ac:dyDescent="0.3"/>
    <row r="43" spans="1:42" x14ac:dyDescent="0.25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 x14ac:dyDescent="0.25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 x14ac:dyDescent="0.25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 x14ac:dyDescent="0.25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 x14ac:dyDescent="0.25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 x14ac:dyDescent="0.25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 x14ac:dyDescent="0.3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 x14ac:dyDescent="0.3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 x14ac:dyDescent="0.25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 x14ac:dyDescent="0.3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 x14ac:dyDescent="0.25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 x14ac:dyDescent="0.25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 x14ac:dyDescent="0.25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 x14ac:dyDescent="0.25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 x14ac:dyDescent="0.25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 x14ac:dyDescent="0.25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 x14ac:dyDescent="0.25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 x14ac:dyDescent="0.25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 x14ac:dyDescent="0.25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 x14ac:dyDescent="0.25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 x14ac:dyDescent="0.3"/>
    <row r="64" spans="1:42" x14ac:dyDescent="0.25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 x14ac:dyDescent="0.25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 x14ac:dyDescent="0.25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 x14ac:dyDescent="0.25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 x14ac:dyDescent="0.25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 x14ac:dyDescent="0.25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 x14ac:dyDescent="0.3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 x14ac:dyDescent="0.3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 x14ac:dyDescent="0.25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 x14ac:dyDescent="0.3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 x14ac:dyDescent="0.25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 x14ac:dyDescent="0.25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 x14ac:dyDescent="0.25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 x14ac:dyDescent="0.25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 x14ac:dyDescent="0.25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 x14ac:dyDescent="0.25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 x14ac:dyDescent="0.25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 x14ac:dyDescent="0.25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 x14ac:dyDescent="0.25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 x14ac:dyDescent="0.25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 x14ac:dyDescent="0.3"/>
    <row r="85" spans="1:42" x14ac:dyDescent="0.25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 x14ac:dyDescent="0.25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 x14ac:dyDescent="0.25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 x14ac:dyDescent="0.25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 x14ac:dyDescent="0.25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 x14ac:dyDescent="0.25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 x14ac:dyDescent="0.3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 x14ac:dyDescent="0.3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 x14ac:dyDescent="0.25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 x14ac:dyDescent="0.3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 x14ac:dyDescent="0.25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 x14ac:dyDescent="0.25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 x14ac:dyDescent="0.25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 x14ac:dyDescent="0.25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 x14ac:dyDescent="0.25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 x14ac:dyDescent="0.25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 x14ac:dyDescent="0.25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 x14ac:dyDescent="0.25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 x14ac:dyDescent="0.25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 x14ac:dyDescent="0.25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 x14ac:dyDescent="0.3"/>
    <row r="106" spans="1:42" x14ac:dyDescent="0.25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 x14ac:dyDescent="0.25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 x14ac:dyDescent="0.25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 x14ac:dyDescent="0.25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 x14ac:dyDescent="0.25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 x14ac:dyDescent="0.25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 x14ac:dyDescent="0.3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 x14ac:dyDescent="0.3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 x14ac:dyDescent="0.25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 x14ac:dyDescent="0.3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 x14ac:dyDescent="0.25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 x14ac:dyDescent="0.25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 x14ac:dyDescent="0.25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 x14ac:dyDescent="0.25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 x14ac:dyDescent="0.25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 x14ac:dyDescent="0.25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 x14ac:dyDescent="0.25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 x14ac:dyDescent="0.25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 x14ac:dyDescent="0.25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 x14ac:dyDescent="0.25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 x14ac:dyDescent="0.3"/>
    <row r="127" spans="1:42" x14ac:dyDescent="0.25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 x14ac:dyDescent="0.25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 x14ac:dyDescent="0.25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 x14ac:dyDescent="0.25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 x14ac:dyDescent="0.25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 x14ac:dyDescent="0.25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 x14ac:dyDescent="0.3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 x14ac:dyDescent="0.3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 x14ac:dyDescent="0.25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 x14ac:dyDescent="0.3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 x14ac:dyDescent="0.25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 x14ac:dyDescent="0.25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 x14ac:dyDescent="0.25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 x14ac:dyDescent="0.25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 x14ac:dyDescent="0.25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 x14ac:dyDescent="0.25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 x14ac:dyDescent="0.25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 x14ac:dyDescent="0.25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 x14ac:dyDescent="0.25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 x14ac:dyDescent="0.25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 x14ac:dyDescent="0.3"/>
    <row r="148" spans="1:42" x14ac:dyDescent="0.25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 x14ac:dyDescent="0.25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 x14ac:dyDescent="0.25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 x14ac:dyDescent="0.25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 x14ac:dyDescent="0.25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 x14ac:dyDescent="0.25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 x14ac:dyDescent="0.3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 x14ac:dyDescent="0.3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 x14ac:dyDescent="0.25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 x14ac:dyDescent="0.3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 x14ac:dyDescent="0.25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 x14ac:dyDescent="0.25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 x14ac:dyDescent="0.25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 x14ac:dyDescent="0.25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 x14ac:dyDescent="0.25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 x14ac:dyDescent="0.25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 x14ac:dyDescent="0.25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 x14ac:dyDescent="0.25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 x14ac:dyDescent="0.25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 x14ac:dyDescent="0.25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 x14ac:dyDescent="0.3"/>
    <row r="169" spans="1:42" x14ac:dyDescent="0.25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 x14ac:dyDescent="0.25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 x14ac:dyDescent="0.25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 x14ac:dyDescent="0.25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 x14ac:dyDescent="0.25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 x14ac:dyDescent="0.25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 x14ac:dyDescent="0.3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 x14ac:dyDescent="0.3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 x14ac:dyDescent="0.25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 x14ac:dyDescent="0.3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 x14ac:dyDescent="0.25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 x14ac:dyDescent="0.25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 x14ac:dyDescent="0.25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 x14ac:dyDescent="0.25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 x14ac:dyDescent="0.25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 x14ac:dyDescent="0.25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 x14ac:dyDescent="0.25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 x14ac:dyDescent="0.25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 x14ac:dyDescent="0.25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 x14ac:dyDescent="0.25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 x14ac:dyDescent="0.3"/>
    <row r="190" spans="1:42" x14ac:dyDescent="0.25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 x14ac:dyDescent="0.25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 x14ac:dyDescent="0.25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 x14ac:dyDescent="0.25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 x14ac:dyDescent="0.25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 x14ac:dyDescent="0.25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 x14ac:dyDescent="0.3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 x14ac:dyDescent="0.3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 x14ac:dyDescent="0.25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 x14ac:dyDescent="0.3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 x14ac:dyDescent="0.25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 x14ac:dyDescent="0.25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 x14ac:dyDescent="0.25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 x14ac:dyDescent="0.25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 x14ac:dyDescent="0.25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 x14ac:dyDescent="0.25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 x14ac:dyDescent="0.25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 x14ac:dyDescent="0.25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 x14ac:dyDescent="0.25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 x14ac:dyDescent="0.25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N13"/>
  <sheetViews>
    <sheetView workbookViewId="0">
      <selection activeCell="J36" sqref="J36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</cols>
  <sheetData>
    <row r="1" spans="1:14" ht="18.75" x14ac:dyDescent="0.3">
      <c r="A1" s="50" t="s">
        <v>57</v>
      </c>
      <c r="B1" s="51"/>
      <c r="C1" s="51"/>
      <c r="D1" s="51"/>
      <c r="E1" s="51"/>
    </row>
    <row r="5" spans="1:14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146</v>
      </c>
      <c r="N5" t="s">
        <v>217</v>
      </c>
    </row>
    <row r="6" spans="1:14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</row>
    <row r="7" spans="1:14" x14ac:dyDescent="0.25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</row>
    <row r="8" spans="1:14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</row>
    <row r="9" spans="1:14" x14ac:dyDescent="0.25">
      <c r="A9" t="s">
        <v>119</v>
      </c>
      <c r="B9">
        <f>ROUND(B8,2-LEN(B8))</f>
        <v>0</v>
      </c>
      <c r="C9">
        <f t="shared" ref="C9:L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ref="M9:N9" si="1">ROUND(M8,2-LEN(M8))</f>
        <v>600000</v>
      </c>
      <c r="N9">
        <f t="shared" si="1"/>
        <v>700000</v>
      </c>
    </row>
    <row r="10" spans="1:14" x14ac:dyDescent="0.25">
      <c r="A10" t="s">
        <v>51</v>
      </c>
      <c r="B10">
        <v>0</v>
      </c>
      <c r="C10">
        <v>20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</row>
    <row r="11" spans="1:14" x14ac:dyDescent="0.25">
      <c r="A11" t="s">
        <v>55</v>
      </c>
      <c r="B11">
        <f>B10/'Offer Simulator'!$B$3</f>
        <v>0</v>
      </c>
      <c r="C11">
        <f>C10/'Offer Simulator'!$B$3</f>
        <v>2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14</v>
      </c>
      <c r="J11">
        <f>J10/'Offer Simulator'!$B$3</f>
        <v>17.5</v>
      </c>
      <c r="K11">
        <f>K10/'Offer Simulator'!$B$3</f>
        <v>35</v>
      </c>
      <c r="L11">
        <f>L10/'Offer Simulator'!$B$3</f>
        <v>40</v>
      </c>
      <c r="M11">
        <f>M10/'Offer Simulator'!$B$3</f>
        <v>45</v>
      </c>
      <c r="N11">
        <f>N10/'Offer Simulator'!$B$3</f>
        <v>55</v>
      </c>
    </row>
    <row r="12" spans="1:14" x14ac:dyDescent="0.25">
      <c r="A12" t="s">
        <v>56</v>
      </c>
      <c r="B12">
        <f>B10/'Offer Simulator'!$B$4</f>
        <v>0</v>
      </c>
      <c r="C12" s="100">
        <f>C10/'Offer Simulator'!$B$4</f>
        <v>1.3333333333333333</v>
      </c>
      <c r="D12" s="100">
        <f>D10/'Offer Simulator'!$B$4</f>
        <v>2.3333333333333335</v>
      </c>
      <c r="E12" s="100">
        <f>E10/'Offer Simulator'!$B$4</f>
        <v>2.6666666666666665</v>
      </c>
      <c r="F12" s="100">
        <f>F10/'Offer Simulator'!$B$4</f>
        <v>3.3333333333333335</v>
      </c>
      <c r="G12" s="100">
        <f>G10/'Offer Simulator'!$B$4</f>
        <v>5.333333333333333</v>
      </c>
      <c r="H12" s="100">
        <f>H10/'Offer Simulator'!$B$4</f>
        <v>6.666666666666667</v>
      </c>
      <c r="I12" s="100">
        <f>I10/'Offer Simulator'!$B$4</f>
        <v>9.3333333333333339</v>
      </c>
      <c r="J12" s="100">
        <f>J10/'Offer Simulator'!$B$4</f>
        <v>11.666666666666666</v>
      </c>
      <c r="K12" s="100">
        <f>K10/'Offer Simulator'!$B$4</f>
        <v>23.333333333333332</v>
      </c>
      <c r="L12" s="100">
        <f>L10/'Offer Simulator'!$B$4</f>
        <v>26.666666666666668</v>
      </c>
      <c r="M12" s="100">
        <f>M10/'Offer Simulator'!$B$4</f>
        <v>30</v>
      </c>
      <c r="N12" s="100">
        <f>N10/'Offer Simulator'!$B$4</f>
        <v>36.666666666666664</v>
      </c>
    </row>
    <row r="13" spans="1:14" x14ac:dyDescent="0.25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19"/>
  <sheetViews>
    <sheetView workbookViewId="0">
      <selection activeCell="E7" sqref="E7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33" t="s">
        <v>58</v>
      </c>
      <c r="B1" s="32"/>
      <c r="C1" s="32"/>
    </row>
    <row r="3" spans="1:4" x14ac:dyDescent="0.25">
      <c r="A3" s="4" t="s">
        <v>20</v>
      </c>
      <c r="B3" s="4" t="s">
        <v>73</v>
      </c>
      <c r="C3" s="4" t="s">
        <v>90</v>
      </c>
      <c r="D3" s="4"/>
    </row>
    <row r="4" spans="1:4" x14ac:dyDescent="0.25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 x14ac:dyDescent="0.25">
      <c r="A5" s="47">
        <v>12</v>
      </c>
      <c r="B5" s="47">
        <v>9</v>
      </c>
    </row>
    <row r="6" spans="1:4" x14ac:dyDescent="0.25">
      <c r="A6" s="1" t="s">
        <v>41</v>
      </c>
      <c r="B6" s="1" t="s">
        <v>42</v>
      </c>
      <c r="C6" s="1" t="s">
        <v>65</v>
      </c>
    </row>
    <row r="7" spans="1:4" x14ac:dyDescent="0.25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 x14ac:dyDescent="0.25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 x14ac:dyDescent="0.25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 x14ac:dyDescent="0.25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 x14ac:dyDescent="0.25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 x14ac:dyDescent="0.25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 x14ac:dyDescent="0.25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 x14ac:dyDescent="0.25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 x14ac:dyDescent="0.25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 x14ac:dyDescent="0.25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 x14ac:dyDescent="0.25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 x14ac:dyDescent="0.25">
      <c r="A18" s="24">
        <v>12</v>
      </c>
      <c r="B18" s="28">
        <v>20</v>
      </c>
      <c r="C18" s="80">
        <f>$C$4*RunDuration[[#This Row],[Dragon ID / Level]]+$D$4</f>
        <v>9</v>
      </c>
    </row>
    <row r="19" spans="1:3" x14ac:dyDescent="0.25">
      <c r="A19" s="120">
        <v>13</v>
      </c>
      <c r="B19" s="121">
        <v>20</v>
      </c>
      <c r="C19" s="80">
        <f>$C$4*RunDuration[[#This Row],[Dragon ID / Level]]+$D$4</f>
        <v>9.545454545454545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7"/>
  <sheetViews>
    <sheetView workbookViewId="0">
      <selection activeCell="N37" sqref="N37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7" t="s">
        <v>43</v>
      </c>
      <c r="B1" s="7"/>
      <c r="C1" s="7"/>
    </row>
    <row r="3" spans="1:21" x14ac:dyDescent="0.25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 x14ac:dyDescent="0.25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x14ac:dyDescent="0.25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 x14ac:dyDescent="0.25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5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 x14ac:dyDescent="0.25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 x14ac:dyDescent="0.25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 x14ac:dyDescent="0.25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 x14ac:dyDescent="0.25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 x14ac:dyDescent="0.25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 x14ac:dyDescent="0.25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 x14ac:dyDescent="0.25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 x14ac:dyDescent="0.25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22" spans="2:2" x14ac:dyDescent="0.25">
      <c r="B22" s="101" t="s">
        <v>328</v>
      </c>
    </row>
    <row r="23" spans="2:2" x14ac:dyDescent="0.25">
      <c r="B23" t="s">
        <v>329</v>
      </c>
    </row>
    <row r="24" spans="2:2" x14ac:dyDescent="0.25">
      <c r="B24" t="s">
        <v>330</v>
      </c>
    </row>
    <row r="25" spans="2:2" x14ac:dyDescent="0.25">
      <c r="B25" t="s">
        <v>331</v>
      </c>
    </row>
    <row r="26" spans="2:2" x14ac:dyDescent="0.25">
      <c r="B26" t="s">
        <v>332</v>
      </c>
    </row>
    <row r="27" spans="2:2" x14ac:dyDescent="0.25">
      <c r="B27" t="s">
        <v>333</v>
      </c>
    </row>
    <row r="28" spans="2:2" x14ac:dyDescent="0.25">
      <c r="B28" t="s">
        <v>334</v>
      </c>
    </row>
    <row r="29" spans="2:2" x14ac:dyDescent="0.25">
      <c r="B29" t="s">
        <v>335</v>
      </c>
    </row>
    <row r="30" spans="2:2" x14ac:dyDescent="0.25">
      <c r="B30" t="s">
        <v>336</v>
      </c>
    </row>
    <row r="31" spans="2:2" x14ac:dyDescent="0.25">
      <c r="B31" t="s">
        <v>337</v>
      </c>
    </row>
    <row r="32" spans="2:2" x14ac:dyDescent="0.25">
      <c r="B32" t="s">
        <v>338</v>
      </c>
    </row>
    <row r="33" spans="2:2" x14ac:dyDescent="0.25">
      <c r="B33" t="s">
        <v>339</v>
      </c>
    </row>
    <row r="34" spans="2:2" x14ac:dyDescent="0.25">
      <c r="B34" t="s">
        <v>340</v>
      </c>
    </row>
    <row r="35" spans="2:2" x14ac:dyDescent="0.25">
      <c r="B35" t="s">
        <v>341</v>
      </c>
    </row>
    <row r="36" spans="2:2" x14ac:dyDescent="0.25">
      <c r="B36" t="s">
        <v>342</v>
      </c>
    </row>
    <row r="37" spans="2:2" x14ac:dyDescent="0.25">
      <c r="B37" t="s">
        <v>343</v>
      </c>
    </row>
    <row r="38" spans="2:2" x14ac:dyDescent="0.25">
      <c r="B38" t="s">
        <v>344</v>
      </c>
    </row>
    <row r="39" spans="2:2" x14ac:dyDescent="0.25">
      <c r="B39" t="s">
        <v>345</v>
      </c>
    </row>
    <row r="40" spans="2:2" x14ac:dyDescent="0.25">
      <c r="B40" t="s">
        <v>346</v>
      </c>
    </row>
    <row r="41" spans="2:2" x14ac:dyDescent="0.25">
      <c r="B41" t="s">
        <v>347</v>
      </c>
    </row>
    <row r="42" spans="2:2" x14ac:dyDescent="0.25">
      <c r="B42" t="s">
        <v>348</v>
      </c>
    </row>
    <row r="43" spans="2:2" x14ac:dyDescent="0.25">
      <c r="B43" t="s">
        <v>349</v>
      </c>
    </row>
    <row r="44" spans="2:2" x14ac:dyDescent="0.25">
      <c r="B44" t="s">
        <v>350</v>
      </c>
    </row>
    <row r="45" spans="2:2" x14ac:dyDescent="0.25">
      <c r="B45" t="s">
        <v>351</v>
      </c>
    </row>
    <row r="46" spans="2:2" x14ac:dyDescent="0.25">
      <c r="B46" t="s">
        <v>352</v>
      </c>
    </row>
    <row r="47" spans="2:2" x14ac:dyDescent="0.25">
      <c r="B47" t="s">
        <v>353</v>
      </c>
    </row>
    <row r="48" spans="2:2" x14ac:dyDescent="0.25">
      <c r="B48" t="s">
        <v>354</v>
      </c>
    </row>
    <row r="49" spans="2:2" x14ac:dyDescent="0.25">
      <c r="B49" t="s">
        <v>355</v>
      </c>
    </row>
    <row r="50" spans="2:2" x14ac:dyDescent="0.25">
      <c r="B50" t="s">
        <v>356</v>
      </c>
    </row>
    <row r="51" spans="2:2" x14ac:dyDescent="0.25">
      <c r="B51" t="s">
        <v>357</v>
      </c>
    </row>
    <row r="52" spans="2:2" x14ac:dyDescent="0.25">
      <c r="B52" t="s">
        <v>358</v>
      </c>
    </row>
    <row r="53" spans="2:2" x14ac:dyDescent="0.25">
      <c r="B53" t="s">
        <v>359</v>
      </c>
    </row>
    <row r="54" spans="2:2" x14ac:dyDescent="0.25">
      <c r="B54" t="s">
        <v>360</v>
      </c>
    </row>
    <row r="55" spans="2:2" x14ac:dyDescent="0.25">
      <c r="B55" t="s">
        <v>361</v>
      </c>
    </row>
    <row r="56" spans="2:2" x14ac:dyDescent="0.25">
      <c r="B56" t="s">
        <v>362</v>
      </c>
    </row>
    <row r="57" spans="2:2" x14ac:dyDescent="0.25">
      <c r="B57" t="s">
        <v>363</v>
      </c>
    </row>
    <row r="58" spans="2:2" x14ac:dyDescent="0.25">
      <c r="B58" t="s">
        <v>364</v>
      </c>
    </row>
    <row r="59" spans="2:2" x14ac:dyDescent="0.25">
      <c r="B59" t="s">
        <v>365</v>
      </c>
    </row>
    <row r="60" spans="2:2" x14ac:dyDescent="0.25">
      <c r="B60" t="s">
        <v>366</v>
      </c>
    </row>
    <row r="61" spans="2:2" x14ac:dyDescent="0.25">
      <c r="B61" t="s">
        <v>367</v>
      </c>
    </row>
    <row r="62" spans="2:2" x14ac:dyDescent="0.25">
      <c r="B62" t="s">
        <v>368</v>
      </c>
    </row>
    <row r="63" spans="2:2" x14ac:dyDescent="0.25">
      <c r="B63" t="s">
        <v>369</v>
      </c>
    </row>
    <row r="64" spans="2:2" x14ac:dyDescent="0.25">
      <c r="B64" t="s">
        <v>370</v>
      </c>
    </row>
    <row r="65" spans="2:2" x14ac:dyDescent="0.25">
      <c r="B65" t="s">
        <v>371</v>
      </c>
    </row>
    <row r="66" spans="2:2" x14ac:dyDescent="0.25">
      <c r="B66" t="s">
        <v>372</v>
      </c>
    </row>
    <row r="67" spans="2:2" x14ac:dyDescent="0.25">
      <c r="B67" t="s">
        <v>373</v>
      </c>
    </row>
    <row r="68" spans="2:2" x14ac:dyDescent="0.25">
      <c r="B68" t="s">
        <v>374</v>
      </c>
    </row>
    <row r="69" spans="2:2" x14ac:dyDescent="0.25">
      <c r="B69" t="s">
        <v>375</v>
      </c>
    </row>
    <row r="70" spans="2:2" x14ac:dyDescent="0.25">
      <c r="B70" t="s">
        <v>376</v>
      </c>
    </row>
    <row r="71" spans="2:2" x14ac:dyDescent="0.25">
      <c r="B71" t="s">
        <v>377</v>
      </c>
    </row>
    <row r="72" spans="2:2" x14ac:dyDescent="0.25">
      <c r="B72" t="s">
        <v>378</v>
      </c>
    </row>
    <row r="73" spans="2:2" x14ac:dyDescent="0.25">
      <c r="B73" t="s">
        <v>379</v>
      </c>
    </row>
    <row r="74" spans="2:2" x14ac:dyDescent="0.25">
      <c r="B74" t="s">
        <v>380</v>
      </c>
    </row>
    <row r="75" spans="2:2" x14ac:dyDescent="0.25">
      <c r="B75" t="s">
        <v>381</v>
      </c>
    </row>
    <row r="76" spans="2:2" x14ac:dyDescent="0.25">
      <c r="B76" t="s">
        <v>382</v>
      </c>
    </row>
    <row r="77" spans="2:2" x14ac:dyDescent="0.25">
      <c r="B77" t="s">
        <v>383</v>
      </c>
    </row>
    <row r="78" spans="2:2" x14ac:dyDescent="0.25">
      <c r="B78" t="s">
        <v>384</v>
      </c>
    </row>
    <row r="79" spans="2:2" x14ac:dyDescent="0.25">
      <c r="B79" t="s">
        <v>385</v>
      </c>
    </row>
    <row r="80" spans="2:2" x14ac:dyDescent="0.25">
      <c r="B80" t="s">
        <v>386</v>
      </c>
    </row>
    <row r="81" spans="2:2" x14ac:dyDescent="0.25">
      <c r="B81" t="s">
        <v>387</v>
      </c>
    </row>
    <row r="82" spans="2:2" x14ac:dyDescent="0.25">
      <c r="B82" t="s">
        <v>388</v>
      </c>
    </row>
    <row r="83" spans="2:2" x14ac:dyDescent="0.25">
      <c r="B83" t="s">
        <v>389</v>
      </c>
    </row>
    <row r="84" spans="2:2" x14ac:dyDescent="0.25">
      <c r="B84" t="s">
        <v>390</v>
      </c>
    </row>
    <row r="85" spans="2:2" x14ac:dyDescent="0.25">
      <c r="B85" t="s">
        <v>391</v>
      </c>
    </row>
    <row r="86" spans="2:2" x14ac:dyDescent="0.25">
      <c r="B86" t="s">
        <v>392</v>
      </c>
    </row>
    <row r="87" spans="2:2" x14ac:dyDescent="0.25">
      <c r="B87" t="s">
        <v>393</v>
      </c>
    </row>
    <row r="88" spans="2:2" x14ac:dyDescent="0.25">
      <c r="B88" t="s">
        <v>394</v>
      </c>
    </row>
    <row r="89" spans="2:2" x14ac:dyDescent="0.25">
      <c r="B89" t="s">
        <v>395</v>
      </c>
    </row>
    <row r="90" spans="2:2" x14ac:dyDescent="0.25">
      <c r="B90" t="s">
        <v>396</v>
      </c>
    </row>
    <row r="91" spans="2:2" x14ac:dyDescent="0.25">
      <c r="B91" t="s">
        <v>397</v>
      </c>
    </row>
    <row r="92" spans="2:2" x14ac:dyDescent="0.25">
      <c r="B92" t="s">
        <v>398</v>
      </c>
    </row>
    <row r="93" spans="2:2" x14ac:dyDescent="0.25">
      <c r="B93" t="s">
        <v>399</v>
      </c>
    </row>
    <row r="94" spans="2:2" x14ac:dyDescent="0.25">
      <c r="B94" t="s">
        <v>400</v>
      </c>
    </row>
    <row r="95" spans="2:2" x14ac:dyDescent="0.25">
      <c r="B95" t="s">
        <v>401</v>
      </c>
    </row>
    <row r="96" spans="2:2" x14ac:dyDescent="0.25">
      <c r="B96" t="s">
        <v>402</v>
      </c>
    </row>
    <row r="97" spans="2:2" x14ac:dyDescent="0.25">
      <c r="B97" t="s">
        <v>403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G34" sqref="G34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30" t="s">
        <v>59</v>
      </c>
      <c r="B1" s="31"/>
      <c r="C1" s="31"/>
      <c r="D1" s="31"/>
    </row>
    <row r="2" spans="1:7" x14ac:dyDescent="0.25">
      <c r="A2" s="2"/>
      <c r="B2" s="2"/>
      <c r="C2" s="2"/>
      <c r="D2" s="2"/>
      <c r="F2" s="4" t="s">
        <v>62</v>
      </c>
      <c r="G2" s="4" t="s">
        <v>63</v>
      </c>
    </row>
    <row r="3" spans="1:7" x14ac:dyDescent="0.25">
      <c r="A3" s="2"/>
      <c r="B3" s="2"/>
      <c r="C3" s="2"/>
      <c r="D3" s="2"/>
      <c r="F3" s="37">
        <v>3.5000000000000003E-2</v>
      </c>
      <c r="G3" s="37">
        <v>3.6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235</v>
      </c>
      <c r="C8" s="1" t="s">
        <v>44</v>
      </c>
      <c r="D8" s="1" t="s">
        <v>60</v>
      </c>
      <c r="E8" s="1" t="s">
        <v>61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 x14ac:dyDescent="0.25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 x14ac:dyDescent="0.25">
      <c r="B32" s="1"/>
      <c r="C32" s="1"/>
      <c r="D32" s="35"/>
      <c r="E32" s="35"/>
    </row>
    <row r="33" spans="2:5" x14ac:dyDescent="0.25">
      <c r="B33" s="1"/>
      <c r="C33" s="1"/>
      <c r="D33" s="35"/>
      <c r="E33" s="35"/>
    </row>
    <row r="34" spans="2:5" x14ac:dyDescent="0.2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89"/>
  <sheetViews>
    <sheetView topLeftCell="A55" workbookViewId="0">
      <selection activeCell="I25" sqref="I25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95" t="s">
        <v>64</v>
      </c>
      <c r="B1" s="49"/>
      <c r="C1" s="49"/>
      <c r="D1" s="49"/>
      <c r="E1" s="49"/>
      <c r="F1" s="49"/>
    </row>
    <row r="2" spans="1:15" x14ac:dyDescent="0.2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 x14ac:dyDescent="0.25">
      <c r="A3" s="2"/>
      <c r="B3" s="2"/>
      <c r="C3" s="2"/>
      <c r="D3" s="2"/>
      <c r="E3" s="2"/>
      <c r="F3" s="2"/>
      <c r="H3" s="38" t="s">
        <v>18</v>
      </c>
      <c r="I3" s="109">
        <v>1</v>
      </c>
      <c r="J3" s="109">
        <v>10</v>
      </c>
      <c r="L3" s="40">
        <f t="array" ref="L3:M3">LINEST(I4:J4,I3:J3,TRUE,FALSE)</f>
        <v>86.111111111111114</v>
      </c>
      <c r="M3" s="40">
        <v>1513.8888888888889</v>
      </c>
      <c r="O3" s="110">
        <v>0.6</v>
      </c>
    </row>
    <row r="4" spans="1:15" x14ac:dyDescent="0.25">
      <c r="A4" s="2"/>
      <c r="B4" s="2"/>
      <c r="C4" s="2"/>
      <c r="D4" s="2"/>
      <c r="E4" s="2"/>
      <c r="F4" s="2"/>
      <c r="H4" s="38" t="s">
        <v>19</v>
      </c>
      <c r="I4" s="109">
        <v>1600</v>
      </c>
      <c r="J4" s="109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4" t="s">
        <v>75</v>
      </c>
      <c r="H9" s="366" t="s">
        <v>222</v>
      </c>
      <c r="I9" s="366"/>
      <c r="J9" s="366"/>
      <c r="L9" s="366" t="s">
        <v>225</v>
      </c>
      <c r="M9" s="366"/>
    </row>
    <row r="10" spans="1:15" x14ac:dyDescent="0.2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226</v>
      </c>
      <c r="H10" s="46" t="s">
        <v>223</v>
      </c>
      <c r="I10" s="46" t="s">
        <v>221</v>
      </c>
      <c r="J10" s="46" t="s">
        <v>224</v>
      </c>
      <c r="L10" s="46" t="s">
        <v>223</v>
      </c>
      <c r="M10" s="46" t="s">
        <v>221</v>
      </c>
    </row>
    <row r="11" spans="1:15" x14ac:dyDescent="0.25">
      <c r="A11" s="9">
        <v>1</v>
      </c>
      <c r="B11" s="41">
        <v>8</v>
      </c>
      <c r="C11" s="75">
        <f>A11*$L$3+$M$3</f>
        <v>1600</v>
      </c>
      <c r="D11" s="111">
        <v>1100</v>
      </c>
      <c r="E11" s="75">
        <f>IF(ISNUMBER(D11),D11*'Run - Duration'!C7,C11*'Run - Duration'!C7)</f>
        <v>3300.0000000000005</v>
      </c>
      <c r="H11" s="124">
        <v>6</v>
      </c>
      <c r="I11" s="126">
        <f ca="1">H59</f>
        <v>14192</v>
      </c>
      <c r="J11" s="125">
        <f ca="1">ROUND(I11/H11,0)</f>
        <v>2365</v>
      </c>
      <c r="L11" s="118">
        <v>4</v>
      </c>
      <c r="M11" s="125">
        <f ca="1">J11*L11</f>
        <v>9460</v>
      </c>
    </row>
    <row r="12" spans="1:15" x14ac:dyDescent="0.25">
      <c r="A12" s="8">
        <v>2</v>
      </c>
      <c r="B12" s="42">
        <v>10</v>
      </c>
      <c r="C12" s="75">
        <f t="shared" ref="C12:C19" si="0">A12*$L$3+$M$3</f>
        <v>1686.1111111111111</v>
      </c>
      <c r="D12" s="111">
        <v>2200</v>
      </c>
      <c r="E12" s="75">
        <f>IF(ISNUMBER(D12),D12*'Run - Duration'!C8,C12*'Run - Duration'!C8)</f>
        <v>7800.0000000000009</v>
      </c>
    </row>
    <row r="13" spans="1:15" x14ac:dyDescent="0.25">
      <c r="A13" s="8">
        <v>3</v>
      </c>
      <c r="B13" s="42">
        <v>10</v>
      </c>
      <c r="C13" s="75">
        <f t="shared" si="0"/>
        <v>1772.2222222222222</v>
      </c>
      <c r="D13" s="111">
        <v>2700</v>
      </c>
      <c r="E13" s="75">
        <f>IF(ISNUMBER(D13),D13*'Run - Duration'!C9,C13*'Run - Duration'!C9)</f>
        <v>11045.454545454548</v>
      </c>
    </row>
    <row r="14" spans="1:15" x14ac:dyDescent="0.25">
      <c r="A14" s="16">
        <v>4</v>
      </c>
      <c r="B14" s="43">
        <v>10</v>
      </c>
      <c r="C14" s="75">
        <f t="shared" si="0"/>
        <v>1858.3333333333335</v>
      </c>
      <c r="D14" s="111">
        <v>3200</v>
      </c>
      <c r="E14" s="75">
        <f>IF(ISNUMBER(D14),D14*'Run - Duration'!C10,C14*'Run - Duration'!C10)</f>
        <v>14836.363636363638</v>
      </c>
    </row>
    <row r="15" spans="1:15" x14ac:dyDescent="0.25">
      <c r="A15" s="16">
        <v>5</v>
      </c>
      <c r="B15" s="43">
        <v>15</v>
      </c>
      <c r="C15" s="75">
        <f t="shared" si="0"/>
        <v>1944.4444444444443</v>
      </c>
      <c r="D15" s="111">
        <v>4000</v>
      </c>
      <c r="E15" s="75">
        <f>IF(ISNUMBER(D15),D15*'Run - Duration'!C11,C15*'Run - Duration'!C11)</f>
        <v>20727.272727272728</v>
      </c>
    </row>
    <row r="16" spans="1:15" x14ac:dyDescent="0.25">
      <c r="A16" s="16">
        <v>6</v>
      </c>
      <c r="B16" s="43">
        <v>15</v>
      </c>
      <c r="C16" s="75">
        <f t="shared" si="0"/>
        <v>2030.5555555555557</v>
      </c>
      <c r="D16" s="111">
        <v>5200</v>
      </c>
      <c r="E16" s="75">
        <f>IF(ISNUMBER(D16),D16*'Run - Duration'!C12,C16*'Run - Duration'!C12)</f>
        <v>29781.818181818184</v>
      </c>
    </row>
    <row r="17" spans="1:25" x14ac:dyDescent="0.25">
      <c r="A17" s="14">
        <v>7</v>
      </c>
      <c r="B17" s="44">
        <v>15</v>
      </c>
      <c r="C17" s="75">
        <f t="shared" si="0"/>
        <v>2116.666666666667</v>
      </c>
      <c r="D17" s="111">
        <v>6000</v>
      </c>
      <c r="E17" s="75">
        <f>IF(ISNUMBER(D17),D17*'Run - Duration'!C13,C17*'Run - Duration'!C13)</f>
        <v>37636.36363636364</v>
      </c>
    </row>
    <row r="18" spans="1:25" x14ac:dyDescent="0.25">
      <c r="A18" s="14">
        <v>8</v>
      </c>
      <c r="B18" s="44">
        <v>20</v>
      </c>
      <c r="C18" s="75">
        <f t="shared" si="0"/>
        <v>2202.7777777777778</v>
      </c>
      <c r="D18" s="111">
        <v>8000</v>
      </c>
      <c r="E18" s="75">
        <f>IF(ISNUMBER(D18),D18*'Run - Duration'!C14,C18*'Run - Duration'!C14)</f>
        <v>54545.454545454544</v>
      </c>
    </row>
    <row r="19" spans="1:25" x14ac:dyDescent="0.25">
      <c r="A19" s="14">
        <v>9</v>
      </c>
      <c r="B19" s="44">
        <v>20</v>
      </c>
      <c r="C19" s="75">
        <f t="shared" si="0"/>
        <v>2288.8888888888887</v>
      </c>
      <c r="D19" s="111">
        <v>8000</v>
      </c>
      <c r="E19" s="75">
        <f>IF(ISNUMBER(D19),D19*'Run - Duration'!C15,C19*'Run - Duration'!C15)</f>
        <v>58909.090909090904</v>
      </c>
    </row>
    <row r="20" spans="1:25" x14ac:dyDescent="0.25">
      <c r="A20" s="17">
        <v>10</v>
      </c>
      <c r="B20" s="45">
        <v>20</v>
      </c>
      <c r="C20" s="75">
        <f>A20*$L$3+$M$3</f>
        <v>2375</v>
      </c>
      <c r="D20" s="111">
        <v>10000</v>
      </c>
      <c r="E20" s="75">
        <f>IF(ISNUMBER(D20),D20*'Run - Duration'!C16,C20*'Run - Duration'!C16)</f>
        <v>79090.909090909088</v>
      </c>
    </row>
    <row r="21" spans="1:25" x14ac:dyDescent="0.25">
      <c r="A21" s="17">
        <v>11</v>
      </c>
      <c r="B21" s="45">
        <v>20</v>
      </c>
      <c r="C21" s="75">
        <f t="shared" ref="C21:C23" si="1">A21*$L$3+$M$3</f>
        <v>2461.1111111111113</v>
      </c>
      <c r="D21" s="111">
        <v>10000</v>
      </c>
      <c r="E21" s="75">
        <f>IF(ISNUMBER(D21),D21*'Run - Duration'!C17,C21*'Run - Duration'!C17)</f>
        <v>84545.454545454544</v>
      </c>
    </row>
    <row r="22" spans="1:25" x14ac:dyDescent="0.25">
      <c r="A22" s="17">
        <v>12</v>
      </c>
      <c r="B22" s="45">
        <v>20</v>
      </c>
      <c r="C22" s="75">
        <f t="shared" si="1"/>
        <v>2547.2222222222226</v>
      </c>
      <c r="D22" s="111">
        <v>10000</v>
      </c>
      <c r="E22" s="75">
        <f>IF(ISNUMBER(D22),D22*'Run - Duration'!C18,C22*'Run - Duration'!C18)</f>
        <v>90000</v>
      </c>
    </row>
    <row r="23" spans="1:25" x14ac:dyDescent="0.25">
      <c r="A23" s="120">
        <v>13</v>
      </c>
      <c r="B23" s="121">
        <v>20</v>
      </c>
      <c r="C23" s="75">
        <f t="shared" si="1"/>
        <v>2633.3333333333335</v>
      </c>
      <c r="D23" s="111">
        <v>12000</v>
      </c>
      <c r="E23" s="75">
        <f>IF(ISNUMBER(D23),D23*'Run - Duration'!C19,C23*'Run - Duration'!C19)</f>
        <v>114545.45454545454</v>
      </c>
    </row>
    <row r="25" spans="1:25" ht="18.75" x14ac:dyDescent="0.25">
      <c r="A25" s="96" t="s">
        <v>177</v>
      </c>
      <c r="B25" s="97"/>
      <c r="C25" s="97"/>
      <c r="D25" t="s">
        <v>228</v>
      </c>
    </row>
    <row r="26" spans="1:25" x14ac:dyDescent="0.25">
      <c r="A26" s="1"/>
      <c r="B26" s="1"/>
      <c r="C26" s="82" t="s">
        <v>83</v>
      </c>
      <c r="D26" s="82" t="s">
        <v>227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/>
      <c r="B27" s="1"/>
      <c r="C27" s="92">
        <v>4000</v>
      </c>
      <c r="D27" s="21">
        <v>471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98">
        <v>1.2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82" t="s">
        <v>78</v>
      </c>
      <c r="B29" s="82" t="s">
        <v>79</v>
      </c>
      <c r="C29" s="82" t="s">
        <v>80</v>
      </c>
      <c r="D29" s="82" t="s">
        <v>81</v>
      </c>
      <c r="E29" s="82" t="s">
        <v>82</v>
      </c>
      <c r="F29" s="82">
        <v>1</v>
      </c>
      <c r="G29" s="82">
        <v>2</v>
      </c>
      <c r="H29" s="82">
        <v>3</v>
      </c>
      <c r="I29" s="82">
        <v>4</v>
      </c>
      <c r="J29" s="82">
        <v>5</v>
      </c>
      <c r="K29" s="82">
        <v>6</v>
      </c>
      <c r="L29" s="82">
        <v>7</v>
      </c>
      <c r="M29" s="82">
        <v>8</v>
      </c>
      <c r="N29" s="82">
        <v>9</v>
      </c>
      <c r="O29" s="82">
        <v>10</v>
      </c>
      <c r="P29" s="82">
        <v>11</v>
      </c>
      <c r="Q29" s="82">
        <v>12</v>
      </c>
      <c r="R29" s="82">
        <v>13</v>
      </c>
      <c r="S29" s="82">
        <v>14</v>
      </c>
      <c r="T29" s="82">
        <v>15</v>
      </c>
      <c r="U29" s="82">
        <v>16</v>
      </c>
      <c r="V29" s="82">
        <v>17</v>
      </c>
      <c r="W29" s="82">
        <v>18</v>
      </c>
      <c r="X29" s="82">
        <v>19</v>
      </c>
      <c r="Y29" s="82">
        <v>20</v>
      </c>
    </row>
    <row r="30" spans="1:25" x14ac:dyDescent="0.25">
      <c r="A30" s="21">
        <v>1</v>
      </c>
      <c r="B30" s="21">
        <v>0</v>
      </c>
      <c r="C30" s="21">
        <f>ROUND(IF(B30=0,0,$C$27*POWER(A30,$C$28)),0)</f>
        <v>0</v>
      </c>
      <c r="D30" s="21"/>
      <c r="E30" s="21"/>
      <c r="F30" s="1" t="b">
        <f>F$29&lt;=MAX($B30:$B31)</f>
        <v>1</v>
      </c>
      <c r="G30" s="1" t="b">
        <f t="shared" ref="G30:Y30" si="2">G$29&lt;=MAX($B30:$B31)</f>
        <v>1</v>
      </c>
      <c r="H30" s="1" t="b">
        <f t="shared" si="2"/>
        <v>1</v>
      </c>
      <c r="I30" s="1" t="b">
        <f t="shared" si="2"/>
        <v>1</v>
      </c>
      <c r="J30" s="1" t="b">
        <f t="shared" si="2"/>
        <v>1</v>
      </c>
      <c r="K30" s="1" t="b">
        <f t="shared" si="2"/>
        <v>1</v>
      </c>
      <c r="L30" s="1" t="b">
        <f t="shared" si="2"/>
        <v>1</v>
      </c>
      <c r="M30" s="1" t="b">
        <f t="shared" si="2"/>
        <v>0</v>
      </c>
      <c r="N30" s="1" t="b">
        <f t="shared" si="2"/>
        <v>0</v>
      </c>
      <c r="O30" s="1" t="b">
        <f t="shared" si="2"/>
        <v>0</v>
      </c>
      <c r="P30" s="1" t="b">
        <f t="shared" si="2"/>
        <v>0</v>
      </c>
      <c r="Q30" s="1" t="b">
        <f t="shared" si="2"/>
        <v>0</v>
      </c>
      <c r="R30" s="1" t="b">
        <f t="shared" si="2"/>
        <v>0</v>
      </c>
      <c r="S30" s="1" t="b">
        <f t="shared" si="2"/>
        <v>0</v>
      </c>
      <c r="T30" s="1" t="b">
        <f t="shared" si="2"/>
        <v>0</v>
      </c>
      <c r="U30" s="1" t="b">
        <f t="shared" si="2"/>
        <v>0</v>
      </c>
      <c r="V30" s="1" t="b">
        <f t="shared" si="2"/>
        <v>0</v>
      </c>
      <c r="W30" s="1" t="b">
        <f t="shared" si="2"/>
        <v>0</v>
      </c>
      <c r="X30" s="1" t="b">
        <f t="shared" si="2"/>
        <v>0</v>
      </c>
      <c r="Y30" s="1" t="b">
        <f t="shared" si="2"/>
        <v>0</v>
      </c>
    </row>
    <row r="31" spans="1:25" x14ac:dyDescent="0.25">
      <c r="A31" s="83">
        <v>1</v>
      </c>
      <c r="B31" s="83">
        <v>7</v>
      </c>
      <c r="C31" s="83">
        <f>ROUND(IF(B31=0,0,$C$27*POWER(A31,$C$28)),0)</f>
        <v>4000</v>
      </c>
      <c r="D31" s="83">
        <f t="array" ref="D31:E31">LINEST(C30:C31,B30:B31,FALSE,FALSE)</f>
        <v>571.42857142857144</v>
      </c>
      <c r="E31" s="83">
        <v>0</v>
      </c>
      <c r="F31" s="34">
        <f>IF(F30,$D$31*F29+$E$31,"")</f>
        <v>571.42857142857144</v>
      </c>
      <c r="G31" s="34">
        <f t="shared" ref="G31:Y31" si="3">IF(G30,$D$31*G29+$E$31,"")</f>
        <v>1142.8571428571429</v>
      </c>
      <c r="H31" s="34">
        <f t="shared" si="3"/>
        <v>1714.2857142857142</v>
      </c>
      <c r="I31" s="34">
        <f t="shared" si="3"/>
        <v>2285.7142857142858</v>
      </c>
      <c r="J31" s="34">
        <f>IF(J30,$D$27*J29+$E$31,"")</f>
        <v>2355</v>
      </c>
      <c r="K31" s="34">
        <f>IF(K30,$D$27*K29+$E$31,"")</f>
        <v>2826</v>
      </c>
      <c r="L31" s="34">
        <f>IF(L30,$D$27*L29+$E$31,"")</f>
        <v>3297</v>
      </c>
      <c r="M31" s="34" t="str">
        <f t="shared" si="3"/>
        <v/>
      </c>
      <c r="N31" s="34" t="str">
        <f t="shared" si="3"/>
        <v/>
      </c>
      <c r="O31" s="34" t="str">
        <f t="shared" si="3"/>
        <v/>
      </c>
      <c r="P31" s="34" t="str">
        <f t="shared" si="3"/>
        <v/>
      </c>
      <c r="Q31" s="34" t="str">
        <f t="shared" si="3"/>
        <v/>
      </c>
      <c r="R31" s="34" t="str">
        <f t="shared" si="3"/>
        <v/>
      </c>
      <c r="S31" s="34" t="str">
        <f t="shared" si="3"/>
        <v/>
      </c>
      <c r="T31" s="34" t="str">
        <f t="shared" si="3"/>
        <v/>
      </c>
      <c r="U31" s="34" t="str">
        <f t="shared" si="3"/>
        <v/>
      </c>
      <c r="V31" s="34" t="str">
        <f t="shared" si="3"/>
        <v/>
      </c>
      <c r="W31" s="34" t="str">
        <f t="shared" si="3"/>
        <v/>
      </c>
      <c r="X31" s="34" t="str">
        <f t="shared" si="3"/>
        <v/>
      </c>
      <c r="Y31" s="34" t="str">
        <f t="shared" si="3"/>
        <v/>
      </c>
    </row>
    <row r="32" spans="1:25" x14ac:dyDescent="0.25">
      <c r="A32" s="84">
        <v>2</v>
      </c>
      <c r="B32" s="84">
        <v>0</v>
      </c>
      <c r="C32" s="84">
        <f t="shared" ref="C32:C52" si="4">ROUND(IF(B32=0,0,$C$27*POWER(A32,$C$28)),0)</f>
        <v>0</v>
      </c>
      <c r="D32" s="84"/>
      <c r="E32" s="84"/>
      <c r="F32" s="1" t="b">
        <f>F$29&lt;=MAX($B32:$B33)</f>
        <v>1</v>
      </c>
      <c r="G32" s="1" t="b">
        <f t="shared" ref="G32:Y32" si="5">G$29&lt;=MAX($B32:$B33)</f>
        <v>1</v>
      </c>
      <c r="H32" s="1" t="b">
        <f t="shared" si="5"/>
        <v>1</v>
      </c>
      <c r="I32" s="1" t="b">
        <f t="shared" si="5"/>
        <v>1</v>
      </c>
      <c r="J32" s="1" t="b">
        <f t="shared" si="5"/>
        <v>1</v>
      </c>
      <c r="K32" s="1" t="b">
        <f t="shared" si="5"/>
        <v>1</v>
      </c>
      <c r="L32" s="1" t="b">
        <f t="shared" si="5"/>
        <v>1</v>
      </c>
      <c r="M32" s="1" t="b">
        <f t="shared" si="5"/>
        <v>1</v>
      </c>
      <c r="N32" s="1" t="b">
        <f t="shared" si="5"/>
        <v>1</v>
      </c>
      <c r="O32" s="1" t="b">
        <f t="shared" si="5"/>
        <v>0</v>
      </c>
      <c r="P32" s="1" t="b">
        <f t="shared" si="5"/>
        <v>0</v>
      </c>
      <c r="Q32" s="1" t="b">
        <f t="shared" si="5"/>
        <v>0</v>
      </c>
      <c r="R32" s="1" t="b">
        <f t="shared" si="5"/>
        <v>0</v>
      </c>
      <c r="S32" s="1" t="b">
        <f t="shared" si="5"/>
        <v>0</v>
      </c>
      <c r="T32" s="1" t="b">
        <f t="shared" si="5"/>
        <v>0</v>
      </c>
      <c r="U32" s="1" t="b">
        <f t="shared" si="5"/>
        <v>0</v>
      </c>
      <c r="V32" s="1" t="b">
        <f t="shared" si="5"/>
        <v>0</v>
      </c>
      <c r="W32" s="1" t="b">
        <f t="shared" si="5"/>
        <v>0</v>
      </c>
      <c r="X32" s="1" t="b">
        <f t="shared" si="5"/>
        <v>0</v>
      </c>
      <c r="Y32" s="1" t="b">
        <f t="shared" si="5"/>
        <v>0</v>
      </c>
    </row>
    <row r="33" spans="1:25" x14ac:dyDescent="0.25">
      <c r="A33" s="85">
        <v>2</v>
      </c>
      <c r="B33" s="85">
        <v>9</v>
      </c>
      <c r="C33" s="85">
        <f t="shared" si="4"/>
        <v>9190</v>
      </c>
      <c r="D33" s="85">
        <f t="array" ref="D33:E33">LINEST(C32:C33,B32:B33,FALSE,FALSE)</f>
        <v>1021.1111111111111</v>
      </c>
      <c r="E33" s="85">
        <v>0</v>
      </c>
      <c r="F33" s="34">
        <f>IF(F32,$D$33*F29+$E$33,"")</f>
        <v>1021.1111111111111</v>
      </c>
      <c r="G33" s="34">
        <f t="shared" ref="G33:Y33" si="6">IF(G32,$D$33*G29+$E$33,"")</f>
        <v>2042.2222222222222</v>
      </c>
      <c r="H33" s="34">
        <f t="shared" si="6"/>
        <v>3063.333333333333</v>
      </c>
      <c r="I33" s="34">
        <f t="shared" si="6"/>
        <v>4084.4444444444443</v>
      </c>
      <c r="J33" s="34">
        <f t="shared" si="6"/>
        <v>5105.5555555555557</v>
      </c>
      <c r="K33" s="34">
        <f t="shared" si="6"/>
        <v>6126.6666666666661</v>
      </c>
      <c r="L33" s="34">
        <f t="shared" si="6"/>
        <v>7147.7777777777774</v>
      </c>
      <c r="M33" s="34">
        <f t="shared" si="6"/>
        <v>8168.8888888888887</v>
      </c>
      <c r="N33" s="34">
        <f t="shared" si="6"/>
        <v>9190</v>
      </c>
      <c r="O33" s="34" t="str">
        <f t="shared" si="6"/>
        <v/>
      </c>
      <c r="P33" s="34" t="str">
        <f t="shared" si="6"/>
        <v/>
      </c>
      <c r="Q33" s="34" t="str">
        <f t="shared" si="6"/>
        <v/>
      </c>
      <c r="R33" s="34" t="str">
        <f t="shared" si="6"/>
        <v/>
      </c>
      <c r="S33" s="34" t="str">
        <f t="shared" si="6"/>
        <v/>
      </c>
      <c r="T33" s="34" t="str">
        <f t="shared" si="6"/>
        <v/>
      </c>
      <c r="U33" s="34" t="str">
        <f t="shared" si="6"/>
        <v/>
      </c>
      <c r="V33" s="34" t="str">
        <f t="shared" si="6"/>
        <v/>
      </c>
      <c r="W33" s="34" t="str">
        <f t="shared" si="6"/>
        <v/>
      </c>
      <c r="X33" s="34" t="str">
        <f t="shared" si="6"/>
        <v/>
      </c>
      <c r="Y33" s="34" t="str">
        <f t="shared" si="6"/>
        <v/>
      </c>
    </row>
    <row r="34" spans="1:25" x14ac:dyDescent="0.25">
      <c r="A34" s="84">
        <v>3</v>
      </c>
      <c r="B34" s="84">
        <v>0</v>
      </c>
      <c r="C34" s="84">
        <f t="shared" si="4"/>
        <v>0</v>
      </c>
      <c r="D34" s="84"/>
      <c r="E34" s="84"/>
      <c r="F34" s="1" t="b">
        <f>F$29&lt;=MAX($B34:$B35)</f>
        <v>1</v>
      </c>
      <c r="G34" s="1" t="b">
        <f t="shared" ref="G34:Y34" si="7">G$29&lt;=MAX($B34:$B35)</f>
        <v>1</v>
      </c>
      <c r="H34" s="1" t="b">
        <f t="shared" si="7"/>
        <v>1</v>
      </c>
      <c r="I34" s="1" t="b">
        <f t="shared" si="7"/>
        <v>1</v>
      </c>
      <c r="J34" s="1" t="b">
        <f t="shared" si="7"/>
        <v>1</v>
      </c>
      <c r="K34" s="1" t="b">
        <f t="shared" si="7"/>
        <v>1</v>
      </c>
      <c r="L34" s="1" t="b">
        <f t="shared" si="7"/>
        <v>1</v>
      </c>
      <c r="M34" s="1" t="b">
        <f t="shared" si="7"/>
        <v>1</v>
      </c>
      <c r="N34" s="1" t="b">
        <f t="shared" si="7"/>
        <v>1</v>
      </c>
      <c r="O34" s="1" t="b">
        <f t="shared" si="7"/>
        <v>0</v>
      </c>
      <c r="P34" s="1" t="b">
        <f t="shared" si="7"/>
        <v>0</v>
      </c>
      <c r="Q34" s="1" t="b">
        <f t="shared" si="7"/>
        <v>0</v>
      </c>
      <c r="R34" s="1" t="b">
        <f t="shared" si="7"/>
        <v>0</v>
      </c>
      <c r="S34" s="1" t="b">
        <f t="shared" si="7"/>
        <v>0</v>
      </c>
      <c r="T34" s="1" t="b">
        <f t="shared" si="7"/>
        <v>0</v>
      </c>
      <c r="U34" s="1" t="b">
        <f t="shared" si="7"/>
        <v>0</v>
      </c>
      <c r="V34" s="1" t="b">
        <f t="shared" si="7"/>
        <v>0</v>
      </c>
      <c r="W34" s="1" t="b">
        <f t="shared" si="7"/>
        <v>0</v>
      </c>
      <c r="X34" s="1" t="b">
        <f t="shared" si="7"/>
        <v>0</v>
      </c>
      <c r="Y34" s="1" t="b">
        <f t="shared" si="7"/>
        <v>0</v>
      </c>
    </row>
    <row r="35" spans="1:25" x14ac:dyDescent="0.25">
      <c r="A35" s="85">
        <v>3</v>
      </c>
      <c r="B35" s="85">
        <v>9</v>
      </c>
      <c r="C35" s="85">
        <f t="shared" si="4"/>
        <v>14949</v>
      </c>
      <c r="D35" s="85">
        <f t="array" ref="D35:E35">LINEST(C34:C35,B34:B35,FALSE,FALSE)</f>
        <v>1661</v>
      </c>
      <c r="E35" s="85">
        <v>0</v>
      </c>
      <c r="F35" s="34">
        <f>IF(F34,$D$35*F29+$E$35,"")</f>
        <v>1661</v>
      </c>
      <c r="G35" s="34">
        <f t="shared" ref="G35:Y35" si="8">IF(G34,$D$35*G29+$E$35,"")</f>
        <v>3322</v>
      </c>
      <c r="H35" s="34">
        <f t="shared" si="8"/>
        <v>4983</v>
      </c>
      <c r="I35" s="34">
        <f t="shared" si="8"/>
        <v>6644</v>
      </c>
      <c r="J35" s="34">
        <f t="shared" si="8"/>
        <v>8305</v>
      </c>
      <c r="K35" s="34">
        <f t="shared" si="8"/>
        <v>9966</v>
      </c>
      <c r="L35" s="34">
        <f t="shared" si="8"/>
        <v>11627</v>
      </c>
      <c r="M35" s="34">
        <f t="shared" si="8"/>
        <v>13288</v>
      </c>
      <c r="N35" s="34">
        <f t="shared" si="8"/>
        <v>14949</v>
      </c>
      <c r="O35" s="34" t="str">
        <f t="shared" si="8"/>
        <v/>
      </c>
      <c r="P35" s="34" t="str">
        <f t="shared" si="8"/>
        <v/>
      </c>
      <c r="Q35" s="34" t="str">
        <f t="shared" si="8"/>
        <v/>
      </c>
      <c r="R35" s="34" t="str">
        <f t="shared" si="8"/>
        <v/>
      </c>
      <c r="S35" s="34" t="str">
        <f t="shared" si="8"/>
        <v/>
      </c>
      <c r="T35" s="34" t="str">
        <f t="shared" si="8"/>
        <v/>
      </c>
      <c r="U35" s="34" t="str">
        <f t="shared" si="8"/>
        <v/>
      </c>
      <c r="V35" s="34" t="str">
        <f t="shared" si="8"/>
        <v/>
      </c>
      <c r="W35" s="34" t="str">
        <f t="shared" si="8"/>
        <v/>
      </c>
      <c r="X35" s="34" t="str">
        <f t="shared" si="8"/>
        <v/>
      </c>
      <c r="Y35" s="34" t="str">
        <f t="shared" si="8"/>
        <v/>
      </c>
    </row>
    <row r="36" spans="1:25" x14ac:dyDescent="0.25">
      <c r="A36" s="86">
        <v>4</v>
      </c>
      <c r="B36" s="86">
        <v>0</v>
      </c>
      <c r="C36" s="86">
        <f t="shared" si="4"/>
        <v>0</v>
      </c>
      <c r="D36" s="86"/>
      <c r="E36" s="86"/>
      <c r="F36" s="1" t="b">
        <f>F$29&lt;=MAX($B36:$B37)</f>
        <v>1</v>
      </c>
      <c r="G36" s="1" t="b">
        <f t="shared" ref="G36:Y36" si="9">G$29&lt;=MAX($B36:$B37)</f>
        <v>1</v>
      </c>
      <c r="H36" s="1" t="b">
        <f t="shared" si="9"/>
        <v>1</v>
      </c>
      <c r="I36" s="1" t="b">
        <f t="shared" si="9"/>
        <v>1</v>
      </c>
      <c r="J36" s="1" t="b">
        <f t="shared" si="9"/>
        <v>1</v>
      </c>
      <c r="K36" s="1" t="b">
        <f t="shared" si="9"/>
        <v>1</v>
      </c>
      <c r="L36" s="1" t="b">
        <f t="shared" si="9"/>
        <v>1</v>
      </c>
      <c r="M36" s="1" t="b">
        <f t="shared" si="9"/>
        <v>1</v>
      </c>
      <c r="N36" s="1" t="b">
        <f t="shared" si="9"/>
        <v>1</v>
      </c>
      <c r="O36" s="1" t="b">
        <f t="shared" si="9"/>
        <v>0</v>
      </c>
      <c r="P36" s="1" t="b">
        <f t="shared" si="9"/>
        <v>0</v>
      </c>
      <c r="Q36" s="1" t="b">
        <f t="shared" si="9"/>
        <v>0</v>
      </c>
      <c r="R36" s="1" t="b">
        <f t="shared" si="9"/>
        <v>0</v>
      </c>
      <c r="S36" s="1" t="b">
        <f t="shared" si="9"/>
        <v>0</v>
      </c>
      <c r="T36" s="1" t="b">
        <f t="shared" si="9"/>
        <v>0</v>
      </c>
      <c r="U36" s="1" t="b">
        <f t="shared" si="9"/>
        <v>0</v>
      </c>
      <c r="V36" s="1" t="b">
        <f t="shared" si="9"/>
        <v>0</v>
      </c>
      <c r="W36" s="1" t="b">
        <f t="shared" si="9"/>
        <v>0</v>
      </c>
      <c r="X36" s="1" t="b">
        <f t="shared" si="9"/>
        <v>0</v>
      </c>
      <c r="Y36" s="1" t="b">
        <f t="shared" si="9"/>
        <v>0</v>
      </c>
    </row>
    <row r="37" spans="1:25" x14ac:dyDescent="0.25">
      <c r="A37" s="87">
        <v>4</v>
      </c>
      <c r="B37" s="87">
        <v>9</v>
      </c>
      <c r="C37" s="87">
        <f t="shared" si="4"/>
        <v>21112</v>
      </c>
      <c r="D37" s="87">
        <f t="array" ref="D37:E37">LINEST(C36:C37,B36:B37,FALSE,FALSE)</f>
        <v>2345.7777777777778</v>
      </c>
      <c r="E37" s="87">
        <v>0</v>
      </c>
      <c r="F37" s="34">
        <f>IF(F36,$D$37*F29+$E$37,"")</f>
        <v>2345.7777777777778</v>
      </c>
      <c r="G37" s="34">
        <f t="shared" ref="G37:Y37" si="10">IF(G36,$D$37*G29+$E$37,"")</f>
        <v>4691.5555555555557</v>
      </c>
      <c r="H37" s="34">
        <f t="shared" si="10"/>
        <v>7037.3333333333339</v>
      </c>
      <c r="I37" s="34">
        <f t="shared" si="10"/>
        <v>9383.1111111111113</v>
      </c>
      <c r="J37" s="34">
        <f t="shared" si="10"/>
        <v>11728.888888888889</v>
      </c>
      <c r="K37" s="34">
        <f t="shared" si="10"/>
        <v>14074.666666666668</v>
      </c>
      <c r="L37" s="34">
        <f t="shared" si="10"/>
        <v>16420.444444444445</v>
      </c>
      <c r="M37" s="34">
        <f t="shared" si="10"/>
        <v>18766.222222222223</v>
      </c>
      <c r="N37" s="34">
        <f t="shared" si="10"/>
        <v>21112</v>
      </c>
      <c r="O37" s="34" t="str">
        <f t="shared" si="10"/>
        <v/>
      </c>
      <c r="P37" s="34" t="str">
        <f t="shared" si="10"/>
        <v/>
      </c>
      <c r="Q37" s="34" t="str">
        <f t="shared" si="10"/>
        <v/>
      </c>
      <c r="R37" s="34" t="str">
        <f t="shared" si="10"/>
        <v/>
      </c>
      <c r="S37" s="34" t="str">
        <f t="shared" si="10"/>
        <v/>
      </c>
      <c r="T37" s="34" t="str">
        <f t="shared" si="10"/>
        <v/>
      </c>
      <c r="U37" s="34" t="str">
        <f t="shared" si="10"/>
        <v/>
      </c>
      <c r="V37" s="34" t="str">
        <f t="shared" si="10"/>
        <v/>
      </c>
      <c r="W37" s="34" t="str">
        <f t="shared" si="10"/>
        <v/>
      </c>
      <c r="X37" s="34" t="str">
        <f t="shared" si="10"/>
        <v/>
      </c>
      <c r="Y37" s="34" t="str">
        <f t="shared" si="10"/>
        <v/>
      </c>
    </row>
    <row r="38" spans="1:25" x14ac:dyDescent="0.25">
      <c r="A38" s="86">
        <v>5</v>
      </c>
      <c r="B38" s="86">
        <v>0</v>
      </c>
      <c r="C38" s="86">
        <f t="shared" si="4"/>
        <v>0</v>
      </c>
      <c r="D38" s="86"/>
      <c r="E38" s="86"/>
      <c r="F38" s="1" t="b">
        <f>F$29&lt;=MAX($B38:$B39)</f>
        <v>1</v>
      </c>
      <c r="G38" s="1" t="b">
        <f t="shared" ref="G38:Y38" si="11">G$29&lt;=MAX($B38:$B39)</f>
        <v>1</v>
      </c>
      <c r="H38" s="1" t="b">
        <f t="shared" si="11"/>
        <v>1</v>
      </c>
      <c r="I38" s="1" t="b">
        <f t="shared" si="11"/>
        <v>1</v>
      </c>
      <c r="J38" s="1" t="b">
        <f t="shared" si="11"/>
        <v>1</v>
      </c>
      <c r="K38" s="1" t="b">
        <f t="shared" si="11"/>
        <v>1</v>
      </c>
      <c r="L38" s="1" t="b">
        <f t="shared" si="11"/>
        <v>1</v>
      </c>
      <c r="M38" s="1" t="b">
        <f t="shared" si="11"/>
        <v>1</v>
      </c>
      <c r="N38" s="1" t="b">
        <f t="shared" si="11"/>
        <v>1</v>
      </c>
      <c r="O38" s="1" t="b">
        <f t="shared" si="11"/>
        <v>1</v>
      </c>
      <c r="P38" s="1" t="b">
        <f t="shared" si="11"/>
        <v>1</v>
      </c>
      <c r="Q38" s="1" t="b">
        <f t="shared" si="11"/>
        <v>1</v>
      </c>
      <c r="R38" s="1" t="b">
        <f t="shared" si="11"/>
        <v>1</v>
      </c>
      <c r="S38" s="1" t="b">
        <f t="shared" si="11"/>
        <v>1</v>
      </c>
      <c r="T38" s="1" t="b">
        <f t="shared" si="11"/>
        <v>0</v>
      </c>
      <c r="U38" s="1" t="b">
        <f t="shared" si="11"/>
        <v>0</v>
      </c>
      <c r="V38" s="1" t="b">
        <f t="shared" si="11"/>
        <v>0</v>
      </c>
      <c r="W38" s="1" t="b">
        <f t="shared" si="11"/>
        <v>0</v>
      </c>
      <c r="X38" s="1" t="b">
        <f t="shared" si="11"/>
        <v>0</v>
      </c>
      <c r="Y38" s="1" t="b">
        <f t="shared" si="11"/>
        <v>0</v>
      </c>
    </row>
    <row r="39" spans="1:25" x14ac:dyDescent="0.25">
      <c r="A39" s="87">
        <v>5</v>
      </c>
      <c r="B39" s="87">
        <v>14</v>
      </c>
      <c r="C39" s="87">
        <f t="shared" si="4"/>
        <v>27595</v>
      </c>
      <c r="D39" s="87">
        <f t="array" ref="D39:E39">LINEST(C38:C39,B38:B39,TRUE,FALSE)</f>
        <v>1971.0714285714287</v>
      </c>
      <c r="E39" s="87">
        <v>0</v>
      </c>
      <c r="F39" s="34">
        <f>IF(F38,$D$39*F29+$E$39,"")</f>
        <v>1971.0714285714287</v>
      </c>
      <c r="G39" s="34">
        <f t="shared" ref="G39:Y39" si="12">IF(G38,$D$39*G29+$E$39,"")</f>
        <v>3942.1428571428573</v>
      </c>
      <c r="H39" s="34">
        <f t="shared" si="12"/>
        <v>5913.2142857142862</v>
      </c>
      <c r="I39" s="34">
        <f t="shared" si="12"/>
        <v>7884.2857142857147</v>
      </c>
      <c r="J39" s="34">
        <f t="shared" si="12"/>
        <v>9855.3571428571431</v>
      </c>
      <c r="K39" s="34">
        <f t="shared" si="12"/>
        <v>11826.428571428572</v>
      </c>
      <c r="L39" s="34">
        <f t="shared" si="12"/>
        <v>13797.5</v>
      </c>
      <c r="M39" s="34">
        <f t="shared" si="12"/>
        <v>15768.571428571429</v>
      </c>
      <c r="N39" s="34">
        <f t="shared" si="12"/>
        <v>17739.642857142859</v>
      </c>
      <c r="O39" s="34">
        <f t="shared" si="12"/>
        <v>19710.714285714286</v>
      </c>
      <c r="P39" s="34">
        <f t="shared" si="12"/>
        <v>21681.785714285714</v>
      </c>
      <c r="Q39" s="34">
        <f t="shared" si="12"/>
        <v>23652.857142857145</v>
      </c>
      <c r="R39" s="34">
        <f t="shared" si="12"/>
        <v>25623.928571428572</v>
      </c>
      <c r="S39" s="34">
        <f t="shared" si="12"/>
        <v>27595</v>
      </c>
      <c r="T39" s="34" t="str">
        <f t="shared" si="12"/>
        <v/>
      </c>
      <c r="U39" s="34" t="str">
        <f t="shared" si="12"/>
        <v/>
      </c>
      <c r="V39" s="34" t="str">
        <f t="shared" si="12"/>
        <v/>
      </c>
      <c r="W39" s="34" t="str">
        <f t="shared" si="12"/>
        <v/>
      </c>
      <c r="X39" s="34" t="str">
        <f t="shared" si="12"/>
        <v/>
      </c>
      <c r="Y39" s="34" t="str">
        <f t="shared" si="12"/>
        <v/>
      </c>
    </row>
    <row r="40" spans="1:25" x14ac:dyDescent="0.25">
      <c r="A40" s="86">
        <v>6</v>
      </c>
      <c r="B40" s="86">
        <v>0</v>
      </c>
      <c r="C40" s="86">
        <f t="shared" si="4"/>
        <v>0</v>
      </c>
      <c r="D40" s="86"/>
      <c r="E40" s="86"/>
      <c r="F40" s="1" t="b">
        <f>F$29&lt;=MAX($B40:$B41)</f>
        <v>1</v>
      </c>
      <c r="G40" s="1" t="b">
        <f t="shared" ref="G40:Y40" si="13">G$29&lt;=MAX($B40:$B41)</f>
        <v>1</v>
      </c>
      <c r="H40" s="1" t="b">
        <f t="shared" si="13"/>
        <v>1</v>
      </c>
      <c r="I40" s="1" t="b">
        <f t="shared" si="13"/>
        <v>1</v>
      </c>
      <c r="J40" s="1" t="b">
        <f t="shared" si="13"/>
        <v>1</v>
      </c>
      <c r="K40" s="1" t="b">
        <f t="shared" si="13"/>
        <v>1</v>
      </c>
      <c r="L40" s="1" t="b">
        <f t="shared" si="13"/>
        <v>1</v>
      </c>
      <c r="M40" s="1" t="b">
        <f t="shared" si="13"/>
        <v>1</v>
      </c>
      <c r="N40" s="1" t="b">
        <f t="shared" si="13"/>
        <v>1</v>
      </c>
      <c r="O40" s="1" t="b">
        <f t="shared" si="13"/>
        <v>1</v>
      </c>
      <c r="P40" s="1" t="b">
        <f t="shared" si="13"/>
        <v>1</v>
      </c>
      <c r="Q40" s="1" t="b">
        <f t="shared" si="13"/>
        <v>1</v>
      </c>
      <c r="R40" s="1" t="b">
        <f t="shared" si="13"/>
        <v>1</v>
      </c>
      <c r="S40" s="1" t="b">
        <f t="shared" si="13"/>
        <v>1</v>
      </c>
      <c r="T40" s="1" t="b">
        <f t="shared" si="13"/>
        <v>0</v>
      </c>
      <c r="U40" s="1" t="b">
        <f t="shared" si="13"/>
        <v>0</v>
      </c>
      <c r="V40" s="1" t="b">
        <f t="shared" si="13"/>
        <v>0</v>
      </c>
      <c r="W40" s="1" t="b">
        <f t="shared" si="13"/>
        <v>0</v>
      </c>
      <c r="X40" s="1" t="b">
        <f t="shared" si="13"/>
        <v>0</v>
      </c>
      <c r="Y40" s="1" t="b">
        <f t="shared" si="13"/>
        <v>0</v>
      </c>
    </row>
    <row r="41" spans="1:25" x14ac:dyDescent="0.25">
      <c r="A41" s="87">
        <v>6</v>
      </c>
      <c r="B41" s="87">
        <v>14</v>
      </c>
      <c r="C41" s="87">
        <f t="shared" si="4"/>
        <v>34343</v>
      </c>
      <c r="D41" s="87">
        <f t="array" ref="D41:E41">LINEST(C40:C41,B40:B41,TRUE,FALSE)</f>
        <v>2453.0714285714284</v>
      </c>
      <c r="E41" s="87">
        <v>0</v>
      </c>
      <c r="F41" s="34">
        <f>IF(F40,$D$41*F29+$E$41,"")</f>
        <v>2453.0714285714284</v>
      </c>
      <c r="G41" s="34">
        <f t="shared" ref="G41:Y41" si="14">IF(G40,$D$41*G29+$E$41,"")</f>
        <v>4906.1428571428569</v>
      </c>
      <c r="H41" s="34">
        <f t="shared" si="14"/>
        <v>7359.2142857142853</v>
      </c>
      <c r="I41" s="34">
        <f t="shared" si="14"/>
        <v>9812.2857142857138</v>
      </c>
      <c r="J41" s="34">
        <f t="shared" si="14"/>
        <v>12265.357142857141</v>
      </c>
      <c r="K41" s="34">
        <f t="shared" si="14"/>
        <v>14718.428571428571</v>
      </c>
      <c r="L41" s="34">
        <f t="shared" si="14"/>
        <v>17171.5</v>
      </c>
      <c r="M41" s="34">
        <f t="shared" si="14"/>
        <v>19624.571428571428</v>
      </c>
      <c r="N41" s="34">
        <f t="shared" si="14"/>
        <v>22077.642857142855</v>
      </c>
      <c r="O41" s="34">
        <f t="shared" si="14"/>
        <v>24530.714285714283</v>
      </c>
      <c r="P41" s="34">
        <f t="shared" si="14"/>
        <v>26983.785714285714</v>
      </c>
      <c r="Q41" s="34">
        <f t="shared" si="14"/>
        <v>29436.857142857141</v>
      </c>
      <c r="R41" s="34">
        <f t="shared" si="14"/>
        <v>31889.928571428569</v>
      </c>
      <c r="S41" s="34">
        <f t="shared" si="14"/>
        <v>34343</v>
      </c>
      <c r="T41" s="34" t="str">
        <f t="shared" si="14"/>
        <v/>
      </c>
      <c r="U41" s="34" t="str">
        <f t="shared" si="14"/>
        <v/>
      </c>
      <c r="V41" s="34" t="str">
        <f t="shared" si="14"/>
        <v/>
      </c>
      <c r="W41" s="34" t="str">
        <f t="shared" si="14"/>
        <v/>
      </c>
      <c r="X41" s="34" t="str">
        <f t="shared" si="14"/>
        <v/>
      </c>
      <c r="Y41" s="34" t="str">
        <f t="shared" si="14"/>
        <v/>
      </c>
    </row>
    <row r="42" spans="1:25" x14ac:dyDescent="0.25">
      <c r="A42" s="88">
        <v>7</v>
      </c>
      <c r="B42" s="88">
        <v>0</v>
      </c>
      <c r="C42" s="88">
        <f t="shared" si="4"/>
        <v>0</v>
      </c>
      <c r="D42" s="88"/>
      <c r="E42" s="88"/>
      <c r="F42" s="1" t="b">
        <f>F$29&lt;=MAX($B42:$B43)</f>
        <v>1</v>
      </c>
      <c r="G42" s="1" t="b">
        <f t="shared" ref="G42:Y42" si="15">G$29&lt;=MAX($B42:$B43)</f>
        <v>1</v>
      </c>
      <c r="H42" s="1" t="b">
        <f t="shared" si="15"/>
        <v>1</v>
      </c>
      <c r="I42" s="1" t="b">
        <f t="shared" si="15"/>
        <v>1</v>
      </c>
      <c r="J42" s="1" t="b">
        <f t="shared" si="15"/>
        <v>1</v>
      </c>
      <c r="K42" s="1" t="b">
        <f t="shared" si="15"/>
        <v>1</v>
      </c>
      <c r="L42" s="1" t="b">
        <f t="shared" si="15"/>
        <v>1</v>
      </c>
      <c r="M42" s="1" t="b">
        <f t="shared" si="15"/>
        <v>1</v>
      </c>
      <c r="N42" s="1" t="b">
        <f t="shared" si="15"/>
        <v>1</v>
      </c>
      <c r="O42" s="1" t="b">
        <f t="shared" si="15"/>
        <v>1</v>
      </c>
      <c r="P42" s="1" t="b">
        <f t="shared" si="15"/>
        <v>1</v>
      </c>
      <c r="Q42" s="1" t="b">
        <f t="shared" si="15"/>
        <v>1</v>
      </c>
      <c r="R42" s="1" t="b">
        <f t="shared" si="15"/>
        <v>1</v>
      </c>
      <c r="S42" s="1" t="b">
        <f t="shared" si="15"/>
        <v>1</v>
      </c>
      <c r="T42" s="1" t="b">
        <f t="shared" si="15"/>
        <v>0</v>
      </c>
      <c r="U42" s="1" t="b">
        <f t="shared" si="15"/>
        <v>0</v>
      </c>
      <c r="V42" s="1" t="b">
        <f t="shared" si="15"/>
        <v>0</v>
      </c>
      <c r="W42" s="1" t="b">
        <f t="shared" si="15"/>
        <v>0</v>
      </c>
      <c r="X42" s="1" t="b">
        <f t="shared" si="15"/>
        <v>0</v>
      </c>
      <c r="Y42" s="1" t="b">
        <f t="shared" si="15"/>
        <v>0</v>
      </c>
    </row>
    <row r="43" spans="1:25" x14ac:dyDescent="0.25">
      <c r="A43" s="89">
        <v>7</v>
      </c>
      <c r="B43" s="89">
        <v>14</v>
      </c>
      <c r="C43" s="89">
        <f t="shared" si="4"/>
        <v>41322</v>
      </c>
      <c r="D43" s="89">
        <f t="array" ref="D43:E43">LINEST(C42:C43,B42:B43,TRUE,FALSE)</f>
        <v>2951.5714285714275</v>
      </c>
      <c r="E43" s="89">
        <v>7.2759576141834259E-12</v>
      </c>
      <c r="F43" s="34">
        <f>IF(F42,$D$43*F29+$E$43,"")</f>
        <v>2951.5714285714348</v>
      </c>
      <c r="G43" s="34">
        <f t="shared" ref="G43:Y43" si="16">IF(G42,$D$43*G29+$E$43,"")</f>
        <v>5903.1428571428623</v>
      </c>
      <c r="H43" s="34">
        <f t="shared" si="16"/>
        <v>8854.7142857142899</v>
      </c>
      <c r="I43" s="34">
        <f t="shared" si="16"/>
        <v>11806.285714285717</v>
      </c>
      <c r="J43" s="34">
        <f t="shared" si="16"/>
        <v>14757.857142857145</v>
      </c>
      <c r="K43" s="34">
        <f t="shared" si="16"/>
        <v>17709.428571428572</v>
      </c>
      <c r="L43" s="34">
        <f t="shared" si="16"/>
        <v>20661</v>
      </c>
      <c r="M43" s="34">
        <f t="shared" si="16"/>
        <v>23612.571428571428</v>
      </c>
      <c r="N43" s="34">
        <f t="shared" si="16"/>
        <v>26564.142857142855</v>
      </c>
      <c r="O43" s="34">
        <f t="shared" si="16"/>
        <v>29515.714285714283</v>
      </c>
      <c r="P43" s="34">
        <f t="shared" si="16"/>
        <v>32467.28571428571</v>
      </c>
      <c r="Q43" s="34">
        <f t="shared" si="16"/>
        <v>35418.857142857138</v>
      </c>
      <c r="R43" s="34">
        <f t="shared" si="16"/>
        <v>38370.428571428565</v>
      </c>
      <c r="S43" s="34">
        <f t="shared" si="16"/>
        <v>41321.999999999993</v>
      </c>
      <c r="T43" s="34" t="str">
        <f t="shared" si="16"/>
        <v/>
      </c>
      <c r="U43" s="34" t="str">
        <f t="shared" si="16"/>
        <v/>
      </c>
      <c r="V43" s="34" t="str">
        <f t="shared" si="16"/>
        <v/>
      </c>
      <c r="W43" s="34" t="str">
        <f t="shared" si="16"/>
        <v/>
      </c>
      <c r="X43" s="34" t="str">
        <f t="shared" si="16"/>
        <v/>
      </c>
      <c r="Y43" s="34" t="str">
        <f t="shared" si="16"/>
        <v/>
      </c>
    </row>
    <row r="44" spans="1:25" x14ac:dyDescent="0.25">
      <c r="A44" s="88">
        <v>8</v>
      </c>
      <c r="B44" s="88">
        <v>0</v>
      </c>
      <c r="C44" s="88">
        <f t="shared" si="4"/>
        <v>0</v>
      </c>
      <c r="D44" s="88"/>
      <c r="E44" s="88"/>
      <c r="F44" s="1" t="b">
        <f>F$29&lt;=MAX($B44:$B45)</f>
        <v>1</v>
      </c>
      <c r="G44" s="1" t="b">
        <f t="shared" ref="G44:Y44" si="17">G$29&lt;=MAX($B44:$B45)</f>
        <v>1</v>
      </c>
      <c r="H44" s="1" t="b">
        <f t="shared" si="17"/>
        <v>1</v>
      </c>
      <c r="I44" s="1" t="b">
        <f t="shared" si="17"/>
        <v>1</v>
      </c>
      <c r="J44" s="1" t="b">
        <f t="shared" si="17"/>
        <v>1</v>
      </c>
      <c r="K44" s="1" t="b">
        <f t="shared" si="17"/>
        <v>1</v>
      </c>
      <c r="L44" s="1" t="b">
        <f t="shared" si="17"/>
        <v>1</v>
      </c>
      <c r="M44" s="1" t="b">
        <f t="shared" si="17"/>
        <v>1</v>
      </c>
      <c r="N44" s="1" t="b">
        <f t="shared" si="17"/>
        <v>1</v>
      </c>
      <c r="O44" s="1" t="b">
        <f t="shared" si="17"/>
        <v>1</v>
      </c>
      <c r="P44" s="1" t="b">
        <f t="shared" si="17"/>
        <v>1</v>
      </c>
      <c r="Q44" s="1" t="b">
        <f t="shared" si="17"/>
        <v>1</v>
      </c>
      <c r="R44" s="1" t="b">
        <f t="shared" si="17"/>
        <v>1</v>
      </c>
      <c r="S44" s="1" t="b">
        <f t="shared" si="17"/>
        <v>1</v>
      </c>
      <c r="T44" s="1" t="b">
        <f t="shared" si="17"/>
        <v>1</v>
      </c>
      <c r="U44" s="1" t="b">
        <f t="shared" si="17"/>
        <v>1</v>
      </c>
      <c r="V44" s="1" t="b">
        <f t="shared" si="17"/>
        <v>1</v>
      </c>
      <c r="W44" s="1" t="b">
        <f t="shared" si="17"/>
        <v>1</v>
      </c>
      <c r="X44" s="1" t="b">
        <f t="shared" si="17"/>
        <v>1</v>
      </c>
      <c r="Y44" s="1" t="b">
        <f t="shared" si="17"/>
        <v>0</v>
      </c>
    </row>
    <row r="45" spans="1:25" x14ac:dyDescent="0.25">
      <c r="A45" s="89">
        <v>8</v>
      </c>
      <c r="B45" s="89">
        <v>19</v>
      </c>
      <c r="C45" s="89">
        <f t="shared" si="4"/>
        <v>48503</v>
      </c>
      <c r="D45" s="89">
        <f t="array" ref="D45:E45">LINEST(C44:C45,B44:B45,TRUE,FALSE)</f>
        <v>2552.7894736842104</v>
      </c>
      <c r="E45" s="89">
        <v>0</v>
      </c>
      <c r="F45" s="34">
        <f>IF(F44,$D$45*F29+$E$45,"")</f>
        <v>2552.7894736842104</v>
      </c>
      <c r="G45" s="34">
        <f t="shared" ref="G45:Y45" si="18">IF(G44,$D$45*G29+$E$45,"")</f>
        <v>5105.5789473684208</v>
      </c>
      <c r="H45" s="34">
        <f t="shared" si="18"/>
        <v>7658.3684210526317</v>
      </c>
      <c r="I45" s="34">
        <f t="shared" si="18"/>
        <v>10211.157894736842</v>
      </c>
      <c r="J45" s="34">
        <f t="shared" si="18"/>
        <v>12763.947368421052</v>
      </c>
      <c r="K45" s="34">
        <f t="shared" si="18"/>
        <v>15316.736842105263</v>
      </c>
      <c r="L45" s="34">
        <f t="shared" si="18"/>
        <v>17869.526315789473</v>
      </c>
      <c r="M45" s="34">
        <f t="shared" si="18"/>
        <v>20422.315789473683</v>
      </c>
      <c r="N45" s="34">
        <f t="shared" si="18"/>
        <v>22975.105263157893</v>
      </c>
      <c r="O45" s="34">
        <f t="shared" si="18"/>
        <v>25527.894736842103</v>
      </c>
      <c r="P45" s="34">
        <f t="shared" si="18"/>
        <v>28080.684210526313</v>
      </c>
      <c r="Q45" s="34">
        <f t="shared" si="18"/>
        <v>30633.473684210527</v>
      </c>
      <c r="R45" s="34">
        <f t="shared" si="18"/>
        <v>33186.263157894733</v>
      </c>
      <c r="S45" s="34">
        <f t="shared" si="18"/>
        <v>35739.052631578947</v>
      </c>
      <c r="T45" s="34">
        <f t="shared" si="18"/>
        <v>38291.842105263153</v>
      </c>
      <c r="U45" s="34">
        <f t="shared" si="18"/>
        <v>40844.631578947367</v>
      </c>
      <c r="V45" s="34">
        <f t="shared" si="18"/>
        <v>43397.42105263158</v>
      </c>
      <c r="W45" s="34">
        <f t="shared" si="18"/>
        <v>45950.210526315786</v>
      </c>
      <c r="X45" s="34">
        <f t="shared" si="18"/>
        <v>48503</v>
      </c>
      <c r="Y45" s="34" t="str">
        <f t="shared" si="18"/>
        <v/>
      </c>
    </row>
    <row r="46" spans="1:25" x14ac:dyDescent="0.25">
      <c r="A46" s="88">
        <v>9</v>
      </c>
      <c r="B46" s="88">
        <v>0</v>
      </c>
      <c r="C46" s="88">
        <f t="shared" si="4"/>
        <v>0</v>
      </c>
      <c r="D46" s="88"/>
      <c r="E46" s="88"/>
      <c r="F46" s="1" t="b">
        <f>F$29&lt;=MAX($B46:$B47)</f>
        <v>1</v>
      </c>
      <c r="G46" s="1" t="b">
        <f t="shared" ref="G46:Y46" si="19">G$29&lt;=MAX($B46:$B47)</f>
        <v>1</v>
      </c>
      <c r="H46" s="1" t="b">
        <f t="shared" si="19"/>
        <v>1</v>
      </c>
      <c r="I46" s="1" t="b">
        <f t="shared" si="19"/>
        <v>1</v>
      </c>
      <c r="J46" s="1" t="b">
        <f t="shared" si="19"/>
        <v>1</v>
      </c>
      <c r="K46" s="1" t="b">
        <f t="shared" si="19"/>
        <v>1</v>
      </c>
      <c r="L46" s="1" t="b">
        <f t="shared" si="19"/>
        <v>1</v>
      </c>
      <c r="M46" s="1" t="b">
        <f t="shared" si="19"/>
        <v>1</v>
      </c>
      <c r="N46" s="1" t="b">
        <f t="shared" si="19"/>
        <v>1</v>
      </c>
      <c r="O46" s="1" t="b">
        <f t="shared" si="19"/>
        <v>1</v>
      </c>
      <c r="P46" s="1" t="b">
        <f t="shared" si="19"/>
        <v>1</v>
      </c>
      <c r="Q46" s="1" t="b">
        <f t="shared" si="19"/>
        <v>1</v>
      </c>
      <c r="R46" s="1" t="b">
        <f t="shared" si="19"/>
        <v>1</v>
      </c>
      <c r="S46" s="1" t="b">
        <f t="shared" si="19"/>
        <v>1</v>
      </c>
      <c r="T46" s="1" t="b">
        <f t="shared" si="19"/>
        <v>1</v>
      </c>
      <c r="U46" s="1" t="b">
        <f t="shared" si="19"/>
        <v>1</v>
      </c>
      <c r="V46" s="1" t="b">
        <f t="shared" si="19"/>
        <v>1</v>
      </c>
      <c r="W46" s="1" t="b">
        <f t="shared" si="19"/>
        <v>1</v>
      </c>
      <c r="X46" s="1" t="b">
        <f t="shared" si="19"/>
        <v>1</v>
      </c>
      <c r="Y46" s="1" t="b">
        <f t="shared" si="19"/>
        <v>0</v>
      </c>
    </row>
    <row r="47" spans="1:25" x14ac:dyDescent="0.25">
      <c r="A47" s="89">
        <v>9</v>
      </c>
      <c r="B47" s="89">
        <v>19</v>
      </c>
      <c r="C47" s="89">
        <f t="shared" si="4"/>
        <v>55866</v>
      </c>
      <c r="D47" s="89">
        <f t="array" ref="D47:E47">LINEST(C46:C47,B46:B47,TRUE,FALSE)</f>
        <v>2940.3157894736842</v>
      </c>
      <c r="E47" s="89">
        <v>0</v>
      </c>
      <c r="F47" s="34">
        <f>IF(F46,$D$47*F29+$E$47,"")</f>
        <v>2940.3157894736842</v>
      </c>
      <c r="G47" s="34">
        <f t="shared" ref="G47:Y47" si="20">IF(G46,$D$47*G29+$E$47,"")</f>
        <v>5880.6315789473683</v>
      </c>
      <c r="H47" s="34">
        <f t="shared" si="20"/>
        <v>8820.9473684210534</v>
      </c>
      <c r="I47" s="34">
        <f t="shared" si="20"/>
        <v>11761.263157894737</v>
      </c>
      <c r="J47" s="34">
        <f t="shared" si="20"/>
        <v>14701.57894736842</v>
      </c>
      <c r="K47" s="34">
        <f t="shared" si="20"/>
        <v>17641.894736842107</v>
      </c>
      <c r="L47" s="34">
        <f t="shared" si="20"/>
        <v>20582.21052631579</v>
      </c>
      <c r="M47" s="34">
        <f t="shared" si="20"/>
        <v>23522.526315789473</v>
      </c>
      <c r="N47" s="34">
        <f t="shared" si="20"/>
        <v>26462.842105263157</v>
      </c>
      <c r="O47" s="34">
        <f t="shared" si="20"/>
        <v>29403.15789473684</v>
      </c>
      <c r="P47" s="34">
        <f t="shared" si="20"/>
        <v>32343.473684210527</v>
      </c>
      <c r="Q47" s="34">
        <f t="shared" si="20"/>
        <v>35283.789473684214</v>
      </c>
      <c r="R47" s="34">
        <f t="shared" si="20"/>
        <v>38224.105263157893</v>
      </c>
      <c r="S47" s="34">
        <f t="shared" si="20"/>
        <v>41164.42105263158</v>
      </c>
      <c r="T47" s="34">
        <f t="shared" si="20"/>
        <v>44104.73684210526</v>
      </c>
      <c r="U47" s="34">
        <f t="shared" si="20"/>
        <v>47045.052631578947</v>
      </c>
      <c r="V47" s="34">
        <f t="shared" si="20"/>
        <v>49985.368421052633</v>
      </c>
      <c r="W47" s="34">
        <f t="shared" si="20"/>
        <v>52925.684210526313</v>
      </c>
      <c r="X47" s="34">
        <f t="shared" si="20"/>
        <v>55866</v>
      </c>
      <c r="Y47" s="34" t="str">
        <f t="shared" si="20"/>
        <v/>
      </c>
    </row>
    <row r="48" spans="1:25" x14ac:dyDescent="0.25">
      <c r="A48" s="90">
        <v>10</v>
      </c>
      <c r="B48" s="90">
        <v>0</v>
      </c>
      <c r="C48" s="90">
        <f t="shared" si="4"/>
        <v>0</v>
      </c>
      <c r="D48" s="90"/>
      <c r="E48" s="90"/>
      <c r="F48" s="1" t="b">
        <f>F$29&lt;=MAX($B48:$B49)</f>
        <v>1</v>
      </c>
      <c r="G48" s="1" t="b">
        <f t="shared" ref="G48:Y54" si="21">G$29&lt;=MAX($B48:$B49)</f>
        <v>1</v>
      </c>
      <c r="H48" s="1" t="b">
        <f t="shared" si="21"/>
        <v>1</v>
      </c>
      <c r="I48" s="1" t="b">
        <f t="shared" si="21"/>
        <v>1</v>
      </c>
      <c r="J48" s="1" t="b">
        <f t="shared" si="21"/>
        <v>1</v>
      </c>
      <c r="K48" s="1" t="b">
        <f t="shared" si="21"/>
        <v>1</v>
      </c>
      <c r="L48" s="1" t="b">
        <f t="shared" si="21"/>
        <v>1</v>
      </c>
      <c r="M48" s="1" t="b">
        <f t="shared" si="21"/>
        <v>1</v>
      </c>
      <c r="N48" s="1" t="b">
        <f t="shared" si="21"/>
        <v>1</v>
      </c>
      <c r="O48" s="1" t="b">
        <f t="shared" si="21"/>
        <v>1</v>
      </c>
      <c r="P48" s="1" t="b">
        <f t="shared" si="21"/>
        <v>1</v>
      </c>
      <c r="Q48" s="1" t="b">
        <f t="shared" si="21"/>
        <v>1</v>
      </c>
      <c r="R48" s="1" t="b">
        <f t="shared" si="21"/>
        <v>1</v>
      </c>
      <c r="S48" s="1" t="b">
        <f t="shared" si="21"/>
        <v>1</v>
      </c>
      <c r="T48" s="1" t="b">
        <f t="shared" si="21"/>
        <v>1</v>
      </c>
      <c r="U48" s="1" t="b">
        <f t="shared" si="21"/>
        <v>1</v>
      </c>
      <c r="V48" s="1" t="b">
        <f t="shared" si="21"/>
        <v>1</v>
      </c>
      <c r="W48" s="1" t="b">
        <f t="shared" si="21"/>
        <v>1</v>
      </c>
      <c r="X48" s="1" t="b">
        <f t="shared" si="21"/>
        <v>1</v>
      </c>
      <c r="Y48" s="1" t="b">
        <f t="shared" si="21"/>
        <v>0</v>
      </c>
    </row>
    <row r="49" spans="1:25" x14ac:dyDescent="0.25">
      <c r="A49" s="91">
        <v>10</v>
      </c>
      <c r="B49" s="91">
        <v>19</v>
      </c>
      <c r="C49" s="91">
        <f>ROUND(IF(B49=0,0,$C$27*POWER(A49,$C$28)),0)</f>
        <v>63396</v>
      </c>
      <c r="D49" s="91">
        <f t="array" ref="D49:E49">LINEST(C48:C49,B48:B49,TRUE,FALSE)</f>
        <v>3336.6315789473679</v>
      </c>
      <c r="E49" s="91">
        <v>3.637978807091713E-12</v>
      </c>
      <c r="F49" s="34">
        <f>IF(F48,$D$49*F29+$E$49,"")</f>
        <v>3336.6315789473715</v>
      </c>
      <c r="G49" s="34">
        <f t="shared" ref="G49:Y49" si="22">IF(G48,$D$49*G29+$E$49,"")</f>
        <v>6673.2631578947394</v>
      </c>
      <c r="H49" s="34">
        <f t="shared" si="22"/>
        <v>10009.894736842107</v>
      </c>
      <c r="I49" s="34">
        <f t="shared" si="22"/>
        <v>13346.526315789475</v>
      </c>
      <c r="J49" s="34">
        <f t="shared" si="22"/>
        <v>16683.157894736843</v>
      </c>
      <c r="K49" s="34">
        <f t="shared" si="22"/>
        <v>20019.78947368421</v>
      </c>
      <c r="L49" s="34">
        <f t="shared" si="22"/>
        <v>23356.42105263158</v>
      </c>
      <c r="M49" s="34">
        <f t="shared" si="22"/>
        <v>26693.052631578947</v>
      </c>
      <c r="N49" s="34">
        <f t="shared" si="22"/>
        <v>30029.684210526313</v>
      </c>
      <c r="O49" s="34">
        <f t="shared" si="22"/>
        <v>33366.31578947368</v>
      </c>
      <c r="P49" s="34">
        <f t="shared" si="22"/>
        <v>36702.947368421053</v>
      </c>
      <c r="Q49" s="34">
        <f t="shared" si="22"/>
        <v>40039.578947368413</v>
      </c>
      <c r="R49" s="34">
        <f t="shared" si="22"/>
        <v>43376.210526315786</v>
      </c>
      <c r="S49" s="34">
        <f t="shared" si="22"/>
        <v>46712.84210526316</v>
      </c>
      <c r="T49" s="34">
        <f t="shared" si="22"/>
        <v>50049.473684210519</v>
      </c>
      <c r="U49" s="34">
        <f t="shared" si="22"/>
        <v>53386.105263157893</v>
      </c>
      <c r="V49" s="34">
        <f t="shared" si="22"/>
        <v>56722.736842105252</v>
      </c>
      <c r="W49" s="34">
        <f t="shared" si="22"/>
        <v>60059.368421052626</v>
      </c>
      <c r="X49" s="34">
        <f t="shared" si="22"/>
        <v>63396</v>
      </c>
      <c r="Y49" s="34" t="str">
        <f t="shared" si="22"/>
        <v/>
      </c>
    </row>
    <row r="50" spans="1:25" x14ac:dyDescent="0.25">
      <c r="A50" s="63">
        <v>11</v>
      </c>
      <c r="B50" s="63">
        <v>0</v>
      </c>
      <c r="C50" s="63">
        <f t="shared" si="4"/>
        <v>0</v>
      </c>
      <c r="D50" s="63"/>
      <c r="E50" s="63"/>
      <c r="F50" s="1" t="b">
        <f>F$29&lt;=MAX($B50:$B51)</f>
        <v>1</v>
      </c>
      <c r="G50" s="1" t="b">
        <f t="shared" si="21"/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 x14ac:dyDescent="0.25">
      <c r="A51" s="91">
        <v>11</v>
      </c>
      <c r="B51" s="91">
        <v>19</v>
      </c>
      <c r="C51" s="91">
        <f>ROUND(IF(B51=0,0,$C$27*POWER(A51,$C$28)),0)</f>
        <v>71077</v>
      </c>
      <c r="D51" s="91">
        <f t="array" ref="D51:E51">LINEST(C50:C51,B50:B51,TRUE,FALSE)</f>
        <v>3740.8947368421054</v>
      </c>
      <c r="E51" s="91">
        <v>0</v>
      </c>
      <c r="F51" s="34">
        <f>IF(F50,$D$51*F29+$E$51,"")</f>
        <v>3740.8947368421054</v>
      </c>
      <c r="G51" s="34">
        <f t="shared" ref="G51:Y51" si="23">IF(G50,$D$51*G29+$E$51,"")</f>
        <v>7481.7894736842109</v>
      </c>
      <c r="H51" s="34">
        <f t="shared" si="23"/>
        <v>11222.684210526317</v>
      </c>
      <c r="I51" s="34">
        <f t="shared" si="23"/>
        <v>14963.578947368422</v>
      </c>
      <c r="J51" s="34">
        <f t="shared" si="23"/>
        <v>18704.473684210527</v>
      </c>
      <c r="K51" s="34">
        <f t="shared" si="23"/>
        <v>22445.368421052633</v>
      </c>
      <c r="L51" s="34">
        <f t="shared" si="23"/>
        <v>26186.263157894737</v>
      </c>
      <c r="M51" s="34">
        <f t="shared" si="23"/>
        <v>29927.157894736843</v>
      </c>
      <c r="N51" s="34">
        <f t="shared" si="23"/>
        <v>33668.052631578947</v>
      </c>
      <c r="O51" s="34">
        <f t="shared" si="23"/>
        <v>37408.947368421053</v>
      </c>
      <c r="P51" s="34">
        <f t="shared" si="23"/>
        <v>41149.84210526316</v>
      </c>
      <c r="Q51" s="34">
        <f t="shared" si="23"/>
        <v>44890.736842105267</v>
      </c>
      <c r="R51" s="34">
        <f t="shared" si="23"/>
        <v>48631.631578947374</v>
      </c>
      <c r="S51" s="34">
        <f t="shared" si="23"/>
        <v>52372.526315789473</v>
      </c>
      <c r="T51" s="34">
        <f t="shared" si="23"/>
        <v>56113.42105263158</v>
      </c>
      <c r="U51" s="34">
        <f t="shared" si="23"/>
        <v>59854.315789473687</v>
      </c>
      <c r="V51" s="34">
        <f t="shared" si="23"/>
        <v>63595.210526315794</v>
      </c>
      <c r="W51" s="34">
        <f t="shared" si="23"/>
        <v>67336.105263157893</v>
      </c>
      <c r="X51" s="34">
        <f t="shared" si="23"/>
        <v>71077</v>
      </c>
      <c r="Y51" s="34" t="str">
        <f t="shared" si="23"/>
        <v/>
      </c>
    </row>
    <row r="52" spans="1:25" x14ac:dyDescent="0.25">
      <c r="A52" s="63">
        <v>12</v>
      </c>
      <c r="B52" s="63">
        <v>0</v>
      </c>
      <c r="C52" s="63">
        <f t="shared" si="4"/>
        <v>0</v>
      </c>
      <c r="D52" s="63"/>
      <c r="E52" s="63"/>
      <c r="F52" s="1" t="b">
        <f>F$29&lt;=MAX($B52:$B53)</f>
        <v>1</v>
      </c>
      <c r="G52" s="1" t="b">
        <f t="shared" si="21"/>
        <v>1</v>
      </c>
      <c r="H52" s="1" t="b">
        <f t="shared" si="21"/>
        <v>1</v>
      </c>
      <c r="I52" s="1" t="b">
        <f t="shared" si="21"/>
        <v>1</v>
      </c>
      <c r="J52" s="1" t="b">
        <f t="shared" si="21"/>
        <v>1</v>
      </c>
      <c r="K52" s="1" t="b">
        <f t="shared" si="21"/>
        <v>1</v>
      </c>
      <c r="L52" s="1" t="b">
        <f t="shared" si="21"/>
        <v>1</v>
      </c>
      <c r="M52" s="1" t="b">
        <f t="shared" si="21"/>
        <v>1</v>
      </c>
      <c r="N52" s="1" t="b">
        <f t="shared" si="21"/>
        <v>1</v>
      </c>
      <c r="O52" s="1" t="b">
        <f t="shared" si="21"/>
        <v>1</v>
      </c>
      <c r="P52" s="1" t="b">
        <f t="shared" si="21"/>
        <v>1</v>
      </c>
      <c r="Q52" s="1" t="b">
        <f t="shared" si="21"/>
        <v>1</v>
      </c>
      <c r="R52" s="1" t="b">
        <f t="shared" si="21"/>
        <v>1</v>
      </c>
      <c r="S52" s="1" t="b">
        <f t="shared" si="21"/>
        <v>1</v>
      </c>
      <c r="T52" s="1" t="b">
        <f t="shared" si="21"/>
        <v>1</v>
      </c>
      <c r="U52" s="1" t="b">
        <f t="shared" si="21"/>
        <v>1</v>
      </c>
      <c r="V52" s="1" t="b">
        <f t="shared" si="21"/>
        <v>1</v>
      </c>
      <c r="W52" s="1" t="b">
        <f t="shared" si="21"/>
        <v>1</v>
      </c>
      <c r="X52" s="1" t="b">
        <f t="shared" si="21"/>
        <v>1</v>
      </c>
      <c r="Y52" s="1" t="b">
        <f t="shared" si="21"/>
        <v>0</v>
      </c>
    </row>
    <row r="53" spans="1:25" x14ac:dyDescent="0.25">
      <c r="A53" s="91">
        <v>12</v>
      </c>
      <c r="B53" s="91">
        <v>19</v>
      </c>
      <c r="C53" s="91">
        <f>ROUND(IF(B53=0,0,$C$27*POWER(A53,$C$28)),0)</f>
        <v>78900</v>
      </c>
      <c r="D53" s="91">
        <f t="array" ref="D53:E53">LINEST(C52:C53,B52:B53,TRUE,FALSE)</f>
        <v>4152.6315789473683</v>
      </c>
      <c r="E53" s="91">
        <v>0</v>
      </c>
      <c r="F53" s="34">
        <f>IF(F52,$D$53*F29+$E$53,"")</f>
        <v>4152.6315789473683</v>
      </c>
      <c r="G53" s="34">
        <f t="shared" ref="G53:Y53" si="24">IF(G52,$D$53*G29+$E$53,"")</f>
        <v>8305.2631578947367</v>
      </c>
      <c r="H53" s="34">
        <f t="shared" si="24"/>
        <v>12457.894736842105</v>
      </c>
      <c r="I53" s="34">
        <f t="shared" si="24"/>
        <v>16610.526315789473</v>
      </c>
      <c r="J53" s="34">
        <f t="shared" si="24"/>
        <v>20763.15789473684</v>
      </c>
      <c r="K53" s="34">
        <f t="shared" si="24"/>
        <v>24915.78947368421</v>
      </c>
      <c r="L53" s="34">
        <f t="shared" si="24"/>
        <v>29068.42105263158</v>
      </c>
      <c r="M53" s="34">
        <f t="shared" si="24"/>
        <v>33221.052631578947</v>
      </c>
      <c r="N53" s="34">
        <f t="shared" si="24"/>
        <v>37373.684210526313</v>
      </c>
      <c r="O53" s="34">
        <f t="shared" si="24"/>
        <v>41526.31578947368</v>
      </c>
      <c r="P53" s="34">
        <f t="shared" si="24"/>
        <v>45678.947368421053</v>
      </c>
      <c r="Q53" s="34">
        <f t="shared" si="24"/>
        <v>49831.57894736842</v>
      </c>
      <c r="R53" s="34">
        <f t="shared" si="24"/>
        <v>53984.210526315786</v>
      </c>
      <c r="S53" s="34">
        <f t="shared" si="24"/>
        <v>58136.84210526316</v>
      </c>
      <c r="T53" s="34">
        <f t="shared" si="24"/>
        <v>62289.473684210527</v>
      </c>
      <c r="U53" s="34">
        <f t="shared" si="24"/>
        <v>66442.105263157893</v>
      </c>
      <c r="V53" s="34">
        <f t="shared" si="24"/>
        <v>70594.736842105267</v>
      </c>
      <c r="W53" s="34">
        <f t="shared" si="24"/>
        <v>74747.368421052626</v>
      </c>
      <c r="X53" s="34">
        <f t="shared" si="24"/>
        <v>78900</v>
      </c>
      <c r="Y53" s="34" t="str">
        <f t="shared" si="24"/>
        <v/>
      </c>
    </row>
    <row r="54" spans="1:25" x14ac:dyDescent="0.25">
      <c r="A54" s="122">
        <v>13</v>
      </c>
      <c r="B54" s="122">
        <v>0</v>
      </c>
      <c r="C54" s="122">
        <f>ROUND(IF(B54=0,0,$C$27*POWER(A54,$C$28)),0)</f>
        <v>0</v>
      </c>
      <c r="D54" s="122"/>
      <c r="E54" s="122"/>
      <c r="F54" s="1" t="b">
        <f>F$29&lt;=MAX($B54:$B55)</f>
        <v>1</v>
      </c>
      <c r="G54" s="1" t="b">
        <f t="shared" si="21"/>
        <v>1</v>
      </c>
      <c r="H54" s="1" t="b">
        <f t="shared" si="21"/>
        <v>1</v>
      </c>
      <c r="I54" s="1" t="b">
        <f t="shared" si="21"/>
        <v>1</v>
      </c>
      <c r="J54" s="1" t="b">
        <f t="shared" si="21"/>
        <v>1</v>
      </c>
      <c r="K54" s="1" t="b">
        <f t="shared" si="21"/>
        <v>1</v>
      </c>
      <c r="L54" s="1" t="b">
        <f t="shared" si="21"/>
        <v>1</v>
      </c>
      <c r="M54" s="1" t="b">
        <f t="shared" si="21"/>
        <v>1</v>
      </c>
      <c r="N54" s="1" t="b">
        <f t="shared" si="21"/>
        <v>1</v>
      </c>
      <c r="O54" s="1" t="b">
        <f t="shared" si="21"/>
        <v>1</v>
      </c>
      <c r="P54" s="1" t="b">
        <f t="shared" si="21"/>
        <v>1</v>
      </c>
      <c r="Q54" s="1" t="b">
        <f t="shared" si="21"/>
        <v>1</v>
      </c>
      <c r="R54" s="1" t="b">
        <f t="shared" si="21"/>
        <v>1</v>
      </c>
      <c r="S54" s="1" t="b">
        <f t="shared" si="21"/>
        <v>1</v>
      </c>
      <c r="T54" s="1" t="b">
        <f t="shared" si="21"/>
        <v>1</v>
      </c>
      <c r="U54" s="1" t="b">
        <f t="shared" si="21"/>
        <v>1</v>
      </c>
      <c r="V54" s="1" t="b">
        <f t="shared" si="21"/>
        <v>1</v>
      </c>
      <c r="W54" s="1" t="b">
        <f t="shared" si="21"/>
        <v>1</v>
      </c>
      <c r="X54" s="1" t="b">
        <f t="shared" si="21"/>
        <v>1</v>
      </c>
      <c r="Y54" s="1" t="b">
        <f t="shared" si="21"/>
        <v>0</v>
      </c>
    </row>
    <row r="55" spans="1:25" x14ac:dyDescent="0.25">
      <c r="A55" s="122">
        <v>13</v>
      </c>
      <c r="B55" s="122">
        <v>19</v>
      </c>
      <c r="C55" s="122">
        <f>ROUND(IF(B55=0,0,$C$27*POWER(A55,$C$28)),0)</f>
        <v>86854</v>
      </c>
      <c r="D55" s="122">
        <f t="array" ref="D55:E55">LINEST(C54:C55,B54:B55,TRUE,FALSE)</f>
        <v>4571.2631578947367</v>
      </c>
      <c r="E55" s="122">
        <v>0</v>
      </c>
      <c r="F55" s="34">
        <f>IF(F54,$D$55*F29+$E$55,"")</f>
        <v>4571.2631578947367</v>
      </c>
      <c r="G55" s="34">
        <f t="shared" ref="G55:X55" si="25">IF(G54,$D$55*G29+$E$55,"")</f>
        <v>9142.5263157894733</v>
      </c>
      <c r="H55" s="34">
        <f t="shared" si="25"/>
        <v>13713.78947368421</v>
      </c>
      <c r="I55" s="34">
        <f t="shared" si="25"/>
        <v>18285.052631578947</v>
      </c>
      <c r="J55" s="34">
        <f t="shared" si="25"/>
        <v>22856.315789473683</v>
      </c>
      <c r="K55" s="34">
        <f t="shared" si="25"/>
        <v>27427.57894736842</v>
      </c>
      <c r="L55" s="34">
        <f t="shared" si="25"/>
        <v>31998.842105263157</v>
      </c>
      <c r="M55" s="34">
        <f t="shared" si="25"/>
        <v>36570.105263157893</v>
      </c>
      <c r="N55" s="34">
        <f t="shared" si="25"/>
        <v>41141.368421052626</v>
      </c>
      <c r="O55" s="34">
        <f t="shared" si="25"/>
        <v>45712.631578947367</v>
      </c>
      <c r="P55" s="34">
        <f t="shared" si="25"/>
        <v>50283.894736842107</v>
      </c>
      <c r="Q55" s="34">
        <f t="shared" si="25"/>
        <v>54855.15789473684</v>
      </c>
      <c r="R55" s="34">
        <f t="shared" si="25"/>
        <v>59426.421052631573</v>
      </c>
      <c r="S55" s="34">
        <f t="shared" si="25"/>
        <v>63997.684210526313</v>
      </c>
      <c r="T55" s="34">
        <f t="shared" si="25"/>
        <v>68568.947368421053</v>
      </c>
      <c r="U55" s="34">
        <f t="shared" si="25"/>
        <v>73140.210526315786</v>
      </c>
      <c r="V55" s="34">
        <f t="shared" si="25"/>
        <v>77711.473684210519</v>
      </c>
      <c r="W55" s="34">
        <f t="shared" si="25"/>
        <v>82282.736842105252</v>
      </c>
      <c r="X55" s="34">
        <f t="shared" si="25"/>
        <v>86854</v>
      </c>
      <c r="Y55" s="34"/>
    </row>
    <row r="57" spans="1:25" ht="18.75" x14ac:dyDescent="0.3">
      <c r="A57" s="81" t="s">
        <v>176</v>
      </c>
    </row>
    <row r="58" spans="1:25" x14ac:dyDescent="0.25">
      <c r="A58" s="1" t="s">
        <v>84</v>
      </c>
      <c r="B58" s="1" t="s">
        <v>21</v>
      </c>
      <c r="C58" s="1" t="s">
        <v>22</v>
      </c>
      <c r="D58" s="1" t="s">
        <v>23</v>
      </c>
      <c r="E58" s="1" t="s">
        <v>24</v>
      </c>
      <c r="F58" s="1" t="s">
        <v>25</v>
      </c>
      <c r="G58" s="1" t="s">
        <v>26</v>
      </c>
      <c r="H58" s="1" t="s">
        <v>27</v>
      </c>
      <c r="I58" s="1" t="s">
        <v>28</v>
      </c>
      <c r="J58" s="1" t="s">
        <v>29</v>
      </c>
      <c r="K58" s="1" t="s">
        <v>30</v>
      </c>
      <c r="L58" s="1" t="s">
        <v>31</v>
      </c>
      <c r="M58" s="1" t="s">
        <v>32</v>
      </c>
      <c r="N58" s="1" t="s">
        <v>33</v>
      </c>
      <c r="O58" s="1" t="s">
        <v>34</v>
      </c>
      <c r="P58" s="1" t="s">
        <v>35</v>
      </c>
      <c r="Q58" s="1" t="s">
        <v>36</v>
      </c>
      <c r="R58" s="1" t="s">
        <v>37</v>
      </c>
      <c r="S58" s="1" t="s">
        <v>38</v>
      </c>
      <c r="T58" s="1" t="s">
        <v>39</v>
      </c>
    </row>
    <row r="59" spans="1:25" x14ac:dyDescent="0.25">
      <c r="A59" s="1">
        <v>1</v>
      </c>
      <c r="B59" s="1">
        <f ca="1">IF(OFFSET(F30,$A59,0)="","",ROUND(SUM(OFFSET($F30:F30,$A59,0)),0))</f>
        <v>571</v>
      </c>
      <c r="C59" s="1">
        <f ca="1">IF(OFFSET(G30,$A59,0)="","",ROUND(SUM(OFFSET($F30:G30,$A59,0)),0))</f>
        <v>1714</v>
      </c>
      <c r="D59" s="1">
        <f ca="1">IF(OFFSET(H30,$A59,0)="","",ROUND(SUM(OFFSET($F30:H30,$A59,0)),0))</f>
        <v>3429</v>
      </c>
      <c r="E59" s="1">
        <f ca="1">IF(OFFSET(I30,$A59,0)="","",ROUND(SUM(OFFSET($F30:I30,$A59,0)),0))</f>
        <v>5714</v>
      </c>
      <c r="F59" s="1">
        <f ca="1">IF(OFFSET(J30,$A59,0)="","",ROUND(SUM(OFFSET($F30:J30,$A59,0)),0))</f>
        <v>8069</v>
      </c>
      <c r="G59" s="1">
        <f ca="1">IF(OFFSET(K30,$A59,0)="","",ROUND(SUM(OFFSET($F30:K30,$A59,0)),0))</f>
        <v>10895</v>
      </c>
      <c r="H59" s="1">
        <f ca="1">IF(OFFSET(L30,$A59,0)="","",ROUND(SUM(OFFSET($F30:L30,$A59,0)),0))</f>
        <v>14192</v>
      </c>
      <c r="I59" s="1" t="str">
        <f ca="1">IF(OFFSET(M30,$A59,0)="","",ROUND(SUM(OFFSET($F30:M30,$A59,0)),0))</f>
        <v/>
      </c>
      <c r="J59" s="1" t="str">
        <f ca="1">IF(OFFSET(N30,$A59,0)="","",ROUND(SUM(OFFSET($F30:N30,$A59,0)),0))</f>
        <v/>
      </c>
      <c r="K59" s="1" t="str">
        <f ca="1">IF(OFFSET(O30,$A59,0)="","",ROUND(SUM(OFFSET($F30:O30,$A59,0)),0))</f>
        <v/>
      </c>
      <c r="L59" s="1" t="str">
        <f ca="1">IF(OFFSET(P30,$A59,0)="","",ROUND(SUM(OFFSET($F30:P30,$A59,0)),0))</f>
        <v/>
      </c>
      <c r="M59" s="1" t="str">
        <f ca="1">IF(OFFSET(Q30,$A59,0)="","",ROUND(SUM(OFFSET($F30:Q30,$A59,0)),0))</f>
        <v/>
      </c>
      <c r="N59" s="1" t="str">
        <f ca="1">IF(OFFSET(R30,$A59,0)="","",ROUND(SUM(OFFSET($F30:R30,$A59,0)),0))</f>
        <v/>
      </c>
      <c r="O59" s="1" t="str">
        <f ca="1">IF(OFFSET(S30,$A59,0)="","",ROUND(SUM(OFFSET($F30:S30,$A59,0)),0))</f>
        <v/>
      </c>
      <c r="P59" s="1" t="str">
        <f ca="1">IF(OFFSET(T30,$A59,0)="","",ROUND(SUM(OFFSET($F30:T30,$A59,0)),0))</f>
        <v/>
      </c>
      <c r="Q59" s="1" t="str">
        <f ca="1">IF(OFFSET(U30,$A59,0)="","",ROUND(SUM(OFFSET($F30:U30,$A59,0)),0))</f>
        <v/>
      </c>
      <c r="R59" s="1" t="str">
        <f ca="1">IF(OFFSET(V30,$A59,0)="","",ROUND(SUM(OFFSET($F30:V30,$A59,0)),0))</f>
        <v/>
      </c>
      <c r="S59" s="1" t="str">
        <f ca="1">IF(OFFSET(W30,$A59,0)="","",ROUND(SUM(OFFSET($F30:W30,$A59,0)),0))</f>
        <v/>
      </c>
      <c r="T59" s="1" t="str">
        <f ca="1">IF(OFFSET(X30,$A59,0)="","",ROUND(SUM(OFFSET($F30:X30,$A59,0)),0))</f>
        <v/>
      </c>
      <c r="U59" s="1" t="str">
        <f ca="1">IF(OFFSET(Z30,$A59,0)="","",SUM(OFFSET($F30:Z30,$A59,0)))</f>
        <v/>
      </c>
    </row>
    <row r="60" spans="1:25" x14ac:dyDescent="0.25">
      <c r="A60" s="1">
        <v>2</v>
      </c>
      <c r="B60" s="1">
        <f ca="1">IF(OFFSET(F31,$A60,0)="","",ROUND(SUM(OFFSET($F31:F31,$A60,0)),0))</f>
        <v>1021</v>
      </c>
      <c r="C60" s="1">
        <f ca="1">IF(OFFSET(G31,$A60,0)="","",ROUND(SUM(OFFSET($F31:G31,$A60,0)),0))</f>
        <v>3063</v>
      </c>
      <c r="D60" s="1">
        <f ca="1">IF(OFFSET(H31,$A60,0)="","",ROUND(SUM(OFFSET($F31:H31,$A60,0)),0))</f>
        <v>6127</v>
      </c>
      <c r="E60" s="1">
        <f ca="1">IF(OFFSET(I31,$A60,0)="","",ROUND(SUM(OFFSET($F31:I31,$A60,0)),0))</f>
        <v>10211</v>
      </c>
      <c r="F60" s="1">
        <f ca="1">IF(OFFSET(J31,$A60,0)="","",ROUND(SUM(OFFSET($F31:J31,$A60,0)),0))</f>
        <v>15317</v>
      </c>
      <c r="G60" s="1">
        <f ca="1">IF(OFFSET(K31,$A60,0)="","",ROUND(SUM(OFFSET($F31:K31,$A60,0)),0))</f>
        <v>21443</v>
      </c>
      <c r="H60" s="1">
        <f ca="1">IF(OFFSET(L31,$A60,0)="","",ROUND(SUM(OFFSET($F31:L31,$A60,0)),0))</f>
        <v>28591</v>
      </c>
      <c r="I60" s="1">
        <f ca="1">IF(OFFSET(M31,$A60,0)="","",ROUND(SUM(OFFSET($F31:M31,$A60,0)),0))</f>
        <v>36760</v>
      </c>
      <c r="J60" s="1">
        <f ca="1">IF(OFFSET(N31,$A60,0)="","",ROUND(SUM(OFFSET($F31:N31,$A60,0)),0))</f>
        <v>45950</v>
      </c>
      <c r="K60" s="1" t="str">
        <f ca="1">IF(OFFSET(O31,$A60,0)="","",ROUND(SUM(OFFSET($F31:O31,$A60,0)),0))</f>
        <v/>
      </c>
      <c r="L60" s="1" t="str">
        <f ca="1">IF(OFFSET(P31,$A60,0)="","",ROUND(SUM(OFFSET($F31:P31,$A60,0)),0))</f>
        <v/>
      </c>
      <c r="M60" s="1" t="str">
        <f ca="1">IF(OFFSET(Q31,$A60,0)="","",ROUND(SUM(OFFSET($F31:Q31,$A60,0)),0))</f>
        <v/>
      </c>
      <c r="N60" s="1" t="str">
        <f ca="1">IF(OFFSET(R31,$A60,0)="","",ROUND(SUM(OFFSET($F31:R31,$A60,0)),0))</f>
        <v/>
      </c>
      <c r="O60" s="1" t="str">
        <f ca="1">IF(OFFSET(S31,$A60,0)="","",ROUND(SUM(OFFSET($F31:S31,$A60,0)),0))</f>
        <v/>
      </c>
      <c r="P60" s="1" t="str">
        <f ca="1">IF(OFFSET(T31,$A60,0)="","",ROUND(SUM(OFFSET($F31:T31,$A60,0)),0))</f>
        <v/>
      </c>
      <c r="Q60" s="1" t="str">
        <f ca="1">IF(OFFSET(U31,$A60,0)="","",ROUND(SUM(OFFSET($F31:U31,$A60,0)),0))</f>
        <v/>
      </c>
      <c r="R60" s="1" t="str">
        <f ca="1">IF(OFFSET(V31,$A60,0)="","",ROUND(SUM(OFFSET($F31:V31,$A60,0)),0))</f>
        <v/>
      </c>
      <c r="S60" s="1" t="str">
        <f ca="1">IF(OFFSET(W31,$A60,0)="","",ROUND(SUM(OFFSET($F31:W31,$A60,0)),0))</f>
        <v/>
      </c>
      <c r="T60" s="1" t="str">
        <f ca="1">IF(OFFSET(X31,$A60,0)="","",ROUND(SUM(OFFSET($F31:X31,$A60,0)),0))</f>
        <v/>
      </c>
      <c r="U60" s="1" t="str">
        <f ca="1">IF(OFFSET(Z31,$A60,0)="","",SUM(OFFSET($F31:Z31,$A60,0)))</f>
        <v/>
      </c>
    </row>
    <row r="61" spans="1:25" x14ac:dyDescent="0.25">
      <c r="A61" s="1">
        <v>3</v>
      </c>
      <c r="B61" s="1">
        <f ca="1">IF(OFFSET(F32,$A61,0)="","",ROUND(SUM(OFFSET($F32:F32,$A61,0)),0))</f>
        <v>1661</v>
      </c>
      <c r="C61" s="1">
        <f ca="1">IF(OFFSET(G32,$A61,0)="","",ROUND(SUM(OFFSET($F32:G32,$A61,0)),0))</f>
        <v>4983</v>
      </c>
      <c r="D61" s="1">
        <f ca="1">IF(OFFSET(H32,$A61,0)="","",ROUND(SUM(OFFSET($F32:H32,$A61,0)),0))</f>
        <v>9966</v>
      </c>
      <c r="E61" s="1">
        <f ca="1">IF(OFFSET(I32,$A61,0)="","",ROUND(SUM(OFFSET($F32:I32,$A61,0)),0))</f>
        <v>16610</v>
      </c>
      <c r="F61" s="1">
        <f ca="1">IF(OFFSET(J32,$A61,0)="","",ROUND(SUM(OFFSET($F32:J32,$A61,0)),0))</f>
        <v>24915</v>
      </c>
      <c r="G61" s="1">
        <f ca="1">IF(OFFSET(K32,$A61,0)="","",ROUND(SUM(OFFSET($F32:K32,$A61,0)),0))</f>
        <v>34881</v>
      </c>
      <c r="H61" s="1">
        <f ca="1">IF(OFFSET(L32,$A61,0)="","",ROUND(SUM(OFFSET($F32:L32,$A61,0)),0))</f>
        <v>46508</v>
      </c>
      <c r="I61" s="1">
        <f ca="1">IF(OFFSET(M32,$A61,0)="","",ROUND(SUM(OFFSET($F32:M32,$A61,0)),0))</f>
        <v>59796</v>
      </c>
      <c r="J61" s="1">
        <f ca="1">IF(OFFSET(N32,$A61,0)="","",ROUND(SUM(OFFSET($F32:N32,$A61,0)),0))</f>
        <v>74745</v>
      </c>
      <c r="K61" s="1" t="str">
        <f ca="1">IF(OFFSET(O32,$A61,0)="","",ROUND(SUM(OFFSET($F32:O32,$A61,0)),0))</f>
        <v/>
      </c>
      <c r="L61" s="1" t="str">
        <f ca="1">IF(OFFSET(P32,$A61,0)="","",ROUND(SUM(OFFSET($F32:P32,$A61,0)),0))</f>
        <v/>
      </c>
      <c r="M61" s="1" t="str">
        <f ca="1">IF(OFFSET(Q32,$A61,0)="","",ROUND(SUM(OFFSET($F32:Q32,$A61,0)),0))</f>
        <v/>
      </c>
      <c r="N61" s="1" t="str">
        <f ca="1">IF(OFFSET(R32,$A61,0)="","",ROUND(SUM(OFFSET($F32:R32,$A61,0)),0))</f>
        <v/>
      </c>
      <c r="O61" s="1" t="str">
        <f ca="1">IF(OFFSET(S32,$A61,0)="","",ROUND(SUM(OFFSET($F32:S32,$A61,0)),0))</f>
        <v/>
      </c>
      <c r="P61" s="1" t="str">
        <f ca="1">IF(OFFSET(T32,$A61,0)="","",ROUND(SUM(OFFSET($F32:T32,$A61,0)),0))</f>
        <v/>
      </c>
      <c r="Q61" s="1" t="str">
        <f ca="1">IF(OFFSET(U32,$A61,0)="","",ROUND(SUM(OFFSET($F32:U32,$A61,0)),0))</f>
        <v/>
      </c>
      <c r="R61" s="1" t="str">
        <f ca="1">IF(OFFSET(V32,$A61,0)="","",ROUND(SUM(OFFSET($F32:V32,$A61,0)),0))</f>
        <v/>
      </c>
      <c r="S61" s="1" t="str">
        <f ca="1">IF(OFFSET(W32,$A61,0)="","",ROUND(SUM(OFFSET($F32:W32,$A61,0)),0))</f>
        <v/>
      </c>
      <c r="T61" s="1" t="str">
        <f ca="1">IF(OFFSET(X32,$A61,0)="","",ROUND(SUM(OFFSET($F32:X32,$A61,0)),0))</f>
        <v/>
      </c>
      <c r="U61" s="1" t="str">
        <f ca="1">IF(OFFSET(Z32,$A61,0)="","",SUM(OFFSET($F32:Z32,$A61,0)))</f>
        <v/>
      </c>
    </row>
    <row r="62" spans="1:25" x14ac:dyDescent="0.25">
      <c r="A62" s="1">
        <v>4</v>
      </c>
      <c r="B62" s="1">
        <f ca="1">IF(OFFSET(F33,$A62,0)="","",ROUND(SUM(OFFSET($F33:F33,$A62,0)),0))</f>
        <v>2346</v>
      </c>
      <c r="C62" s="1">
        <f ca="1">IF(OFFSET(G33,$A62,0)="","",ROUND(SUM(OFFSET($F33:G33,$A62,0)),0))</f>
        <v>7037</v>
      </c>
      <c r="D62" s="1">
        <f ca="1">IF(OFFSET(H33,$A62,0)="","",ROUND(SUM(OFFSET($F33:H33,$A62,0)),0))</f>
        <v>14075</v>
      </c>
      <c r="E62" s="1">
        <f ca="1">IF(OFFSET(I33,$A62,0)="","",ROUND(SUM(OFFSET($F33:I33,$A62,0)),0))</f>
        <v>23458</v>
      </c>
      <c r="F62" s="1">
        <f ca="1">IF(OFFSET(J33,$A62,0)="","",ROUND(SUM(OFFSET($F33:J33,$A62,0)),0))</f>
        <v>35187</v>
      </c>
      <c r="G62" s="1">
        <f ca="1">IF(OFFSET(K33,$A62,0)="","",ROUND(SUM(OFFSET($F33:K33,$A62,0)),0))</f>
        <v>49261</v>
      </c>
      <c r="H62" s="1">
        <f ca="1">IF(OFFSET(L33,$A62,0)="","",ROUND(SUM(OFFSET($F33:L33,$A62,0)),0))</f>
        <v>65682</v>
      </c>
      <c r="I62" s="1">
        <f ca="1">IF(OFFSET(M33,$A62,0)="","",ROUND(SUM(OFFSET($F33:M33,$A62,0)),0))</f>
        <v>84448</v>
      </c>
      <c r="J62" s="1">
        <f ca="1">IF(OFFSET(N33,$A62,0)="","",ROUND(SUM(OFFSET($F33:N33,$A62,0)),0))</f>
        <v>105560</v>
      </c>
      <c r="K62" s="1" t="str">
        <f ca="1">IF(OFFSET(O33,$A62,0)="","",ROUND(SUM(OFFSET($F33:O33,$A62,0)),0))</f>
        <v/>
      </c>
      <c r="L62" s="1" t="str">
        <f ca="1">IF(OFFSET(P33,$A62,0)="","",ROUND(SUM(OFFSET($F33:P33,$A62,0)),0))</f>
        <v/>
      </c>
      <c r="M62" s="1" t="str">
        <f ca="1">IF(OFFSET(Q33,$A62,0)="","",ROUND(SUM(OFFSET($F33:Q33,$A62,0)),0))</f>
        <v/>
      </c>
      <c r="N62" s="1" t="str">
        <f ca="1">IF(OFFSET(R33,$A62,0)="","",ROUND(SUM(OFFSET($F33:R33,$A62,0)),0))</f>
        <v/>
      </c>
      <c r="O62" s="1" t="str">
        <f ca="1">IF(OFFSET(S33,$A62,0)="","",ROUND(SUM(OFFSET($F33:S33,$A62,0)),0))</f>
        <v/>
      </c>
      <c r="P62" s="1" t="str">
        <f ca="1">IF(OFFSET(T33,$A62,0)="","",ROUND(SUM(OFFSET($F33:T33,$A62,0)),0))</f>
        <v/>
      </c>
      <c r="Q62" s="1" t="str">
        <f ca="1">IF(OFFSET(U33,$A62,0)="","",ROUND(SUM(OFFSET($F33:U33,$A62,0)),0))</f>
        <v/>
      </c>
      <c r="R62" s="1" t="str">
        <f ca="1">IF(OFFSET(V33,$A62,0)="","",ROUND(SUM(OFFSET($F33:V33,$A62,0)),0))</f>
        <v/>
      </c>
      <c r="S62" s="1" t="str">
        <f ca="1">IF(OFFSET(W33,$A62,0)="","",ROUND(SUM(OFFSET($F33:W33,$A62,0)),0))</f>
        <v/>
      </c>
      <c r="T62" s="1" t="str">
        <f ca="1">IF(OFFSET(X33,$A62,0)="","",ROUND(SUM(OFFSET($F33:X33,$A62,0)),0))</f>
        <v/>
      </c>
      <c r="U62" s="1" t="str">
        <f ca="1">IF(OFFSET(Z33,$A62,0)="","",SUM(OFFSET($F33:Z33,$A62,0)))</f>
        <v/>
      </c>
    </row>
    <row r="63" spans="1:25" x14ac:dyDescent="0.25">
      <c r="A63" s="1">
        <v>5</v>
      </c>
      <c r="B63" s="1">
        <f ca="1">IF(OFFSET(F34,$A63,0)="","",ROUND(SUM(OFFSET($F34:F34,$A63,0)),0))</f>
        <v>1971</v>
      </c>
      <c r="C63" s="1">
        <f ca="1">IF(OFFSET(G34,$A63,0)="","",ROUND(SUM(OFFSET($F34:G34,$A63,0)),0))</f>
        <v>5913</v>
      </c>
      <c r="D63" s="1">
        <f ca="1">IF(OFFSET(H34,$A63,0)="","",ROUND(SUM(OFFSET($F34:H34,$A63,0)),0))</f>
        <v>11826</v>
      </c>
      <c r="E63" s="1">
        <f ca="1">IF(OFFSET(I34,$A63,0)="","",ROUND(SUM(OFFSET($F34:I34,$A63,0)),0))</f>
        <v>19711</v>
      </c>
      <c r="F63" s="1">
        <f ca="1">IF(OFFSET(J34,$A63,0)="","",ROUND(SUM(OFFSET($F34:J34,$A63,0)),0))</f>
        <v>29566</v>
      </c>
      <c r="G63" s="1">
        <f ca="1">IF(OFFSET(K34,$A63,0)="","",ROUND(SUM(OFFSET($F34:K34,$A63,0)),0))</f>
        <v>41393</v>
      </c>
      <c r="H63" s="1">
        <f ca="1">IF(OFFSET(L34,$A63,0)="","",ROUND(SUM(OFFSET($F34:L34,$A63,0)),0))</f>
        <v>55190</v>
      </c>
      <c r="I63" s="1">
        <f ca="1">IF(OFFSET(M34,$A63,0)="","",ROUND(SUM(OFFSET($F34:M34,$A63,0)),0))</f>
        <v>70959</v>
      </c>
      <c r="J63" s="1">
        <f ca="1">IF(OFFSET(N34,$A63,0)="","",ROUND(SUM(OFFSET($F34:N34,$A63,0)),0))</f>
        <v>88698</v>
      </c>
      <c r="K63" s="1">
        <f ca="1">IF(OFFSET(O34,$A63,0)="","",ROUND(SUM(OFFSET($F34:O34,$A63,0)),0))</f>
        <v>108409</v>
      </c>
      <c r="L63" s="1">
        <f ca="1">IF(OFFSET(P34,$A63,0)="","",ROUND(SUM(OFFSET($F34:P34,$A63,0)),0))</f>
        <v>130091</v>
      </c>
      <c r="M63" s="1">
        <f ca="1">IF(OFFSET(Q34,$A63,0)="","",ROUND(SUM(OFFSET($F34:Q34,$A63,0)),0))</f>
        <v>153744</v>
      </c>
      <c r="N63" s="1">
        <f ca="1">IF(OFFSET(R34,$A63,0)="","",ROUND(SUM(OFFSET($F34:R34,$A63,0)),0))</f>
        <v>179368</v>
      </c>
      <c r="O63" s="1">
        <f ca="1">IF(OFFSET(S34,$A63,0)="","",ROUND(SUM(OFFSET($F34:S34,$A63,0)),0))</f>
        <v>206963</v>
      </c>
      <c r="P63" s="1" t="str">
        <f ca="1">IF(OFFSET(T34,$A63,0)="","",ROUND(SUM(OFFSET($F34:T34,$A63,0)),0))</f>
        <v/>
      </c>
      <c r="Q63" s="1" t="str">
        <f ca="1">IF(OFFSET(U34,$A63,0)="","",ROUND(SUM(OFFSET($F34:U34,$A63,0)),0))</f>
        <v/>
      </c>
      <c r="R63" s="1" t="str">
        <f ca="1">IF(OFFSET(V34,$A63,0)="","",ROUND(SUM(OFFSET($F34:V34,$A63,0)),0))</f>
        <v/>
      </c>
      <c r="S63" s="1" t="str">
        <f ca="1">IF(OFFSET(W34,$A63,0)="","",ROUND(SUM(OFFSET($F34:W34,$A63,0)),0))</f>
        <v/>
      </c>
      <c r="T63" s="1" t="str">
        <f ca="1">IF(OFFSET(X34,$A63,0)="","",ROUND(SUM(OFFSET($F34:X34,$A63,0)),0))</f>
        <v/>
      </c>
      <c r="U63" s="1" t="str">
        <f ca="1">IF(OFFSET(Z34,$A63,0)="","",SUM(OFFSET($F34:Z34,$A63,0)))</f>
        <v/>
      </c>
    </row>
    <row r="64" spans="1:25" x14ac:dyDescent="0.25">
      <c r="A64" s="1">
        <v>6</v>
      </c>
      <c r="B64" s="1">
        <f ca="1">IF(OFFSET(F35,$A64,0)="","",ROUND(SUM(OFFSET($F35:F35,$A64,0)),0))</f>
        <v>2453</v>
      </c>
      <c r="C64" s="1">
        <f ca="1">IF(OFFSET(G35,$A64,0)="","",ROUND(SUM(OFFSET($F35:G35,$A64,0)),0))</f>
        <v>7359</v>
      </c>
      <c r="D64" s="1">
        <f ca="1">IF(OFFSET(H35,$A64,0)="","",ROUND(SUM(OFFSET($F35:H35,$A64,0)),0))</f>
        <v>14718</v>
      </c>
      <c r="E64" s="1">
        <f ca="1">IF(OFFSET(I35,$A64,0)="","",ROUND(SUM(OFFSET($F35:I35,$A64,0)),0))</f>
        <v>24531</v>
      </c>
      <c r="F64" s="1">
        <f ca="1">IF(OFFSET(J35,$A64,0)="","",ROUND(SUM(OFFSET($F35:J35,$A64,0)),0))</f>
        <v>36796</v>
      </c>
      <c r="G64" s="1">
        <f ca="1">IF(OFFSET(K35,$A64,0)="","",ROUND(SUM(OFFSET($F35:K35,$A64,0)),0))</f>
        <v>51515</v>
      </c>
      <c r="H64" s="1">
        <f ca="1">IF(OFFSET(L35,$A64,0)="","",ROUND(SUM(OFFSET($F35:L35,$A64,0)),0))</f>
        <v>68686</v>
      </c>
      <c r="I64" s="1">
        <f ca="1">IF(OFFSET(M35,$A64,0)="","",ROUND(SUM(OFFSET($F35:M35,$A64,0)),0))</f>
        <v>88311</v>
      </c>
      <c r="J64" s="1">
        <f ca="1">IF(OFFSET(N35,$A64,0)="","",ROUND(SUM(OFFSET($F35:N35,$A64,0)),0))</f>
        <v>110388</v>
      </c>
      <c r="K64" s="1">
        <f ca="1">IF(OFFSET(O35,$A64,0)="","",ROUND(SUM(OFFSET($F35:O35,$A64,0)),0))</f>
        <v>134919</v>
      </c>
      <c r="L64" s="1">
        <f ca="1">IF(OFFSET(P35,$A64,0)="","",ROUND(SUM(OFFSET($F35:P35,$A64,0)),0))</f>
        <v>161903</v>
      </c>
      <c r="M64" s="1">
        <f ca="1">IF(OFFSET(Q35,$A64,0)="","",ROUND(SUM(OFFSET($F35:Q35,$A64,0)),0))</f>
        <v>191340</v>
      </c>
      <c r="N64" s="1">
        <f ca="1">IF(OFFSET(R35,$A64,0)="","",ROUND(SUM(OFFSET($F35:R35,$A64,0)),0))</f>
        <v>223230</v>
      </c>
      <c r="O64" s="1">
        <f ca="1">IF(OFFSET(S35,$A64,0)="","",ROUND(SUM(OFFSET($F35:S35,$A64,0)),0))</f>
        <v>257573</v>
      </c>
      <c r="P64" s="1" t="str">
        <f ca="1">IF(OFFSET(T35,$A64,0)="","",ROUND(SUM(OFFSET($F35:T35,$A64,0)),0))</f>
        <v/>
      </c>
      <c r="Q64" s="1" t="str">
        <f ca="1">IF(OFFSET(U35,$A64,0)="","",ROUND(SUM(OFFSET($F35:U35,$A64,0)),0))</f>
        <v/>
      </c>
      <c r="R64" s="1" t="str">
        <f ca="1">IF(OFFSET(V35,$A64,0)="","",ROUND(SUM(OFFSET($F35:V35,$A64,0)),0))</f>
        <v/>
      </c>
      <c r="S64" s="1" t="str">
        <f ca="1">IF(OFFSET(W35,$A64,0)="","",ROUND(SUM(OFFSET($F35:W35,$A64,0)),0))</f>
        <v/>
      </c>
      <c r="T64" s="1" t="str">
        <f ca="1">IF(OFFSET(X35,$A64,0)="","",ROUND(SUM(OFFSET($F35:X35,$A64,0)),0))</f>
        <v/>
      </c>
      <c r="U64" s="1" t="str">
        <f ca="1">IF(OFFSET(Z35,$A64,0)="","",SUM(OFFSET($F35:Z35,$A64,0)))</f>
        <v/>
      </c>
    </row>
    <row r="65" spans="1:21" x14ac:dyDescent="0.25">
      <c r="A65" s="1">
        <v>7</v>
      </c>
      <c r="B65" s="1">
        <f ca="1">IF(OFFSET(F36,$A65,0)="","",ROUND(SUM(OFFSET($F36:F36,$A65,0)),0))</f>
        <v>2952</v>
      </c>
      <c r="C65" s="1">
        <f ca="1">IF(OFFSET(G36,$A65,0)="","",ROUND(SUM(OFFSET($F36:G36,$A65,0)),0))</f>
        <v>8855</v>
      </c>
      <c r="D65" s="1">
        <f ca="1">IF(OFFSET(H36,$A65,0)="","",ROUND(SUM(OFFSET($F36:H36,$A65,0)),0))</f>
        <v>17709</v>
      </c>
      <c r="E65" s="1">
        <f ca="1">IF(OFFSET(I36,$A65,0)="","",ROUND(SUM(OFFSET($F36:I36,$A65,0)),0))</f>
        <v>29516</v>
      </c>
      <c r="F65" s="1">
        <f ca="1">IF(OFFSET(J36,$A65,0)="","",ROUND(SUM(OFFSET($F36:J36,$A65,0)),0))</f>
        <v>44274</v>
      </c>
      <c r="G65" s="1">
        <f ca="1">IF(OFFSET(K36,$A65,0)="","",ROUND(SUM(OFFSET($F36:K36,$A65,0)),0))</f>
        <v>61983</v>
      </c>
      <c r="H65" s="1">
        <f ca="1">IF(OFFSET(L36,$A65,0)="","",ROUND(SUM(OFFSET($F36:L36,$A65,0)),0))</f>
        <v>82644</v>
      </c>
      <c r="I65" s="1">
        <f ca="1">IF(OFFSET(M36,$A65,0)="","",ROUND(SUM(OFFSET($F36:M36,$A65,0)),0))</f>
        <v>106257</v>
      </c>
      <c r="J65" s="1">
        <f ca="1">IF(OFFSET(N36,$A65,0)="","",ROUND(SUM(OFFSET($F36:N36,$A65,0)),0))</f>
        <v>132821</v>
      </c>
      <c r="K65" s="1">
        <f ca="1">IF(OFFSET(O36,$A65,0)="","",ROUND(SUM(OFFSET($F36:O36,$A65,0)),0))</f>
        <v>162336</v>
      </c>
      <c r="L65" s="1">
        <f ca="1">IF(OFFSET(P36,$A65,0)="","",ROUND(SUM(OFFSET($F36:P36,$A65,0)),0))</f>
        <v>194804</v>
      </c>
      <c r="M65" s="1">
        <f ca="1">IF(OFFSET(Q36,$A65,0)="","",ROUND(SUM(OFFSET($F36:Q36,$A65,0)),0))</f>
        <v>230223</v>
      </c>
      <c r="N65" s="1">
        <f ca="1">IF(OFFSET(R36,$A65,0)="","",ROUND(SUM(OFFSET($F36:R36,$A65,0)),0))</f>
        <v>268593</v>
      </c>
      <c r="O65" s="1">
        <f ca="1">IF(OFFSET(S36,$A65,0)="","",ROUND(SUM(OFFSET($F36:S36,$A65,0)),0))</f>
        <v>309915</v>
      </c>
      <c r="P65" s="1" t="str">
        <f ca="1">IF(OFFSET(T36,$A65,0)="","",ROUND(SUM(OFFSET($F36:T36,$A65,0)),0))</f>
        <v/>
      </c>
      <c r="Q65" s="1" t="str">
        <f ca="1">IF(OFFSET(U36,$A65,0)="","",ROUND(SUM(OFFSET($F36:U36,$A65,0)),0))</f>
        <v/>
      </c>
      <c r="R65" s="1" t="str">
        <f ca="1">IF(OFFSET(V36,$A65,0)="","",ROUND(SUM(OFFSET($F36:V36,$A65,0)),0))</f>
        <v/>
      </c>
      <c r="S65" s="1" t="str">
        <f ca="1">IF(OFFSET(W36,$A65,0)="","",ROUND(SUM(OFFSET($F36:W36,$A65,0)),0))</f>
        <v/>
      </c>
      <c r="T65" s="1" t="str">
        <f ca="1">IF(OFFSET(X36,$A65,0)="","",ROUND(SUM(OFFSET($F36:X36,$A65,0)),0))</f>
        <v/>
      </c>
      <c r="U65" s="1" t="str">
        <f ca="1">IF(OFFSET(Z36,$A65,0)="","",SUM(OFFSET($F36:Z36,$A65,0)))</f>
        <v/>
      </c>
    </row>
    <row r="66" spans="1:21" x14ac:dyDescent="0.25">
      <c r="A66" s="1">
        <v>8</v>
      </c>
      <c r="B66" s="1">
        <f ca="1">IF(OFFSET(F37,$A66,0)="","",ROUND(SUM(OFFSET($F37:F37,$A66,0)),0))</f>
        <v>2553</v>
      </c>
      <c r="C66" s="1">
        <f ca="1">IF(OFFSET(G37,$A66,0)="","",ROUND(SUM(OFFSET($F37:G37,$A66,0)),0))</f>
        <v>7658</v>
      </c>
      <c r="D66" s="1">
        <f ca="1">IF(OFFSET(H37,$A66,0)="","",ROUND(SUM(OFFSET($F37:H37,$A66,0)),0))</f>
        <v>15317</v>
      </c>
      <c r="E66" s="1">
        <f ca="1">IF(OFFSET(I37,$A66,0)="","",ROUND(SUM(OFFSET($F37:I37,$A66,0)),0))</f>
        <v>25528</v>
      </c>
      <c r="F66" s="1">
        <f ca="1">IF(OFFSET(J37,$A66,0)="","",ROUND(SUM(OFFSET($F37:J37,$A66,0)),0))</f>
        <v>38292</v>
      </c>
      <c r="G66" s="1">
        <f ca="1">IF(OFFSET(K37,$A66,0)="","",ROUND(SUM(OFFSET($F37:K37,$A66,0)),0))</f>
        <v>53609</v>
      </c>
      <c r="H66" s="1">
        <f ca="1">IF(OFFSET(L37,$A66,0)="","",ROUND(SUM(OFFSET($F37:L37,$A66,0)),0))</f>
        <v>71478</v>
      </c>
      <c r="I66" s="1">
        <f ca="1">IF(OFFSET(M37,$A66,0)="","",ROUND(SUM(OFFSET($F37:M37,$A66,0)),0))</f>
        <v>91900</v>
      </c>
      <c r="J66" s="1">
        <f ca="1">IF(OFFSET(N37,$A66,0)="","",ROUND(SUM(OFFSET($F37:N37,$A66,0)),0))</f>
        <v>114876</v>
      </c>
      <c r="K66" s="1">
        <f ca="1">IF(OFFSET(O37,$A66,0)="","",ROUND(SUM(OFFSET($F37:O37,$A66,0)),0))</f>
        <v>140403</v>
      </c>
      <c r="L66" s="1">
        <f ca="1">IF(OFFSET(P37,$A66,0)="","",ROUND(SUM(OFFSET($F37:P37,$A66,0)),0))</f>
        <v>168484</v>
      </c>
      <c r="M66" s="1">
        <f ca="1">IF(OFFSET(Q37,$A66,0)="","",ROUND(SUM(OFFSET($F37:Q37,$A66,0)),0))</f>
        <v>199118</v>
      </c>
      <c r="N66" s="1">
        <f ca="1">IF(OFFSET(R37,$A66,0)="","",ROUND(SUM(OFFSET($F37:R37,$A66,0)),0))</f>
        <v>232304</v>
      </c>
      <c r="O66" s="1">
        <f ca="1">IF(OFFSET(S37,$A66,0)="","",ROUND(SUM(OFFSET($F37:S37,$A66,0)),0))</f>
        <v>268043</v>
      </c>
      <c r="P66" s="1">
        <f ca="1">IF(OFFSET(T37,$A66,0)="","",ROUND(SUM(OFFSET($F37:T37,$A66,0)),0))</f>
        <v>306335</v>
      </c>
      <c r="Q66" s="1">
        <f ca="1">IF(OFFSET(U37,$A66,0)="","",ROUND(SUM(OFFSET($F37:U37,$A66,0)),0))</f>
        <v>347179</v>
      </c>
      <c r="R66" s="1">
        <f ca="1">IF(OFFSET(V37,$A66,0)="","",ROUND(SUM(OFFSET($F37:V37,$A66,0)),0))</f>
        <v>390577</v>
      </c>
      <c r="S66" s="1">
        <f ca="1">IF(OFFSET(W37,$A66,0)="","",ROUND(SUM(OFFSET($F37:W37,$A66,0)),0))</f>
        <v>436527</v>
      </c>
      <c r="T66" s="1">
        <f ca="1">IF(OFFSET(X37,$A66,0)="","",ROUND(SUM(OFFSET($F37:X37,$A66,0)),0))</f>
        <v>485030</v>
      </c>
      <c r="U66" s="1" t="str">
        <f ca="1">IF(OFFSET(Z37,$A66,0)="","",SUM(OFFSET($F37:Z37,$A66,0)))</f>
        <v/>
      </c>
    </row>
    <row r="67" spans="1:21" x14ac:dyDescent="0.25">
      <c r="A67" s="1">
        <v>9</v>
      </c>
      <c r="B67" s="1">
        <f ca="1">IF(OFFSET(F38,$A67,0)="","",ROUND(SUM(OFFSET($F38:F38,$A67,0)),0))</f>
        <v>2940</v>
      </c>
      <c r="C67" s="1">
        <f ca="1">IF(OFFSET(G38,$A67,0)="","",ROUND(SUM(OFFSET($F38:G38,$A67,0)),0))</f>
        <v>8821</v>
      </c>
      <c r="D67" s="1">
        <f ca="1">IF(OFFSET(H38,$A67,0)="","",ROUND(SUM(OFFSET($F38:H38,$A67,0)),0))</f>
        <v>17642</v>
      </c>
      <c r="E67" s="1">
        <f ca="1">IF(OFFSET(I38,$A67,0)="","",ROUND(SUM(OFFSET($F38:I38,$A67,0)),0))</f>
        <v>29403</v>
      </c>
      <c r="F67" s="1">
        <f ca="1">IF(OFFSET(J38,$A67,0)="","",ROUND(SUM(OFFSET($F38:J38,$A67,0)),0))</f>
        <v>44105</v>
      </c>
      <c r="G67" s="1">
        <f ca="1">IF(OFFSET(K38,$A67,0)="","",ROUND(SUM(OFFSET($F38:K38,$A67,0)),0))</f>
        <v>61747</v>
      </c>
      <c r="H67" s="1">
        <f ca="1">IF(OFFSET(L38,$A67,0)="","",ROUND(SUM(OFFSET($F38:L38,$A67,0)),0))</f>
        <v>82329</v>
      </c>
      <c r="I67" s="1">
        <f ca="1">IF(OFFSET(M38,$A67,0)="","",ROUND(SUM(OFFSET($F38:M38,$A67,0)),0))</f>
        <v>105851</v>
      </c>
      <c r="J67" s="1">
        <f ca="1">IF(OFFSET(N38,$A67,0)="","",ROUND(SUM(OFFSET($F38:N38,$A67,0)),0))</f>
        <v>132314</v>
      </c>
      <c r="K67" s="1">
        <f ca="1">IF(OFFSET(O38,$A67,0)="","",ROUND(SUM(OFFSET($F38:O38,$A67,0)),0))</f>
        <v>161717</v>
      </c>
      <c r="L67" s="1">
        <f ca="1">IF(OFFSET(P38,$A67,0)="","",ROUND(SUM(OFFSET($F38:P38,$A67,0)),0))</f>
        <v>194061</v>
      </c>
      <c r="M67" s="1">
        <f ca="1">IF(OFFSET(Q38,$A67,0)="","",ROUND(SUM(OFFSET($F38:Q38,$A67,0)),0))</f>
        <v>229345</v>
      </c>
      <c r="N67" s="1">
        <f ca="1">IF(OFFSET(R38,$A67,0)="","",ROUND(SUM(OFFSET($F38:R38,$A67,0)),0))</f>
        <v>267569</v>
      </c>
      <c r="O67" s="1">
        <f ca="1">IF(OFFSET(S38,$A67,0)="","",ROUND(SUM(OFFSET($F38:S38,$A67,0)),0))</f>
        <v>308733</v>
      </c>
      <c r="P67" s="1">
        <f ca="1">IF(OFFSET(T38,$A67,0)="","",ROUND(SUM(OFFSET($F38:T38,$A67,0)),0))</f>
        <v>352838</v>
      </c>
      <c r="Q67" s="1">
        <f ca="1">IF(OFFSET(U38,$A67,0)="","",ROUND(SUM(OFFSET($F38:U38,$A67,0)),0))</f>
        <v>399883</v>
      </c>
      <c r="R67" s="1">
        <f ca="1">IF(OFFSET(V38,$A67,0)="","",ROUND(SUM(OFFSET($F38:V38,$A67,0)),0))</f>
        <v>449868</v>
      </c>
      <c r="S67" s="1">
        <f ca="1">IF(OFFSET(W38,$A67,0)="","",ROUND(SUM(OFFSET($F38:W38,$A67,0)),0))</f>
        <v>502794</v>
      </c>
      <c r="T67" s="1">
        <f ca="1">IF(OFFSET(X38,$A67,0)="","",ROUND(SUM(OFFSET($F38:X38,$A67,0)),0))</f>
        <v>558660</v>
      </c>
      <c r="U67" s="1" t="str">
        <f ca="1">IF(OFFSET(Z38,$A67,0)="","",SUM(OFFSET($F38:Z38,$A67,0)))</f>
        <v/>
      </c>
    </row>
    <row r="68" spans="1:21" x14ac:dyDescent="0.25">
      <c r="A68" s="1">
        <v>10</v>
      </c>
      <c r="B68" s="1">
        <f ca="1">IF(OFFSET(F39,$A68,0)="","",ROUND(SUM(OFFSET($F39:F39,$A68,0)),0))</f>
        <v>3337</v>
      </c>
      <c r="C68" s="1">
        <f ca="1">IF(OFFSET(G39,$A68,0)="","",ROUND(SUM(OFFSET($F39:G39,$A68,0)),0))</f>
        <v>10010</v>
      </c>
      <c r="D68" s="1">
        <f ca="1">IF(OFFSET(H39,$A68,0)="","",ROUND(SUM(OFFSET($F39:H39,$A68,0)),0))</f>
        <v>20020</v>
      </c>
      <c r="E68" s="1">
        <f ca="1">IF(OFFSET(I39,$A68,0)="","",ROUND(SUM(OFFSET($F39:I39,$A68,0)),0))</f>
        <v>33366</v>
      </c>
      <c r="F68" s="1">
        <f ca="1">IF(OFFSET(J39,$A68,0)="","",ROUND(SUM(OFFSET($F39:J39,$A68,0)),0))</f>
        <v>50049</v>
      </c>
      <c r="G68" s="1">
        <f ca="1">IF(OFFSET(K39,$A68,0)="","",ROUND(SUM(OFFSET($F39:K39,$A68,0)),0))</f>
        <v>70069</v>
      </c>
      <c r="H68" s="1">
        <f ca="1">IF(OFFSET(L39,$A68,0)="","",ROUND(SUM(OFFSET($F39:L39,$A68,0)),0))</f>
        <v>93426</v>
      </c>
      <c r="I68" s="1">
        <f ca="1">IF(OFFSET(M39,$A68,0)="","",ROUND(SUM(OFFSET($F39:M39,$A68,0)),0))</f>
        <v>120119</v>
      </c>
      <c r="J68" s="1">
        <f ca="1">IF(OFFSET(N39,$A68,0)="","",ROUND(SUM(OFFSET($F39:N39,$A68,0)),0))</f>
        <v>150148</v>
      </c>
      <c r="K68" s="1">
        <f ca="1">IF(OFFSET(O39,$A68,0)="","",ROUND(SUM(OFFSET($F39:O39,$A68,0)),0))</f>
        <v>183515</v>
      </c>
      <c r="L68" s="1">
        <f ca="1">IF(OFFSET(P39,$A68,0)="","",ROUND(SUM(OFFSET($F39:P39,$A68,0)),0))</f>
        <v>220218</v>
      </c>
      <c r="M68" s="1">
        <f ca="1">IF(OFFSET(Q39,$A68,0)="","",ROUND(SUM(OFFSET($F39:Q39,$A68,0)),0))</f>
        <v>260257</v>
      </c>
      <c r="N68" s="1">
        <f ca="1">IF(OFFSET(R39,$A68,0)="","",ROUND(SUM(OFFSET($F39:R39,$A68,0)),0))</f>
        <v>303633</v>
      </c>
      <c r="O68" s="1">
        <f ca="1">IF(OFFSET(S39,$A68,0)="","",ROUND(SUM(OFFSET($F39:S39,$A68,0)),0))</f>
        <v>350346</v>
      </c>
      <c r="P68" s="1">
        <f ca="1">IF(OFFSET(T39,$A68,0)="","",ROUND(SUM(OFFSET($F39:T39,$A68,0)),0))</f>
        <v>400396</v>
      </c>
      <c r="Q68" s="1">
        <f ca="1">IF(OFFSET(U39,$A68,0)="","",ROUND(SUM(OFFSET($F39:U39,$A68,0)),0))</f>
        <v>453782</v>
      </c>
      <c r="R68" s="1">
        <f ca="1">IF(OFFSET(V39,$A68,0)="","",ROUND(SUM(OFFSET($F39:V39,$A68,0)),0))</f>
        <v>510505</v>
      </c>
      <c r="S68" s="1">
        <f ca="1">IF(OFFSET(W39,$A68,0)="","",ROUND(SUM(OFFSET($F39:W39,$A68,0)),0))</f>
        <v>570564</v>
      </c>
      <c r="T68" s="1">
        <f ca="1">IF(OFFSET(X39,$A68,0)="","",ROUND(SUM(OFFSET($F39:X39,$A68,0)),0))</f>
        <v>633960</v>
      </c>
      <c r="U68" s="1" t="str">
        <f ca="1">IF(OFFSET(Z39,$A68,0)="","",SUM(OFFSET($F39:Z39,$A68,0)))</f>
        <v/>
      </c>
    </row>
    <row r="69" spans="1:21" x14ac:dyDescent="0.25">
      <c r="A69" s="1">
        <v>11</v>
      </c>
      <c r="B69" s="6">
        <f ca="1">IF(OFFSET(F40,$A69,0)="","",ROUND(SUM(OFFSET($F40:F40,$A69,0)),0))</f>
        <v>3741</v>
      </c>
      <c r="C69" s="1">
        <f ca="1">IF(OFFSET(G40,$A69,0)="","",ROUND(SUM(OFFSET($F40:G40,$A69,0)),0))</f>
        <v>11223</v>
      </c>
      <c r="D69" s="1">
        <f ca="1">IF(OFFSET(H40,$A69,0)="","",ROUND(SUM(OFFSET($F40:H40,$A69,0)),0))</f>
        <v>22445</v>
      </c>
      <c r="E69" s="1">
        <f ca="1">IF(OFFSET(I40,$A69,0)="","",ROUND(SUM(OFFSET($F40:I40,$A69,0)),0))</f>
        <v>37409</v>
      </c>
      <c r="F69" s="1">
        <f ca="1">IF(OFFSET(J40,$A69,0)="","",ROUND(SUM(OFFSET($F40:J40,$A69,0)),0))</f>
        <v>56113</v>
      </c>
      <c r="G69" s="1">
        <f ca="1">IF(OFFSET(K40,$A69,0)="","",ROUND(SUM(OFFSET($F40:K40,$A69,0)),0))</f>
        <v>78559</v>
      </c>
      <c r="H69" s="1">
        <f ca="1">IF(OFFSET(L40,$A69,0)="","",ROUND(SUM(OFFSET($F40:L40,$A69,0)),0))</f>
        <v>104745</v>
      </c>
      <c r="I69" s="1">
        <f ca="1">IF(OFFSET(M40,$A69,0)="","",ROUND(SUM(OFFSET($F40:M40,$A69,0)),0))</f>
        <v>134672</v>
      </c>
      <c r="J69" s="1">
        <f ca="1">IF(OFFSET(N40,$A69,0)="","",ROUND(SUM(OFFSET($F40:N40,$A69,0)),0))</f>
        <v>168340</v>
      </c>
      <c r="K69" s="1">
        <f ca="1">IF(OFFSET(O40,$A69,0)="","",ROUND(SUM(OFFSET($F40:O40,$A69,0)),0))</f>
        <v>205749</v>
      </c>
      <c r="L69" s="1">
        <f ca="1">IF(OFFSET(P40,$A69,0)="","",ROUND(SUM(OFFSET($F40:P40,$A69,0)),0))</f>
        <v>246899</v>
      </c>
      <c r="M69" s="1">
        <f ca="1">IF(OFFSET(Q40,$A69,0)="","",ROUND(SUM(OFFSET($F40:Q40,$A69,0)),0))</f>
        <v>291790</v>
      </c>
      <c r="N69" s="1">
        <f ca="1">IF(OFFSET(R40,$A69,0)="","",ROUND(SUM(OFFSET($F40:R40,$A69,0)),0))</f>
        <v>340421</v>
      </c>
      <c r="O69" s="1">
        <f ca="1">IF(OFFSET(S40,$A69,0)="","",ROUND(SUM(OFFSET($F40:S40,$A69,0)),0))</f>
        <v>392794</v>
      </c>
      <c r="P69" s="1">
        <f ca="1">IF(OFFSET(T40,$A69,0)="","",ROUND(SUM(OFFSET($F40:T40,$A69,0)),0))</f>
        <v>448907</v>
      </c>
      <c r="Q69" s="1">
        <f ca="1">IF(OFFSET(U40,$A69,0)="","",ROUND(SUM(OFFSET($F40:U40,$A69,0)),0))</f>
        <v>508762</v>
      </c>
      <c r="R69" s="1">
        <f ca="1">IF(OFFSET(V40,$A69,0)="","",ROUND(SUM(OFFSET($F40:V40,$A69,0)),0))</f>
        <v>572357</v>
      </c>
      <c r="S69" s="1">
        <f ca="1">IF(OFFSET(W40,$A69,0)="","",ROUND(SUM(OFFSET($F40:W40,$A69,0)),0))</f>
        <v>639693</v>
      </c>
      <c r="T69" s="1">
        <f ca="1">IF(OFFSET(X40,$A69,0)="","",ROUND(SUM(OFFSET($F40:X40,$A69,0)),0))</f>
        <v>710770</v>
      </c>
      <c r="U69" s="1"/>
    </row>
    <row r="70" spans="1:21" x14ac:dyDescent="0.25">
      <c r="A70" s="1">
        <v>12</v>
      </c>
      <c r="B70" s="6">
        <f ca="1">IF(OFFSET(F41,$A70,0)="","",ROUND(SUM(OFFSET($F41:F41,$A70,0)),0))</f>
        <v>4153</v>
      </c>
      <c r="C70" s="1">
        <f ca="1">IF(OFFSET(G41,$A70,0)="","",ROUND(SUM(OFFSET($F41:G41,$A70,0)),0))</f>
        <v>12458</v>
      </c>
      <c r="D70" s="1">
        <f ca="1">IF(OFFSET(H41,$A70,0)="","",ROUND(SUM(OFFSET($F41:H41,$A70,0)),0))</f>
        <v>24916</v>
      </c>
      <c r="E70" s="1">
        <f ca="1">IF(OFFSET(I41,$A70,0)="","",ROUND(SUM(OFFSET($F41:I41,$A70,0)),0))</f>
        <v>41526</v>
      </c>
      <c r="F70" s="1">
        <f ca="1">IF(OFFSET(J41,$A70,0)="","",ROUND(SUM(OFFSET($F41:J41,$A70,0)),0))</f>
        <v>62289</v>
      </c>
      <c r="G70" s="1">
        <f ca="1">IF(OFFSET(K41,$A70,0)="","",ROUND(SUM(OFFSET($F41:K41,$A70,0)),0))</f>
        <v>87205</v>
      </c>
      <c r="H70" s="1">
        <f ca="1">IF(OFFSET(L41,$A70,0)="","",ROUND(SUM(OFFSET($F41:L41,$A70,0)),0))</f>
        <v>116274</v>
      </c>
      <c r="I70" s="1">
        <f ca="1">IF(OFFSET(M41,$A70,0)="","",ROUND(SUM(OFFSET($F41:M41,$A70,0)),0))</f>
        <v>149495</v>
      </c>
      <c r="J70" s="1">
        <f ca="1">IF(OFFSET(N41,$A70,0)="","",ROUND(SUM(OFFSET($F41:N41,$A70,0)),0))</f>
        <v>186868</v>
      </c>
      <c r="K70" s="1">
        <f ca="1">IF(OFFSET(O41,$A70,0)="","",ROUND(SUM(OFFSET($F41:O41,$A70,0)),0))</f>
        <v>228395</v>
      </c>
      <c r="L70" s="1">
        <f ca="1">IF(OFFSET(P41,$A70,0)="","",ROUND(SUM(OFFSET($F41:P41,$A70,0)),0))</f>
        <v>274074</v>
      </c>
      <c r="M70" s="1">
        <f ca="1">IF(OFFSET(Q41,$A70,0)="","",ROUND(SUM(OFFSET($F41:Q41,$A70,0)),0))</f>
        <v>323905</v>
      </c>
      <c r="N70" s="1">
        <f ca="1">IF(OFFSET(R41,$A70,0)="","",ROUND(SUM(OFFSET($F41:R41,$A70,0)),0))</f>
        <v>377889</v>
      </c>
      <c r="O70" s="1">
        <f ca="1">IF(OFFSET(S41,$A70,0)="","",ROUND(SUM(OFFSET($F41:S41,$A70,0)),0))</f>
        <v>436026</v>
      </c>
      <c r="P70" s="1">
        <f ca="1">IF(OFFSET(T41,$A70,0)="","",ROUND(SUM(OFFSET($F41:T41,$A70,0)),0))</f>
        <v>498316</v>
      </c>
      <c r="Q70" s="1">
        <f ca="1">IF(OFFSET(U41,$A70,0)="","",ROUND(SUM(OFFSET($F41:U41,$A70,0)),0))</f>
        <v>564758</v>
      </c>
      <c r="R70" s="1">
        <f ca="1">IF(OFFSET(V41,$A70,0)="","",ROUND(SUM(OFFSET($F41:V41,$A70,0)),0))</f>
        <v>635353</v>
      </c>
      <c r="S70" s="1">
        <f ca="1">IF(OFFSET(W41,$A70,0)="","",ROUND(SUM(OFFSET($F41:W41,$A70,0)),0))</f>
        <v>710100</v>
      </c>
      <c r="T70" s="1">
        <f ca="1">IF(OFFSET(X41,$A70,0)="","",ROUND(SUM(OFFSET($F41:X41,$A70,0)),0))</f>
        <v>789000</v>
      </c>
      <c r="U70" s="1"/>
    </row>
    <row r="71" spans="1:21" x14ac:dyDescent="0.25">
      <c r="A71" s="1">
        <v>13</v>
      </c>
      <c r="B71" s="6">
        <f ca="1">IF(OFFSET(F42,$A71,0)="","",ROUND(SUM(OFFSET($F42:F42,$A71,0)),0))</f>
        <v>4571</v>
      </c>
      <c r="C71" s="1">
        <f ca="1">IF(OFFSET(G42,$A71,0)="","",ROUND(SUM(OFFSET($F42:G42,$A71,0)),0))</f>
        <v>13714</v>
      </c>
      <c r="D71" s="1">
        <f ca="1">IF(OFFSET(H42,$A71,0)="","",ROUND(SUM(OFFSET($F42:H42,$A71,0)),0))</f>
        <v>27428</v>
      </c>
      <c r="E71" s="1">
        <f ca="1">IF(OFFSET(I42,$A71,0)="","",ROUND(SUM(OFFSET($F42:I42,$A71,0)),0))</f>
        <v>45713</v>
      </c>
      <c r="F71" s="1">
        <f ca="1">IF(OFFSET(J42,$A71,0)="","",ROUND(SUM(OFFSET($F42:J42,$A71,0)),0))</f>
        <v>68569</v>
      </c>
      <c r="G71" s="1">
        <f ca="1">IF(OFFSET(K42,$A71,0)="","",ROUND(SUM(OFFSET($F42:K42,$A71,0)),0))</f>
        <v>95997</v>
      </c>
      <c r="H71" s="1">
        <f ca="1">IF(OFFSET(L42,$A71,0)="","",ROUND(SUM(OFFSET($F42:L42,$A71,0)),0))</f>
        <v>127995</v>
      </c>
      <c r="I71" s="1">
        <f ca="1">IF(OFFSET(M42,$A71,0)="","",ROUND(SUM(OFFSET($F42:M42,$A71,0)),0))</f>
        <v>164565</v>
      </c>
      <c r="J71" s="1">
        <f ca="1">IF(OFFSET(N42,$A71,0)="","",ROUND(SUM(OFFSET($F42:N42,$A71,0)),0))</f>
        <v>205707</v>
      </c>
      <c r="K71" s="1">
        <f ca="1">IF(OFFSET(O42,$A71,0)="","",ROUND(SUM(OFFSET($F42:O42,$A71,0)),0))</f>
        <v>251419</v>
      </c>
      <c r="L71" s="1">
        <f ca="1">IF(OFFSET(P42,$A71,0)="","",ROUND(SUM(OFFSET($F42:P42,$A71,0)),0))</f>
        <v>301703</v>
      </c>
      <c r="M71" s="1">
        <f ca="1">IF(OFFSET(Q42,$A71,0)="","",ROUND(SUM(OFFSET($F42:Q42,$A71,0)),0))</f>
        <v>356559</v>
      </c>
      <c r="N71" s="1">
        <f ca="1">IF(OFFSET(R42,$A71,0)="","",ROUND(SUM(OFFSET($F42:R42,$A71,0)),0))</f>
        <v>415985</v>
      </c>
      <c r="O71" s="1">
        <f ca="1">IF(OFFSET(S42,$A71,0)="","",ROUND(SUM(OFFSET($F42:S42,$A71,0)),0))</f>
        <v>479983</v>
      </c>
      <c r="P71" s="1">
        <f ca="1">IF(OFFSET(T42,$A71,0)="","",ROUND(SUM(OFFSET($F42:T42,$A71,0)),0))</f>
        <v>548552</v>
      </c>
      <c r="Q71" s="1">
        <f ca="1">IF(OFFSET(U42,$A71,0)="","",ROUND(SUM(OFFSET($F42:U42,$A71,0)),0))</f>
        <v>621692</v>
      </c>
      <c r="R71" s="1">
        <f ca="1">IF(OFFSET(V42,$A71,0)="","",ROUND(SUM(OFFSET($F42:V42,$A71,0)),0))</f>
        <v>699403</v>
      </c>
      <c r="S71" s="1">
        <f ca="1">IF(OFFSET(W42,$A71,0)="","",ROUND(SUM(OFFSET($F42:W42,$A71,0)),0))</f>
        <v>781686</v>
      </c>
      <c r="T71" s="1">
        <f ca="1">IF(OFFSET(X42,$A71,0)="","",ROUND(SUM(OFFSET($F42:X42,$A71,0)),0))</f>
        <v>868540</v>
      </c>
      <c r="U71" s="1"/>
    </row>
    <row r="72" spans="1:2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ht="18.75" x14ac:dyDescent="0.3">
      <c r="A73" s="81" t="s">
        <v>88</v>
      </c>
      <c r="B73" s="81"/>
    </row>
    <row r="74" spans="1:21" x14ac:dyDescent="0.25">
      <c r="A74" s="4" t="s">
        <v>16</v>
      </c>
      <c r="B74" s="4" t="s">
        <v>110</v>
      </c>
      <c r="C74" s="4" t="s">
        <v>85</v>
      </c>
    </row>
    <row r="75" spans="1:21" x14ac:dyDescent="0.25">
      <c r="A75" s="1">
        <v>1</v>
      </c>
      <c r="B75" s="34">
        <f>ROUND(AVERAGE(D11:D11),0)</f>
        <v>1100</v>
      </c>
      <c r="C75" s="34">
        <f ca="1">MAX(B59:T59)/Table74[[#This Row],[AVG_XP/min]]</f>
        <v>12.901818181818182</v>
      </c>
    </row>
    <row r="76" spans="1:21" x14ac:dyDescent="0.25">
      <c r="A76" s="1">
        <v>2</v>
      </c>
      <c r="B76" s="34">
        <f t="shared" ref="B76:B83" si="26">ROUND(AVERAGE(D12:D12),0)</f>
        <v>2200</v>
      </c>
      <c r="C76" s="34">
        <f ca="1">MAX(B60:T60)/Table74[[#This Row],[AVG_XP/min]]</f>
        <v>20.886363636363637</v>
      </c>
    </row>
    <row r="77" spans="1:21" x14ac:dyDescent="0.25">
      <c r="A77" s="1">
        <v>3</v>
      </c>
      <c r="B77" s="34">
        <f t="shared" si="26"/>
        <v>2700</v>
      </c>
      <c r="C77" s="34">
        <f ca="1">MAX(B61:T61)/Table74[[#This Row],[AVG_XP/min]]</f>
        <v>27.683333333333334</v>
      </c>
    </row>
    <row r="78" spans="1:21" x14ac:dyDescent="0.25">
      <c r="A78" s="1">
        <v>4</v>
      </c>
      <c r="B78" s="34">
        <f t="shared" si="26"/>
        <v>3200</v>
      </c>
      <c r="C78" s="34">
        <f ca="1">MAX(B62:T62)/Table74[[#This Row],[AVG_XP/min]]</f>
        <v>32.987499999999997</v>
      </c>
    </row>
    <row r="79" spans="1:21" x14ac:dyDescent="0.25">
      <c r="A79" s="1">
        <v>5</v>
      </c>
      <c r="B79" s="34">
        <f t="shared" si="26"/>
        <v>4000</v>
      </c>
      <c r="C79" s="34">
        <f ca="1">MAX(B63:T63)/Table74[[#This Row],[AVG_XP/min]]</f>
        <v>51.740749999999998</v>
      </c>
    </row>
    <row r="80" spans="1:21" x14ac:dyDescent="0.25">
      <c r="A80" s="1">
        <v>6</v>
      </c>
      <c r="B80" s="34">
        <f t="shared" si="26"/>
        <v>5200</v>
      </c>
      <c r="C80" s="34">
        <f ca="1">MAX(B64:T64)/Table74[[#This Row],[AVG_XP/min]]</f>
        <v>49.533269230769228</v>
      </c>
    </row>
    <row r="81" spans="1:3" x14ac:dyDescent="0.25">
      <c r="A81" s="1">
        <v>7</v>
      </c>
      <c r="B81" s="34">
        <f>ROUND(AVERAGE(D17:D17),0)</f>
        <v>6000</v>
      </c>
      <c r="C81" s="34">
        <f ca="1">MAX(B65:T65)/Table74[[#This Row],[AVG_XP/min]]</f>
        <v>51.652500000000003</v>
      </c>
    </row>
    <row r="82" spans="1:3" x14ac:dyDescent="0.25">
      <c r="A82" s="1">
        <v>8</v>
      </c>
      <c r="B82" s="34">
        <f t="shared" si="26"/>
        <v>8000</v>
      </c>
      <c r="C82" s="34">
        <f ca="1">MAX(B66:T66)/Table74[[#This Row],[AVG_XP/min]]</f>
        <v>60.628749999999997</v>
      </c>
    </row>
    <row r="83" spans="1:3" x14ac:dyDescent="0.25">
      <c r="A83" s="1">
        <v>9</v>
      </c>
      <c r="B83" s="34">
        <f t="shared" si="26"/>
        <v>8000</v>
      </c>
      <c r="C83" s="34">
        <f ca="1">MAX(B67:T67)/Table74[[#This Row],[AVG_XP/min]]</f>
        <v>69.832499999999996</v>
      </c>
    </row>
    <row r="84" spans="1:3" x14ac:dyDescent="0.25">
      <c r="A84" s="1">
        <v>10</v>
      </c>
      <c r="B84" s="34">
        <f>ROUND(AVERAGE(D20:D20),0)</f>
        <v>10000</v>
      </c>
      <c r="C84" s="34">
        <f ca="1">MAX(B68:T68)/Table74[[#This Row],[AVG_XP/min]]</f>
        <v>63.396000000000001</v>
      </c>
    </row>
    <row r="85" spans="1:3" x14ac:dyDescent="0.25">
      <c r="A85" s="1">
        <v>11</v>
      </c>
      <c r="B85" s="34">
        <f>ROUND(AVERAGE(D21:D21),0)</f>
        <v>10000</v>
      </c>
      <c r="C85" s="34">
        <f ca="1">MAX(B69:T69)/Table74[[#This Row],[AVG_XP/min]]</f>
        <v>71.076999999999998</v>
      </c>
    </row>
    <row r="86" spans="1:3" x14ac:dyDescent="0.25">
      <c r="A86" s="1">
        <v>12</v>
      </c>
      <c r="B86" s="34">
        <f>ROUND(AVERAGE(D22:D22),0)</f>
        <v>10000</v>
      </c>
      <c r="C86" s="34">
        <f ca="1">MAX(B70:T70)/Table74[[#This Row],[AVG_XP/min]]</f>
        <v>78.900000000000006</v>
      </c>
    </row>
    <row r="87" spans="1:3" x14ac:dyDescent="0.25">
      <c r="A87" s="1">
        <v>13</v>
      </c>
      <c r="B87" s="34">
        <f>ROUND(AVERAGE(D23:D23),0)</f>
        <v>12000</v>
      </c>
      <c r="C87" s="34">
        <f ca="1">MAX(B71:T71)/Table74[[#This Row],[AVG_XP/min]]</f>
        <v>72.37833333333333</v>
      </c>
    </row>
    <row r="89" spans="1:3" x14ac:dyDescent="0.25">
      <c r="B89" s="4" t="s">
        <v>111</v>
      </c>
      <c r="C89" s="93">
        <f ca="1">SUM(Table74[AVG_TIME_TO_MAX_LEVEL])</f>
        <v>663.5981177156176</v>
      </c>
    </row>
  </sheetData>
  <mergeCells count="2">
    <mergeCell ref="H9:J9"/>
    <mergeCell ref="L9:M9"/>
  </mergeCells>
  <conditionalFormatting sqref="F30:Y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0:Y30 V52:X52 F54:Y54" formulaRange="1"/>
    <ignoredError sqref="F32:Y32 F34:Y34 F42:Y42 F44:Y44 F46:Y46 F48:Y48 F40:Y40 F36:Y36 F38:Y38 F50 G50:Y50 F52:U52 Y52" formula="1" formulaRange="1"/>
    <ignoredError sqref="F31:I31 F33:Y33 F35:Y35 F41:Y41 F49:Y49 F47:Y47 F45:Y45 F43:Y43 F39:Y39 F37:Y37 M31:Y31 F51:U51 V51:X51 Y51 F53:U53 V53:Y53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L73"/>
  <sheetViews>
    <sheetView workbookViewId="0">
      <selection activeCell="C33" sqref="C33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9.140625" customWidth="1"/>
    <col min="4" max="4" width="17.710937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" customWidth="1"/>
  </cols>
  <sheetData>
    <row r="2" spans="1:10" x14ac:dyDescent="0.25">
      <c r="G2" s="302" t="s">
        <v>445</v>
      </c>
    </row>
    <row r="3" spans="1:10" x14ac:dyDescent="0.25">
      <c r="G3" s="107" t="s">
        <v>446</v>
      </c>
    </row>
    <row r="4" spans="1:10" x14ac:dyDescent="0.25">
      <c r="A4" s="294" t="s">
        <v>74</v>
      </c>
      <c r="B4" s="294" t="s">
        <v>3</v>
      </c>
      <c r="C4" s="294" t="s">
        <v>45</v>
      </c>
      <c r="G4" s="309" t="s">
        <v>447</v>
      </c>
    </row>
    <row r="5" spans="1:10" x14ac:dyDescent="0.25">
      <c r="A5" s="1" t="s">
        <v>67</v>
      </c>
      <c r="B5" s="1">
        <v>1</v>
      </c>
      <c r="C5" s="302">
        <v>200</v>
      </c>
    </row>
    <row r="6" spans="1:10" x14ac:dyDescent="0.25">
      <c r="A6" s="1" t="s">
        <v>68</v>
      </c>
      <c r="B6" s="1">
        <v>2</v>
      </c>
      <c r="C6" s="302">
        <v>300</v>
      </c>
    </row>
    <row r="7" spans="1:10" x14ac:dyDescent="0.25">
      <c r="A7" s="1" t="s">
        <v>69</v>
      </c>
      <c r="B7" s="1">
        <v>3</v>
      </c>
      <c r="C7" s="302">
        <v>600</v>
      </c>
    </row>
    <row r="10" spans="1:10" x14ac:dyDescent="0.25">
      <c r="E10" s="101" t="s">
        <v>129</v>
      </c>
    </row>
    <row r="12" spans="1:10" x14ac:dyDescent="0.25">
      <c r="A12" s="294" t="s">
        <v>4</v>
      </c>
      <c r="B12" s="294" t="s">
        <v>139</v>
      </c>
      <c r="E12" s="294" t="s">
        <v>4</v>
      </c>
      <c r="F12" s="294" t="s">
        <v>118</v>
      </c>
      <c r="G12" s="294" t="s">
        <v>70</v>
      </c>
      <c r="H12" s="294" t="s">
        <v>71</v>
      </c>
      <c r="I12" s="294" t="s">
        <v>72</v>
      </c>
      <c r="J12" s="294" t="s">
        <v>66</v>
      </c>
    </row>
    <row r="13" spans="1:10" x14ac:dyDescent="0.25">
      <c r="A13" s="105" t="s">
        <v>92</v>
      </c>
      <c r="B13" s="314">
        <v>0.1</v>
      </c>
      <c r="E13" s="105" t="s">
        <v>92</v>
      </c>
      <c r="F13" s="314">
        <v>2</v>
      </c>
      <c r="G13" s="313">
        <f>missionsDragonRelativeMetrics[[#This Row],[Reward Multiplier]]*$C$5</f>
        <v>400</v>
      </c>
      <c r="H13" s="313">
        <f>missionsDragonRelativeMetrics[[#This Row],[Reward Multiplier]]*$C$6</f>
        <v>600</v>
      </c>
      <c r="I13" s="313">
        <f>missionsDragonRelativeMetrics[[#This Row],[Reward Multiplier]]*$C$7</f>
        <v>1200</v>
      </c>
      <c r="J13" s="103">
        <v>3</v>
      </c>
    </row>
    <row r="14" spans="1:10" x14ac:dyDescent="0.25">
      <c r="A14" s="105" t="s">
        <v>93</v>
      </c>
      <c r="B14" s="314">
        <v>0.7</v>
      </c>
      <c r="E14" s="105" t="s">
        <v>93</v>
      </c>
      <c r="F14" s="314">
        <v>6</v>
      </c>
      <c r="G14" s="313">
        <f>missionsDragonRelativeMetrics[[#This Row],[Reward Multiplier]]*$C$5</f>
        <v>1200</v>
      </c>
      <c r="H14" s="313">
        <f>missionsDragonRelativeMetrics[[#This Row],[Reward Multiplier]]*$C$6</f>
        <v>1800</v>
      </c>
      <c r="I14" s="313">
        <f>missionsDragonRelativeMetrics[[#This Row],[Reward Multiplier]]*$C$7</f>
        <v>3600</v>
      </c>
      <c r="J14" s="103">
        <v>3</v>
      </c>
    </row>
    <row r="15" spans="1:10" x14ac:dyDescent="0.25">
      <c r="A15" s="105" t="s">
        <v>94</v>
      </c>
      <c r="B15" s="314">
        <v>1</v>
      </c>
      <c r="E15" s="105" t="s">
        <v>94</v>
      </c>
      <c r="F15" s="314">
        <v>12</v>
      </c>
      <c r="G15" s="313">
        <f>missionsDragonRelativeMetrics[[#This Row],[Reward Multiplier]]*$C$5</f>
        <v>2400</v>
      </c>
      <c r="H15" s="313">
        <f>missionsDragonRelativeMetrics[[#This Row],[Reward Multiplier]]*$C$6</f>
        <v>3600</v>
      </c>
      <c r="I15" s="313">
        <f>missionsDragonRelativeMetrics[[#This Row],[Reward Multiplier]]*$C$7</f>
        <v>7200</v>
      </c>
      <c r="J15" s="103">
        <v>3</v>
      </c>
    </row>
    <row r="16" spans="1:10" x14ac:dyDescent="0.25">
      <c r="A16" s="105" t="s">
        <v>95</v>
      </c>
      <c r="B16" s="314">
        <v>1.5</v>
      </c>
      <c r="E16" s="105" t="s">
        <v>95</v>
      </c>
      <c r="F16" s="314">
        <v>18</v>
      </c>
      <c r="G16" s="313">
        <f>missionsDragonRelativeMetrics[[#This Row],[Reward Multiplier]]*$C$5</f>
        <v>3600</v>
      </c>
      <c r="H16" s="313">
        <f>missionsDragonRelativeMetrics[[#This Row],[Reward Multiplier]]*$C$6</f>
        <v>5400</v>
      </c>
      <c r="I16" s="313">
        <f>missionsDragonRelativeMetrics[[#This Row],[Reward Multiplier]]*$C$7</f>
        <v>10800</v>
      </c>
      <c r="J16" s="103">
        <v>3</v>
      </c>
    </row>
    <row r="17" spans="1:10" x14ac:dyDescent="0.25">
      <c r="A17" s="105" t="s">
        <v>96</v>
      </c>
      <c r="B17" s="314">
        <v>2</v>
      </c>
      <c r="E17" s="105" t="s">
        <v>96</v>
      </c>
      <c r="F17" s="314">
        <v>26</v>
      </c>
      <c r="G17" s="313">
        <f>missionsDragonRelativeMetrics[[#This Row],[Reward Multiplier]]*$C$5</f>
        <v>5200</v>
      </c>
      <c r="H17" s="313">
        <f>missionsDragonRelativeMetrics[[#This Row],[Reward Multiplier]]*$C$6</f>
        <v>7800</v>
      </c>
      <c r="I17" s="313">
        <f>missionsDragonRelativeMetrics[[#This Row],[Reward Multiplier]]*$C$7</f>
        <v>15600</v>
      </c>
      <c r="J17" s="103">
        <v>3</v>
      </c>
    </row>
    <row r="18" spans="1:10" x14ac:dyDescent="0.25">
      <c r="A18" s="105" t="s">
        <v>97</v>
      </c>
      <c r="B18" s="314">
        <v>2.5</v>
      </c>
      <c r="E18" s="105" t="s">
        <v>97</v>
      </c>
      <c r="F18" s="314">
        <v>35</v>
      </c>
      <c r="G18" s="313">
        <f>missionsDragonRelativeMetrics[[#This Row],[Reward Multiplier]]*$C$5</f>
        <v>7000</v>
      </c>
      <c r="H18" s="313">
        <f>missionsDragonRelativeMetrics[[#This Row],[Reward Multiplier]]*$C$6</f>
        <v>10500</v>
      </c>
      <c r="I18" s="313">
        <f>missionsDragonRelativeMetrics[[#This Row],[Reward Multiplier]]*$C$7</f>
        <v>21000</v>
      </c>
      <c r="J18" s="103">
        <v>3</v>
      </c>
    </row>
    <row r="19" spans="1:10" x14ac:dyDescent="0.25">
      <c r="A19" s="105" t="s">
        <v>98</v>
      </c>
      <c r="B19" s="314">
        <v>3</v>
      </c>
      <c r="E19" s="105" t="s">
        <v>98</v>
      </c>
      <c r="F19" s="314">
        <v>45</v>
      </c>
      <c r="G19" s="313">
        <f>missionsDragonRelativeMetrics[[#This Row],[Reward Multiplier]]*$C$5</f>
        <v>9000</v>
      </c>
      <c r="H19" s="313">
        <f>missionsDragonRelativeMetrics[[#This Row],[Reward Multiplier]]*$C$6</f>
        <v>13500</v>
      </c>
      <c r="I19" s="313">
        <f>missionsDragonRelativeMetrics[[#This Row],[Reward Multiplier]]*$C$7</f>
        <v>27000</v>
      </c>
      <c r="J19" s="103">
        <v>3</v>
      </c>
    </row>
    <row r="20" spans="1:10" x14ac:dyDescent="0.25">
      <c r="A20" s="281" t="s">
        <v>99</v>
      </c>
      <c r="B20" s="314">
        <v>4</v>
      </c>
      <c r="E20" s="105" t="s">
        <v>99</v>
      </c>
      <c r="F20" s="314">
        <v>56</v>
      </c>
      <c r="G20" s="313">
        <f>missionsDragonRelativeMetrics[[#This Row],[Reward Multiplier]]*$C$5</f>
        <v>11200</v>
      </c>
      <c r="H20" s="313">
        <f>missionsDragonRelativeMetrics[[#This Row],[Reward Multiplier]]*$C$6</f>
        <v>16800</v>
      </c>
      <c r="I20" s="313">
        <f>missionsDragonRelativeMetrics[[#This Row],[Reward Multiplier]]*$C$7</f>
        <v>33600</v>
      </c>
      <c r="J20" s="103">
        <v>3</v>
      </c>
    </row>
    <row r="21" spans="1:10" x14ac:dyDescent="0.25">
      <c r="A21" s="281" t="s">
        <v>144</v>
      </c>
      <c r="B21" s="314">
        <v>4.5</v>
      </c>
      <c r="E21" s="105" t="s">
        <v>144</v>
      </c>
      <c r="F21" s="314">
        <v>62</v>
      </c>
      <c r="G21" s="313">
        <f>missionsDragonRelativeMetrics[[#This Row],[Reward Multiplier]]*$C$5</f>
        <v>12400</v>
      </c>
      <c r="H21" s="313">
        <f>missionsDragonRelativeMetrics[[#This Row],[Reward Multiplier]]*$C$6</f>
        <v>18600</v>
      </c>
      <c r="I21" s="313">
        <f>missionsDragonRelativeMetrics[[#This Row],[Reward Multiplier]]*$C$7</f>
        <v>37200</v>
      </c>
      <c r="J21" s="103">
        <v>3</v>
      </c>
    </row>
    <row r="22" spans="1:10" x14ac:dyDescent="0.25">
      <c r="A22" s="281" t="s">
        <v>100</v>
      </c>
      <c r="B22" s="314">
        <v>5</v>
      </c>
      <c r="E22" s="105" t="s">
        <v>100</v>
      </c>
      <c r="F22" s="314">
        <v>65</v>
      </c>
      <c r="G22" s="313">
        <f>missionsDragonRelativeMetrics[[#This Row],[Reward Multiplier]]*$C$5</f>
        <v>13000</v>
      </c>
      <c r="H22" s="313">
        <f>missionsDragonRelativeMetrics[[#This Row],[Reward Multiplier]]*$C$6</f>
        <v>19500</v>
      </c>
      <c r="I22" s="313">
        <f>missionsDragonRelativeMetrics[[#This Row],[Reward Multiplier]]*$C$7</f>
        <v>39000</v>
      </c>
      <c r="J22" s="103">
        <v>3</v>
      </c>
    </row>
    <row r="23" spans="1:10" x14ac:dyDescent="0.25">
      <c r="A23" s="281" t="s">
        <v>101</v>
      </c>
      <c r="B23" s="314">
        <v>7</v>
      </c>
      <c r="E23" s="105" t="s">
        <v>101</v>
      </c>
      <c r="F23" s="314">
        <v>70</v>
      </c>
      <c r="G23" s="313">
        <f>missionsDragonRelativeMetrics[[#This Row],[Reward Multiplier]]*$C$5</f>
        <v>14000</v>
      </c>
      <c r="H23" s="313">
        <f>missionsDragonRelativeMetrics[[#This Row],[Reward Multiplier]]*$C$6</f>
        <v>21000</v>
      </c>
      <c r="I23" s="313">
        <f>missionsDragonRelativeMetrics[[#This Row],[Reward Multiplier]]*$C$7</f>
        <v>42000</v>
      </c>
      <c r="J23" s="103">
        <v>3</v>
      </c>
    </row>
    <row r="24" spans="1:10" x14ac:dyDescent="0.25">
      <c r="A24" s="281" t="s">
        <v>145</v>
      </c>
      <c r="B24" s="314">
        <v>7.5</v>
      </c>
      <c r="E24" s="105" t="s">
        <v>145</v>
      </c>
      <c r="F24" s="314">
        <v>70</v>
      </c>
      <c r="G24" s="313">
        <f>missionsDragonRelativeMetrics[[#This Row],[Reward Multiplier]]*$C$5</f>
        <v>14000</v>
      </c>
      <c r="H24" s="313">
        <f>missionsDragonRelativeMetrics[[#This Row],[Reward Multiplier]]*$C$6</f>
        <v>21000</v>
      </c>
      <c r="I24" s="313">
        <f>missionsDragonRelativeMetrics[[#This Row],[Reward Multiplier]]*$C$7</f>
        <v>42000</v>
      </c>
      <c r="J24" s="103">
        <v>3</v>
      </c>
    </row>
    <row r="25" spans="1:10" x14ac:dyDescent="0.25">
      <c r="A25" s="280" t="s">
        <v>218</v>
      </c>
      <c r="B25" s="314">
        <v>8</v>
      </c>
      <c r="E25" s="123" t="s">
        <v>218</v>
      </c>
      <c r="F25" s="314">
        <v>70</v>
      </c>
      <c r="G25" s="313">
        <f>missionsDragonRelativeMetrics[[#This Row],[Reward Multiplier]]*$C$5</f>
        <v>14000</v>
      </c>
      <c r="H25" s="313">
        <f>missionsDragonRelativeMetrics[[#This Row],[Reward Multiplier]]*$C$6</f>
        <v>21000</v>
      </c>
      <c r="I25" s="313">
        <f>missionsDragonRelativeMetrics[[#This Row],[Reward Multiplier]]*$C$7</f>
        <v>42000</v>
      </c>
      <c r="J25" s="103">
        <v>3</v>
      </c>
    </row>
    <row r="26" spans="1:10" x14ac:dyDescent="0.25">
      <c r="A26" s="280" t="s">
        <v>407</v>
      </c>
      <c r="B26" s="314">
        <v>8.5</v>
      </c>
      <c r="E26" s="280" t="s">
        <v>407</v>
      </c>
      <c r="F26" s="314">
        <v>75</v>
      </c>
      <c r="G26" s="313">
        <f>missionsDragonRelativeMetrics[[#This Row],[Reward Multiplier]]*$C$5</f>
        <v>15000</v>
      </c>
      <c r="H26" s="313">
        <f>missionsDragonRelativeMetrics[[#This Row],[Reward Multiplier]]*$C$6</f>
        <v>22500</v>
      </c>
      <c r="I26" s="313">
        <f>missionsDragonRelativeMetrics[[#This Row],[Reward Multiplier]]*$C$7</f>
        <v>45000</v>
      </c>
      <c r="J26" s="103">
        <v>3</v>
      </c>
    </row>
    <row r="27" spans="1:10" x14ac:dyDescent="0.25">
      <c r="A27" s="280" t="s">
        <v>408</v>
      </c>
      <c r="B27" s="314">
        <v>8.5</v>
      </c>
      <c r="E27" s="280" t="s">
        <v>408</v>
      </c>
      <c r="F27" s="314">
        <v>75</v>
      </c>
      <c r="G27" s="313">
        <f>missionsDragonRelativeMetrics[[#This Row],[Reward Multiplier]]*$C$5</f>
        <v>15000</v>
      </c>
      <c r="H27" s="313">
        <f>missionsDragonRelativeMetrics[[#This Row],[Reward Multiplier]]*$C$6</f>
        <v>22500</v>
      </c>
      <c r="I27" s="313">
        <f>missionsDragonRelativeMetrics[[#This Row],[Reward Multiplier]]*$C$7</f>
        <v>45000</v>
      </c>
      <c r="J27" s="103">
        <v>3</v>
      </c>
    </row>
    <row r="28" spans="1:10" x14ac:dyDescent="0.25">
      <c r="A28" s="280" t="s">
        <v>409</v>
      </c>
      <c r="B28" s="314">
        <v>8.5</v>
      </c>
      <c r="E28" s="280" t="s">
        <v>409</v>
      </c>
      <c r="F28" s="314">
        <v>75</v>
      </c>
      <c r="G28" s="313">
        <f>missionsDragonRelativeMetrics[[#This Row],[Reward Multiplier]]*$C$5</f>
        <v>15000</v>
      </c>
      <c r="H28" s="313">
        <f>missionsDragonRelativeMetrics[[#This Row],[Reward Multiplier]]*$C$6</f>
        <v>22500</v>
      </c>
      <c r="I28" s="313">
        <f>missionsDragonRelativeMetrics[[#This Row],[Reward Multiplier]]*$C$7</f>
        <v>45000</v>
      </c>
      <c r="J28" s="103">
        <v>3</v>
      </c>
    </row>
    <row r="29" spans="1:10" x14ac:dyDescent="0.25">
      <c r="A29" s="280" t="s">
        <v>410</v>
      </c>
      <c r="B29" s="314">
        <v>8.5</v>
      </c>
      <c r="E29" s="280" t="s">
        <v>410</v>
      </c>
      <c r="F29" s="314">
        <v>75</v>
      </c>
      <c r="G29" s="313">
        <f>missionsDragonRelativeMetrics[[#This Row],[Reward Multiplier]]*$C$5</f>
        <v>15000</v>
      </c>
      <c r="H29" s="313">
        <f>missionsDragonRelativeMetrics[[#This Row],[Reward Multiplier]]*$C$6</f>
        <v>22500</v>
      </c>
      <c r="I29" s="313">
        <f>missionsDragonRelativeMetrics[[#This Row],[Reward Multiplier]]*$C$7</f>
        <v>45000</v>
      </c>
      <c r="J29" s="103">
        <v>3</v>
      </c>
    </row>
    <row r="30" spans="1:10" x14ac:dyDescent="0.25">
      <c r="A30" s="280" t="s">
        <v>411</v>
      </c>
      <c r="B30" s="314">
        <v>8.5</v>
      </c>
      <c r="E30" s="281" t="s">
        <v>411</v>
      </c>
      <c r="F30" s="314">
        <v>75</v>
      </c>
      <c r="G30" s="313">
        <f>missionsDragonRelativeMetrics[[#This Row],[Reward Multiplier]]*$C$5</f>
        <v>15000</v>
      </c>
      <c r="H30" s="313">
        <f>missionsDragonRelativeMetrics[[#This Row],[Reward Multiplier]]*$C$6</f>
        <v>22500</v>
      </c>
      <c r="I30" s="313">
        <f>missionsDragonRelativeMetrics[[#This Row],[Reward Multiplier]]*$C$7</f>
        <v>45000</v>
      </c>
      <c r="J30" s="103">
        <v>3</v>
      </c>
    </row>
    <row r="31" spans="1:10" x14ac:dyDescent="0.25">
      <c r="C31" s="1"/>
    </row>
    <row r="32" spans="1:10" x14ac:dyDescent="0.25">
      <c r="C32" s="1"/>
      <c r="D32" s="1"/>
      <c r="E32" s="101" t="s">
        <v>128</v>
      </c>
    </row>
    <row r="33" spans="1:12" x14ac:dyDescent="0.25">
      <c r="D33" s="1"/>
    </row>
    <row r="34" spans="1:12" x14ac:dyDescent="0.25">
      <c r="A34" s="294" t="s">
        <v>140</v>
      </c>
      <c r="B34" s="294" t="s">
        <v>139</v>
      </c>
      <c r="E34" s="294" t="s">
        <v>102</v>
      </c>
      <c r="F34" s="294" t="s">
        <v>91</v>
      </c>
      <c r="G34" s="294" t="s">
        <v>91</v>
      </c>
      <c r="H34" s="294" t="s">
        <v>91</v>
      </c>
      <c r="I34" s="294" t="s">
        <v>103</v>
      </c>
    </row>
    <row r="35" spans="1:12" x14ac:dyDescent="0.25">
      <c r="A35" s="106" t="b">
        <v>1</v>
      </c>
      <c r="B35" s="314">
        <v>0.7</v>
      </c>
      <c r="E35" s="102" t="s">
        <v>101</v>
      </c>
      <c r="F35" s="99" t="s">
        <v>115</v>
      </c>
      <c r="G35" s="99" t="s">
        <v>116</v>
      </c>
      <c r="H35" s="99" t="s">
        <v>117</v>
      </c>
      <c r="I35" s="103" t="b">
        <v>0</v>
      </c>
    </row>
    <row r="36" spans="1:12" x14ac:dyDescent="0.25">
      <c r="E36" s="294" t="s">
        <v>104</v>
      </c>
      <c r="F36" s="294" t="s">
        <v>105</v>
      </c>
      <c r="G36" s="294" t="s">
        <v>105</v>
      </c>
      <c r="H36" s="294" t="s">
        <v>105</v>
      </c>
      <c r="I36" s="294" t="s">
        <v>106</v>
      </c>
    </row>
    <row r="37" spans="1:12" x14ac:dyDescent="0.25">
      <c r="E37" s="313">
        <f>INDEX(Table1[QuantityModifier],MATCH(E35,Table1[Dragon],0))</f>
        <v>7</v>
      </c>
      <c r="F37" s="314">
        <v>0.05</v>
      </c>
      <c r="G37" s="314">
        <v>0.1</v>
      </c>
      <c r="H37" s="314">
        <v>0.2</v>
      </c>
      <c r="I37" s="313">
        <f>IF(I35,B35,0)</f>
        <v>0</v>
      </c>
    </row>
    <row r="40" spans="1:12" x14ac:dyDescent="0.25">
      <c r="E40" s="294" t="s">
        <v>107</v>
      </c>
      <c r="F40" s="313">
        <f>$E$37+F37</f>
        <v>7.05</v>
      </c>
      <c r="G40" s="313">
        <f>$E$37+G37</f>
        <v>7.1</v>
      </c>
      <c r="H40" s="313">
        <f>$E$37+H37</f>
        <v>7.2</v>
      </c>
      <c r="I40" t="s">
        <v>412</v>
      </c>
    </row>
    <row r="43" spans="1:12" x14ac:dyDescent="0.25">
      <c r="G43" s="367" t="s">
        <v>136</v>
      </c>
      <c r="H43" s="367"/>
      <c r="I43" s="368" t="s">
        <v>137</v>
      </c>
      <c r="J43" s="369"/>
      <c r="K43" s="370" t="s">
        <v>138</v>
      </c>
      <c r="L43" s="371"/>
    </row>
    <row r="44" spans="1:12" x14ac:dyDescent="0.25">
      <c r="B44" s="115" t="s">
        <v>130</v>
      </c>
      <c r="C44" s="115" t="s">
        <v>131</v>
      </c>
      <c r="D44" s="115" t="s">
        <v>141</v>
      </c>
      <c r="E44" s="115" t="s">
        <v>134</v>
      </c>
      <c r="F44" s="115" t="s">
        <v>135</v>
      </c>
      <c r="G44" s="116" t="s">
        <v>142</v>
      </c>
      <c r="H44" s="117" t="s">
        <v>143</v>
      </c>
      <c r="I44" s="116" t="s">
        <v>174</v>
      </c>
      <c r="J44" s="117" t="s">
        <v>178</v>
      </c>
      <c r="K44" s="116" t="s">
        <v>179</v>
      </c>
      <c r="L44" s="117" t="s">
        <v>175</v>
      </c>
    </row>
    <row r="45" spans="1:12" x14ac:dyDescent="0.25">
      <c r="B45" t="s">
        <v>0</v>
      </c>
      <c r="C45" t="s">
        <v>132</v>
      </c>
      <c r="D45" t="s">
        <v>133</v>
      </c>
      <c r="E45" s="104">
        <v>700</v>
      </c>
      <c r="F45" s="104">
        <v>750</v>
      </c>
      <c r="G45" t="str">
        <f t="shared" ref="G45:G73" si="0">CONCATENATE(ROUND((E45*$F$40)*(1-$I$37),0), " to ",ROUND((F45*$F$40)*(1-$I$37),0))</f>
        <v>4935 to 5288</v>
      </c>
      <c r="H45" t="str">
        <f>CONCATENATE(INDEX(missionsDragonRelativeMetrics[Easy Mission Reward],MATCH($E$35,missionsDragonRelativeMetrics[Dragon],0)), " coins")</f>
        <v>14000 coins</v>
      </c>
      <c r="I45" t="str">
        <f t="shared" ref="I45:I73" si="1">CONCATENATE(ROUND((E45*$G$40)*(1-$I$37),0), " to ",ROUND((F45*$G$40)*(1-$I$37),0))</f>
        <v>4970 to 5325</v>
      </c>
      <c r="J45" t="str">
        <f>CONCATENATE(INDEX(missionsDragonRelativeMetrics[Medium Mission Reward],MATCH($E$35,missionsDragonRelativeMetrics[Dragon],0)), " coins")</f>
        <v>21000 coins</v>
      </c>
      <c r="K45" t="str">
        <f t="shared" ref="K45:K73" si="2">CONCATENATE(ROUND((E45*$H$40)*(1-$I$37),0), " to ",ROUND((F45*$H$40)*(1-$I$37),0))</f>
        <v>5040 to 5400</v>
      </c>
      <c r="L45" t="str">
        <f>CONCATENATE(INDEX(missionsDragonRelativeMetrics[Hard Mission Reward],MATCH($E$35,missionsDragonRelativeMetrics[Dragon],0)), " coins")</f>
        <v>42000 coins</v>
      </c>
    </row>
    <row r="46" spans="1:12" x14ac:dyDescent="0.25">
      <c r="B46" t="s">
        <v>0</v>
      </c>
      <c r="C46" t="s">
        <v>147</v>
      </c>
      <c r="D46" t="s">
        <v>133</v>
      </c>
      <c r="E46" s="104">
        <v>25</v>
      </c>
      <c r="F46" s="104">
        <v>30</v>
      </c>
      <c r="G46" t="str">
        <f t="shared" si="0"/>
        <v>176 to 212</v>
      </c>
      <c r="H46" t="str">
        <f>CONCATENATE(INDEX(missionsDragonRelativeMetrics[Easy Mission Reward],MATCH($E$35,missionsDragonRelativeMetrics[Dragon],0)), " coins")</f>
        <v>14000 coins</v>
      </c>
      <c r="I46" t="str">
        <f t="shared" si="1"/>
        <v>178 to 213</v>
      </c>
      <c r="J46" t="str">
        <f>CONCATENATE(INDEX(missionsDragonRelativeMetrics[Medium Mission Reward],MATCH($E$35,missionsDragonRelativeMetrics[Dragon],0)), " coins")</f>
        <v>21000 coins</v>
      </c>
      <c r="K46" t="str">
        <f t="shared" si="2"/>
        <v>180 to 216</v>
      </c>
      <c r="L46" t="str">
        <f>CONCATENATE(INDEX(missionsDragonRelativeMetrics[Hard Mission Reward],MATCH($E$35,missionsDragonRelativeMetrics[Dragon],0)), " coins")</f>
        <v>42000 coins</v>
      </c>
    </row>
    <row r="47" spans="1:12" x14ac:dyDescent="0.25">
      <c r="B47" t="s">
        <v>148</v>
      </c>
      <c r="C47" t="s">
        <v>149</v>
      </c>
      <c r="D47" t="s">
        <v>150</v>
      </c>
      <c r="E47" s="104">
        <v>1000</v>
      </c>
      <c r="F47" s="104">
        <v>1200</v>
      </c>
      <c r="G47" t="str">
        <f t="shared" si="0"/>
        <v>7050 to 8460</v>
      </c>
      <c r="H47" t="str">
        <f>CONCATENATE(INDEX(missionsDragonRelativeMetrics[Easy Mission Reward],MATCH($E$35,missionsDragonRelativeMetrics[Dragon],0)), " coins")</f>
        <v>14000 coins</v>
      </c>
      <c r="I47" t="str">
        <f t="shared" si="1"/>
        <v>7100 to 8520</v>
      </c>
      <c r="J47" t="str">
        <f>CONCATENATE(INDEX(missionsDragonRelativeMetrics[Medium Mission Reward],MATCH($E$35,missionsDragonRelativeMetrics[Dragon],0)), " coins")</f>
        <v>21000 coins</v>
      </c>
      <c r="K47" t="str">
        <f t="shared" si="2"/>
        <v>7200 to 8640</v>
      </c>
      <c r="L47" t="str">
        <f>CONCATENATE(INDEX(missionsDragonRelativeMetrics[Hard Mission Reward],MATCH($E$35,missionsDragonRelativeMetrics[Dragon],0)), " coins")</f>
        <v>42000 coins</v>
      </c>
    </row>
    <row r="48" spans="1:12" x14ac:dyDescent="0.25">
      <c r="B48" t="s">
        <v>0</v>
      </c>
      <c r="C48" t="s">
        <v>5</v>
      </c>
      <c r="D48" t="s">
        <v>133</v>
      </c>
      <c r="E48" s="112">
        <v>10</v>
      </c>
      <c r="F48" s="112">
        <v>11</v>
      </c>
      <c r="G48" t="str">
        <f t="shared" si="0"/>
        <v>71 to 78</v>
      </c>
      <c r="H48" t="str">
        <f>CONCATENATE(INDEX(missionsDragonRelativeMetrics[Easy Mission Reward],MATCH($E$35,missionsDragonRelativeMetrics[Dragon],0)), " coins")</f>
        <v>14000 coins</v>
      </c>
      <c r="I48" t="str">
        <f t="shared" si="1"/>
        <v>71 to 78</v>
      </c>
      <c r="J48" t="str">
        <f>CONCATENATE(INDEX(missionsDragonRelativeMetrics[Medium Mission Reward],MATCH($E$35,missionsDragonRelativeMetrics[Dragon],0)), " coins")</f>
        <v>21000 coins</v>
      </c>
      <c r="K48" t="str">
        <f t="shared" si="2"/>
        <v>72 to 79</v>
      </c>
      <c r="L48" t="str">
        <f>CONCATENATE(INDEX(missionsDragonRelativeMetrics[Hard Mission Reward],MATCH($E$35,missionsDragonRelativeMetrics[Dragon],0)), " coins")</f>
        <v>42000 coins</v>
      </c>
    </row>
    <row r="49" spans="2:12" x14ac:dyDescent="0.25">
      <c r="B49" t="s">
        <v>151</v>
      </c>
      <c r="C49" s="113" t="s">
        <v>152</v>
      </c>
      <c r="D49" t="s">
        <v>133</v>
      </c>
      <c r="E49" s="112">
        <v>5</v>
      </c>
      <c r="F49" s="112">
        <v>6</v>
      </c>
      <c r="G49" s="114" t="str">
        <f t="shared" si="0"/>
        <v>35 to 42</v>
      </c>
      <c r="H49" t="str">
        <f>CONCATENATE(INDEX(missionsDragonRelativeMetrics[Easy Mission Reward],MATCH($E$35,missionsDragonRelativeMetrics[Dragon],0)), " coins")</f>
        <v>14000 coins</v>
      </c>
      <c r="I49" s="114" t="str">
        <f t="shared" si="1"/>
        <v>36 to 43</v>
      </c>
      <c r="J49" t="str">
        <f>CONCATENATE(INDEX(missionsDragonRelativeMetrics[Medium Mission Reward],MATCH($E$35,missionsDragonRelativeMetrics[Dragon],0)), " coins")</f>
        <v>21000 coins</v>
      </c>
      <c r="K49" s="114" t="str">
        <f t="shared" si="2"/>
        <v>36 to 43</v>
      </c>
      <c r="L49" t="str">
        <f>CONCATENATE(INDEX(missionsDragonRelativeMetrics[Hard Mission Reward],MATCH($E$35,missionsDragonRelativeMetrics[Dragon],0)), " coins")</f>
        <v>42000 coins</v>
      </c>
    </row>
    <row r="50" spans="2:12" x14ac:dyDescent="0.25">
      <c r="B50" t="s">
        <v>153</v>
      </c>
      <c r="C50" s="113" t="s">
        <v>152</v>
      </c>
      <c r="D50" t="s">
        <v>150</v>
      </c>
      <c r="E50" s="112">
        <v>350</v>
      </c>
      <c r="F50" s="112">
        <v>400</v>
      </c>
      <c r="G50" s="114" t="str">
        <f t="shared" si="0"/>
        <v>2468 to 2820</v>
      </c>
      <c r="H50" t="str">
        <f>CONCATENATE(INDEX(missionsDragonRelativeMetrics[Easy Mission Reward],MATCH($E$35,missionsDragonRelativeMetrics[Dragon],0)), " coins")</f>
        <v>14000 coins</v>
      </c>
      <c r="I50" s="114" t="str">
        <f t="shared" si="1"/>
        <v>2485 to 2840</v>
      </c>
      <c r="J50" t="str">
        <f>CONCATENATE(INDEX(missionsDragonRelativeMetrics[Medium Mission Reward],MATCH($E$35,missionsDragonRelativeMetrics[Dragon],0)), " coins")</f>
        <v>21000 coins</v>
      </c>
      <c r="K50" s="114" t="str">
        <f t="shared" si="2"/>
        <v>2520 to 2880</v>
      </c>
      <c r="L50" t="str">
        <f>CONCATENATE(INDEX(missionsDragonRelativeMetrics[Hard Mission Reward],MATCH($E$35,missionsDragonRelativeMetrics[Dragon],0)), " coins")</f>
        <v>42000 coins</v>
      </c>
    </row>
    <row r="51" spans="2:12" x14ac:dyDescent="0.25">
      <c r="B51" t="s">
        <v>154</v>
      </c>
      <c r="C51" s="113" t="s">
        <v>152</v>
      </c>
      <c r="D51" t="s">
        <v>150</v>
      </c>
      <c r="E51" s="112">
        <v>300</v>
      </c>
      <c r="F51" s="112">
        <v>400</v>
      </c>
      <c r="G51" s="114" t="str">
        <f t="shared" si="0"/>
        <v>2115 to 2820</v>
      </c>
      <c r="H51" t="str">
        <f>CONCATENATE(INDEX(missionsDragonRelativeMetrics[Easy Mission Reward],MATCH($E$35,missionsDragonRelativeMetrics[Dragon],0)), " coins")</f>
        <v>14000 coins</v>
      </c>
      <c r="I51" s="114" t="str">
        <f t="shared" si="1"/>
        <v>2130 to 2840</v>
      </c>
      <c r="J51" t="str">
        <f>CONCATENATE(INDEX(missionsDragonRelativeMetrics[Medium Mission Reward],MATCH($E$35,missionsDragonRelativeMetrics[Dragon],0)), " coins")</f>
        <v>21000 coins</v>
      </c>
      <c r="K51" s="114" t="str">
        <f t="shared" si="2"/>
        <v>2160 to 2880</v>
      </c>
      <c r="L51" t="str">
        <f>CONCATENATE(INDEX(missionsDragonRelativeMetrics[Hard Mission Reward],MATCH($E$35,missionsDragonRelativeMetrics[Dragon],0)), " coins")</f>
        <v>42000 coins</v>
      </c>
    </row>
    <row r="52" spans="2:12" x14ac:dyDescent="0.25">
      <c r="B52" t="s">
        <v>1</v>
      </c>
      <c r="C52" s="113" t="s">
        <v>152</v>
      </c>
      <c r="D52" t="s">
        <v>133</v>
      </c>
      <c r="E52" s="112">
        <v>400000</v>
      </c>
      <c r="F52" s="112">
        <v>500000</v>
      </c>
      <c r="G52" s="114" t="str">
        <f t="shared" si="0"/>
        <v>2820000 to 3525000</v>
      </c>
      <c r="H52" t="str">
        <f>CONCATENATE(INDEX(missionsDragonRelativeMetrics[Easy Mission Reward],MATCH($E$35,missionsDragonRelativeMetrics[Dragon],0)), " coins")</f>
        <v>14000 coins</v>
      </c>
      <c r="I52" s="114" t="str">
        <f t="shared" si="1"/>
        <v>2840000 to 3550000</v>
      </c>
      <c r="J52" t="str">
        <f>CONCATENATE(INDEX(missionsDragonRelativeMetrics[Medium Mission Reward],MATCH($E$35,missionsDragonRelativeMetrics[Dragon],0)), " coins")</f>
        <v>21000 coins</v>
      </c>
      <c r="K52" s="114" t="str">
        <f t="shared" si="2"/>
        <v>2880000 to 3600000</v>
      </c>
      <c r="L52" t="str">
        <f>CONCATENATE(INDEX(missionsDragonRelativeMetrics[Hard Mission Reward],MATCH($E$35,missionsDragonRelativeMetrics[Dragon],0)), " coins")</f>
        <v>42000 coins</v>
      </c>
    </row>
    <row r="53" spans="2:12" x14ac:dyDescent="0.25">
      <c r="B53" t="s">
        <v>0</v>
      </c>
      <c r="C53" t="s">
        <v>155</v>
      </c>
      <c r="D53" t="s">
        <v>133</v>
      </c>
      <c r="E53" s="112">
        <v>45</v>
      </c>
      <c r="F53" s="112">
        <v>55</v>
      </c>
      <c r="G53" s="114" t="str">
        <f t="shared" si="0"/>
        <v>317 to 388</v>
      </c>
      <c r="H53" t="str">
        <f>CONCATENATE(INDEX(missionsDragonRelativeMetrics[Easy Mission Reward],MATCH($E$35,missionsDragonRelativeMetrics[Dragon],0)), " coins")</f>
        <v>14000 coins</v>
      </c>
      <c r="I53" s="114" t="str">
        <f t="shared" si="1"/>
        <v>320 to 391</v>
      </c>
      <c r="J53" t="str">
        <f>CONCATENATE(INDEX(missionsDragonRelativeMetrics[Medium Mission Reward],MATCH($E$35,missionsDragonRelativeMetrics[Dragon],0)), " coins")</f>
        <v>21000 coins</v>
      </c>
      <c r="K53" s="114" t="str">
        <f t="shared" si="2"/>
        <v>324 to 396</v>
      </c>
      <c r="L53" t="str">
        <f>CONCATENATE(INDEX(missionsDragonRelativeMetrics[Hard Mission Reward],MATCH($E$35,missionsDragonRelativeMetrics[Dragon],0)), " coins")</f>
        <v>42000 coins</v>
      </c>
    </row>
    <row r="54" spans="2:12" x14ac:dyDescent="0.25">
      <c r="B54" t="s">
        <v>0</v>
      </c>
      <c r="C54" t="s">
        <v>156</v>
      </c>
      <c r="D54" t="s">
        <v>133</v>
      </c>
      <c r="E54" s="112">
        <v>40</v>
      </c>
      <c r="F54" s="112">
        <v>45</v>
      </c>
      <c r="G54" s="114" t="str">
        <f t="shared" si="0"/>
        <v>282 to 317</v>
      </c>
      <c r="H54" t="str">
        <f>CONCATENATE(INDEX(missionsDragonRelativeMetrics[Easy Mission Reward],MATCH($E$35,missionsDragonRelativeMetrics[Dragon],0)), " coins")</f>
        <v>14000 coins</v>
      </c>
      <c r="I54" s="114" t="str">
        <f t="shared" si="1"/>
        <v>284 to 320</v>
      </c>
      <c r="J54" t="str">
        <f>CONCATENATE(INDEX(missionsDragonRelativeMetrics[Medium Mission Reward],MATCH($E$35,missionsDragonRelativeMetrics[Dragon],0)), " coins")</f>
        <v>21000 coins</v>
      </c>
      <c r="K54" s="114" t="str">
        <f t="shared" si="2"/>
        <v>288 to 324</v>
      </c>
      <c r="L54" t="str">
        <f>CONCATENATE(INDEX(missionsDragonRelativeMetrics[Hard Mission Reward],MATCH($E$35,missionsDragonRelativeMetrics[Dragon],0)), " coins")</f>
        <v>42000 coins</v>
      </c>
    </row>
    <row r="55" spans="2:12" x14ac:dyDescent="0.25">
      <c r="B55" t="s">
        <v>0</v>
      </c>
      <c r="C55" t="s">
        <v>157</v>
      </c>
      <c r="D55" t="s">
        <v>133</v>
      </c>
      <c r="E55" s="112">
        <v>150</v>
      </c>
      <c r="F55" s="112">
        <v>200</v>
      </c>
      <c r="G55" s="114" t="str">
        <f t="shared" si="0"/>
        <v>1058 to 1410</v>
      </c>
      <c r="H55" t="str">
        <f>CONCATENATE(INDEX(missionsDragonRelativeMetrics[Easy Mission Reward],MATCH($E$35,missionsDragonRelativeMetrics[Dragon],0)), " coins")</f>
        <v>14000 coins</v>
      </c>
      <c r="I55" s="114" t="str">
        <f t="shared" si="1"/>
        <v>1065 to 1420</v>
      </c>
      <c r="J55" t="str">
        <f>CONCATENATE(INDEX(missionsDragonRelativeMetrics[Medium Mission Reward],MATCH($E$35,missionsDragonRelativeMetrics[Dragon],0)), " coins")</f>
        <v>21000 coins</v>
      </c>
      <c r="K55" s="114" t="str">
        <f t="shared" si="2"/>
        <v>1080 to 1440</v>
      </c>
      <c r="L55" t="str">
        <f>CONCATENATE(INDEX(missionsDragonRelativeMetrics[Hard Mission Reward],MATCH($E$35,missionsDragonRelativeMetrics[Dragon],0)), " coins")</f>
        <v>42000 coins</v>
      </c>
    </row>
    <row r="56" spans="2:12" x14ac:dyDescent="0.25">
      <c r="B56" t="s">
        <v>0</v>
      </c>
      <c r="C56" t="s">
        <v>158</v>
      </c>
      <c r="D56" t="s">
        <v>133</v>
      </c>
      <c r="E56" s="112">
        <v>5</v>
      </c>
      <c r="F56" s="112">
        <v>7</v>
      </c>
      <c r="G56" s="114" t="str">
        <f t="shared" si="0"/>
        <v>35 to 49</v>
      </c>
      <c r="H56" t="str">
        <f>CONCATENATE(INDEX(missionsDragonRelativeMetrics[Easy Mission Reward],MATCH($E$35,missionsDragonRelativeMetrics[Dragon],0)), " coins")</f>
        <v>14000 coins</v>
      </c>
      <c r="I56" s="114" t="str">
        <f t="shared" si="1"/>
        <v>36 to 50</v>
      </c>
      <c r="J56" t="str">
        <f>CONCATENATE(INDEX(missionsDragonRelativeMetrics[Medium Mission Reward],MATCH($E$35,missionsDragonRelativeMetrics[Dragon],0)), " coins")</f>
        <v>21000 coins</v>
      </c>
      <c r="K56" s="114" t="str">
        <f t="shared" si="2"/>
        <v>36 to 50</v>
      </c>
      <c r="L56" t="str">
        <f>CONCATENATE(INDEX(missionsDragonRelativeMetrics[Hard Mission Reward],MATCH($E$35,missionsDragonRelativeMetrics[Dragon],0)), " coins")</f>
        <v>42000 coins</v>
      </c>
    </row>
    <row r="57" spans="2:12" x14ac:dyDescent="0.25">
      <c r="B57" t="s">
        <v>0</v>
      </c>
      <c r="C57" t="s">
        <v>159</v>
      </c>
      <c r="D57" t="s">
        <v>133</v>
      </c>
      <c r="E57" s="112">
        <v>5</v>
      </c>
      <c r="F57" s="112">
        <v>7</v>
      </c>
      <c r="G57" s="114" t="str">
        <f t="shared" si="0"/>
        <v>35 to 49</v>
      </c>
      <c r="H57" t="str">
        <f>CONCATENATE(INDEX(missionsDragonRelativeMetrics[Easy Mission Reward],MATCH($E$35,missionsDragonRelativeMetrics[Dragon],0)), " coins")</f>
        <v>14000 coins</v>
      </c>
      <c r="I57" s="114" t="str">
        <f t="shared" si="1"/>
        <v>36 to 50</v>
      </c>
      <c r="J57" t="str">
        <f>CONCATENATE(INDEX(missionsDragonRelativeMetrics[Medium Mission Reward],MATCH($E$35,missionsDragonRelativeMetrics[Dragon],0)), " coins")</f>
        <v>21000 coins</v>
      </c>
      <c r="K57" s="114" t="str">
        <f t="shared" si="2"/>
        <v>36 to 50</v>
      </c>
      <c r="L57" t="str">
        <f>CONCATENATE(INDEX(missionsDragonRelativeMetrics[Hard Mission Reward],MATCH($E$35,missionsDragonRelativeMetrics[Dragon],0)), " coins")</f>
        <v>42000 coins</v>
      </c>
    </row>
    <row r="58" spans="2:12" x14ac:dyDescent="0.25">
      <c r="B58" t="s">
        <v>0</v>
      </c>
      <c r="C58" t="s">
        <v>160</v>
      </c>
      <c r="D58" t="s">
        <v>133</v>
      </c>
      <c r="E58" s="112">
        <v>3</v>
      </c>
      <c r="F58" s="112">
        <v>4</v>
      </c>
      <c r="G58" s="114" t="str">
        <f t="shared" si="0"/>
        <v>21 to 28</v>
      </c>
      <c r="H58" t="str">
        <f>CONCATENATE(INDEX(missionsDragonRelativeMetrics[Easy Mission Reward],MATCH($E$35,missionsDragonRelativeMetrics[Dragon],0)), " coins")</f>
        <v>14000 coins</v>
      </c>
      <c r="I58" s="114" t="str">
        <f t="shared" si="1"/>
        <v>21 to 28</v>
      </c>
      <c r="J58" t="str">
        <f>CONCATENATE(INDEX(missionsDragonRelativeMetrics[Medium Mission Reward],MATCH($E$35,missionsDragonRelativeMetrics[Dragon],0)), " coins")</f>
        <v>21000 coins</v>
      </c>
      <c r="K58" s="114" t="str">
        <f t="shared" si="2"/>
        <v>22 to 29</v>
      </c>
      <c r="L58" t="str">
        <f>CONCATENATE(INDEX(missionsDragonRelativeMetrics[Hard Mission Reward],MATCH($E$35,missionsDragonRelativeMetrics[Dragon],0)), " coins")</f>
        <v>42000 coins</v>
      </c>
    </row>
    <row r="59" spans="2:12" x14ac:dyDescent="0.25">
      <c r="B59" t="s">
        <v>0</v>
      </c>
      <c r="C59" t="s">
        <v>161</v>
      </c>
      <c r="D59" t="s">
        <v>133</v>
      </c>
      <c r="E59" s="112">
        <v>3</v>
      </c>
      <c r="F59" s="112">
        <v>3</v>
      </c>
      <c r="G59" s="114" t="str">
        <f t="shared" si="0"/>
        <v>21 to 21</v>
      </c>
      <c r="H59" t="str">
        <f>CONCATENATE(INDEX(missionsDragonRelativeMetrics[Easy Mission Reward],MATCH($E$35,missionsDragonRelativeMetrics[Dragon],0)), " coins")</f>
        <v>14000 coins</v>
      </c>
      <c r="I59" s="114" t="str">
        <f t="shared" si="1"/>
        <v>21 to 21</v>
      </c>
      <c r="J59" t="str">
        <f>CONCATENATE(INDEX(missionsDragonRelativeMetrics[Medium Mission Reward],MATCH($E$35,missionsDragonRelativeMetrics[Dragon],0)), " coins")</f>
        <v>21000 coins</v>
      </c>
      <c r="K59" s="114" t="str">
        <f t="shared" si="2"/>
        <v>22 to 22</v>
      </c>
      <c r="L59" t="str">
        <f>CONCATENATE(INDEX(missionsDragonRelativeMetrics[Hard Mission Reward],MATCH($E$35,missionsDragonRelativeMetrics[Dragon],0)), " coins")</f>
        <v>42000 coins</v>
      </c>
    </row>
    <row r="60" spans="2:12" x14ac:dyDescent="0.25">
      <c r="B60" t="s">
        <v>0</v>
      </c>
      <c r="C60" t="s">
        <v>162</v>
      </c>
      <c r="D60" t="s">
        <v>133</v>
      </c>
      <c r="E60" s="112">
        <v>8</v>
      </c>
      <c r="F60" s="112">
        <v>9</v>
      </c>
      <c r="G60" s="114" t="str">
        <f t="shared" si="0"/>
        <v>56 to 63</v>
      </c>
      <c r="H60" t="str">
        <f>CONCATENATE(INDEX(missionsDragonRelativeMetrics[Easy Mission Reward],MATCH($E$35,missionsDragonRelativeMetrics[Dragon],0)), " coins")</f>
        <v>14000 coins</v>
      </c>
      <c r="I60" s="114" t="str">
        <f t="shared" si="1"/>
        <v>57 to 64</v>
      </c>
      <c r="J60" t="str">
        <f>CONCATENATE(INDEX(missionsDragonRelativeMetrics[Medium Mission Reward],MATCH($E$35,missionsDragonRelativeMetrics[Dragon],0)), " coins")</f>
        <v>21000 coins</v>
      </c>
      <c r="K60" s="114" t="str">
        <f t="shared" si="2"/>
        <v>58 to 65</v>
      </c>
      <c r="L60" t="str">
        <f>CONCATENATE(INDEX(missionsDragonRelativeMetrics[Hard Mission Reward],MATCH($E$35,missionsDragonRelativeMetrics[Dragon],0)), " coins")</f>
        <v>42000 coins</v>
      </c>
    </row>
    <row r="61" spans="2:12" x14ac:dyDescent="0.25">
      <c r="B61" t="s">
        <v>0</v>
      </c>
      <c r="C61" t="s">
        <v>163</v>
      </c>
      <c r="D61" t="s">
        <v>133</v>
      </c>
      <c r="E61" s="112">
        <v>11</v>
      </c>
      <c r="F61" s="112">
        <v>12</v>
      </c>
      <c r="G61" s="114" t="str">
        <f t="shared" si="0"/>
        <v>78 to 85</v>
      </c>
      <c r="H61" t="str">
        <f>CONCATENATE(INDEX(missionsDragonRelativeMetrics[Easy Mission Reward],MATCH($E$35,missionsDragonRelativeMetrics[Dragon],0)), " coins")</f>
        <v>14000 coins</v>
      </c>
      <c r="I61" s="114" t="str">
        <f t="shared" si="1"/>
        <v>78 to 85</v>
      </c>
      <c r="J61" t="str">
        <f>CONCATENATE(INDEX(missionsDragonRelativeMetrics[Medium Mission Reward],MATCH($E$35,missionsDragonRelativeMetrics[Dragon],0)), " coins")</f>
        <v>21000 coins</v>
      </c>
      <c r="K61" s="114" t="str">
        <f t="shared" si="2"/>
        <v>79 to 86</v>
      </c>
      <c r="L61" t="str">
        <f>CONCATENATE(INDEX(missionsDragonRelativeMetrics[Hard Mission Reward],MATCH($E$35,missionsDragonRelativeMetrics[Dragon],0)), " coins")</f>
        <v>42000 coins</v>
      </c>
    </row>
    <row r="62" spans="2:12" x14ac:dyDescent="0.25">
      <c r="B62" t="s">
        <v>164</v>
      </c>
      <c r="C62" s="113" t="s">
        <v>152</v>
      </c>
      <c r="D62" t="s">
        <v>133</v>
      </c>
      <c r="E62" s="112">
        <v>6000</v>
      </c>
      <c r="F62" s="112">
        <v>7000</v>
      </c>
      <c r="G62" s="114" t="str">
        <f t="shared" si="0"/>
        <v>42300 to 49350</v>
      </c>
      <c r="H62" t="str">
        <f>CONCATENATE(INDEX(missionsDragonRelativeMetrics[Easy Mission Reward],MATCH($E$35,missionsDragonRelativeMetrics[Dragon],0)), " coins")</f>
        <v>14000 coins</v>
      </c>
      <c r="I62" s="114" t="str">
        <f t="shared" si="1"/>
        <v>42600 to 49700</v>
      </c>
      <c r="J62" t="str">
        <f>CONCATENATE(INDEX(missionsDragonRelativeMetrics[Medium Mission Reward],MATCH($E$35,missionsDragonRelativeMetrics[Dragon],0)), " coins")</f>
        <v>21000 coins</v>
      </c>
      <c r="K62" s="114" t="str">
        <f t="shared" si="2"/>
        <v>43200 to 50400</v>
      </c>
      <c r="L62" t="str">
        <f>CONCATENATE(INDEX(missionsDragonRelativeMetrics[Hard Mission Reward],MATCH($E$35,missionsDragonRelativeMetrics[Dragon],0)), " coins")</f>
        <v>42000 coins</v>
      </c>
    </row>
    <row r="63" spans="2:12" x14ac:dyDescent="0.25">
      <c r="B63" t="s">
        <v>165</v>
      </c>
      <c r="C63" s="113" t="s">
        <v>152</v>
      </c>
      <c r="D63" t="s">
        <v>133</v>
      </c>
      <c r="E63" s="112">
        <v>50</v>
      </c>
      <c r="F63" s="112">
        <v>55</v>
      </c>
      <c r="G63" s="114" t="str">
        <f t="shared" si="0"/>
        <v>353 to 388</v>
      </c>
      <c r="H63" t="str">
        <f>CONCATENATE(INDEX(missionsDragonRelativeMetrics[Easy Mission Reward],MATCH($E$35,missionsDragonRelativeMetrics[Dragon],0)), " coins")</f>
        <v>14000 coins</v>
      </c>
      <c r="I63" s="114" t="str">
        <f t="shared" si="1"/>
        <v>355 to 391</v>
      </c>
      <c r="J63" t="str">
        <f>CONCATENATE(INDEX(missionsDragonRelativeMetrics[Medium Mission Reward],MATCH($E$35,missionsDragonRelativeMetrics[Dragon],0)), " coins")</f>
        <v>21000 coins</v>
      </c>
      <c r="K63" s="114" t="str">
        <f t="shared" si="2"/>
        <v>360 to 396</v>
      </c>
      <c r="L63" t="str">
        <f>CONCATENATE(INDEX(missionsDragonRelativeMetrics[Hard Mission Reward],MATCH($E$35,missionsDragonRelativeMetrics[Dragon],0)), " coins")</f>
        <v>42000 coins</v>
      </c>
    </row>
    <row r="64" spans="2:12" x14ac:dyDescent="0.25">
      <c r="B64" t="s">
        <v>165</v>
      </c>
      <c r="C64" t="s">
        <v>166</v>
      </c>
      <c r="D64" t="s">
        <v>133</v>
      </c>
      <c r="E64" s="112">
        <v>4</v>
      </c>
      <c r="F64" s="112">
        <v>4</v>
      </c>
      <c r="G64" s="114" t="str">
        <f t="shared" si="0"/>
        <v>28 to 28</v>
      </c>
      <c r="H64" t="str">
        <f>CONCATENATE(INDEX(missionsDragonRelativeMetrics[Easy Mission Reward],MATCH($E$35,missionsDragonRelativeMetrics[Dragon],0)), " coins")</f>
        <v>14000 coins</v>
      </c>
      <c r="I64" s="114" t="str">
        <f t="shared" si="1"/>
        <v>28 to 28</v>
      </c>
      <c r="J64" t="str">
        <f>CONCATENATE(INDEX(missionsDragonRelativeMetrics[Medium Mission Reward],MATCH($E$35,missionsDragonRelativeMetrics[Dragon],0)), " coins")</f>
        <v>21000 coins</v>
      </c>
      <c r="K64" s="114" t="str">
        <f t="shared" si="2"/>
        <v>29 to 29</v>
      </c>
      <c r="L64" t="str">
        <f>CONCATENATE(INDEX(missionsDragonRelativeMetrics[Hard Mission Reward],MATCH($E$35,missionsDragonRelativeMetrics[Dragon],0)), " coins")</f>
        <v>42000 coins</v>
      </c>
    </row>
    <row r="65" spans="2:12" x14ac:dyDescent="0.25">
      <c r="B65" t="s">
        <v>165</v>
      </c>
      <c r="C65" t="s">
        <v>167</v>
      </c>
      <c r="D65" t="s">
        <v>133</v>
      </c>
      <c r="E65" s="112">
        <v>5</v>
      </c>
      <c r="F65" s="112">
        <v>5</v>
      </c>
      <c r="G65" s="114" t="str">
        <f t="shared" si="0"/>
        <v>35 to 35</v>
      </c>
      <c r="H65" t="str">
        <f>CONCATENATE(INDEX(missionsDragonRelativeMetrics[Easy Mission Reward],MATCH($E$35,missionsDragonRelativeMetrics[Dragon],0)), " coins")</f>
        <v>14000 coins</v>
      </c>
      <c r="I65" s="114" t="str">
        <f t="shared" si="1"/>
        <v>36 to 36</v>
      </c>
      <c r="J65" t="str">
        <f>CONCATENATE(INDEX(missionsDragonRelativeMetrics[Medium Mission Reward],MATCH($E$35,missionsDragonRelativeMetrics[Dragon],0)), " coins")</f>
        <v>21000 coins</v>
      </c>
      <c r="K65" s="114" t="str">
        <f t="shared" si="2"/>
        <v>36 to 36</v>
      </c>
      <c r="L65" t="str">
        <f>CONCATENATE(INDEX(missionsDragonRelativeMetrics[Hard Mission Reward],MATCH($E$35,missionsDragonRelativeMetrics[Dragon],0)), " coins")</f>
        <v>42000 coins</v>
      </c>
    </row>
    <row r="66" spans="2:12" x14ac:dyDescent="0.25">
      <c r="B66" t="s">
        <v>165</v>
      </c>
      <c r="C66" t="s">
        <v>156</v>
      </c>
      <c r="D66" t="s">
        <v>133</v>
      </c>
      <c r="E66" s="112">
        <v>17</v>
      </c>
      <c r="F66" s="112">
        <v>18</v>
      </c>
      <c r="G66" s="114" t="str">
        <f t="shared" si="0"/>
        <v>120 to 127</v>
      </c>
      <c r="H66" t="str">
        <f>CONCATENATE(INDEX(missionsDragonRelativeMetrics[Easy Mission Reward],MATCH($E$35,missionsDragonRelativeMetrics[Dragon],0)), " coins")</f>
        <v>14000 coins</v>
      </c>
      <c r="I66" s="114" t="str">
        <f t="shared" si="1"/>
        <v>121 to 128</v>
      </c>
      <c r="J66" t="str">
        <f>CONCATENATE(INDEX(missionsDragonRelativeMetrics[Medium Mission Reward],MATCH($E$35,missionsDragonRelativeMetrics[Dragon],0)), " coins")</f>
        <v>21000 coins</v>
      </c>
      <c r="K66" s="114" t="str">
        <f t="shared" si="2"/>
        <v>122 to 130</v>
      </c>
      <c r="L66" t="str">
        <f>CONCATENATE(INDEX(missionsDragonRelativeMetrics[Hard Mission Reward],MATCH($E$35,missionsDragonRelativeMetrics[Dragon],0)), " coins")</f>
        <v>42000 coins</v>
      </c>
    </row>
    <row r="67" spans="2:12" x14ac:dyDescent="0.25">
      <c r="B67" t="s">
        <v>2</v>
      </c>
      <c r="C67" t="s">
        <v>168</v>
      </c>
      <c r="D67" t="s">
        <v>150</v>
      </c>
      <c r="E67" s="112">
        <v>10</v>
      </c>
      <c r="F67" s="112">
        <v>12</v>
      </c>
      <c r="G67" s="114" t="str">
        <f t="shared" si="0"/>
        <v>71 to 85</v>
      </c>
      <c r="H67" t="str">
        <f>CONCATENATE(INDEX(missionsDragonRelativeMetrics[Easy Mission Reward],MATCH($E$35,missionsDragonRelativeMetrics[Dragon],0)), " coins")</f>
        <v>14000 coins</v>
      </c>
      <c r="I67" s="114" t="str">
        <f t="shared" si="1"/>
        <v>71 to 85</v>
      </c>
      <c r="J67" t="str">
        <f>CONCATENATE(INDEX(missionsDragonRelativeMetrics[Medium Mission Reward],MATCH($E$35,missionsDragonRelativeMetrics[Dragon],0)), " coins")</f>
        <v>21000 coins</v>
      </c>
      <c r="K67" s="114" t="str">
        <f t="shared" si="2"/>
        <v>72 to 86</v>
      </c>
      <c r="L67" t="str">
        <f>CONCATENATE(INDEX(missionsDragonRelativeMetrics[Hard Mission Reward],MATCH($E$35,missionsDragonRelativeMetrics[Dragon],0)), " coins")</f>
        <v>42000 coins</v>
      </c>
    </row>
    <row r="68" spans="2:12" x14ac:dyDescent="0.25">
      <c r="B68" t="s">
        <v>165</v>
      </c>
      <c r="C68" t="s">
        <v>169</v>
      </c>
      <c r="D68" t="s">
        <v>133</v>
      </c>
      <c r="E68" s="112">
        <v>3</v>
      </c>
      <c r="F68" s="112">
        <v>4</v>
      </c>
      <c r="G68" s="114" t="str">
        <f t="shared" si="0"/>
        <v>21 to 28</v>
      </c>
      <c r="H68" t="str">
        <f>CONCATENATE(INDEX(missionsDragonRelativeMetrics[Easy Mission Reward],MATCH($E$35,missionsDragonRelativeMetrics[Dragon],0)), " coins")</f>
        <v>14000 coins</v>
      </c>
      <c r="I68" s="114" t="str">
        <f t="shared" si="1"/>
        <v>21 to 28</v>
      </c>
      <c r="J68" t="str">
        <f>CONCATENATE(INDEX(missionsDragonRelativeMetrics[Medium Mission Reward],MATCH($E$35,missionsDragonRelativeMetrics[Dragon],0)), " coins")</f>
        <v>21000 coins</v>
      </c>
      <c r="K68" s="114" t="str">
        <f t="shared" si="2"/>
        <v>22 to 29</v>
      </c>
      <c r="L68" t="str">
        <f>CONCATENATE(INDEX(missionsDragonRelativeMetrics[Hard Mission Reward],MATCH($E$35,missionsDragonRelativeMetrics[Dragon],0)), " coins")</f>
        <v>42000 coins</v>
      </c>
    </row>
    <row r="69" spans="2:12" x14ac:dyDescent="0.25">
      <c r="B69" t="s">
        <v>165</v>
      </c>
      <c r="C69" t="s">
        <v>132</v>
      </c>
      <c r="D69" t="s">
        <v>133</v>
      </c>
      <c r="E69" s="112">
        <v>25</v>
      </c>
      <c r="F69" s="112">
        <v>27</v>
      </c>
      <c r="G69" s="114" t="str">
        <f t="shared" si="0"/>
        <v>176 to 190</v>
      </c>
      <c r="H69" t="str">
        <f>CONCATENATE(INDEX(missionsDragonRelativeMetrics[Easy Mission Reward],MATCH($E$35,missionsDragonRelativeMetrics[Dragon],0)), " coins")</f>
        <v>14000 coins</v>
      </c>
      <c r="I69" s="114" t="str">
        <f t="shared" si="1"/>
        <v>178 to 192</v>
      </c>
      <c r="J69" t="str">
        <f>CONCATENATE(INDEX(missionsDragonRelativeMetrics[Medium Mission Reward],MATCH($E$35,missionsDragonRelativeMetrics[Dragon],0)), " coins")</f>
        <v>21000 coins</v>
      </c>
      <c r="K69" s="114" t="str">
        <f t="shared" si="2"/>
        <v>180 to 194</v>
      </c>
      <c r="L69" t="str">
        <f>CONCATENATE(INDEX(missionsDragonRelativeMetrics[Hard Mission Reward],MATCH($E$35,missionsDragonRelativeMetrics[Dragon],0)), " coins")</f>
        <v>42000 coins</v>
      </c>
    </row>
    <row r="70" spans="2:12" x14ac:dyDescent="0.25">
      <c r="B70" t="s">
        <v>0</v>
      </c>
      <c r="C70" t="s">
        <v>170</v>
      </c>
      <c r="D70" t="s">
        <v>133</v>
      </c>
      <c r="E70" s="112">
        <v>10</v>
      </c>
      <c r="F70" s="112">
        <v>12</v>
      </c>
      <c r="G70" s="114" t="str">
        <f t="shared" si="0"/>
        <v>71 to 85</v>
      </c>
      <c r="H70" t="str">
        <f>CONCATENATE(INDEX(missionsDragonRelativeMetrics[Easy Mission Reward],MATCH($E$35,missionsDragonRelativeMetrics[Dragon],0)), " coins")</f>
        <v>14000 coins</v>
      </c>
      <c r="I70" s="114" t="str">
        <f t="shared" si="1"/>
        <v>71 to 85</v>
      </c>
      <c r="J70" t="str">
        <f>CONCATENATE(INDEX(missionsDragonRelativeMetrics[Medium Mission Reward],MATCH($E$35,missionsDragonRelativeMetrics[Dragon],0)), " coins")</f>
        <v>21000 coins</v>
      </c>
      <c r="K70" s="114" t="str">
        <f t="shared" si="2"/>
        <v>72 to 86</v>
      </c>
      <c r="L70" t="str">
        <f>CONCATENATE(INDEX(missionsDragonRelativeMetrics[Hard Mission Reward],MATCH($E$35,missionsDragonRelativeMetrics[Dragon],0)), " coins")</f>
        <v>42000 coins</v>
      </c>
    </row>
    <row r="71" spans="2:12" x14ac:dyDescent="0.25">
      <c r="B71" t="s">
        <v>165</v>
      </c>
      <c r="C71" t="s">
        <v>171</v>
      </c>
      <c r="D71" t="s">
        <v>133</v>
      </c>
      <c r="E71" s="112">
        <v>3</v>
      </c>
      <c r="F71" s="112">
        <v>3</v>
      </c>
      <c r="G71" s="114" t="str">
        <f t="shared" si="0"/>
        <v>21 to 21</v>
      </c>
      <c r="H71" t="str">
        <f>CONCATENATE(INDEX(missionsDragonRelativeMetrics[Easy Mission Reward],MATCH($E$35,missionsDragonRelativeMetrics[Dragon],0)), " coins")</f>
        <v>14000 coins</v>
      </c>
      <c r="I71" s="114" t="str">
        <f t="shared" si="1"/>
        <v>21 to 21</v>
      </c>
      <c r="J71" t="str">
        <f>CONCATENATE(INDEX(missionsDragonRelativeMetrics[Medium Mission Reward],MATCH($E$35,missionsDragonRelativeMetrics[Dragon],0)), " coins")</f>
        <v>21000 coins</v>
      </c>
      <c r="K71" s="114" t="str">
        <f t="shared" si="2"/>
        <v>22 to 22</v>
      </c>
      <c r="L71" t="str">
        <f>CONCATENATE(INDEX(missionsDragonRelativeMetrics[Hard Mission Reward],MATCH($E$35,missionsDragonRelativeMetrics[Dragon],0)), " coins")</f>
        <v>42000 coins</v>
      </c>
    </row>
    <row r="72" spans="2:12" x14ac:dyDescent="0.25">
      <c r="B72" t="s">
        <v>148</v>
      </c>
      <c r="C72" t="s">
        <v>172</v>
      </c>
      <c r="D72" t="s">
        <v>150</v>
      </c>
      <c r="E72" s="112">
        <v>1</v>
      </c>
      <c r="F72" s="112">
        <v>2</v>
      </c>
      <c r="G72" s="114" t="str">
        <f t="shared" si="0"/>
        <v>7 to 14</v>
      </c>
      <c r="H72" t="str">
        <f>CONCATENATE(INDEX(missionsDragonRelativeMetrics[Easy Mission Reward],MATCH($E$35,missionsDragonRelativeMetrics[Dragon],0)), " coins")</f>
        <v>14000 coins</v>
      </c>
      <c r="I72" s="114" t="str">
        <f t="shared" si="1"/>
        <v>7 to 14</v>
      </c>
      <c r="J72" t="str">
        <f>CONCATENATE(INDEX(missionsDragonRelativeMetrics[Medium Mission Reward],MATCH($E$35,missionsDragonRelativeMetrics[Dragon],0)), " coins")</f>
        <v>21000 coins</v>
      </c>
      <c r="K72" s="114" t="str">
        <f t="shared" si="2"/>
        <v>7 to 14</v>
      </c>
      <c r="L72" t="str">
        <f>CONCATENATE(INDEX(missionsDragonRelativeMetrics[Hard Mission Reward],MATCH($E$35,missionsDragonRelativeMetrics[Dragon],0)), " coins")</f>
        <v>42000 coins</v>
      </c>
    </row>
    <row r="73" spans="2:12" x14ac:dyDescent="0.25">
      <c r="B73" t="s">
        <v>0</v>
      </c>
      <c r="C73" t="s">
        <v>173</v>
      </c>
      <c r="D73" t="s">
        <v>133</v>
      </c>
      <c r="E73" s="112">
        <v>5</v>
      </c>
      <c r="F73" s="112">
        <v>6</v>
      </c>
      <c r="G73" s="114" t="str">
        <f t="shared" si="0"/>
        <v>35 to 42</v>
      </c>
      <c r="H73" t="str">
        <f>CONCATENATE(INDEX(missionsDragonRelativeMetrics[Easy Mission Reward],MATCH($E$35,missionsDragonRelativeMetrics[Dragon],0)), " coins")</f>
        <v>14000 coins</v>
      </c>
      <c r="I73" s="114" t="str">
        <f t="shared" si="1"/>
        <v>36 to 43</v>
      </c>
      <c r="J73" t="str">
        <f>CONCATENATE(INDEX(missionsDragonRelativeMetrics[Medium Mission Reward],MATCH($E$35,missionsDragonRelativeMetrics[Dragon],0)), " coins")</f>
        <v>21000 coins</v>
      </c>
      <c r="K73" s="114" t="str">
        <f t="shared" si="2"/>
        <v>36 to 43</v>
      </c>
      <c r="L73" t="str">
        <f>CONCATENATE(INDEX(missionsDragonRelativeMetrics[Hard Mission Reward],MATCH($E$35,missionsDragonRelativeMetrics[Dragon],0)), " coins")</f>
        <v>42000 coins</v>
      </c>
    </row>
  </sheetData>
  <mergeCells count="3">
    <mergeCell ref="G43:H43"/>
    <mergeCell ref="I43:J43"/>
    <mergeCell ref="K43:L43"/>
  </mergeCells>
  <dataValidations count="2">
    <dataValidation type="list" allowBlank="1" showInputMessage="1" showErrorMessage="1" sqref="I35">
      <formula1>"TRUE,FALSE"</formula1>
    </dataValidation>
    <dataValidation type="list" allowBlank="1" showInputMessage="1" showErrorMessage="1" sqref="E35">
      <formula1>$A$13:$A$30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5"/>
  <sheetViews>
    <sheetView workbookViewId="0">
      <selection activeCell="F32" sqref="F32"/>
    </sheetView>
  </sheetViews>
  <sheetFormatPr defaultRowHeight="15" x14ac:dyDescent="0.2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 x14ac:dyDescent="0.25">
      <c r="B1" s="268" t="s">
        <v>460</v>
      </c>
      <c r="C1" s="310"/>
      <c r="D1" s="310"/>
      <c r="E1" s="310"/>
      <c r="F1" s="310"/>
      <c r="G1" s="310"/>
      <c r="H1" s="270"/>
    </row>
    <row r="2" spans="2:38" x14ac:dyDescent="0.25">
      <c r="B2" s="268"/>
      <c r="C2" s="310"/>
      <c r="D2" s="310"/>
      <c r="E2" s="310"/>
      <c r="F2" s="310"/>
      <c r="G2" s="310"/>
      <c r="H2" s="270"/>
    </row>
    <row r="3" spans="2:38" x14ac:dyDescent="0.25">
      <c r="B3" s="268" t="s">
        <v>448</v>
      </c>
      <c r="C3" s="310"/>
      <c r="D3" s="310"/>
      <c r="E3" s="310"/>
      <c r="F3" s="310"/>
      <c r="G3" s="310"/>
      <c r="H3" s="270"/>
    </row>
    <row r="4" spans="2:38" x14ac:dyDescent="0.25">
      <c r="B4" s="268" t="s">
        <v>462</v>
      </c>
      <c r="C4" s="310"/>
      <c r="D4" s="310"/>
      <c r="E4" s="310"/>
      <c r="F4" s="310"/>
      <c r="G4" s="310"/>
      <c r="H4" s="270"/>
    </row>
    <row r="5" spans="2:38" x14ac:dyDescent="0.25">
      <c r="B5" s="271"/>
      <c r="C5" s="272"/>
      <c r="D5" s="272"/>
      <c r="E5" s="272"/>
      <c r="F5" s="272"/>
      <c r="G5" s="272"/>
      <c r="H5" s="273"/>
    </row>
    <row r="7" spans="2:38" x14ac:dyDescent="0.25">
      <c r="F7" s="302" t="s">
        <v>445</v>
      </c>
    </row>
    <row r="8" spans="2:38" x14ac:dyDescent="0.25">
      <c r="F8" s="107" t="s">
        <v>446</v>
      </c>
    </row>
    <row r="9" spans="2:38" x14ac:dyDescent="0.25">
      <c r="F9" s="309" t="s">
        <v>447</v>
      </c>
    </row>
    <row r="10" spans="2:38" x14ac:dyDescent="0.25">
      <c r="F10" s="354" t="s">
        <v>488</v>
      </c>
    </row>
    <row r="11" spans="2:38" x14ac:dyDescent="0.25">
      <c r="Z11" s="123"/>
    </row>
    <row r="12" spans="2:38" x14ac:dyDescent="0.25">
      <c r="B12" s="372" t="s">
        <v>429</v>
      </c>
      <c r="C12" s="373"/>
      <c r="D12" s="374"/>
      <c r="J12" s="377" t="s">
        <v>484</v>
      </c>
      <c r="K12" s="378"/>
      <c r="L12" s="377" t="s">
        <v>485</v>
      </c>
      <c r="M12" s="378"/>
      <c r="N12" s="285"/>
      <c r="O12" s="285" t="s">
        <v>492</v>
      </c>
      <c r="P12" s="285"/>
      <c r="Q12" s="290"/>
      <c r="T12" s="379" t="s">
        <v>443</v>
      </c>
      <c r="U12" s="380"/>
      <c r="V12" s="381"/>
      <c r="W12" s="377" t="s">
        <v>449</v>
      </c>
      <c r="X12" s="378"/>
      <c r="Y12" s="377" t="s">
        <v>451</v>
      </c>
      <c r="Z12" s="378"/>
      <c r="AA12" s="377" t="s">
        <v>454</v>
      </c>
      <c r="AB12" s="378"/>
      <c r="AD12" s="377" t="s">
        <v>449</v>
      </c>
      <c r="AE12" s="378"/>
      <c r="AF12" s="377" t="s">
        <v>451</v>
      </c>
      <c r="AG12" s="378"/>
      <c r="AH12" s="377" t="s">
        <v>454</v>
      </c>
      <c r="AI12" s="378"/>
      <c r="AK12" s="377" t="s">
        <v>491</v>
      </c>
      <c r="AL12" s="378"/>
    </row>
    <row r="13" spans="2:38" x14ac:dyDescent="0.25">
      <c r="B13" s="293" t="s">
        <v>415</v>
      </c>
      <c r="C13" s="294" t="s">
        <v>419</v>
      </c>
      <c r="D13" s="321" t="s">
        <v>420</v>
      </c>
      <c r="E13" s="324" t="s">
        <v>461</v>
      </c>
      <c r="G13" s="334" t="s">
        <v>421</v>
      </c>
      <c r="H13" s="301" t="s">
        <v>450</v>
      </c>
      <c r="I13" s="349" t="s">
        <v>490</v>
      </c>
      <c r="J13" s="301" t="s">
        <v>458</v>
      </c>
      <c r="K13" s="334" t="s">
        <v>459</v>
      </c>
      <c r="L13" s="359" t="s">
        <v>480</v>
      </c>
      <c r="M13" s="349" t="s">
        <v>481</v>
      </c>
      <c r="N13" s="343" t="s">
        <v>489</v>
      </c>
      <c r="O13" s="301" t="s">
        <v>432</v>
      </c>
      <c r="P13" s="299" t="s">
        <v>431</v>
      </c>
      <c r="Q13" s="299" t="s">
        <v>472</v>
      </c>
      <c r="R13" s="334" t="s">
        <v>471</v>
      </c>
      <c r="S13" s="343" t="s">
        <v>434</v>
      </c>
      <c r="T13" s="301" t="s">
        <v>440</v>
      </c>
      <c r="U13" s="299" t="s">
        <v>441</v>
      </c>
      <c r="V13" s="334" t="s">
        <v>442</v>
      </c>
      <c r="W13" s="301" t="s">
        <v>452</v>
      </c>
      <c r="X13" s="299" t="s">
        <v>453</v>
      </c>
      <c r="Y13" s="299" t="s">
        <v>422</v>
      </c>
      <c r="Z13" s="299" t="s">
        <v>423</v>
      </c>
      <c r="AA13" s="315" t="s">
        <v>455</v>
      </c>
      <c r="AB13" s="315" t="s">
        <v>456</v>
      </c>
      <c r="AC13" s="334" t="s">
        <v>457</v>
      </c>
      <c r="AD13" s="315" t="s">
        <v>473</v>
      </c>
      <c r="AE13" s="315" t="s">
        <v>474</v>
      </c>
      <c r="AF13" s="315" t="s">
        <v>475</v>
      </c>
      <c r="AG13" s="315" t="s">
        <v>476</v>
      </c>
      <c r="AH13" s="315" t="s">
        <v>477</v>
      </c>
      <c r="AI13" s="299" t="s">
        <v>478</v>
      </c>
      <c r="AJ13" s="319" t="s">
        <v>479</v>
      </c>
      <c r="AK13" s="299" t="s">
        <v>486</v>
      </c>
      <c r="AL13" s="299" t="s">
        <v>487</v>
      </c>
    </row>
    <row r="14" spans="2:38" x14ac:dyDescent="0.25">
      <c r="B14" s="284">
        <v>1</v>
      </c>
      <c r="C14" s="304" t="s">
        <v>417</v>
      </c>
      <c r="D14" s="322">
        <v>100</v>
      </c>
      <c r="E14" s="325">
        <v>100</v>
      </c>
      <c r="G14" s="357" t="s">
        <v>92</v>
      </c>
      <c r="H14" s="361">
        <f>Table6[[#This Row],[TOTAL COINS]] +Table6[[#This Row],[COINS IN RUNS PER DAY]]</f>
        <v>29465</v>
      </c>
      <c r="I14" s="350">
        <f>Table6[[#This Row],[TOTAL COINS NEW]] + Table6[[#This Row],[COINS IN RUNS PER DAY]]</f>
        <v>29465</v>
      </c>
      <c r="J14" s="348">
        <f>Table6[[#This Row],[CHESTS COINS]] + Table6[[#This Row],[DAILY COINS]]+Table6[[#This Row],[LEAGUES COINS]]+Table6[[#This Row],[MISSIONS COINS]]</f>
        <v>4465</v>
      </c>
      <c r="K14" s="342">
        <f>Table6[[#This Row],[CHESTS GEMS]]+Table6[[#This Row],[DAILY GEMS]]+Table6[[#This Row],[LEAGUES GEMS]]</f>
        <v>3.9</v>
      </c>
      <c r="L14" s="360">
        <f>Table6[[#This Row],[CHESTS COINS NEW]] +Table6[[#This Row],[DAILY COINS NEW]] +Table6[[#This Row],[LEAGUES COINS NEW]] +Table6[[#This Row],[MISSIONS COINS NEW]]</f>
        <v>4465</v>
      </c>
      <c r="M14" s="350">
        <f>Table6[[#This Row],[CHESTS GEMS NEW]] +Table6[[#This Row],[DAILY GEMS NEW]] +Table6[[#This Row],[LEAGUES GEMS NEW]]</f>
        <v>3.9</v>
      </c>
      <c r="N14" s="355">
        <f>Table6[[#This Row],[COINS PER RUN]] *Table6[[#This Row],[RUNS PER DAY]]</f>
        <v>25000</v>
      </c>
      <c r="O14" s="340">
        <v>2</v>
      </c>
      <c r="P14" s="340">
        <v>2</v>
      </c>
      <c r="Q14" s="291">
        <v>2</v>
      </c>
      <c r="R14" s="338">
        <v>2</v>
      </c>
      <c r="S14" s="344">
        <v>1</v>
      </c>
      <c r="T14" s="365">
        <v>1.1000000000000001</v>
      </c>
      <c r="U14" s="353">
        <v>1.06</v>
      </c>
      <c r="V14" s="363">
        <v>1.03</v>
      </c>
      <c r="W14" s="316">
        <f>Table6[[#This Row],[CHEST REW. MOD.]]*($D$14+$D$15+$D$16)</f>
        <v>900</v>
      </c>
      <c r="X14" s="312">
        <f t="shared" ref="X14:X31" si="0">$D$17+$D$18</f>
        <v>3</v>
      </c>
      <c r="Y14" s="312">
        <f>ROUND((Table6[[#This Row],[DAILY REW. MOD.]]*($D$24+$D$26+$D$28))/7,0)</f>
        <v>500</v>
      </c>
      <c r="Z14" s="312">
        <f t="shared" ref="Z14:Z31" si="1">ROUND(($D$25+$D$27+$D$29)/7,1)</f>
        <v>0.9</v>
      </c>
      <c r="AA14" s="317">
        <f>ROUND((INDEX(Table12[AVG COINS],MATCH(Table6[[#This Row],[LEAGUE]],Table12[LEAGUE],0))) /$C$36,0)</f>
        <v>753</v>
      </c>
      <c r="AB14" s="317">
        <f>ROUND((INDEX(Table12[AVG GEMS],MATCH(Table6[[#This Row],[LEAGUE]],Table12[LEAGUE],0))) /$C$35,2)</f>
        <v>0</v>
      </c>
      <c r="AC14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2312</v>
      </c>
      <c r="AD14" s="318">
        <f>Table6[[#This Row],[CHEST REW. MOD. NEW]]*($D$14+$D$15+$D$16)</f>
        <v>900</v>
      </c>
      <c r="AE14" s="318">
        <f>$E$17+$E$18</f>
        <v>3</v>
      </c>
      <c r="AF14" s="318">
        <f>ROUND((Table6[[#This Row],[DAILY REW. MOD. NEW]]*($E$24+$E$26+$E$28))/7,0)</f>
        <v>500</v>
      </c>
      <c r="AG14" s="318">
        <f>ROUND(($E$25+$E$27+$E$29)/7,1)</f>
        <v>0.9</v>
      </c>
      <c r="AH14" s="318">
        <f>ROUND((INDEX(Table12[AVG COINS NEW],MATCH(Table6[[#This Row],[LEAGUE]],Table12[LEAGUE],0))) /$C$36,0)</f>
        <v>753</v>
      </c>
      <c r="AI14" s="318">
        <f>ROUND((INDEX(Table12[AVG GEMS NEW],MATCH(Table6[[#This Row],[LEAGUE]],Table12[LEAGUE],0))) / $C$36,2)</f>
        <v>0</v>
      </c>
      <c r="AJ14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2312</v>
      </c>
      <c r="AK14" s="352">
        <v>25000</v>
      </c>
      <c r="AL14" s="353">
        <v>1</v>
      </c>
    </row>
    <row r="15" spans="2:38" x14ac:dyDescent="0.25">
      <c r="B15" s="282">
        <v>2</v>
      </c>
      <c r="C15" s="304" t="s">
        <v>417</v>
      </c>
      <c r="D15" s="323">
        <v>150</v>
      </c>
      <c r="E15" s="326">
        <v>150</v>
      </c>
      <c r="G15" s="356" t="s">
        <v>93</v>
      </c>
      <c r="H15" s="360">
        <f>Table6[[#This Row],[TOTAL COINS]] +Table6[[#This Row],[COINS IN RUNS PER DAY]]</f>
        <v>32734</v>
      </c>
      <c r="I15" s="350">
        <f>Table6[[#This Row],[TOTAL COINS NEW]] + Table6[[#This Row],[COINS IN RUNS PER DAY]]</f>
        <v>32734</v>
      </c>
      <c r="J15" s="348">
        <f>Table6[[#This Row],[CHESTS COINS]] + Table6[[#This Row],[DAILY COINS]]+Table6[[#This Row],[LEAGUES COINS]]+Table6[[#This Row],[MISSIONS COINS]]</f>
        <v>13734</v>
      </c>
      <c r="K15" s="342">
        <f>Table6[[#This Row],[CHESTS GEMS]]+Table6[[#This Row],[DAILY GEMS]]+Table6[[#This Row],[LEAGUES GEMS]]</f>
        <v>3.9</v>
      </c>
      <c r="L15" s="360">
        <f>Table6[[#This Row],[CHESTS COINS NEW]] +Table6[[#This Row],[DAILY COINS NEW]] +Table6[[#This Row],[LEAGUES COINS NEW]] +Table6[[#This Row],[MISSIONS COINS NEW]]</f>
        <v>13734</v>
      </c>
      <c r="M15" s="350">
        <f>Table6[[#This Row],[CHESTS GEMS NEW]] +Table6[[#This Row],[DAILY GEMS NEW]] +Table6[[#This Row],[LEAGUES GEMS NEW]]</f>
        <v>3.9</v>
      </c>
      <c r="N15" s="355">
        <f>Table6[[#This Row],[COINS PER RUN]] *Table6[[#This Row],[RUNS PER DAY]]</f>
        <v>19000</v>
      </c>
      <c r="O15" s="341">
        <v>6</v>
      </c>
      <c r="P15" s="341">
        <v>6</v>
      </c>
      <c r="Q15" s="292">
        <v>6</v>
      </c>
      <c r="R15" s="339">
        <v>6</v>
      </c>
      <c r="S15" s="345">
        <v>2</v>
      </c>
      <c r="T15" s="365">
        <v>1.54</v>
      </c>
      <c r="U15" s="353">
        <v>1.29</v>
      </c>
      <c r="V15" s="364">
        <v>1.1399999999999999</v>
      </c>
      <c r="W15" s="316">
        <f>Table6[[#This Row],[CHEST REW. MOD.]]*($D$14+$D$15+$D$16)</f>
        <v>2700</v>
      </c>
      <c r="X15" s="312">
        <f t="shared" si="0"/>
        <v>3</v>
      </c>
      <c r="Y15" s="312">
        <f>ROUND((Table6[[#This Row],[DAILY REW. MOD.]]*($D$24+$D$26+$D$28))/7,0)</f>
        <v>1500</v>
      </c>
      <c r="Z15" s="312">
        <f t="shared" si="1"/>
        <v>0.9</v>
      </c>
      <c r="AA15" s="317">
        <f>ROUND((INDEX(Table12[AVG COINS],MATCH(Table6[[#This Row],[LEAGUE]],Table12[LEAGUE],0))) /$C$36,0)</f>
        <v>1260</v>
      </c>
      <c r="AB15" s="317">
        <f>ROUND((INDEX(Table12[AVG GEMS],MATCH(Table6[[#This Row],[LEAGUE]],Table12[LEAGUE],0))) /$C$35,2)</f>
        <v>0</v>
      </c>
      <c r="AC15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8274</v>
      </c>
      <c r="AD15" s="318">
        <f>Table6[[#This Row],[CHEST REW. MOD. NEW]]*($D$14+$D$15+$D$16)</f>
        <v>2700</v>
      </c>
      <c r="AE15" s="318">
        <f t="shared" ref="AE15:AE31" si="2">$E$17+$E$18</f>
        <v>3</v>
      </c>
      <c r="AF15" s="318">
        <f>ROUND((Table6[[#This Row],[DAILY REW. MOD. NEW]]*($E$24+$E$26+$E$28))/7,0)</f>
        <v>1500</v>
      </c>
      <c r="AG15" s="318">
        <f t="shared" ref="AG15:AG31" si="3">ROUND(($E$25+$E$27+$E$29)/7,1)</f>
        <v>0.9</v>
      </c>
      <c r="AH15" s="318">
        <f>ROUND((INDEX(Table12[AVG COINS NEW],MATCH(Table6[[#This Row],[LEAGUE]],Table12[LEAGUE],0))) /$C$36,0)</f>
        <v>1260</v>
      </c>
      <c r="AI15" s="318">
        <f>ROUND((INDEX(Table12[AVG GEMS NEW],MATCH(Table6[[#This Row],[LEAGUE]],Table12[LEAGUE],0))) / $C$36,2)</f>
        <v>0</v>
      </c>
      <c r="AJ15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8274</v>
      </c>
      <c r="AK15" s="352">
        <v>19000</v>
      </c>
      <c r="AL15" s="353">
        <v>1</v>
      </c>
    </row>
    <row r="16" spans="2:38" x14ac:dyDescent="0.25">
      <c r="B16" s="282">
        <v>3</v>
      </c>
      <c r="C16" s="304" t="s">
        <v>417</v>
      </c>
      <c r="D16" s="323">
        <v>200</v>
      </c>
      <c r="E16" s="326">
        <v>200</v>
      </c>
      <c r="G16" s="356" t="s">
        <v>94</v>
      </c>
      <c r="H16" s="360">
        <f>Table6[[#This Row],[TOTAL COINS]] +Table6[[#This Row],[COINS IN RUNS PER DAY]]</f>
        <v>49109</v>
      </c>
      <c r="I16" s="350">
        <f>Table6[[#This Row],[TOTAL COINS NEW]] + Table6[[#This Row],[COINS IN RUNS PER DAY]]</f>
        <v>49109</v>
      </c>
      <c r="J16" s="348">
        <f>Table6[[#This Row],[CHESTS COINS]] + Table6[[#This Row],[DAILY COINS]]+Table6[[#This Row],[LEAGUES COINS]]+Table6[[#This Row],[MISSIONS COINS]]</f>
        <v>30109</v>
      </c>
      <c r="K16" s="342">
        <f>Table6[[#This Row],[CHESTS GEMS]]+Table6[[#This Row],[DAILY GEMS]]+Table6[[#This Row],[LEAGUES GEMS]]</f>
        <v>3.9</v>
      </c>
      <c r="L16" s="360">
        <f>Table6[[#This Row],[CHESTS COINS NEW]] +Table6[[#This Row],[DAILY COINS NEW]] +Table6[[#This Row],[LEAGUES COINS NEW]] +Table6[[#This Row],[MISSIONS COINS NEW]]</f>
        <v>30109</v>
      </c>
      <c r="M16" s="350">
        <f>Table6[[#This Row],[CHESTS GEMS NEW]] +Table6[[#This Row],[DAILY GEMS NEW]] +Table6[[#This Row],[LEAGUES GEMS NEW]]</f>
        <v>3.9</v>
      </c>
      <c r="N16" s="355">
        <f>Table6[[#This Row],[COINS PER RUN]] *Table6[[#This Row],[RUNS PER DAY]]</f>
        <v>19000</v>
      </c>
      <c r="O16" s="341">
        <v>12</v>
      </c>
      <c r="P16" s="341">
        <v>10</v>
      </c>
      <c r="Q16" s="292">
        <v>12</v>
      </c>
      <c r="R16" s="339">
        <v>10</v>
      </c>
      <c r="S16" s="345">
        <v>3</v>
      </c>
      <c r="T16" s="365">
        <v>1.86</v>
      </c>
      <c r="U16" s="353">
        <v>1.54</v>
      </c>
      <c r="V16" s="364">
        <v>1.28</v>
      </c>
      <c r="W16" s="316">
        <f>Table6[[#This Row],[CHEST REW. MOD.]]*($D$14+$D$15+$D$16)</f>
        <v>5400</v>
      </c>
      <c r="X16" s="312">
        <f t="shared" si="0"/>
        <v>3</v>
      </c>
      <c r="Y16" s="312">
        <f>ROUND((Table6[[#This Row],[DAILY REW. MOD.]]*($D$24+$D$26+$D$28))/7,0)</f>
        <v>2500</v>
      </c>
      <c r="Z16" s="312">
        <f t="shared" si="1"/>
        <v>0.9</v>
      </c>
      <c r="AA16" s="317">
        <f>ROUND((INDEX(Table12[AVG COINS],MATCH(Table6[[#This Row],[LEAGUE]],Table12[LEAGUE],0))) /$C$36,0)</f>
        <v>2985</v>
      </c>
      <c r="AB16" s="317">
        <f>ROUND((INDEX(Table12[AVG GEMS],MATCH(Table6[[#This Row],[LEAGUE]],Table12[LEAGUE],0))) /$C$35,2)</f>
        <v>0</v>
      </c>
      <c r="AC16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19224</v>
      </c>
      <c r="AD16" s="318">
        <f>Table6[[#This Row],[CHEST REW. MOD. NEW]]*($D$14+$D$15+$D$16)</f>
        <v>5400</v>
      </c>
      <c r="AE16" s="318">
        <f t="shared" si="2"/>
        <v>3</v>
      </c>
      <c r="AF16" s="318">
        <f>ROUND((Table6[[#This Row],[DAILY REW. MOD. NEW]]*($E$24+$E$26+$E$28))/7,0)</f>
        <v>2500</v>
      </c>
      <c r="AG16" s="318">
        <f>ROUND(($E$25+$E$27+$E$29)/7,1)</f>
        <v>0.9</v>
      </c>
      <c r="AH16" s="318">
        <f>ROUND((INDEX(Table12[AVG COINS NEW],MATCH(Table6[[#This Row],[LEAGUE]],Table12[LEAGUE],0))) /$C$36,0)</f>
        <v>2985</v>
      </c>
      <c r="AI16" s="318">
        <f>ROUND((INDEX(Table12[AVG GEMS NEW],MATCH(Table6[[#This Row],[LEAGUE]],Table12[LEAGUE],0))) / $C$36,2)</f>
        <v>0</v>
      </c>
      <c r="AJ16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19224</v>
      </c>
      <c r="AK16" s="352">
        <v>19000</v>
      </c>
      <c r="AL16" s="353">
        <v>1</v>
      </c>
    </row>
    <row r="17" spans="2:38" x14ac:dyDescent="0.25">
      <c r="B17" s="282">
        <v>4</v>
      </c>
      <c r="C17" s="304" t="s">
        <v>418</v>
      </c>
      <c r="D17" s="323">
        <v>1</v>
      </c>
      <c r="E17" s="326">
        <v>1</v>
      </c>
      <c r="G17" s="356" t="s">
        <v>95</v>
      </c>
      <c r="H17" s="360">
        <f>Table6[[#This Row],[TOTAL COINS]] +Table6[[#This Row],[COINS IN RUNS PER DAY]]</f>
        <v>77922</v>
      </c>
      <c r="I17" s="350">
        <f>Table6[[#This Row],[TOTAL COINS NEW]] + Table6[[#This Row],[COINS IN RUNS PER DAY]]</f>
        <v>77922</v>
      </c>
      <c r="J17" s="348">
        <f>Table6[[#This Row],[CHESTS COINS]] + Table6[[#This Row],[DAILY COINS]]+Table6[[#This Row],[LEAGUES COINS]]+Table6[[#This Row],[MISSIONS COINS]]</f>
        <v>44922</v>
      </c>
      <c r="K17" s="342">
        <f>Table6[[#This Row],[CHESTS GEMS]]+Table6[[#This Row],[DAILY GEMS]]+Table6[[#This Row],[LEAGUES GEMS]]</f>
        <v>3.9</v>
      </c>
      <c r="L17" s="360">
        <f>Table6[[#This Row],[CHESTS COINS NEW]] +Table6[[#This Row],[DAILY COINS NEW]] +Table6[[#This Row],[LEAGUES COINS NEW]] +Table6[[#This Row],[MISSIONS COINS NEW]]</f>
        <v>44922</v>
      </c>
      <c r="M17" s="350">
        <f>Table6[[#This Row],[CHESTS GEMS NEW]] +Table6[[#This Row],[DAILY GEMS NEW]] +Table6[[#This Row],[LEAGUES GEMS NEW]]</f>
        <v>3.9</v>
      </c>
      <c r="N17" s="355">
        <f>Table6[[#This Row],[COINS PER RUN]] *Table6[[#This Row],[RUNS PER DAY]]</f>
        <v>33000</v>
      </c>
      <c r="O17" s="341">
        <v>18</v>
      </c>
      <c r="P17" s="341">
        <v>15</v>
      </c>
      <c r="Q17" s="292">
        <v>18</v>
      </c>
      <c r="R17" s="339">
        <v>15</v>
      </c>
      <c r="S17" s="345">
        <v>4</v>
      </c>
      <c r="T17" s="365">
        <v>1.78</v>
      </c>
      <c r="U17" s="353">
        <v>1.53</v>
      </c>
      <c r="V17" s="364">
        <v>1.29</v>
      </c>
      <c r="W17" s="316">
        <f>Table6[[#This Row],[CHEST REW. MOD.]]*($D$14+$D$15+$D$16)</f>
        <v>8100</v>
      </c>
      <c r="X17" s="312">
        <f t="shared" si="0"/>
        <v>3</v>
      </c>
      <c r="Y17" s="312">
        <f>ROUND((Table6[[#This Row],[DAILY REW. MOD.]]*($D$24+$D$26+$D$28))/7,0)</f>
        <v>3750</v>
      </c>
      <c r="Z17" s="312">
        <f t="shared" si="1"/>
        <v>0.9</v>
      </c>
      <c r="AA17" s="317">
        <f>ROUND((INDEX(Table12[AVG COINS],MATCH(Table6[[#This Row],[LEAGUE]],Table12[LEAGUE],0))) /$C$36,0)</f>
        <v>4470</v>
      </c>
      <c r="AB17" s="317">
        <f>ROUND((INDEX(Table12[AVG GEMS],MATCH(Table6[[#This Row],[LEAGUE]],Table12[LEAGUE],0))) /$C$35,2)</f>
        <v>0</v>
      </c>
      <c r="AC17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28602</v>
      </c>
      <c r="AD17" s="318">
        <f>Table6[[#This Row],[CHEST REW. MOD. NEW]]*($D$14+$D$15+$D$16)</f>
        <v>8100</v>
      </c>
      <c r="AE17" s="318">
        <f t="shared" si="2"/>
        <v>3</v>
      </c>
      <c r="AF17" s="318">
        <f>ROUND((Table6[[#This Row],[DAILY REW. MOD. NEW]]*($E$24+$E$26+$E$28))/7,0)</f>
        <v>3750</v>
      </c>
      <c r="AG17" s="318">
        <f t="shared" si="3"/>
        <v>0.9</v>
      </c>
      <c r="AH17" s="318">
        <f>ROUND((INDEX(Table12[AVG COINS NEW],MATCH(Table6[[#This Row],[LEAGUE]],Table12[LEAGUE],0))) /$C$36,0)</f>
        <v>4470</v>
      </c>
      <c r="AI17" s="318">
        <f>ROUND((INDEX(Table12[AVG GEMS NEW],MATCH(Table6[[#This Row],[LEAGUE]],Table12[LEAGUE],0))) / $C$36,2)</f>
        <v>0</v>
      </c>
      <c r="AJ17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28602</v>
      </c>
      <c r="AK17" s="352">
        <v>33000</v>
      </c>
      <c r="AL17" s="353">
        <v>1</v>
      </c>
    </row>
    <row r="18" spans="2:38" x14ac:dyDescent="0.25">
      <c r="B18" s="282">
        <v>5</v>
      </c>
      <c r="C18" s="304" t="s">
        <v>418</v>
      </c>
      <c r="D18" s="323">
        <v>2</v>
      </c>
      <c r="E18" s="326">
        <v>2</v>
      </c>
      <c r="G18" s="356" t="s">
        <v>96</v>
      </c>
      <c r="H18" s="360">
        <f>Table6[[#This Row],[TOTAL COINS]] +Table6[[#This Row],[COINS IN RUNS PER DAY]]</f>
        <v>112111</v>
      </c>
      <c r="I18" s="350">
        <f>Table6[[#This Row],[TOTAL COINS NEW]] + Table6[[#This Row],[COINS IN RUNS PER DAY]]</f>
        <v>112111</v>
      </c>
      <c r="J18" s="348">
        <f>Table6[[#This Row],[CHESTS COINS]] + Table6[[#This Row],[DAILY COINS]]+Table6[[#This Row],[LEAGUES COINS]]+Table6[[#This Row],[MISSIONS COINS]]</f>
        <v>63111</v>
      </c>
      <c r="K18" s="342">
        <f>Table6[[#This Row],[CHESTS GEMS]]+Table6[[#This Row],[DAILY GEMS]]+Table6[[#This Row],[LEAGUES GEMS]]</f>
        <v>3.9</v>
      </c>
      <c r="L18" s="360">
        <f>Table6[[#This Row],[CHESTS COINS NEW]] +Table6[[#This Row],[DAILY COINS NEW]] +Table6[[#This Row],[LEAGUES COINS NEW]] +Table6[[#This Row],[MISSIONS COINS NEW]]</f>
        <v>63111</v>
      </c>
      <c r="M18" s="350">
        <f>Table6[[#This Row],[CHESTS GEMS NEW]] +Table6[[#This Row],[DAILY GEMS NEW]] +Table6[[#This Row],[LEAGUES GEMS NEW]]</f>
        <v>3.9</v>
      </c>
      <c r="N18" s="355">
        <f>Table6[[#This Row],[COINS PER RUN]] *Table6[[#This Row],[RUNS PER DAY]]</f>
        <v>49000</v>
      </c>
      <c r="O18" s="341">
        <v>26</v>
      </c>
      <c r="P18" s="341">
        <v>20</v>
      </c>
      <c r="Q18" s="292">
        <v>26</v>
      </c>
      <c r="R18" s="339">
        <v>20</v>
      </c>
      <c r="S18" s="345">
        <v>5</v>
      </c>
      <c r="T18" s="365">
        <v>1.72</v>
      </c>
      <c r="U18" s="353">
        <v>1.5</v>
      </c>
      <c r="V18" s="364">
        <v>1.27</v>
      </c>
      <c r="W18" s="316">
        <f>Table6[[#This Row],[CHEST REW. MOD.]]*($D$14+$D$15+$D$16)</f>
        <v>11700</v>
      </c>
      <c r="X18" s="312">
        <f t="shared" si="0"/>
        <v>3</v>
      </c>
      <c r="Y18" s="312">
        <f>ROUND((Table6[[#This Row],[DAILY REW. MOD.]]*($D$24+$D$26+$D$28))/7,0)</f>
        <v>5000</v>
      </c>
      <c r="Z18" s="312">
        <f t="shared" si="1"/>
        <v>0.9</v>
      </c>
      <c r="AA18" s="317">
        <f>ROUND((INDEX(Table12[AVG COINS],MATCH(Table6[[#This Row],[LEAGUE]],Table12[LEAGUE],0))) /$C$36,0)</f>
        <v>5955</v>
      </c>
      <c r="AB18" s="317">
        <f>ROUND((INDEX(Table12[AVG GEMS],MATCH(Table6[[#This Row],[LEAGUE]],Table12[LEAGUE],0))) /$C$35,2)</f>
        <v>0</v>
      </c>
      <c r="AC18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40456</v>
      </c>
      <c r="AD18" s="318">
        <f>Table6[[#This Row],[CHEST REW. MOD. NEW]]*($D$14+$D$15+$D$16)</f>
        <v>11700</v>
      </c>
      <c r="AE18" s="318">
        <f t="shared" si="2"/>
        <v>3</v>
      </c>
      <c r="AF18" s="318">
        <f>ROUND((Table6[[#This Row],[DAILY REW. MOD. NEW]]*($E$24+$E$26+$E$28))/7,0)</f>
        <v>5000</v>
      </c>
      <c r="AG18" s="318">
        <f t="shared" si="3"/>
        <v>0.9</v>
      </c>
      <c r="AH18" s="318">
        <f>ROUND((INDEX(Table12[AVG COINS NEW],MATCH(Table6[[#This Row],[LEAGUE]],Table12[LEAGUE],0))) /$C$36,0)</f>
        <v>5955</v>
      </c>
      <c r="AI18" s="318">
        <f>ROUND((INDEX(Table12[AVG GEMS NEW],MATCH(Table6[[#This Row],[LEAGUE]],Table12[LEAGUE],0))) / $C$36,2)</f>
        <v>0</v>
      </c>
      <c r="AJ18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40456</v>
      </c>
      <c r="AK18" s="352">
        <v>49000</v>
      </c>
      <c r="AL18" s="353">
        <v>1</v>
      </c>
    </row>
    <row r="19" spans="2:38" x14ac:dyDescent="0.25">
      <c r="G19" s="356" t="s">
        <v>97</v>
      </c>
      <c r="H19" s="360">
        <f>Table6[[#This Row],[TOTAL COINS]] +Table6[[#This Row],[COINS IN RUNS PER DAY]]</f>
        <v>140210</v>
      </c>
      <c r="I19" s="350">
        <f>Table6[[#This Row],[TOTAL COINS NEW]] + Table6[[#This Row],[COINS IN RUNS PER DAY]]</f>
        <v>140210</v>
      </c>
      <c r="J19" s="348">
        <f>Table6[[#This Row],[CHESTS COINS]] + Table6[[#This Row],[DAILY COINS]]+Table6[[#This Row],[LEAGUES COINS]]+Table6[[#This Row],[MISSIONS COINS]]</f>
        <v>83210</v>
      </c>
      <c r="K19" s="342">
        <f>Table6[[#This Row],[CHESTS GEMS]]+Table6[[#This Row],[DAILY GEMS]]+Table6[[#This Row],[LEAGUES GEMS]]</f>
        <v>3.9</v>
      </c>
      <c r="L19" s="360">
        <f>Table6[[#This Row],[CHESTS COINS NEW]] +Table6[[#This Row],[DAILY COINS NEW]] +Table6[[#This Row],[LEAGUES COINS NEW]] +Table6[[#This Row],[MISSIONS COINS NEW]]</f>
        <v>83210</v>
      </c>
      <c r="M19" s="350">
        <f>Table6[[#This Row],[CHESTS GEMS NEW]] +Table6[[#This Row],[DAILY GEMS NEW]] +Table6[[#This Row],[LEAGUES GEMS NEW]]</f>
        <v>3.9</v>
      </c>
      <c r="N19" s="355">
        <f>Table6[[#This Row],[COINS PER RUN]] *Table6[[#This Row],[RUNS PER DAY]]</f>
        <v>57000</v>
      </c>
      <c r="O19" s="341">
        <v>35</v>
      </c>
      <c r="P19" s="341">
        <v>20</v>
      </c>
      <c r="Q19" s="292">
        <v>35</v>
      </c>
      <c r="R19" s="339">
        <v>20</v>
      </c>
      <c r="S19" s="345">
        <v>6</v>
      </c>
      <c r="T19" s="365">
        <v>1.74</v>
      </c>
      <c r="U19" s="353">
        <v>1.52</v>
      </c>
      <c r="V19" s="364">
        <v>1.28</v>
      </c>
      <c r="W19" s="316">
        <f>Table6[[#This Row],[CHEST REW. MOD.]]*($D$14+$D$15+$D$16)</f>
        <v>15750</v>
      </c>
      <c r="X19" s="312">
        <f t="shared" si="0"/>
        <v>3</v>
      </c>
      <c r="Y19" s="312">
        <f>ROUND((Table6[[#This Row],[DAILY REW. MOD.]]*($D$24+$D$26+$D$28))/7,0)</f>
        <v>5000</v>
      </c>
      <c r="Z19" s="312">
        <f t="shared" si="1"/>
        <v>0.9</v>
      </c>
      <c r="AA19" s="317">
        <f>ROUND((INDEX(Table12[AVG COINS],MATCH(Table6[[#This Row],[LEAGUE]],Table12[LEAGUE],0))) /$C$36,0)</f>
        <v>7440</v>
      </c>
      <c r="AB19" s="317">
        <f>ROUND((INDEX(Table12[AVG GEMS],MATCH(Table6[[#This Row],[LEAGUE]],Table12[LEAGUE],0))) /$C$35,2)</f>
        <v>0</v>
      </c>
      <c r="AC19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55020</v>
      </c>
      <c r="AD19" s="318">
        <f>Table6[[#This Row],[CHEST REW. MOD. NEW]]*($D$14+$D$15+$D$16)</f>
        <v>15750</v>
      </c>
      <c r="AE19" s="318">
        <f t="shared" si="2"/>
        <v>3</v>
      </c>
      <c r="AF19" s="318">
        <f>ROUND((Table6[[#This Row],[DAILY REW. MOD. NEW]]*($E$24+$E$26+$E$28))/7,0)</f>
        <v>5000</v>
      </c>
      <c r="AG19" s="318">
        <f t="shared" si="3"/>
        <v>0.9</v>
      </c>
      <c r="AH19" s="318">
        <f>ROUND((INDEX(Table12[AVG COINS NEW],MATCH(Table6[[#This Row],[LEAGUE]],Table12[LEAGUE],0))) /$C$36,0)</f>
        <v>7440</v>
      </c>
      <c r="AI19" s="318">
        <f>ROUND((INDEX(Table12[AVG GEMS NEW],MATCH(Table6[[#This Row],[LEAGUE]],Table12[LEAGUE],0))) / $C$36,2)</f>
        <v>0</v>
      </c>
      <c r="AJ19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55020</v>
      </c>
      <c r="AK19" s="352">
        <v>57000</v>
      </c>
      <c r="AL19" s="353">
        <v>1</v>
      </c>
    </row>
    <row r="20" spans="2:38" x14ac:dyDescent="0.25">
      <c r="G20" s="356" t="s">
        <v>98</v>
      </c>
      <c r="H20" s="360">
        <f>Table6[[#This Row],[TOTAL COINS]] +Table6[[#This Row],[COINS IN RUNS PER DAY]]</f>
        <v>179470</v>
      </c>
      <c r="I20" s="350">
        <f>Table6[[#This Row],[TOTAL COINS NEW]] + Table6[[#This Row],[COINS IN RUNS PER DAY]]</f>
        <v>179470</v>
      </c>
      <c r="J20" s="348">
        <f>Table6[[#This Row],[CHESTS COINS]] + Table6[[#This Row],[DAILY COINS]]+Table6[[#This Row],[LEAGUES COINS]]+Table6[[#This Row],[MISSIONS COINS]]</f>
        <v>107470</v>
      </c>
      <c r="K20" s="342">
        <f>Table6[[#This Row],[CHESTS GEMS]]+Table6[[#This Row],[DAILY GEMS]]+Table6[[#This Row],[LEAGUES GEMS]]</f>
        <v>3.9</v>
      </c>
      <c r="L20" s="360">
        <f>Table6[[#This Row],[CHESTS COINS NEW]] +Table6[[#This Row],[DAILY COINS NEW]] +Table6[[#This Row],[LEAGUES COINS NEW]] +Table6[[#This Row],[MISSIONS COINS NEW]]</f>
        <v>107470</v>
      </c>
      <c r="M20" s="350">
        <f>Table6[[#This Row],[CHESTS GEMS NEW]] +Table6[[#This Row],[DAILY GEMS NEW]] +Table6[[#This Row],[LEAGUES GEMS NEW]]</f>
        <v>3.9</v>
      </c>
      <c r="N20" s="355">
        <f>Table6[[#This Row],[COINS PER RUN]] *Table6[[#This Row],[RUNS PER DAY]]</f>
        <v>72000</v>
      </c>
      <c r="O20" s="341">
        <v>45</v>
      </c>
      <c r="P20" s="341">
        <v>25</v>
      </c>
      <c r="Q20" s="292">
        <v>45</v>
      </c>
      <c r="R20" s="339">
        <v>25</v>
      </c>
      <c r="S20" s="345">
        <v>7</v>
      </c>
      <c r="T20" s="365">
        <v>1.78</v>
      </c>
      <c r="U20" s="353">
        <v>1.55</v>
      </c>
      <c r="V20" s="364">
        <v>1.3</v>
      </c>
      <c r="W20" s="316">
        <f>Table6[[#This Row],[CHEST REW. MOD.]]*($D$14+$D$15+$D$16)</f>
        <v>20250</v>
      </c>
      <c r="X20" s="312">
        <f t="shared" si="0"/>
        <v>3</v>
      </c>
      <c r="Y20" s="312">
        <f>ROUND((Table6[[#This Row],[DAILY REW. MOD.]]*($D$24+$D$26+$D$28))/7,0)</f>
        <v>6250</v>
      </c>
      <c r="Z20" s="312">
        <f t="shared" si="1"/>
        <v>0.9</v>
      </c>
      <c r="AA20" s="317">
        <f>ROUND((INDEX(Table12[AVG COINS],MATCH(Table6[[#This Row],[LEAGUE]],Table12[LEAGUE],0))) /$C$36,0)</f>
        <v>8925</v>
      </c>
      <c r="AB20" s="317">
        <f>ROUND((INDEX(Table12[AVG GEMS],MATCH(Table6[[#This Row],[LEAGUE]],Table12[LEAGUE],0))) /$C$35,2)</f>
        <v>0</v>
      </c>
      <c r="AC20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72045</v>
      </c>
      <c r="AD20" s="318">
        <f>Table6[[#This Row],[CHEST REW. MOD. NEW]]*($D$14+$D$15+$D$16)</f>
        <v>20250</v>
      </c>
      <c r="AE20" s="318">
        <f t="shared" si="2"/>
        <v>3</v>
      </c>
      <c r="AF20" s="318">
        <f>ROUND((Table6[[#This Row],[DAILY REW. MOD. NEW]]*($E$24+$E$26+$E$28))/7,0)</f>
        <v>6250</v>
      </c>
      <c r="AG20" s="318">
        <f t="shared" si="3"/>
        <v>0.9</v>
      </c>
      <c r="AH20" s="318">
        <f>ROUND((INDEX(Table12[AVG COINS NEW],MATCH(Table6[[#This Row],[LEAGUE]],Table12[LEAGUE],0))) /$C$36,0)</f>
        <v>8925</v>
      </c>
      <c r="AI20" s="318">
        <f>ROUND((INDEX(Table12[AVG GEMS NEW],MATCH(Table6[[#This Row],[LEAGUE]],Table12[LEAGUE],0))) / $C$36,2)</f>
        <v>0</v>
      </c>
      <c r="AJ20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72045</v>
      </c>
      <c r="AK20" s="352">
        <v>72000</v>
      </c>
      <c r="AL20" s="353">
        <v>1</v>
      </c>
    </row>
    <row r="21" spans="2:38" x14ac:dyDescent="0.25">
      <c r="G21" s="356" t="s">
        <v>99</v>
      </c>
      <c r="H21" s="360">
        <f>Table6[[#This Row],[TOTAL COINS]] +Table6[[#This Row],[COINS IN RUNS PER DAY]]</f>
        <v>187954</v>
      </c>
      <c r="I21" s="350">
        <f>Table6[[#This Row],[TOTAL COINS NEW]] + Table6[[#This Row],[COINS IN RUNS PER DAY]]</f>
        <v>187954</v>
      </c>
      <c r="J21" s="348">
        <f>Table6[[#This Row],[CHESTS COINS]] + Table6[[#This Row],[DAILY COINS]]+Table6[[#This Row],[LEAGUES COINS]]+Table6[[#This Row],[MISSIONS COINS]]</f>
        <v>122954</v>
      </c>
      <c r="K21" s="342">
        <f>Table6[[#This Row],[CHESTS GEMS]]+Table6[[#This Row],[DAILY GEMS]]+Table6[[#This Row],[LEAGUES GEMS]]</f>
        <v>3.9299999999999997</v>
      </c>
      <c r="L21" s="360">
        <f>Table6[[#This Row],[CHESTS COINS NEW]] +Table6[[#This Row],[DAILY COINS NEW]] +Table6[[#This Row],[LEAGUES COINS NEW]] +Table6[[#This Row],[MISSIONS COINS NEW]]</f>
        <v>122954</v>
      </c>
      <c r="M21" s="350">
        <f>Table6[[#This Row],[CHESTS GEMS NEW]] +Table6[[#This Row],[DAILY GEMS NEW]] +Table6[[#This Row],[LEAGUES GEMS NEW]]</f>
        <v>4.0999999999999996</v>
      </c>
      <c r="N21" s="355">
        <f>Table6[[#This Row],[COINS PER RUN]] *Table6[[#This Row],[RUNS PER DAY]]</f>
        <v>65000</v>
      </c>
      <c r="O21" s="341">
        <v>56</v>
      </c>
      <c r="P21" s="341">
        <v>30</v>
      </c>
      <c r="Q21" s="292">
        <v>56</v>
      </c>
      <c r="R21" s="339">
        <v>30</v>
      </c>
      <c r="S21" s="345">
        <v>8</v>
      </c>
      <c r="T21" s="365">
        <v>1.5</v>
      </c>
      <c r="U21" s="353">
        <v>1.36</v>
      </c>
      <c r="V21" s="364">
        <v>1.21</v>
      </c>
      <c r="W21" s="316">
        <f>Table6[[#This Row],[CHEST REW. MOD.]]*($D$14+$D$15+$D$16)</f>
        <v>25200</v>
      </c>
      <c r="X21" s="312">
        <f t="shared" si="0"/>
        <v>3</v>
      </c>
      <c r="Y21" s="312">
        <f>ROUND((Table6[[#This Row],[DAILY REW. MOD.]]*($D$24+$D$26+$D$28))/7,0)</f>
        <v>7500</v>
      </c>
      <c r="Z21" s="312">
        <f t="shared" si="1"/>
        <v>0.9</v>
      </c>
      <c r="AA21" s="317">
        <f>ROUND((INDEX(Table12[AVG COINS],MATCH(Table6[[#This Row],[LEAGUE]],Table12[LEAGUE],0))) /$C$36,0)</f>
        <v>9950</v>
      </c>
      <c r="AB21" s="317">
        <f>ROUND((INDEX(Table12[AVG GEMS],MATCH(Table6[[#This Row],[LEAGUE]],Table12[LEAGUE],0))) /$C$35,2)</f>
        <v>0.03</v>
      </c>
      <c r="AC21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80304</v>
      </c>
      <c r="AD21" s="318">
        <f>Table6[[#This Row],[CHEST REW. MOD. NEW]]*($D$14+$D$15+$D$16)</f>
        <v>25200</v>
      </c>
      <c r="AE21" s="318">
        <f t="shared" si="2"/>
        <v>3</v>
      </c>
      <c r="AF21" s="318">
        <f>ROUND((Table6[[#This Row],[DAILY REW. MOD. NEW]]*($E$24+$E$26+$E$28))/7,0)</f>
        <v>7500</v>
      </c>
      <c r="AG21" s="318">
        <f t="shared" si="3"/>
        <v>0.9</v>
      </c>
      <c r="AH21" s="318">
        <f>ROUND((INDEX(Table12[AVG COINS NEW],MATCH(Table6[[#This Row],[LEAGUE]],Table12[LEAGUE],0))) /$C$36,0)</f>
        <v>9950</v>
      </c>
      <c r="AI21" s="318">
        <f>ROUND((INDEX(Table12[AVG GEMS NEW],MATCH(Table6[[#This Row],[LEAGUE]],Table12[LEAGUE],0))) / $C$36,2)</f>
        <v>0.2</v>
      </c>
      <c r="AJ21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80304</v>
      </c>
      <c r="AK21" s="352">
        <v>65000</v>
      </c>
      <c r="AL21" s="353">
        <v>1</v>
      </c>
    </row>
    <row r="22" spans="2:38" x14ac:dyDescent="0.25">
      <c r="B22" s="375" t="s">
        <v>430</v>
      </c>
      <c r="C22" s="375"/>
      <c r="D22" s="375"/>
      <c r="G22" s="356" t="s">
        <v>144</v>
      </c>
      <c r="H22" s="360">
        <f>Table6[[#This Row],[TOTAL COINS]] +Table6[[#This Row],[COINS IN RUNS PER DAY]]</f>
        <v>221829</v>
      </c>
      <c r="I22" s="350">
        <f>Table6[[#This Row],[TOTAL COINS NEW]] + Table6[[#This Row],[COINS IN RUNS PER DAY]]</f>
        <v>221829</v>
      </c>
      <c r="J22" s="348">
        <f>Table6[[#This Row],[CHESTS COINS]] + Table6[[#This Row],[DAILY COINS]]+Table6[[#This Row],[LEAGUES COINS]]+Table6[[#This Row],[MISSIONS COINS]]</f>
        <v>140829</v>
      </c>
      <c r="K22" s="342">
        <f>Table6[[#This Row],[CHESTS GEMS]]+Table6[[#This Row],[DAILY GEMS]]+Table6[[#This Row],[LEAGUES GEMS]]</f>
        <v>3.9299999999999997</v>
      </c>
      <c r="L22" s="360">
        <f>Table6[[#This Row],[CHESTS COINS NEW]] +Table6[[#This Row],[DAILY COINS NEW]] +Table6[[#This Row],[LEAGUES COINS NEW]] +Table6[[#This Row],[MISSIONS COINS NEW]]</f>
        <v>140829</v>
      </c>
      <c r="M22" s="350">
        <f>Table6[[#This Row],[CHESTS GEMS NEW]] +Table6[[#This Row],[DAILY GEMS NEW]] +Table6[[#This Row],[LEAGUES GEMS NEW]]</f>
        <v>4.0999999999999996</v>
      </c>
      <c r="N22" s="355">
        <f>Table6[[#This Row],[COINS PER RUN]] *Table6[[#This Row],[RUNS PER DAY]]</f>
        <v>81000</v>
      </c>
      <c r="O22" s="341">
        <v>62</v>
      </c>
      <c r="P22" s="341">
        <v>30</v>
      </c>
      <c r="Q22" s="292">
        <v>62</v>
      </c>
      <c r="R22" s="339">
        <v>30</v>
      </c>
      <c r="S22" s="345">
        <v>9</v>
      </c>
      <c r="T22" s="365">
        <v>1.63</v>
      </c>
      <c r="U22" s="353">
        <v>1.45</v>
      </c>
      <c r="V22" s="364">
        <v>1.26</v>
      </c>
      <c r="W22" s="316">
        <f>Table6[[#This Row],[CHEST REW. MOD.]]*($D$14+$D$15+$D$16)</f>
        <v>27900</v>
      </c>
      <c r="X22" s="312">
        <f t="shared" si="0"/>
        <v>3</v>
      </c>
      <c r="Y22" s="312">
        <f>ROUND((Table6[[#This Row],[DAILY REW. MOD.]]*($D$24+$D$26+$D$28))/7,0)</f>
        <v>7500</v>
      </c>
      <c r="Z22" s="312">
        <f t="shared" si="1"/>
        <v>0.9</v>
      </c>
      <c r="AA22" s="317">
        <f>ROUND((INDEX(Table12[AVG COINS],MATCH(Table6[[#This Row],[LEAGUE]],Table12[LEAGUE],0))) /$C$36,0)</f>
        <v>11375</v>
      </c>
      <c r="AB22" s="317">
        <f>ROUND((INDEX(Table12[AVG GEMS],MATCH(Table6[[#This Row],[LEAGUE]],Table12[LEAGUE],0))) /$C$35,2)</f>
        <v>0.03</v>
      </c>
      <c r="AC22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94054</v>
      </c>
      <c r="AD22" s="318">
        <f>Table6[[#This Row],[CHEST REW. MOD. NEW]]*($D$14+$D$15+$D$16)</f>
        <v>27900</v>
      </c>
      <c r="AE22" s="318">
        <f t="shared" si="2"/>
        <v>3</v>
      </c>
      <c r="AF22" s="318">
        <f>ROUND((Table6[[#This Row],[DAILY REW. MOD. NEW]]*($E$24+$E$26+$E$28))/7,0)</f>
        <v>7500</v>
      </c>
      <c r="AG22" s="318">
        <f t="shared" si="3"/>
        <v>0.9</v>
      </c>
      <c r="AH22" s="318">
        <f>ROUND((INDEX(Table12[AVG COINS NEW],MATCH(Table6[[#This Row],[LEAGUE]],Table12[LEAGUE],0))) /$C$36,0)</f>
        <v>11375</v>
      </c>
      <c r="AI22" s="318">
        <f>ROUND((INDEX(Table12[AVG GEMS NEW],MATCH(Table6[[#This Row],[LEAGUE]],Table12[LEAGUE],0))) / $C$36,2)</f>
        <v>0.2</v>
      </c>
      <c r="AJ22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94054</v>
      </c>
      <c r="AK22" s="352">
        <v>81000</v>
      </c>
      <c r="AL22" s="353">
        <v>1</v>
      </c>
    </row>
    <row r="23" spans="2:38" x14ac:dyDescent="0.25">
      <c r="B23" s="295" t="s">
        <v>428</v>
      </c>
      <c r="C23" s="295" t="s">
        <v>419</v>
      </c>
      <c r="D23" s="327" t="s">
        <v>420</v>
      </c>
      <c r="E23" s="329" t="s">
        <v>461</v>
      </c>
      <c r="G23" s="356" t="s">
        <v>100</v>
      </c>
      <c r="H23" s="360">
        <f>Table6[[#This Row],[TOTAL COINS]] +Table6[[#This Row],[COINS IN RUNS PER DAY]]</f>
        <v>226760</v>
      </c>
      <c r="I23" s="350">
        <f>Table6[[#This Row],[TOTAL COINS NEW]] + Table6[[#This Row],[COINS IN RUNS PER DAY]]</f>
        <v>226760</v>
      </c>
      <c r="J23" s="348">
        <f>Table6[[#This Row],[CHESTS COINS]] + Table6[[#This Row],[DAILY COINS]]+Table6[[#This Row],[LEAGUES COINS]]+Table6[[#This Row],[MISSIONS COINS]]</f>
        <v>148760</v>
      </c>
      <c r="K23" s="342">
        <f>Table6[[#This Row],[CHESTS GEMS]]+Table6[[#This Row],[DAILY GEMS]]+Table6[[#This Row],[LEAGUES GEMS]]</f>
        <v>3.9299999999999997</v>
      </c>
      <c r="L23" s="360">
        <f>Table6[[#This Row],[CHESTS COINS NEW]] +Table6[[#This Row],[DAILY COINS NEW]] +Table6[[#This Row],[LEAGUES COINS NEW]] +Table6[[#This Row],[MISSIONS COINS NEW]]</f>
        <v>148760</v>
      </c>
      <c r="M23" s="350">
        <f>Table6[[#This Row],[CHESTS GEMS NEW]] +Table6[[#This Row],[DAILY GEMS NEW]] +Table6[[#This Row],[LEAGUES GEMS NEW]]</f>
        <v>4.0999999999999996</v>
      </c>
      <c r="N23" s="355">
        <f>Table6[[#This Row],[COINS PER RUN]] *Table6[[#This Row],[RUNS PER DAY]]</f>
        <v>78000</v>
      </c>
      <c r="O23" s="341">
        <v>65</v>
      </c>
      <c r="P23" s="341">
        <v>35</v>
      </c>
      <c r="Q23" s="292">
        <v>65</v>
      </c>
      <c r="R23" s="339">
        <v>35</v>
      </c>
      <c r="S23" s="345">
        <v>9</v>
      </c>
      <c r="T23" s="365">
        <v>1.66</v>
      </c>
      <c r="U23" s="353">
        <v>1.47</v>
      </c>
      <c r="V23" s="364">
        <v>1.26</v>
      </c>
      <c r="W23" s="316">
        <f>Table6[[#This Row],[CHEST REW. MOD.]]*($D$14+$D$15+$D$16)</f>
        <v>29250</v>
      </c>
      <c r="X23" s="312">
        <f t="shared" si="0"/>
        <v>3</v>
      </c>
      <c r="Y23" s="312">
        <f>ROUND((Table6[[#This Row],[DAILY REW. MOD.]]*($D$24+$D$26+$D$28))/7,0)</f>
        <v>8750</v>
      </c>
      <c r="Z23" s="312">
        <f t="shared" si="1"/>
        <v>0.9</v>
      </c>
      <c r="AA23" s="317">
        <f>ROUND((INDEX(Table12[AVG COINS],MATCH(Table6[[#This Row],[LEAGUE]],Table12[LEAGUE],0))) /$C$36,0)</f>
        <v>11375</v>
      </c>
      <c r="AB23" s="317">
        <f>ROUND((INDEX(Table12[AVG GEMS],MATCH(Table6[[#This Row],[LEAGUE]],Table12[LEAGUE],0))) /$C$35,2)</f>
        <v>0.03</v>
      </c>
      <c r="AC23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99385</v>
      </c>
      <c r="AD23" s="318">
        <f>Table6[[#This Row],[CHEST REW. MOD. NEW]]*($D$14+$D$15+$D$16)</f>
        <v>29250</v>
      </c>
      <c r="AE23" s="318">
        <f t="shared" si="2"/>
        <v>3</v>
      </c>
      <c r="AF23" s="318">
        <f>ROUND((Table6[[#This Row],[DAILY REW. MOD. NEW]]*($E$24+$E$26+$E$28))/7,0)</f>
        <v>8750</v>
      </c>
      <c r="AG23" s="318">
        <f t="shared" si="3"/>
        <v>0.9</v>
      </c>
      <c r="AH23" s="318">
        <f>ROUND((INDEX(Table12[AVG COINS NEW],MATCH(Table6[[#This Row],[LEAGUE]],Table12[LEAGUE],0))) /$C$36,0)</f>
        <v>11375</v>
      </c>
      <c r="AI23" s="318">
        <f>ROUND((INDEX(Table12[AVG GEMS NEW],MATCH(Table6[[#This Row],[LEAGUE]],Table12[LEAGUE],0))) / $C$36,2)</f>
        <v>0.2</v>
      </c>
      <c r="AJ23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99385</v>
      </c>
      <c r="AK23" s="352">
        <v>78000</v>
      </c>
      <c r="AL23" s="353">
        <v>1</v>
      </c>
    </row>
    <row r="24" spans="2:38" x14ac:dyDescent="0.25">
      <c r="B24" s="284">
        <v>1</v>
      </c>
      <c r="C24" s="303" t="s">
        <v>424</v>
      </c>
      <c r="D24" s="323">
        <v>250</v>
      </c>
      <c r="E24" s="330">
        <v>250</v>
      </c>
      <c r="G24" s="356" t="s">
        <v>101</v>
      </c>
      <c r="H24" s="360">
        <f>Table6[[#This Row],[TOTAL COINS]] +Table6[[#This Row],[COINS IN RUNS PER DAY]]</f>
        <v>243035</v>
      </c>
      <c r="I24" s="350">
        <f>Table6[[#This Row],[TOTAL COINS NEW]] + Table6[[#This Row],[COINS IN RUNS PER DAY]]</f>
        <v>243035</v>
      </c>
      <c r="J24" s="348">
        <f>Table6[[#This Row],[CHESTS COINS]] + Table6[[#This Row],[DAILY COINS]]+Table6[[#This Row],[LEAGUES COINS]]+Table6[[#This Row],[MISSIONS COINS]]</f>
        <v>156035</v>
      </c>
      <c r="K24" s="342">
        <f>Table6[[#This Row],[CHESTS GEMS]]+Table6[[#This Row],[DAILY GEMS]]+Table6[[#This Row],[LEAGUES GEMS]]</f>
        <v>3.96</v>
      </c>
      <c r="L24" s="360">
        <f>Table6[[#This Row],[CHESTS COINS NEW]] +Table6[[#This Row],[DAILY COINS NEW]] +Table6[[#This Row],[LEAGUES COINS NEW]] +Table6[[#This Row],[MISSIONS COINS NEW]]</f>
        <v>156035</v>
      </c>
      <c r="M24" s="350">
        <f>Table6[[#This Row],[CHESTS GEMS NEW]] +Table6[[#This Row],[DAILY GEMS NEW]] +Table6[[#This Row],[LEAGUES GEMS NEW]]</f>
        <v>4.3</v>
      </c>
      <c r="N24" s="355">
        <f>Table6[[#This Row],[COINS PER RUN]] *Table6[[#This Row],[RUNS PER DAY]]</f>
        <v>87000</v>
      </c>
      <c r="O24" s="341">
        <v>70</v>
      </c>
      <c r="P24" s="341">
        <v>35</v>
      </c>
      <c r="Q24" s="292">
        <v>70</v>
      </c>
      <c r="R24" s="339">
        <v>35</v>
      </c>
      <c r="S24" s="345">
        <v>10</v>
      </c>
      <c r="T24" s="365">
        <v>1.57</v>
      </c>
      <c r="U24" s="353">
        <v>1.4</v>
      </c>
      <c r="V24" s="364">
        <v>1.24</v>
      </c>
      <c r="W24" s="316">
        <f>Table6[[#This Row],[CHEST REW. MOD.]]*($D$14+$D$15+$D$16)</f>
        <v>31500</v>
      </c>
      <c r="X24" s="312">
        <f t="shared" si="0"/>
        <v>3</v>
      </c>
      <c r="Y24" s="312">
        <f>ROUND((Table6[[#This Row],[DAILY REW. MOD.]]*($D$24+$D$26+$D$28))/7,0)</f>
        <v>8750</v>
      </c>
      <c r="Z24" s="312">
        <f t="shared" si="1"/>
        <v>0.9</v>
      </c>
      <c r="AA24" s="317">
        <f>ROUND((INDEX(Table12[AVG COINS],MATCH(Table6[[#This Row],[LEAGUE]],Table12[LEAGUE],0))) /$C$36,0)</f>
        <v>12325</v>
      </c>
      <c r="AB24" s="317">
        <f>ROUND((INDEX(Table12[AVG GEMS],MATCH(Table6[[#This Row],[LEAGUE]],Table12[LEAGUE],0))) /$C$35,2)</f>
        <v>0.06</v>
      </c>
      <c r="AC24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103460</v>
      </c>
      <c r="AD24" s="318">
        <f>Table6[[#This Row],[CHEST REW. MOD. NEW]]*($D$14+$D$15+$D$16)</f>
        <v>31500</v>
      </c>
      <c r="AE24" s="318">
        <f t="shared" si="2"/>
        <v>3</v>
      </c>
      <c r="AF24" s="318">
        <f>ROUND((Table6[[#This Row],[DAILY REW. MOD. NEW]]*($E$24+$E$26+$E$28))/7,0)</f>
        <v>8750</v>
      </c>
      <c r="AG24" s="318">
        <f t="shared" si="3"/>
        <v>0.9</v>
      </c>
      <c r="AH24" s="318">
        <f>ROUND((INDEX(Table12[AVG COINS NEW],MATCH(Table6[[#This Row],[LEAGUE]],Table12[LEAGUE],0))) /$C$36,0)</f>
        <v>12325</v>
      </c>
      <c r="AI24" s="318">
        <f>ROUND((INDEX(Table12[AVG GEMS NEW],MATCH(Table6[[#This Row],[LEAGUE]],Table12[LEAGUE],0))) / $C$36,2)</f>
        <v>0.4</v>
      </c>
      <c r="AJ24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103460</v>
      </c>
      <c r="AK24" s="352">
        <v>87000</v>
      </c>
      <c r="AL24" s="353">
        <v>1</v>
      </c>
    </row>
    <row r="25" spans="2:38" x14ac:dyDescent="0.25">
      <c r="B25" s="282">
        <v>2</v>
      </c>
      <c r="C25" s="303" t="s">
        <v>425</v>
      </c>
      <c r="D25" s="323">
        <v>1</v>
      </c>
      <c r="E25" s="331">
        <v>1</v>
      </c>
      <c r="G25" s="356" t="s">
        <v>145</v>
      </c>
      <c r="H25" s="360">
        <f>Table6[[#This Row],[TOTAL COINS]] +Table6[[#This Row],[COINS IN RUNS PER DAY]]</f>
        <v>233315</v>
      </c>
      <c r="I25" s="350">
        <f>Table6[[#This Row],[TOTAL COINS NEW]] + Table6[[#This Row],[COINS IN RUNS PER DAY]]</f>
        <v>233315</v>
      </c>
      <c r="J25" s="348">
        <f>Table6[[#This Row],[CHESTS COINS]] + Table6[[#This Row],[DAILY COINS]]+Table6[[#This Row],[LEAGUES COINS]]+Table6[[#This Row],[MISSIONS COINS]]</f>
        <v>148315</v>
      </c>
      <c r="K25" s="342">
        <f>Table6[[#This Row],[CHESTS GEMS]]+Table6[[#This Row],[DAILY GEMS]]+Table6[[#This Row],[LEAGUES GEMS]]</f>
        <v>3.96</v>
      </c>
      <c r="L25" s="360">
        <f>Table6[[#This Row],[CHESTS COINS NEW]] +Table6[[#This Row],[DAILY COINS NEW]] +Table6[[#This Row],[LEAGUES COINS NEW]] +Table6[[#This Row],[MISSIONS COINS NEW]]</f>
        <v>148315</v>
      </c>
      <c r="M25" s="350">
        <f>Table6[[#This Row],[CHESTS GEMS NEW]] +Table6[[#This Row],[DAILY GEMS NEW]] +Table6[[#This Row],[LEAGUES GEMS NEW]]</f>
        <v>4.3</v>
      </c>
      <c r="N25" s="355">
        <f>Table6[[#This Row],[COINS PER RUN]] *Table6[[#This Row],[RUNS PER DAY]]</f>
        <v>85000</v>
      </c>
      <c r="O25" s="341">
        <v>70</v>
      </c>
      <c r="P25" s="341">
        <v>38</v>
      </c>
      <c r="Q25" s="292">
        <v>70</v>
      </c>
      <c r="R25" s="339">
        <v>38</v>
      </c>
      <c r="S25" s="345">
        <v>10</v>
      </c>
      <c r="T25" s="365">
        <v>1.37</v>
      </c>
      <c r="U25" s="353">
        <v>1.27</v>
      </c>
      <c r="V25" s="364">
        <v>1.17</v>
      </c>
      <c r="W25" s="316">
        <f>Table6[[#This Row],[CHEST REW. MOD.]]*($D$14+$D$15+$D$16)</f>
        <v>31500</v>
      </c>
      <c r="X25" s="312">
        <f t="shared" si="0"/>
        <v>3</v>
      </c>
      <c r="Y25" s="312">
        <f>ROUND((Table6[[#This Row],[DAILY REW. MOD.]]*($D$24+$D$26+$D$28))/7,0)</f>
        <v>9500</v>
      </c>
      <c r="Z25" s="312">
        <f t="shared" si="1"/>
        <v>0.9</v>
      </c>
      <c r="AA25" s="317">
        <f>ROUND((INDEX(Table12[AVG COINS],MATCH(Table6[[#This Row],[LEAGUE]],Table12[LEAGUE],0))) /$C$36,0)</f>
        <v>12325</v>
      </c>
      <c r="AB25" s="317">
        <f>ROUND((INDEX(Table12[AVG GEMS],MATCH(Table6[[#This Row],[LEAGUE]],Table12[LEAGUE],0))) /$C$35,2)</f>
        <v>0.06</v>
      </c>
      <c r="AC25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94990</v>
      </c>
      <c r="AD25" s="318">
        <f>Table6[[#This Row],[CHEST REW. MOD. NEW]]*($D$14+$D$15+$D$16)</f>
        <v>31500</v>
      </c>
      <c r="AE25" s="318">
        <f t="shared" si="2"/>
        <v>3</v>
      </c>
      <c r="AF25" s="318">
        <f>ROUND((Table6[[#This Row],[DAILY REW. MOD. NEW]]*($E$24+$E$26+$E$28))/7,0)</f>
        <v>9500</v>
      </c>
      <c r="AG25" s="318">
        <f t="shared" si="3"/>
        <v>0.9</v>
      </c>
      <c r="AH25" s="318">
        <f>ROUND((INDEX(Table12[AVG COINS NEW],MATCH(Table6[[#This Row],[LEAGUE]],Table12[LEAGUE],0))) /$C$36,0)</f>
        <v>12325</v>
      </c>
      <c r="AI25" s="318">
        <f>ROUND((INDEX(Table12[AVG GEMS NEW],MATCH(Table6[[#This Row],[LEAGUE]],Table12[LEAGUE],0))) / $C$36,2)</f>
        <v>0.4</v>
      </c>
      <c r="AJ25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94990</v>
      </c>
      <c r="AK25" s="352">
        <v>85000</v>
      </c>
      <c r="AL25" s="353">
        <v>1</v>
      </c>
    </row>
    <row r="26" spans="2:38" x14ac:dyDescent="0.25">
      <c r="B26" s="282">
        <v>3</v>
      </c>
      <c r="C26" s="303" t="s">
        <v>424</v>
      </c>
      <c r="D26" s="323">
        <v>500</v>
      </c>
      <c r="E26" s="331">
        <v>500</v>
      </c>
      <c r="G26" s="358" t="s">
        <v>218</v>
      </c>
      <c r="H26" s="360">
        <f>Table6[[#This Row],[TOTAL COINS]] +Table6[[#This Row],[COINS IN RUNS PER DAY]]</f>
        <v>277865</v>
      </c>
      <c r="I26" s="350">
        <f>Table6[[#This Row],[TOTAL COINS NEW]] + Table6[[#This Row],[COINS IN RUNS PER DAY]]</f>
        <v>277865</v>
      </c>
      <c r="J26" s="348">
        <f>Table6[[#This Row],[CHESTS COINS]] + Table6[[#This Row],[DAILY COINS]]+Table6[[#This Row],[LEAGUES COINS]]+Table6[[#This Row],[MISSIONS COINS]]</f>
        <v>152865</v>
      </c>
      <c r="K26" s="342">
        <f>Table6[[#This Row],[CHESTS GEMS]]+Table6[[#This Row],[DAILY GEMS]]+Table6[[#This Row],[LEAGUES GEMS]]</f>
        <v>3.96</v>
      </c>
      <c r="L26" s="360">
        <f>Table6[[#This Row],[CHESTS COINS NEW]] +Table6[[#This Row],[DAILY COINS NEW]] +Table6[[#This Row],[LEAGUES COINS NEW]] +Table6[[#This Row],[MISSIONS COINS NEW]]</f>
        <v>152865</v>
      </c>
      <c r="M26" s="350">
        <f>Table6[[#This Row],[CHESTS GEMS NEW]] +Table6[[#This Row],[DAILY GEMS NEW]] +Table6[[#This Row],[LEAGUES GEMS NEW]]</f>
        <v>4.3</v>
      </c>
      <c r="N26" s="355">
        <f>Table6[[#This Row],[COINS PER RUN]] *Table6[[#This Row],[RUNS PER DAY]]</f>
        <v>125000</v>
      </c>
      <c r="O26" s="341">
        <v>70</v>
      </c>
      <c r="P26" s="341">
        <v>38</v>
      </c>
      <c r="Q26" s="292">
        <v>70</v>
      </c>
      <c r="R26" s="339">
        <v>38</v>
      </c>
      <c r="S26" s="345">
        <v>10</v>
      </c>
      <c r="T26" s="365">
        <v>1.47</v>
      </c>
      <c r="U26" s="353">
        <v>1.34</v>
      </c>
      <c r="V26" s="364">
        <v>1.21</v>
      </c>
      <c r="W26" s="316">
        <f>Table6[[#This Row],[CHEST REW. MOD.]]*($D$14+$D$15+$D$16)</f>
        <v>31500</v>
      </c>
      <c r="X26" s="312">
        <f t="shared" si="0"/>
        <v>3</v>
      </c>
      <c r="Y26" s="312">
        <f>ROUND((Table6[[#This Row],[DAILY REW. MOD.]]*($D$24+$D$26+$D$28))/7,0)</f>
        <v>9500</v>
      </c>
      <c r="Z26" s="312">
        <f t="shared" si="1"/>
        <v>0.9</v>
      </c>
      <c r="AA26" s="317">
        <f>ROUND((INDEX(Table12[AVG COINS],MATCH(Table6[[#This Row],[LEAGUE]],Table12[LEAGUE],0))) /$C$36,0)</f>
        <v>12325</v>
      </c>
      <c r="AB26" s="317">
        <f>ROUND((INDEX(Table12[AVG GEMS],MATCH(Table6[[#This Row],[LEAGUE]],Table12[LEAGUE],0))) /$C$35,2)</f>
        <v>0.06</v>
      </c>
      <c r="AC26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99540</v>
      </c>
      <c r="AD26" s="318">
        <f>Table6[[#This Row],[CHEST REW. MOD. NEW]]*($D$14+$D$15+$D$16)</f>
        <v>31500</v>
      </c>
      <c r="AE26" s="318">
        <f t="shared" si="2"/>
        <v>3</v>
      </c>
      <c r="AF26" s="318">
        <f>ROUND((Table6[[#This Row],[DAILY REW. MOD. NEW]]*($E$24+$E$26+$E$28))/7,0)</f>
        <v>9500</v>
      </c>
      <c r="AG26" s="318">
        <f t="shared" si="3"/>
        <v>0.9</v>
      </c>
      <c r="AH26" s="318">
        <f>ROUND((INDEX(Table12[AVG COINS NEW],MATCH(Table6[[#This Row],[LEAGUE]],Table12[LEAGUE],0))) /$C$36,0)</f>
        <v>12325</v>
      </c>
      <c r="AI26" s="318">
        <f>ROUND((INDEX(Table12[AVG GEMS NEW],MATCH(Table6[[#This Row],[LEAGUE]],Table12[LEAGUE],0))) / $C$36,2)</f>
        <v>0.4</v>
      </c>
      <c r="AJ26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99540</v>
      </c>
      <c r="AK26" s="352">
        <v>125000</v>
      </c>
      <c r="AL26" s="353">
        <v>1</v>
      </c>
    </row>
    <row r="27" spans="2:38" x14ac:dyDescent="0.25">
      <c r="B27" s="282">
        <v>4</v>
      </c>
      <c r="C27" s="303" t="s">
        <v>425</v>
      </c>
      <c r="D27" s="323">
        <v>2</v>
      </c>
      <c r="E27" s="331">
        <v>2</v>
      </c>
      <c r="G27" s="356" t="s">
        <v>407</v>
      </c>
      <c r="H27" s="360">
        <f>Table6[[#This Row],[TOTAL COINS]] +Table6[[#This Row],[COINS IN RUNS PER DAY]]</f>
        <v>138575</v>
      </c>
      <c r="I27" s="350">
        <f>Table6[[#This Row],[TOTAL COINS NEW]] + Table6[[#This Row],[COINS IN RUNS PER DAY]]</f>
        <v>138575</v>
      </c>
      <c r="J27" s="348">
        <f>Table6[[#This Row],[CHESTS COINS]] + Table6[[#This Row],[DAILY COINS]]+Table6[[#This Row],[LEAGUES COINS]]+Table6[[#This Row],[MISSIONS COINS]]</f>
        <v>138575</v>
      </c>
      <c r="K27" s="342">
        <f>Table6[[#This Row],[CHESTS GEMS]]+Table6[[#This Row],[DAILY GEMS]]+Table6[[#This Row],[LEAGUES GEMS]]</f>
        <v>3.96</v>
      </c>
      <c r="L27" s="360">
        <f>Table6[[#This Row],[CHESTS COINS NEW]] +Table6[[#This Row],[DAILY COINS NEW]] +Table6[[#This Row],[LEAGUES COINS NEW]] +Table6[[#This Row],[MISSIONS COINS NEW]]</f>
        <v>138575</v>
      </c>
      <c r="M27" s="350">
        <f>Table6[[#This Row],[CHESTS GEMS NEW]] +Table6[[#This Row],[DAILY GEMS NEW]] +Table6[[#This Row],[LEAGUES GEMS NEW]]</f>
        <v>4.3</v>
      </c>
      <c r="N27" s="355">
        <f>Table6[[#This Row],[COINS PER RUN]] *Table6[[#This Row],[RUNS PER DAY]]</f>
        <v>0</v>
      </c>
      <c r="O27" s="341">
        <v>75</v>
      </c>
      <c r="P27" s="341">
        <v>40</v>
      </c>
      <c r="Q27" s="292">
        <v>75</v>
      </c>
      <c r="R27" s="339">
        <v>40</v>
      </c>
      <c r="S27" s="345">
        <v>10</v>
      </c>
      <c r="T27" s="365">
        <v>1</v>
      </c>
      <c r="U27" s="353">
        <v>1</v>
      </c>
      <c r="V27" s="364">
        <v>1</v>
      </c>
      <c r="W27" s="316">
        <f>Table6[[#This Row],[CHEST REW. MOD.]]*($D$14+$D$15+$D$16)</f>
        <v>33750</v>
      </c>
      <c r="X27" s="312">
        <f t="shared" si="0"/>
        <v>3</v>
      </c>
      <c r="Y27" s="312">
        <f>ROUND((Table6[[#This Row],[DAILY REW. MOD.]]*($D$24+$D$26+$D$28))/7,0)</f>
        <v>10000</v>
      </c>
      <c r="Z27" s="312">
        <f t="shared" si="1"/>
        <v>0.9</v>
      </c>
      <c r="AA27" s="317">
        <f>ROUND((INDEX(Table12[AVG COINS],MATCH(Table6[[#This Row],[LEAGUE]],Table12[LEAGUE],0))) /$C$36,0)</f>
        <v>12325</v>
      </c>
      <c r="AB27" s="317">
        <f>ROUND((INDEX(Table12[AVG GEMS],MATCH(Table6[[#This Row],[LEAGUE]],Table12[LEAGUE],0))) /$C$35,2)</f>
        <v>0.06</v>
      </c>
      <c r="AC27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82500</v>
      </c>
      <c r="AD27" s="318">
        <f>Table6[[#This Row],[CHEST REW. MOD. NEW]]*($D$14+$D$15+$D$16)</f>
        <v>33750</v>
      </c>
      <c r="AE27" s="318">
        <f t="shared" si="2"/>
        <v>3</v>
      </c>
      <c r="AF27" s="318">
        <f>ROUND((Table6[[#This Row],[DAILY REW. MOD. NEW]]*($E$24+$E$26+$E$28))/7,0)</f>
        <v>10000</v>
      </c>
      <c r="AG27" s="318">
        <f t="shared" si="3"/>
        <v>0.9</v>
      </c>
      <c r="AH27" s="318">
        <f>ROUND((INDEX(Table12[AVG COINS NEW],MATCH(Table6[[#This Row],[LEAGUE]],Table12[LEAGUE],0))) /$C$36,0)</f>
        <v>12325</v>
      </c>
      <c r="AI27" s="318">
        <f>ROUND((INDEX(Table12[AVG GEMS NEW],MATCH(Table6[[#This Row],[LEAGUE]],Table12[LEAGUE],0))) / $C$36,2)</f>
        <v>0.4</v>
      </c>
      <c r="AJ27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27" s="352">
        <v>1</v>
      </c>
      <c r="AL27" s="353">
        <v>0</v>
      </c>
    </row>
    <row r="28" spans="2:38" x14ac:dyDescent="0.25">
      <c r="B28" s="282">
        <v>5</v>
      </c>
      <c r="C28" s="303" t="s">
        <v>424</v>
      </c>
      <c r="D28" s="323">
        <v>1000</v>
      </c>
      <c r="E28" s="331">
        <v>1000</v>
      </c>
      <c r="G28" s="356" t="s">
        <v>408</v>
      </c>
      <c r="H28" s="360">
        <f>Table6[[#This Row],[TOTAL COINS]] +Table6[[#This Row],[COINS IN RUNS PER DAY]]</f>
        <v>138575</v>
      </c>
      <c r="I28" s="350">
        <f>Table6[[#This Row],[TOTAL COINS NEW]] + Table6[[#This Row],[COINS IN RUNS PER DAY]]</f>
        <v>138575</v>
      </c>
      <c r="J28" s="348">
        <f>Table6[[#This Row],[CHESTS COINS]] + Table6[[#This Row],[DAILY COINS]]+Table6[[#This Row],[LEAGUES COINS]]+Table6[[#This Row],[MISSIONS COINS]]</f>
        <v>138575</v>
      </c>
      <c r="K28" s="342">
        <f>Table6[[#This Row],[CHESTS GEMS]]+Table6[[#This Row],[DAILY GEMS]]+Table6[[#This Row],[LEAGUES GEMS]]</f>
        <v>3.96</v>
      </c>
      <c r="L28" s="360">
        <f>Table6[[#This Row],[CHESTS COINS NEW]] +Table6[[#This Row],[DAILY COINS NEW]] +Table6[[#This Row],[LEAGUES COINS NEW]] +Table6[[#This Row],[MISSIONS COINS NEW]]</f>
        <v>138575</v>
      </c>
      <c r="M28" s="350">
        <f>Table6[[#This Row],[CHESTS GEMS NEW]] +Table6[[#This Row],[DAILY GEMS NEW]] +Table6[[#This Row],[LEAGUES GEMS NEW]]</f>
        <v>4.3</v>
      </c>
      <c r="N28" s="355">
        <f>Table6[[#This Row],[COINS PER RUN]] *Table6[[#This Row],[RUNS PER DAY]]</f>
        <v>0</v>
      </c>
      <c r="O28" s="341">
        <v>75</v>
      </c>
      <c r="P28" s="341">
        <v>40</v>
      </c>
      <c r="Q28" s="292">
        <v>75</v>
      </c>
      <c r="R28" s="339">
        <v>40</v>
      </c>
      <c r="S28" s="345">
        <v>10</v>
      </c>
      <c r="T28" s="365">
        <v>1</v>
      </c>
      <c r="U28" s="353">
        <v>1</v>
      </c>
      <c r="V28" s="364">
        <v>1</v>
      </c>
      <c r="W28" s="316">
        <f>Table6[[#This Row],[CHEST REW. MOD.]]*($D$14+$D$15+$D$16)</f>
        <v>33750</v>
      </c>
      <c r="X28" s="312">
        <f t="shared" si="0"/>
        <v>3</v>
      </c>
      <c r="Y28" s="312">
        <f>ROUND((Table6[[#This Row],[DAILY REW. MOD.]]*($D$24+$D$26+$D$28))/7,0)</f>
        <v>10000</v>
      </c>
      <c r="Z28" s="312">
        <f t="shared" si="1"/>
        <v>0.9</v>
      </c>
      <c r="AA28" s="317">
        <f>ROUND((INDEX(Table12[AVG COINS],MATCH(Table6[[#This Row],[LEAGUE]],Table12[LEAGUE],0))) /$C$36,0)</f>
        <v>12325</v>
      </c>
      <c r="AB28" s="317">
        <f>ROUND((INDEX(Table12[AVG GEMS],MATCH(Table6[[#This Row],[LEAGUE]],Table12[LEAGUE],0))) /$C$35,2)</f>
        <v>0.06</v>
      </c>
      <c r="AC28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82500</v>
      </c>
      <c r="AD28" s="318">
        <f>Table6[[#This Row],[CHEST REW. MOD. NEW]]*($D$14+$D$15+$D$16)</f>
        <v>33750</v>
      </c>
      <c r="AE28" s="318">
        <f t="shared" si="2"/>
        <v>3</v>
      </c>
      <c r="AF28" s="318">
        <f>ROUND((Table6[[#This Row],[DAILY REW. MOD. NEW]]*($E$24+$E$26+$E$28))/7,0)</f>
        <v>10000</v>
      </c>
      <c r="AG28" s="318">
        <f t="shared" si="3"/>
        <v>0.9</v>
      </c>
      <c r="AH28" s="318">
        <f>ROUND((INDEX(Table12[AVG COINS NEW],MATCH(Table6[[#This Row],[LEAGUE]],Table12[LEAGUE],0))) /$C$36,0)</f>
        <v>12325</v>
      </c>
      <c r="AI28" s="318">
        <f>ROUND((INDEX(Table12[AVG GEMS NEW],MATCH(Table6[[#This Row],[LEAGUE]],Table12[LEAGUE],0))) / $C$36,2)</f>
        <v>0.4</v>
      </c>
      <c r="AJ28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28" s="352">
        <v>1</v>
      </c>
      <c r="AL28" s="353">
        <v>0</v>
      </c>
    </row>
    <row r="29" spans="2:38" x14ac:dyDescent="0.25">
      <c r="B29" s="282">
        <v>6</v>
      </c>
      <c r="C29" s="303" t="s">
        <v>425</v>
      </c>
      <c r="D29" s="323">
        <v>3</v>
      </c>
      <c r="E29" s="331">
        <v>3</v>
      </c>
      <c r="G29" s="356" t="s">
        <v>409</v>
      </c>
      <c r="H29" s="360">
        <f>Table6[[#This Row],[TOTAL COINS]] +Table6[[#This Row],[COINS IN RUNS PER DAY]]</f>
        <v>138575</v>
      </c>
      <c r="I29" s="350">
        <f>Table6[[#This Row],[TOTAL COINS NEW]] + Table6[[#This Row],[COINS IN RUNS PER DAY]]</f>
        <v>138575</v>
      </c>
      <c r="J29" s="348">
        <f>Table6[[#This Row],[CHESTS COINS]] + Table6[[#This Row],[DAILY COINS]]+Table6[[#This Row],[LEAGUES COINS]]+Table6[[#This Row],[MISSIONS COINS]]</f>
        <v>138575</v>
      </c>
      <c r="K29" s="342">
        <f>Table6[[#This Row],[CHESTS GEMS]]+Table6[[#This Row],[DAILY GEMS]]+Table6[[#This Row],[LEAGUES GEMS]]</f>
        <v>3.96</v>
      </c>
      <c r="L29" s="360">
        <f>Table6[[#This Row],[CHESTS COINS NEW]] +Table6[[#This Row],[DAILY COINS NEW]] +Table6[[#This Row],[LEAGUES COINS NEW]] +Table6[[#This Row],[MISSIONS COINS NEW]]</f>
        <v>138575</v>
      </c>
      <c r="M29" s="350">
        <f>Table6[[#This Row],[CHESTS GEMS NEW]] +Table6[[#This Row],[DAILY GEMS NEW]] +Table6[[#This Row],[LEAGUES GEMS NEW]]</f>
        <v>4.3</v>
      </c>
      <c r="N29" s="355">
        <f>Table6[[#This Row],[COINS PER RUN]] *Table6[[#This Row],[RUNS PER DAY]]</f>
        <v>0</v>
      </c>
      <c r="O29" s="341">
        <v>75</v>
      </c>
      <c r="P29" s="341">
        <v>40</v>
      </c>
      <c r="Q29" s="292">
        <v>75</v>
      </c>
      <c r="R29" s="339">
        <v>40</v>
      </c>
      <c r="S29" s="345">
        <v>10</v>
      </c>
      <c r="T29" s="365">
        <v>1</v>
      </c>
      <c r="U29" s="353">
        <v>1</v>
      </c>
      <c r="V29" s="364">
        <v>1</v>
      </c>
      <c r="W29" s="316">
        <f>Table6[[#This Row],[CHEST REW. MOD.]]*($D$14+$D$15+$D$16)</f>
        <v>33750</v>
      </c>
      <c r="X29" s="312">
        <f t="shared" si="0"/>
        <v>3</v>
      </c>
      <c r="Y29" s="312">
        <f>ROUND((Table6[[#This Row],[DAILY REW. MOD.]]*($D$24+$D$26+$D$28))/7,0)</f>
        <v>10000</v>
      </c>
      <c r="Z29" s="312">
        <f t="shared" si="1"/>
        <v>0.9</v>
      </c>
      <c r="AA29" s="317">
        <f>ROUND((INDEX(Table12[AVG COINS],MATCH(Table6[[#This Row],[LEAGUE]],Table12[LEAGUE],0))) /$C$36,0)</f>
        <v>12325</v>
      </c>
      <c r="AB29" s="317">
        <f>ROUND((INDEX(Table12[AVG GEMS],MATCH(Table6[[#This Row],[LEAGUE]],Table12[LEAGUE],0))) /$C$35,2)</f>
        <v>0.06</v>
      </c>
      <c r="AC29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82500</v>
      </c>
      <c r="AD29" s="318">
        <f>Table6[[#This Row],[CHEST REW. MOD. NEW]]*($D$14+$D$15+$D$16)</f>
        <v>33750</v>
      </c>
      <c r="AE29" s="318">
        <f t="shared" si="2"/>
        <v>3</v>
      </c>
      <c r="AF29" s="318">
        <f>ROUND((Table6[[#This Row],[DAILY REW. MOD. NEW]]*($E$24+$E$26+$E$28))/7,0)</f>
        <v>10000</v>
      </c>
      <c r="AG29" s="318">
        <f t="shared" si="3"/>
        <v>0.9</v>
      </c>
      <c r="AH29" s="318">
        <f>ROUND((INDEX(Table12[AVG COINS NEW],MATCH(Table6[[#This Row],[LEAGUE]],Table12[LEAGUE],0))) /$C$36,0)</f>
        <v>12325</v>
      </c>
      <c r="AI29" s="318">
        <f>ROUND((INDEX(Table12[AVG GEMS NEW],MATCH(Table6[[#This Row],[LEAGUE]],Table12[LEAGUE],0))) / $C$36,2)</f>
        <v>0.4</v>
      </c>
      <c r="AJ29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29" s="352">
        <v>1</v>
      </c>
      <c r="AL29" s="353">
        <v>0</v>
      </c>
    </row>
    <row r="30" spans="2:38" x14ac:dyDescent="0.25">
      <c r="B30" s="282">
        <v>7</v>
      </c>
      <c r="C30" s="303" t="s">
        <v>426</v>
      </c>
      <c r="D30" s="323">
        <v>1</v>
      </c>
      <c r="E30" s="331">
        <v>1</v>
      </c>
      <c r="G30" s="356" t="s">
        <v>410</v>
      </c>
      <c r="H30" s="360">
        <f>Table6[[#This Row],[TOTAL COINS]] +Table6[[#This Row],[COINS IN RUNS PER DAY]]</f>
        <v>138575</v>
      </c>
      <c r="I30" s="350">
        <f>Table6[[#This Row],[TOTAL COINS NEW]] + Table6[[#This Row],[COINS IN RUNS PER DAY]]</f>
        <v>138575</v>
      </c>
      <c r="J30" s="348">
        <f>Table6[[#This Row],[CHESTS COINS]] + Table6[[#This Row],[DAILY COINS]]+Table6[[#This Row],[LEAGUES COINS]]+Table6[[#This Row],[MISSIONS COINS]]</f>
        <v>138575</v>
      </c>
      <c r="K30" s="342">
        <f>Table6[[#This Row],[CHESTS GEMS]]+Table6[[#This Row],[DAILY GEMS]]+Table6[[#This Row],[LEAGUES GEMS]]</f>
        <v>3.96</v>
      </c>
      <c r="L30" s="360">
        <f>Table6[[#This Row],[CHESTS COINS NEW]] +Table6[[#This Row],[DAILY COINS NEW]] +Table6[[#This Row],[LEAGUES COINS NEW]] +Table6[[#This Row],[MISSIONS COINS NEW]]</f>
        <v>138575</v>
      </c>
      <c r="M30" s="350">
        <f>Table6[[#This Row],[CHESTS GEMS NEW]] +Table6[[#This Row],[DAILY GEMS NEW]] +Table6[[#This Row],[LEAGUES GEMS NEW]]</f>
        <v>4.3</v>
      </c>
      <c r="N30" s="355">
        <f>Table6[[#This Row],[COINS PER RUN]] *Table6[[#This Row],[RUNS PER DAY]]</f>
        <v>0</v>
      </c>
      <c r="O30" s="341">
        <v>75</v>
      </c>
      <c r="P30" s="341">
        <v>40</v>
      </c>
      <c r="Q30" s="292">
        <v>75</v>
      </c>
      <c r="R30" s="339">
        <v>40</v>
      </c>
      <c r="S30" s="345">
        <v>10</v>
      </c>
      <c r="T30" s="365">
        <v>1</v>
      </c>
      <c r="U30" s="353">
        <v>1</v>
      </c>
      <c r="V30" s="364">
        <v>1</v>
      </c>
      <c r="W30" s="316">
        <f>Table6[[#This Row],[CHEST REW. MOD.]]*($D$14+$D$15+$D$16)</f>
        <v>33750</v>
      </c>
      <c r="X30" s="312">
        <f t="shared" si="0"/>
        <v>3</v>
      </c>
      <c r="Y30" s="312">
        <f>ROUND((Table6[[#This Row],[DAILY REW. MOD.]]*($D$24+$D$26+$D$28))/7,0)</f>
        <v>10000</v>
      </c>
      <c r="Z30" s="312">
        <f t="shared" si="1"/>
        <v>0.9</v>
      </c>
      <c r="AA30" s="317">
        <f>ROUND((INDEX(Table12[AVG COINS],MATCH(Table6[[#This Row],[LEAGUE]],Table12[LEAGUE],0))) /$C$36,0)</f>
        <v>12325</v>
      </c>
      <c r="AB30" s="317">
        <f>ROUND((INDEX(Table12[AVG GEMS],MATCH(Table6[[#This Row],[LEAGUE]],Table12[LEAGUE],0))) /$C$35,2)</f>
        <v>0.06</v>
      </c>
      <c r="AC30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82500</v>
      </c>
      <c r="AD30" s="318">
        <f>Table6[[#This Row],[CHEST REW. MOD. NEW]]*($D$14+$D$15+$D$16)</f>
        <v>33750</v>
      </c>
      <c r="AE30" s="318">
        <f t="shared" si="2"/>
        <v>3</v>
      </c>
      <c r="AF30" s="318">
        <f>ROUND((Table6[[#This Row],[DAILY REW. MOD. NEW]]*($E$24+$E$26+$E$28))/7,0)</f>
        <v>10000</v>
      </c>
      <c r="AG30" s="318">
        <f t="shared" si="3"/>
        <v>0.9</v>
      </c>
      <c r="AH30" s="318">
        <f>ROUND((INDEX(Table12[AVG COINS NEW],MATCH(Table6[[#This Row],[LEAGUE]],Table12[LEAGUE],0))) /$C$36,0)</f>
        <v>12325</v>
      </c>
      <c r="AI30" s="318">
        <f>ROUND((INDEX(Table12[AVG GEMS NEW],MATCH(Table6[[#This Row],[LEAGUE]],Table12[LEAGUE],0))) / $C$36,2)</f>
        <v>0.4</v>
      </c>
      <c r="AJ30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30" s="352">
        <v>1</v>
      </c>
      <c r="AL30" s="353">
        <v>0</v>
      </c>
    </row>
    <row r="31" spans="2:38" x14ac:dyDescent="0.25">
      <c r="B31" s="282">
        <v>14</v>
      </c>
      <c r="C31" s="305" t="s">
        <v>427</v>
      </c>
      <c r="D31" s="328">
        <v>1</v>
      </c>
      <c r="E31" s="331">
        <v>1</v>
      </c>
      <c r="G31" s="356" t="s">
        <v>411</v>
      </c>
      <c r="H31" s="360">
        <f>Table6[[#This Row],[TOTAL COINS]] +Table6[[#This Row],[COINS IN RUNS PER DAY]]</f>
        <v>138575</v>
      </c>
      <c r="I31" s="350">
        <f>Table6[[#This Row],[TOTAL COINS NEW]] + Table6[[#This Row],[COINS IN RUNS PER DAY]]</f>
        <v>138575</v>
      </c>
      <c r="J31" s="348">
        <f>Table6[[#This Row],[CHESTS COINS]] + Table6[[#This Row],[DAILY COINS]]+Table6[[#This Row],[LEAGUES COINS]]+Table6[[#This Row],[MISSIONS COINS]]</f>
        <v>138575</v>
      </c>
      <c r="K31" s="342">
        <f>Table6[[#This Row],[CHESTS GEMS]]+Table6[[#This Row],[DAILY GEMS]]+Table6[[#This Row],[LEAGUES GEMS]]</f>
        <v>3.96</v>
      </c>
      <c r="L31" s="360">
        <f>Table6[[#This Row],[CHESTS COINS NEW]] +Table6[[#This Row],[DAILY COINS NEW]] +Table6[[#This Row],[LEAGUES COINS NEW]] +Table6[[#This Row],[MISSIONS COINS NEW]]</f>
        <v>138575</v>
      </c>
      <c r="M31" s="350">
        <f>Table6[[#This Row],[CHESTS GEMS NEW]] +Table6[[#This Row],[DAILY GEMS NEW]] +Table6[[#This Row],[LEAGUES GEMS NEW]]</f>
        <v>4.3</v>
      </c>
      <c r="N31" s="355">
        <f>Table6[[#This Row],[COINS PER RUN]] *Table6[[#This Row],[RUNS PER DAY]]</f>
        <v>0</v>
      </c>
      <c r="O31" s="341">
        <v>75</v>
      </c>
      <c r="P31" s="341">
        <v>40</v>
      </c>
      <c r="Q31" s="292">
        <v>75</v>
      </c>
      <c r="R31" s="339">
        <v>40</v>
      </c>
      <c r="S31" s="345">
        <v>10</v>
      </c>
      <c r="T31" s="365">
        <v>1</v>
      </c>
      <c r="U31" s="353">
        <v>1</v>
      </c>
      <c r="V31" s="364">
        <v>1</v>
      </c>
      <c r="W31" s="316">
        <f>Table6[[#This Row],[CHEST REW. MOD.]]*($D$14+$D$15+$D$16)</f>
        <v>33750</v>
      </c>
      <c r="X31" s="312">
        <f t="shared" si="0"/>
        <v>3</v>
      </c>
      <c r="Y31" s="312">
        <f>ROUND((Table6[[#This Row],[DAILY REW. MOD.]]*($D$24+$D$26+$D$28))/7,0)</f>
        <v>10000</v>
      </c>
      <c r="Z31" s="312">
        <f t="shared" si="1"/>
        <v>0.9</v>
      </c>
      <c r="AA31" s="317">
        <f>ROUND((INDEX(Table12[AVG COINS],MATCH(Table6[[#This Row],[LEAGUE]],Table12[LEAGUE],0))) /$C$36,0)</f>
        <v>12325</v>
      </c>
      <c r="AB31" s="317">
        <f>ROUND((INDEX(Table12[AVG GEMS],MATCH(Table6[[#This Row],[LEAGUE]],Table12[LEAGUE],0))) /$C$35,2)</f>
        <v>0.06</v>
      </c>
      <c r="AC31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82500</v>
      </c>
      <c r="AD31" s="318">
        <f>Table6[[#This Row],[CHEST REW. MOD. NEW]]*($D$14+$D$15+$D$16)</f>
        <v>33750</v>
      </c>
      <c r="AE31" s="318">
        <f t="shared" si="2"/>
        <v>3</v>
      </c>
      <c r="AF31" s="318">
        <f>ROUND((Table6[[#This Row],[DAILY REW. MOD. NEW]]*($E$24+$E$26+$E$28))/7,0)</f>
        <v>10000</v>
      </c>
      <c r="AG31" s="318">
        <f t="shared" si="3"/>
        <v>0.9</v>
      </c>
      <c r="AH31" s="318">
        <f>ROUND((INDEX(Table12[AVG COINS NEW],MATCH(Table6[[#This Row],[LEAGUE]],Table12[LEAGUE],0))) /$C$36,0)</f>
        <v>12325</v>
      </c>
      <c r="AI31" s="318">
        <f>ROUND((INDEX(Table12[AVG GEMS NEW],MATCH(Table6[[#This Row],[LEAGUE]],Table12[LEAGUE],0))) / $C$36,2)</f>
        <v>0.4</v>
      </c>
      <c r="AJ31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31" s="352">
        <v>1</v>
      </c>
      <c r="AL31" s="353">
        <v>0</v>
      </c>
    </row>
    <row r="33" spans="2:23" x14ac:dyDescent="0.25">
      <c r="H33" t="s">
        <v>412</v>
      </c>
      <c r="W33" t="s">
        <v>326</v>
      </c>
    </row>
    <row r="34" spans="2:23" x14ac:dyDescent="0.25">
      <c r="B34" s="150" t="s">
        <v>439</v>
      </c>
    </row>
    <row r="35" spans="2:23" x14ac:dyDescent="0.25">
      <c r="B35" s="295" t="s">
        <v>416</v>
      </c>
      <c r="C35" s="283">
        <v>7</v>
      </c>
      <c r="D35" t="s">
        <v>433</v>
      </c>
    </row>
    <row r="36" spans="2:23" x14ac:dyDescent="0.25">
      <c r="B36" s="351" t="s">
        <v>483</v>
      </c>
      <c r="C36" s="283">
        <v>1</v>
      </c>
      <c r="D36" t="s">
        <v>433</v>
      </c>
    </row>
    <row r="38" spans="2:23" x14ac:dyDescent="0.25">
      <c r="B38" s="296" t="s">
        <v>434</v>
      </c>
      <c r="C38" s="297" t="s">
        <v>435</v>
      </c>
      <c r="D38" s="298" t="s">
        <v>436</v>
      </c>
      <c r="E38" s="333" t="s">
        <v>463</v>
      </c>
      <c r="F38" s="332" t="s">
        <v>464</v>
      </c>
    </row>
    <row r="39" spans="2:23" x14ac:dyDescent="0.25">
      <c r="B39" s="286">
        <v>1</v>
      </c>
      <c r="C39" s="311">
        <f>ROUND(SUM(F60:F64)/100,0)</f>
        <v>753</v>
      </c>
      <c r="D39" s="312">
        <v>0</v>
      </c>
      <c r="E39" s="311">
        <f>ROUND(SUM(J60:J64)/100,0)</f>
        <v>753</v>
      </c>
      <c r="F39" s="309">
        <v>0</v>
      </c>
    </row>
    <row r="40" spans="2:23" x14ac:dyDescent="0.25">
      <c r="B40" s="287">
        <v>2</v>
      </c>
      <c r="C40" s="311">
        <f>ROUND(SUM(F65:F69)/100,0)</f>
        <v>1260</v>
      </c>
      <c r="D40" s="312">
        <v>0</v>
      </c>
      <c r="E40" s="311">
        <f>ROUND(SUM(J65:J69)/100,0)</f>
        <v>1260</v>
      </c>
      <c r="F40" s="309">
        <v>0</v>
      </c>
    </row>
    <row r="41" spans="2:23" x14ac:dyDescent="0.25">
      <c r="B41" s="288">
        <v>3</v>
      </c>
      <c r="C41" s="311">
        <f>ROUND(SUM(F70:F73)/100,0)</f>
        <v>2985</v>
      </c>
      <c r="D41" s="312">
        <v>0</v>
      </c>
      <c r="E41" s="311">
        <f>ROUND(SUM(J70:J73)/100,0)</f>
        <v>2985</v>
      </c>
      <c r="F41" s="309">
        <v>0</v>
      </c>
    </row>
    <row r="42" spans="2:23" x14ac:dyDescent="0.25">
      <c r="B42" s="287">
        <v>4</v>
      </c>
      <c r="C42" s="311">
        <f>ROUND(SUM(F75:F78)/100,0)</f>
        <v>4470</v>
      </c>
      <c r="D42" s="312">
        <v>0</v>
      </c>
      <c r="E42" s="311">
        <f>ROUND(SUM(J75:J78)/100,0)</f>
        <v>4470</v>
      </c>
      <c r="F42" s="309">
        <v>0</v>
      </c>
    </row>
    <row r="43" spans="2:23" x14ac:dyDescent="0.25">
      <c r="B43" s="288">
        <v>5</v>
      </c>
      <c r="C43" s="311">
        <f>ROUND(SUM(F80:F83)/100,0)</f>
        <v>5955</v>
      </c>
      <c r="D43" s="312">
        <v>0</v>
      </c>
      <c r="E43" s="311">
        <f>ROUND(SUM(J80:J83)/100,0)</f>
        <v>5955</v>
      </c>
      <c r="F43" s="309">
        <v>0</v>
      </c>
    </row>
    <row r="44" spans="2:23" x14ac:dyDescent="0.25">
      <c r="B44" s="287">
        <v>6</v>
      </c>
      <c r="C44" s="311">
        <f>ROUND(SUM(F85:F88)/100,0)</f>
        <v>7440</v>
      </c>
      <c r="D44" s="312">
        <v>0</v>
      </c>
      <c r="E44" s="311">
        <f>ROUND(SUM(J85:J88)/100,0)</f>
        <v>7440</v>
      </c>
      <c r="F44" s="309">
        <v>0</v>
      </c>
    </row>
    <row r="45" spans="2:23" x14ac:dyDescent="0.25">
      <c r="B45" s="288">
        <v>7</v>
      </c>
      <c r="C45" s="311">
        <f>ROUND(SUM(F90:F93)/100,0)</f>
        <v>8925</v>
      </c>
      <c r="D45" s="312">
        <v>0</v>
      </c>
      <c r="E45" s="311">
        <f>ROUND(SUM(J90:J93)/100,0)</f>
        <v>8925</v>
      </c>
      <c r="F45" s="309">
        <v>0</v>
      </c>
    </row>
    <row r="46" spans="2:23" x14ac:dyDescent="0.25">
      <c r="B46" s="287">
        <v>8</v>
      </c>
      <c r="C46" s="311">
        <f>ROUND(SUM(F95:F97)/100,0)</f>
        <v>9950</v>
      </c>
      <c r="D46" s="312">
        <f>ROUND(F98/100,2)</f>
        <v>0.2</v>
      </c>
      <c r="E46" s="311">
        <f>ROUND(SUM(J95:J97)/100,0)</f>
        <v>9950</v>
      </c>
      <c r="F46" s="312">
        <f>ROUND(J98/100,2)</f>
        <v>0.2</v>
      </c>
    </row>
    <row r="47" spans="2:23" x14ac:dyDescent="0.25">
      <c r="B47" s="288">
        <v>9</v>
      </c>
      <c r="C47" s="311">
        <f>ROUND(SUM(F100:F102)/100,0)</f>
        <v>11375</v>
      </c>
      <c r="D47" s="312">
        <f>ROUND(F103/100,2)</f>
        <v>0.2</v>
      </c>
      <c r="E47" s="311">
        <f>ROUND(SUM(J100:J102)/100,0)</f>
        <v>11375</v>
      </c>
      <c r="F47" s="312">
        <f>ROUND(J103/100,2)</f>
        <v>0.2</v>
      </c>
    </row>
    <row r="48" spans="2:23" x14ac:dyDescent="0.25">
      <c r="B48" s="289">
        <v>10</v>
      </c>
      <c r="C48" s="311">
        <f>ROUND(SUM(F105:F107)/100,0)</f>
        <v>12325</v>
      </c>
      <c r="D48" s="312">
        <f>ROUND(F108/100,2)</f>
        <v>0.4</v>
      </c>
      <c r="E48" s="311">
        <f>ROUND(SUM(J105:J107)/100,0)</f>
        <v>12325</v>
      </c>
      <c r="F48" s="312">
        <f>ROUND(J108/100,2)</f>
        <v>0.4</v>
      </c>
    </row>
    <row r="58" spans="2:10" x14ac:dyDescent="0.25">
      <c r="B58" s="376" t="s">
        <v>444</v>
      </c>
      <c r="C58" s="376"/>
      <c r="D58" s="376"/>
      <c r="E58" s="376"/>
      <c r="F58" s="376"/>
    </row>
    <row r="59" spans="2:10" x14ac:dyDescent="0.25">
      <c r="B59" s="299" t="s">
        <v>434</v>
      </c>
      <c r="C59" s="299" t="s">
        <v>419</v>
      </c>
      <c r="D59" s="299" t="s">
        <v>420</v>
      </c>
      <c r="E59" s="299" t="s">
        <v>437</v>
      </c>
      <c r="F59" s="300" t="s">
        <v>438</v>
      </c>
      <c r="G59" s="300" t="s">
        <v>482</v>
      </c>
      <c r="H59" s="299" t="s">
        <v>461</v>
      </c>
      <c r="I59" s="299" t="s">
        <v>465</v>
      </c>
      <c r="J59" s="299" t="s">
        <v>466</v>
      </c>
    </row>
    <row r="60" spans="2:10" x14ac:dyDescent="0.25">
      <c r="B60" s="306">
        <v>1</v>
      </c>
      <c r="C60" s="306" t="s">
        <v>424</v>
      </c>
      <c r="D60" s="306">
        <v>400</v>
      </c>
      <c r="E60" s="306">
        <v>100</v>
      </c>
      <c r="F60" s="335">
        <f>Table13[[#This Row],[AMOUNT]]*(Table13[[#This Row],[TARGET]]-E61)</f>
        <v>12000</v>
      </c>
      <c r="G60" s="306" t="s">
        <v>424</v>
      </c>
      <c r="H60" s="336">
        <v>400</v>
      </c>
      <c r="I60" s="336">
        <v>100</v>
      </c>
      <c r="J60" s="335">
        <f>Table13[[#This Row],[AMOUNT NEW]]*(Table13[[#This Row],[TARGET NEW]]-I61)</f>
        <v>12000</v>
      </c>
    </row>
    <row r="61" spans="2:10" x14ac:dyDescent="0.25">
      <c r="B61" s="307">
        <v>1</v>
      </c>
      <c r="C61" s="307" t="s">
        <v>424</v>
      </c>
      <c r="D61" s="307">
        <v>800</v>
      </c>
      <c r="E61" s="307">
        <v>70</v>
      </c>
      <c r="F61" s="335">
        <f>Table13[[#This Row],[AMOUNT]]*(Table13[[#This Row],[TARGET]]-E62)</f>
        <v>32000</v>
      </c>
      <c r="G61" s="307" t="s">
        <v>424</v>
      </c>
      <c r="H61" s="337">
        <v>800</v>
      </c>
      <c r="I61" s="337">
        <v>70</v>
      </c>
      <c r="J61" s="335">
        <f>Table13[[#This Row],[AMOUNT NEW]]*(Table13[[#This Row],[TARGET NEW]]-I62)</f>
        <v>32000</v>
      </c>
    </row>
    <row r="62" spans="2:10" x14ac:dyDescent="0.25">
      <c r="B62" s="307">
        <v>1</v>
      </c>
      <c r="C62" s="307" t="s">
        <v>424</v>
      </c>
      <c r="D62" s="307">
        <v>1000</v>
      </c>
      <c r="E62" s="307">
        <v>30</v>
      </c>
      <c r="F62" s="335">
        <f>Table13[[#This Row],[AMOUNT]]*(Table13[[#This Row],[TARGET]]-E63)</f>
        <v>25000</v>
      </c>
      <c r="G62" s="307" t="s">
        <v>424</v>
      </c>
      <c r="H62" s="337">
        <v>1000</v>
      </c>
      <c r="I62" s="337">
        <v>30</v>
      </c>
      <c r="J62" s="335">
        <f>Table13[[#This Row],[AMOUNT NEW]]*(Table13[[#This Row],[TARGET NEW]]-I63)</f>
        <v>25000</v>
      </c>
    </row>
    <row r="63" spans="2:10" x14ac:dyDescent="0.25">
      <c r="B63" s="307">
        <v>1</v>
      </c>
      <c r="C63" s="307" t="s">
        <v>424</v>
      </c>
      <c r="D63" s="307">
        <v>1200</v>
      </c>
      <c r="E63" s="307">
        <v>5</v>
      </c>
      <c r="F63" s="335">
        <f>Table13[[#This Row],[AMOUNT]]*(Table13[[#This Row],[TARGET]]-E64)</f>
        <v>4800</v>
      </c>
      <c r="G63" s="307" t="s">
        <v>424</v>
      </c>
      <c r="H63" s="337">
        <v>1200</v>
      </c>
      <c r="I63" s="337">
        <v>5</v>
      </c>
      <c r="J63" s="335">
        <f>Table13[[#This Row],[AMOUNT NEW]]*(Table13[[#This Row],[TARGET NEW]]-I64)</f>
        <v>4800</v>
      </c>
    </row>
    <row r="64" spans="2:10" x14ac:dyDescent="0.25">
      <c r="B64" s="307">
        <v>1</v>
      </c>
      <c r="C64" s="307" t="s">
        <v>424</v>
      </c>
      <c r="D64" s="307">
        <v>1500</v>
      </c>
      <c r="E64" s="307">
        <v>1</v>
      </c>
      <c r="F64" s="335">
        <f>Table13[[#This Row],[AMOUNT]]</f>
        <v>1500</v>
      </c>
      <c r="G64" s="307" t="s">
        <v>424</v>
      </c>
      <c r="H64" s="337">
        <v>1500</v>
      </c>
      <c r="I64" s="337">
        <v>1</v>
      </c>
      <c r="J64" s="335">
        <f>Table13[[#This Row],[AMOUNT NEW]]</f>
        <v>1500</v>
      </c>
    </row>
    <row r="65" spans="2:10" x14ac:dyDescent="0.25">
      <c r="B65" s="307">
        <v>2</v>
      </c>
      <c r="C65" s="307" t="s">
        <v>424</v>
      </c>
      <c r="D65" s="307">
        <v>1000</v>
      </c>
      <c r="E65" s="307">
        <v>100</v>
      </c>
      <c r="F65" s="335">
        <f>Table13[[#This Row],[AMOUNT]]*(Table13[[#This Row],[TARGET]]-E66)</f>
        <v>30000</v>
      </c>
      <c r="G65" s="307" t="s">
        <v>424</v>
      </c>
      <c r="H65" s="337">
        <v>1000</v>
      </c>
      <c r="I65" s="337">
        <v>100</v>
      </c>
      <c r="J65" s="335">
        <f>Table13[[#This Row],[AMOUNT NEW]]*(Table13[[#This Row],[TARGET NEW]]-I66)</f>
        <v>30000</v>
      </c>
    </row>
    <row r="66" spans="2:10" x14ac:dyDescent="0.25">
      <c r="B66" s="307">
        <v>2</v>
      </c>
      <c r="C66" s="307" t="s">
        <v>424</v>
      </c>
      <c r="D66" s="307">
        <v>1200</v>
      </c>
      <c r="E66" s="307">
        <v>70</v>
      </c>
      <c r="F66" s="335">
        <f>Table13[[#This Row],[AMOUNT]]*(Table13[[#This Row],[TARGET]]-E67)</f>
        <v>48000</v>
      </c>
      <c r="G66" s="307" t="s">
        <v>424</v>
      </c>
      <c r="H66" s="337">
        <v>1200</v>
      </c>
      <c r="I66" s="337">
        <v>70</v>
      </c>
      <c r="J66" s="335">
        <f>Table13[[#This Row],[AMOUNT NEW]]*(Table13[[#This Row],[TARGET NEW]]-I67)</f>
        <v>48000</v>
      </c>
    </row>
    <row r="67" spans="2:10" x14ac:dyDescent="0.25">
      <c r="B67" s="307">
        <v>2</v>
      </c>
      <c r="C67" s="307" t="s">
        <v>424</v>
      </c>
      <c r="D67" s="307">
        <v>1500</v>
      </c>
      <c r="E67" s="307">
        <v>30</v>
      </c>
      <c r="F67" s="335">
        <f>Table13[[#This Row],[AMOUNT]]*(Table13[[#This Row],[TARGET]]-E68)</f>
        <v>37500</v>
      </c>
      <c r="G67" s="307" t="s">
        <v>424</v>
      </c>
      <c r="H67" s="337">
        <v>1500</v>
      </c>
      <c r="I67" s="337">
        <v>30</v>
      </c>
      <c r="J67" s="335">
        <f>Table13[[#This Row],[AMOUNT NEW]]*(Table13[[#This Row],[TARGET NEW]]-I68)</f>
        <v>37500</v>
      </c>
    </row>
    <row r="68" spans="2:10" x14ac:dyDescent="0.25">
      <c r="B68" s="307">
        <v>2</v>
      </c>
      <c r="C68" s="307" t="s">
        <v>424</v>
      </c>
      <c r="D68" s="307">
        <v>2000</v>
      </c>
      <c r="E68" s="307">
        <v>5</v>
      </c>
      <c r="F68" s="335">
        <f>Table13[[#This Row],[AMOUNT]]*(Table13[[#This Row],[TARGET]]-E69)</f>
        <v>8000</v>
      </c>
      <c r="G68" s="307" t="s">
        <v>424</v>
      </c>
      <c r="H68" s="337">
        <v>2000</v>
      </c>
      <c r="I68" s="337">
        <v>5</v>
      </c>
      <c r="J68" s="335">
        <f>Table13[[#This Row],[AMOUNT NEW]]*(Table13[[#This Row],[TARGET NEW]]-I69)</f>
        <v>8000</v>
      </c>
    </row>
    <row r="69" spans="2:10" x14ac:dyDescent="0.25">
      <c r="B69" s="307">
        <v>2</v>
      </c>
      <c r="C69" s="307" t="s">
        <v>424</v>
      </c>
      <c r="D69" s="307">
        <v>2500</v>
      </c>
      <c r="E69" s="307">
        <v>1</v>
      </c>
      <c r="F69" s="335">
        <f>Table13[[#This Row],[AMOUNT]]</f>
        <v>2500</v>
      </c>
      <c r="G69" s="307" t="s">
        <v>424</v>
      </c>
      <c r="H69" s="337">
        <v>2500</v>
      </c>
      <c r="I69" s="337">
        <v>1</v>
      </c>
      <c r="J69" s="335">
        <f>Table13[[#This Row],[AMOUNT NEW]]</f>
        <v>2500</v>
      </c>
    </row>
    <row r="70" spans="2:10" x14ac:dyDescent="0.25">
      <c r="B70" s="307">
        <v>3</v>
      </c>
      <c r="C70" s="307" t="s">
        <v>424</v>
      </c>
      <c r="D70" s="307">
        <v>2500</v>
      </c>
      <c r="E70" s="307">
        <v>100</v>
      </c>
      <c r="F70" s="335">
        <f>Table13[[#This Row],[AMOUNT]]*(Table13[[#This Row],[TARGET]]-E71)</f>
        <v>75000</v>
      </c>
      <c r="G70" s="307" t="s">
        <v>424</v>
      </c>
      <c r="H70" s="337">
        <v>2500</v>
      </c>
      <c r="I70" s="337">
        <v>100</v>
      </c>
      <c r="J70" s="335">
        <f>Table13[[#This Row],[AMOUNT NEW]]*(Table13[[#This Row],[TARGET NEW]]-I71)</f>
        <v>75000</v>
      </c>
    </row>
    <row r="71" spans="2:10" x14ac:dyDescent="0.25">
      <c r="B71" s="307">
        <v>3</v>
      </c>
      <c r="C71" s="307" t="s">
        <v>424</v>
      </c>
      <c r="D71" s="307">
        <v>3000</v>
      </c>
      <c r="E71" s="307">
        <v>70</v>
      </c>
      <c r="F71" s="335">
        <f>Table13[[#This Row],[AMOUNT]]*(Table13[[#This Row],[TARGET]]-E72)</f>
        <v>120000</v>
      </c>
      <c r="G71" s="307" t="s">
        <v>424</v>
      </c>
      <c r="H71" s="337">
        <v>3000</v>
      </c>
      <c r="I71" s="337">
        <v>70</v>
      </c>
      <c r="J71" s="335">
        <f>Table13[[#This Row],[AMOUNT NEW]]*(Table13[[#This Row],[TARGET NEW]]-I72)</f>
        <v>120000</v>
      </c>
    </row>
    <row r="72" spans="2:10" x14ac:dyDescent="0.25">
      <c r="B72" s="307">
        <v>3</v>
      </c>
      <c r="C72" s="307" t="s">
        <v>424</v>
      </c>
      <c r="D72" s="307">
        <v>3500</v>
      </c>
      <c r="E72" s="307">
        <v>30</v>
      </c>
      <c r="F72" s="335">
        <f>Table13[[#This Row],[AMOUNT]]*(Table13[[#This Row],[TARGET]]-E73)</f>
        <v>87500</v>
      </c>
      <c r="G72" s="307" t="s">
        <v>424</v>
      </c>
      <c r="H72" s="337">
        <v>3500</v>
      </c>
      <c r="I72" s="337">
        <v>30</v>
      </c>
      <c r="J72" s="335">
        <f>Table13[[#This Row],[AMOUNT NEW]]*(Table13[[#This Row],[TARGET NEW]]-I73)</f>
        <v>87500</v>
      </c>
    </row>
    <row r="73" spans="2:10" x14ac:dyDescent="0.25">
      <c r="B73" s="307">
        <v>3</v>
      </c>
      <c r="C73" s="307" t="s">
        <v>424</v>
      </c>
      <c r="D73" s="307">
        <v>4000</v>
      </c>
      <c r="E73" s="307">
        <v>5</v>
      </c>
      <c r="F73" s="335">
        <f>Table13[[#This Row],[AMOUNT]]*(Table13[[#This Row],[TARGET]]-E74)</f>
        <v>16000</v>
      </c>
      <c r="G73" s="307" t="s">
        <v>424</v>
      </c>
      <c r="H73" s="337">
        <v>4000</v>
      </c>
      <c r="I73" s="337">
        <v>5</v>
      </c>
      <c r="J73" s="335">
        <f>Table13[[#This Row],[AMOUNT NEW]]*(Table13[[#This Row],[TARGET NEW]]-I74)</f>
        <v>16000</v>
      </c>
    </row>
    <row r="74" spans="2:10" x14ac:dyDescent="0.25">
      <c r="B74" s="307">
        <v>3</v>
      </c>
      <c r="C74" s="307" t="s">
        <v>427</v>
      </c>
      <c r="D74" s="307" t="s">
        <v>229</v>
      </c>
      <c r="E74" s="307">
        <v>1</v>
      </c>
      <c r="F74" s="335">
        <v>0</v>
      </c>
      <c r="G74" s="307" t="s">
        <v>427</v>
      </c>
      <c r="H74" s="337" t="s">
        <v>229</v>
      </c>
      <c r="I74" s="337">
        <v>1</v>
      </c>
      <c r="J74" s="335"/>
    </row>
    <row r="75" spans="2:10" x14ac:dyDescent="0.25">
      <c r="B75" s="307">
        <v>4</v>
      </c>
      <c r="C75" s="307" t="s">
        <v>424</v>
      </c>
      <c r="D75" s="307">
        <v>4000</v>
      </c>
      <c r="E75" s="307">
        <v>100</v>
      </c>
      <c r="F75" s="335">
        <f>Table13[[#This Row],[AMOUNT]]*(Table13[[#This Row],[TARGET]]-E76)</f>
        <v>120000</v>
      </c>
      <c r="G75" s="307" t="s">
        <v>424</v>
      </c>
      <c r="H75" s="337">
        <v>4000</v>
      </c>
      <c r="I75" s="337">
        <v>100</v>
      </c>
      <c r="J75" s="335">
        <f>Table13[[#This Row],[AMOUNT NEW]]*(Table13[[#This Row],[TARGET NEW]]-I76)</f>
        <v>120000</v>
      </c>
    </row>
    <row r="76" spans="2:10" x14ac:dyDescent="0.25">
      <c r="B76" s="307">
        <v>4</v>
      </c>
      <c r="C76" s="307" t="s">
        <v>424</v>
      </c>
      <c r="D76" s="307">
        <v>4500</v>
      </c>
      <c r="E76" s="307">
        <v>70</v>
      </c>
      <c r="F76" s="335">
        <f>Table13[[#This Row],[AMOUNT]]*(Table13[[#This Row],[TARGET]]-E77)</f>
        <v>180000</v>
      </c>
      <c r="G76" s="307" t="s">
        <v>424</v>
      </c>
      <c r="H76" s="337">
        <v>4500</v>
      </c>
      <c r="I76" s="337">
        <v>70</v>
      </c>
      <c r="J76" s="335">
        <f>Table13[[#This Row],[AMOUNT NEW]]*(Table13[[#This Row],[TARGET NEW]]-I77)</f>
        <v>180000</v>
      </c>
    </row>
    <row r="77" spans="2:10" x14ac:dyDescent="0.25">
      <c r="B77" s="307">
        <v>4</v>
      </c>
      <c r="C77" s="307" t="s">
        <v>424</v>
      </c>
      <c r="D77" s="307">
        <v>5000</v>
      </c>
      <c r="E77" s="307">
        <v>30</v>
      </c>
      <c r="F77" s="335">
        <f>Table13[[#This Row],[AMOUNT]]*(Table13[[#This Row],[TARGET]]-E78)</f>
        <v>125000</v>
      </c>
      <c r="G77" s="307" t="s">
        <v>424</v>
      </c>
      <c r="H77" s="337">
        <v>5000</v>
      </c>
      <c r="I77" s="337">
        <v>30</v>
      </c>
      <c r="J77" s="335">
        <f>Table13[[#This Row],[AMOUNT NEW]]*(Table13[[#This Row],[TARGET NEW]]-I78)</f>
        <v>125000</v>
      </c>
    </row>
    <row r="78" spans="2:10" x14ac:dyDescent="0.25">
      <c r="B78" s="307">
        <v>4</v>
      </c>
      <c r="C78" s="307" t="s">
        <v>424</v>
      </c>
      <c r="D78" s="307">
        <v>5500</v>
      </c>
      <c r="E78" s="307">
        <v>5</v>
      </c>
      <c r="F78" s="335">
        <f>Table13[[#This Row],[AMOUNT]]*(Table13[[#This Row],[TARGET]]-E79)</f>
        <v>22000</v>
      </c>
      <c r="G78" s="307" t="s">
        <v>424</v>
      </c>
      <c r="H78" s="337">
        <v>5500</v>
      </c>
      <c r="I78" s="337">
        <v>5</v>
      </c>
      <c r="J78" s="335">
        <f>Table13[[#This Row],[AMOUNT NEW]]*(Table13[[#This Row],[TARGET NEW]]-I79)</f>
        <v>22000</v>
      </c>
    </row>
    <row r="79" spans="2:10" x14ac:dyDescent="0.25">
      <c r="B79" s="307">
        <v>4</v>
      </c>
      <c r="C79" s="307" t="s">
        <v>427</v>
      </c>
      <c r="D79" s="307" t="s">
        <v>229</v>
      </c>
      <c r="E79" s="307">
        <v>1</v>
      </c>
      <c r="F79" s="335">
        <v>0</v>
      </c>
      <c r="G79" s="307" t="s">
        <v>427</v>
      </c>
      <c r="H79" s="337" t="s">
        <v>229</v>
      </c>
      <c r="I79" s="337">
        <v>1</v>
      </c>
      <c r="J79" s="335"/>
    </row>
    <row r="80" spans="2:10" x14ac:dyDescent="0.25">
      <c r="B80" s="307">
        <v>5</v>
      </c>
      <c r="C80" s="307" t="s">
        <v>424</v>
      </c>
      <c r="D80" s="307">
        <v>5500</v>
      </c>
      <c r="E80" s="307">
        <v>100</v>
      </c>
      <c r="F80" s="335">
        <f>Table13[[#This Row],[AMOUNT]]*(Table13[[#This Row],[TARGET]]-E81)</f>
        <v>165000</v>
      </c>
      <c r="G80" s="307" t="s">
        <v>424</v>
      </c>
      <c r="H80" s="337">
        <v>5500</v>
      </c>
      <c r="I80" s="337">
        <v>100</v>
      </c>
      <c r="J80" s="335">
        <f>Table13[[#This Row],[AMOUNT NEW]]*(Table13[[#This Row],[TARGET NEW]]-I81)</f>
        <v>165000</v>
      </c>
    </row>
    <row r="81" spans="2:10" x14ac:dyDescent="0.25">
      <c r="B81" s="307">
        <v>5</v>
      </c>
      <c r="C81" s="307" t="s">
        <v>424</v>
      </c>
      <c r="D81" s="307">
        <v>6000</v>
      </c>
      <c r="E81" s="307">
        <v>70</v>
      </c>
      <c r="F81" s="335">
        <f>Table13[[#This Row],[AMOUNT]]*(Table13[[#This Row],[TARGET]]-E82)</f>
        <v>240000</v>
      </c>
      <c r="G81" s="307" t="s">
        <v>424</v>
      </c>
      <c r="H81" s="337">
        <v>6000</v>
      </c>
      <c r="I81" s="337">
        <v>70</v>
      </c>
      <c r="J81" s="335">
        <f>Table13[[#This Row],[AMOUNT NEW]]*(Table13[[#This Row],[TARGET NEW]]-I82)</f>
        <v>240000</v>
      </c>
    </row>
    <row r="82" spans="2:10" x14ac:dyDescent="0.25">
      <c r="B82" s="307">
        <v>5</v>
      </c>
      <c r="C82" s="307" t="s">
        <v>424</v>
      </c>
      <c r="D82" s="307">
        <v>6500</v>
      </c>
      <c r="E82" s="307">
        <v>30</v>
      </c>
      <c r="F82" s="335">
        <f>Table13[[#This Row],[AMOUNT]]*(Table13[[#This Row],[TARGET]]-E83)</f>
        <v>162500</v>
      </c>
      <c r="G82" s="307" t="s">
        <v>424</v>
      </c>
      <c r="H82" s="337">
        <v>6500</v>
      </c>
      <c r="I82" s="337">
        <v>30</v>
      </c>
      <c r="J82" s="335">
        <f>Table13[[#This Row],[AMOUNT NEW]]*(Table13[[#This Row],[TARGET NEW]]-I83)</f>
        <v>162500</v>
      </c>
    </row>
    <row r="83" spans="2:10" x14ac:dyDescent="0.25">
      <c r="B83" s="307">
        <v>5</v>
      </c>
      <c r="C83" s="307" t="s">
        <v>424</v>
      </c>
      <c r="D83" s="307">
        <v>7000</v>
      </c>
      <c r="E83" s="307">
        <v>5</v>
      </c>
      <c r="F83" s="335">
        <f>Table13[[#This Row],[AMOUNT]]*(Table13[[#This Row],[TARGET]]-E84)</f>
        <v>28000</v>
      </c>
      <c r="G83" s="307" t="s">
        <v>424</v>
      </c>
      <c r="H83" s="337">
        <v>7000</v>
      </c>
      <c r="I83" s="337">
        <v>5</v>
      </c>
      <c r="J83" s="335">
        <f>Table13[[#This Row],[AMOUNT NEW]]*(Table13[[#This Row],[TARGET NEW]]-I84)</f>
        <v>28000</v>
      </c>
    </row>
    <row r="84" spans="2:10" x14ac:dyDescent="0.25">
      <c r="B84" s="307">
        <v>5</v>
      </c>
      <c r="C84" s="307" t="s">
        <v>427</v>
      </c>
      <c r="D84" s="307" t="s">
        <v>229</v>
      </c>
      <c r="E84" s="307">
        <v>1</v>
      </c>
      <c r="F84" s="335">
        <v>0</v>
      </c>
      <c r="G84" s="307" t="s">
        <v>427</v>
      </c>
      <c r="H84" s="337" t="s">
        <v>229</v>
      </c>
      <c r="I84" s="337">
        <v>1</v>
      </c>
      <c r="J84" s="335"/>
    </row>
    <row r="85" spans="2:10" x14ac:dyDescent="0.25">
      <c r="B85" s="307">
        <v>6</v>
      </c>
      <c r="C85" s="307" t="s">
        <v>424</v>
      </c>
      <c r="D85" s="307">
        <v>7000</v>
      </c>
      <c r="E85" s="307">
        <v>100</v>
      </c>
      <c r="F85" s="335">
        <f>Table13[[#This Row],[AMOUNT]]*(Table13[[#This Row],[TARGET]]-E86)</f>
        <v>210000</v>
      </c>
      <c r="G85" s="307" t="s">
        <v>424</v>
      </c>
      <c r="H85" s="337">
        <v>7000</v>
      </c>
      <c r="I85" s="337">
        <v>100</v>
      </c>
      <c r="J85" s="335">
        <f>Table13[[#This Row],[AMOUNT NEW]]*(Table13[[#This Row],[TARGET NEW]]-I86)</f>
        <v>210000</v>
      </c>
    </row>
    <row r="86" spans="2:10" x14ac:dyDescent="0.25">
      <c r="B86" s="307">
        <v>6</v>
      </c>
      <c r="C86" s="307" t="s">
        <v>424</v>
      </c>
      <c r="D86" s="307">
        <v>7500</v>
      </c>
      <c r="E86" s="307">
        <v>70</v>
      </c>
      <c r="F86" s="335">
        <f>Table13[[#This Row],[AMOUNT]]*(Table13[[#This Row],[TARGET]]-E87)</f>
        <v>300000</v>
      </c>
      <c r="G86" s="307" t="s">
        <v>424</v>
      </c>
      <c r="H86" s="337">
        <v>7500</v>
      </c>
      <c r="I86" s="337">
        <v>70</v>
      </c>
      <c r="J86" s="335">
        <f>Table13[[#This Row],[AMOUNT NEW]]*(Table13[[#This Row],[TARGET NEW]]-I87)</f>
        <v>300000</v>
      </c>
    </row>
    <row r="87" spans="2:10" x14ac:dyDescent="0.25">
      <c r="B87" s="307">
        <v>6</v>
      </c>
      <c r="C87" s="307" t="s">
        <v>424</v>
      </c>
      <c r="D87" s="307">
        <v>8000</v>
      </c>
      <c r="E87" s="307">
        <v>30</v>
      </c>
      <c r="F87" s="335">
        <f>Table13[[#This Row],[AMOUNT]]*(Table13[[#This Row],[TARGET]]-E88)</f>
        <v>200000</v>
      </c>
      <c r="G87" s="307" t="s">
        <v>424</v>
      </c>
      <c r="H87" s="337">
        <v>8000</v>
      </c>
      <c r="I87" s="337">
        <v>30</v>
      </c>
      <c r="J87" s="335">
        <f>Table13[[#This Row],[AMOUNT NEW]]*(Table13[[#This Row],[TARGET NEW]]-I88)</f>
        <v>200000</v>
      </c>
    </row>
    <row r="88" spans="2:10" x14ac:dyDescent="0.25">
      <c r="B88" s="307">
        <v>6</v>
      </c>
      <c r="C88" s="307" t="s">
        <v>424</v>
      </c>
      <c r="D88" s="307">
        <v>8500</v>
      </c>
      <c r="E88" s="307">
        <v>5</v>
      </c>
      <c r="F88" s="335">
        <f>Table13[[#This Row],[AMOUNT]]*(Table13[[#This Row],[TARGET]]-E89)</f>
        <v>34000</v>
      </c>
      <c r="G88" s="307" t="s">
        <v>424</v>
      </c>
      <c r="H88" s="337">
        <v>8500</v>
      </c>
      <c r="I88" s="337">
        <v>5</v>
      </c>
      <c r="J88" s="335">
        <f>Table13[[#This Row],[AMOUNT NEW]]*(Table13[[#This Row],[TARGET NEW]]-I89)</f>
        <v>34000</v>
      </c>
    </row>
    <row r="89" spans="2:10" x14ac:dyDescent="0.25">
      <c r="B89" s="307">
        <v>6</v>
      </c>
      <c r="C89" s="307" t="s">
        <v>427</v>
      </c>
      <c r="D89" s="307" t="s">
        <v>229</v>
      </c>
      <c r="E89" s="307">
        <v>1</v>
      </c>
      <c r="F89" s="335">
        <v>0</v>
      </c>
      <c r="G89" s="307" t="s">
        <v>427</v>
      </c>
      <c r="H89" s="337" t="s">
        <v>229</v>
      </c>
      <c r="I89" s="337">
        <v>1</v>
      </c>
      <c r="J89" s="335"/>
    </row>
    <row r="90" spans="2:10" x14ac:dyDescent="0.25">
      <c r="B90" s="307">
        <v>7</v>
      </c>
      <c r="C90" s="307" t="s">
        <v>424</v>
      </c>
      <c r="D90" s="307">
        <v>8500</v>
      </c>
      <c r="E90" s="307">
        <v>100</v>
      </c>
      <c r="F90" s="335">
        <f>Table13[[#This Row],[AMOUNT]]*(Table13[[#This Row],[TARGET]]-E91)</f>
        <v>255000</v>
      </c>
      <c r="G90" s="307" t="s">
        <v>424</v>
      </c>
      <c r="H90" s="337">
        <v>8500</v>
      </c>
      <c r="I90" s="337">
        <v>100</v>
      </c>
      <c r="J90" s="335">
        <f>Table13[[#This Row],[AMOUNT NEW]]*(Table13[[#This Row],[TARGET NEW]]-I91)</f>
        <v>255000</v>
      </c>
    </row>
    <row r="91" spans="2:10" x14ac:dyDescent="0.25">
      <c r="B91" s="307">
        <v>7</v>
      </c>
      <c r="C91" s="307" t="s">
        <v>424</v>
      </c>
      <c r="D91" s="307">
        <v>9000</v>
      </c>
      <c r="E91" s="307">
        <v>70</v>
      </c>
      <c r="F91" s="335">
        <f>Table13[[#This Row],[AMOUNT]]*(Table13[[#This Row],[TARGET]]-E92)</f>
        <v>360000</v>
      </c>
      <c r="G91" s="307" t="s">
        <v>424</v>
      </c>
      <c r="H91" s="337">
        <v>9000</v>
      </c>
      <c r="I91" s="337">
        <v>70</v>
      </c>
      <c r="J91" s="335">
        <f>Table13[[#This Row],[AMOUNT NEW]]*(Table13[[#This Row],[TARGET NEW]]-I92)</f>
        <v>360000</v>
      </c>
    </row>
    <row r="92" spans="2:10" x14ac:dyDescent="0.25">
      <c r="B92" s="307">
        <v>7</v>
      </c>
      <c r="C92" s="307" t="s">
        <v>424</v>
      </c>
      <c r="D92" s="307">
        <v>9500</v>
      </c>
      <c r="E92" s="307">
        <v>30</v>
      </c>
      <c r="F92" s="335">
        <f>Table13[[#This Row],[AMOUNT]]*(Table13[[#This Row],[TARGET]]-E93)</f>
        <v>237500</v>
      </c>
      <c r="G92" s="307" t="s">
        <v>424</v>
      </c>
      <c r="H92" s="337">
        <v>9500</v>
      </c>
      <c r="I92" s="337">
        <v>30</v>
      </c>
      <c r="J92" s="335">
        <f>Table13[[#This Row],[AMOUNT NEW]]*(Table13[[#This Row],[TARGET NEW]]-I93)</f>
        <v>237500</v>
      </c>
    </row>
    <row r="93" spans="2:10" x14ac:dyDescent="0.25">
      <c r="B93" s="307">
        <v>7</v>
      </c>
      <c r="C93" s="307" t="s">
        <v>424</v>
      </c>
      <c r="D93" s="307">
        <v>10000</v>
      </c>
      <c r="E93" s="307">
        <v>5</v>
      </c>
      <c r="F93" s="335">
        <f>Table13[[#This Row],[AMOUNT]]*(Table13[[#This Row],[TARGET]]-E94)</f>
        <v>40000</v>
      </c>
      <c r="G93" s="307" t="s">
        <v>424</v>
      </c>
      <c r="H93" s="337">
        <v>10000</v>
      </c>
      <c r="I93" s="337">
        <v>5</v>
      </c>
      <c r="J93" s="335">
        <f>Table13[[#This Row],[AMOUNT NEW]]*(Table13[[#This Row],[TARGET NEW]]-I94)</f>
        <v>40000</v>
      </c>
    </row>
    <row r="94" spans="2:10" x14ac:dyDescent="0.25">
      <c r="B94" s="307">
        <v>7</v>
      </c>
      <c r="C94" s="307" t="s">
        <v>427</v>
      </c>
      <c r="D94" s="307" t="s">
        <v>229</v>
      </c>
      <c r="E94" s="307">
        <v>1</v>
      </c>
      <c r="F94" s="335">
        <v>0</v>
      </c>
      <c r="G94" s="307" t="s">
        <v>427</v>
      </c>
      <c r="H94" s="337" t="s">
        <v>229</v>
      </c>
      <c r="I94" s="337">
        <v>1</v>
      </c>
      <c r="J94" s="335"/>
    </row>
    <row r="95" spans="2:10" x14ac:dyDescent="0.25">
      <c r="B95" s="307">
        <v>8</v>
      </c>
      <c r="C95" s="307" t="s">
        <v>424</v>
      </c>
      <c r="D95" s="307">
        <v>10000</v>
      </c>
      <c r="E95" s="307">
        <v>100</v>
      </c>
      <c r="F95" s="335">
        <f>Table13[[#This Row],[AMOUNT]]*(Table13[[#This Row],[TARGET]]-E96)</f>
        <v>300000</v>
      </c>
      <c r="G95" s="307" t="s">
        <v>424</v>
      </c>
      <c r="H95" s="337">
        <v>10000</v>
      </c>
      <c r="I95" s="337">
        <v>100</v>
      </c>
      <c r="J95" s="335">
        <f>Table13[[#This Row],[AMOUNT NEW]]*(Table13[[#This Row],[TARGET NEW]]-I96)</f>
        <v>300000</v>
      </c>
    </row>
    <row r="96" spans="2:10" x14ac:dyDescent="0.25">
      <c r="B96" s="307">
        <v>8</v>
      </c>
      <c r="C96" s="307" t="s">
        <v>424</v>
      </c>
      <c r="D96" s="307">
        <v>10500</v>
      </c>
      <c r="E96" s="307">
        <v>70</v>
      </c>
      <c r="F96" s="335">
        <f>Table13[[#This Row],[AMOUNT]]*(Table13[[#This Row],[TARGET]]-E97)</f>
        <v>420000</v>
      </c>
      <c r="G96" s="307" t="s">
        <v>424</v>
      </c>
      <c r="H96" s="337">
        <v>10500</v>
      </c>
      <c r="I96" s="337">
        <v>70</v>
      </c>
      <c r="J96" s="335">
        <f>Table13[[#This Row],[AMOUNT NEW]]*(Table13[[#This Row],[TARGET NEW]]-I97)</f>
        <v>420000</v>
      </c>
    </row>
    <row r="97" spans="2:10" x14ac:dyDescent="0.25">
      <c r="B97" s="307">
        <v>8</v>
      </c>
      <c r="C97" s="307" t="s">
        <v>424</v>
      </c>
      <c r="D97" s="307">
        <v>11000</v>
      </c>
      <c r="E97" s="307">
        <v>30</v>
      </c>
      <c r="F97" s="335">
        <f>Table13[[#This Row],[AMOUNT]]*(Table13[[#This Row],[TARGET]]-E98)</f>
        <v>275000</v>
      </c>
      <c r="G97" s="307" t="s">
        <v>424</v>
      </c>
      <c r="H97" s="337">
        <v>11000</v>
      </c>
      <c r="I97" s="337">
        <v>30</v>
      </c>
      <c r="J97" s="335">
        <f>Table13[[#This Row],[AMOUNT NEW]]*(Table13[[#This Row],[TARGET NEW]]-I98)</f>
        <v>275000</v>
      </c>
    </row>
    <row r="98" spans="2:10" x14ac:dyDescent="0.25">
      <c r="B98" s="307">
        <v>8</v>
      </c>
      <c r="C98" s="307" t="s">
        <v>418</v>
      </c>
      <c r="D98" s="307">
        <v>5</v>
      </c>
      <c r="E98" s="307">
        <v>5</v>
      </c>
      <c r="F98" s="335">
        <f>Table13[[#This Row],[AMOUNT]]*(Table13[[#This Row],[TARGET]]-E99)</f>
        <v>20</v>
      </c>
      <c r="G98" s="307" t="s">
        <v>418</v>
      </c>
      <c r="H98" s="337">
        <v>5</v>
      </c>
      <c r="I98" s="337">
        <v>5</v>
      </c>
      <c r="J98" s="335">
        <f>Table13[[#This Row],[AMOUNT NEW]]*(Table13[[#This Row],[TARGET NEW]]-I99)</f>
        <v>20</v>
      </c>
    </row>
    <row r="99" spans="2:10" x14ac:dyDescent="0.25">
      <c r="B99" s="307">
        <v>8</v>
      </c>
      <c r="C99" s="307" t="s">
        <v>427</v>
      </c>
      <c r="D99" s="307" t="s">
        <v>229</v>
      </c>
      <c r="E99" s="307">
        <v>1</v>
      </c>
      <c r="F99" s="335">
        <v>0</v>
      </c>
      <c r="G99" s="307" t="s">
        <v>427</v>
      </c>
      <c r="H99" s="337" t="s">
        <v>229</v>
      </c>
      <c r="I99" s="337">
        <v>1</v>
      </c>
      <c r="J99" s="335"/>
    </row>
    <row r="100" spans="2:10" x14ac:dyDescent="0.25">
      <c r="B100" s="307">
        <v>9</v>
      </c>
      <c r="C100" s="307" t="s">
        <v>424</v>
      </c>
      <c r="D100" s="307">
        <v>11500</v>
      </c>
      <c r="E100" s="307">
        <v>100</v>
      </c>
      <c r="F100" s="335">
        <f>Table13[[#This Row],[AMOUNT]]*(Table13[[#This Row],[TARGET]]-E101)</f>
        <v>345000</v>
      </c>
      <c r="G100" s="307" t="s">
        <v>424</v>
      </c>
      <c r="H100" s="337">
        <v>11500</v>
      </c>
      <c r="I100" s="337">
        <v>100</v>
      </c>
      <c r="J100" s="335">
        <f>Table13[[#This Row],[AMOUNT NEW]]*(Table13[[#This Row],[TARGET NEW]]-I101)</f>
        <v>345000</v>
      </c>
    </row>
    <row r="101" spans="2:10" x14ac:dyDescent="0.25">
      <c r="B101" s="307">
        <v>9</v>
      </c>
      <c r="C101" s="307" t="s">
        <v>424</v>
      </c>
      <c r="D101" s="307">
        <v>12000</v>
      </c>
      <c r="E101" s="307">
        <v>70</v>
      </c>
      <c r="F101" s="335">
        <f>Table13[[#This Row],[AMOUNT]]*(Table13[[#This Row],[TARGET]]-E102)</f>
        <v>480000</v>
      </c>
      <c r="G101" s="307" t="s">
        <v>424</v>
      </c>
      <c r="H101" s="337">
        <v>12000</v>
      </c>
      <c r="I101" s="337">
        <v>70</v>
      </c>
      <c r="J101" s="335">
        <f>Table13[[#This Row],[AMOUNT NEW]]*(Table13[[#This Row],[TARGET NEW]]-I102)</f>
        <v>480000</v>
      </c>
    </row>
    <row r="102" spans="2:10" x14ac:dyDescent="0.25">
      <c r="B102" s="307">
        <v>9</v>
      </c>
      <c r="C102" s="307" t="s">
        <v>424</v>
      </c>
      <c r="D102" s="307">
        <v>12500</v>
      </c>
      <c r="E102" s="307">
        <v>30</v>
      </c>
      <c r="F102" s="335">
        <f>Table13[[#This Row],[AMOUNT]]*(Table13[[#This Row],[TARGET]]-E103)</f>
        <v>312500</v>
      </c>
      <c r="G102" s="307" t="s">
        <v>424</v>
      </c>
      <c r="H102" s="337">
        <v>12500</v>
      </c>
      <c r="I102" s="337">
        <v>30</v>
      </c>
      <c r="J102" s="335">
        <f>Table13[[#This Row],[AMOUNT NEW]]*(Table13[[#This Row],[TARGET NEW]]-I103)</f>
        <v>312500</v>
      </c>
    </row>
    <row r="103" spans="2:10" x14ac:dyDescent="0.25">
      <c r="B103" s="307">
        <v>9</v>
      </c>
      <c r="C103" s="307" t="s">
        <v>418</v>
      </c>
      <c r="D103" s="307">
        <v>5</v>
      </c>
      <c r="E103" s="307">
        <v>5</v>
      </c>
      <c r="F103" s="335">
        <f>Table13[[#This Row],[AMOUNT]]*(Table13[[#This Row],[TARGET]]-E104)</f>
        <v>20</v>
      </c>
      <c r="G103" s="307" t="s">
        <v>418</v>
      </c>
      <c r="H103" s="337">
        <v>5</v>
      </c>
      <c r="I103" s="337">
        <v>5</v>
      </c>
      <c r="J103" s="335">
        <f>Table13[[#This Row],[AMOUNT NEW]]*(Table13[[#This Row],[TARGET NEW]]-I104)</f>
        <v>20</v>
      </c>
    </row>
    <row r="104" spans="2:10" x14ac:dyDescent="0.25">
      <c r="B104" s="307">
        <v>9</v>
      </c>
      <c r="C104" s="307" t="s">
        <v>427</v>
      </c>
      <c r="D104" s="307" t="s">
        <v>229</v>
      </c>
      <c r="E104" s="307">
        <v>1</v>
      </c>
      <c r="F104" s="335">
        <v>0</v>
      </c>
      <c r="G104" s="307" t="s">
        <v>427</v>
      </c>
      <c r="H104" s="337" t="s">
        <v>229</v>
      </c>
      <c r="I104" s="337">
        <v>1</v>
      </c>
      <c r="J104" s="335"/>
    </row>
    <row r="105" spans="2:10" x14ac:dyDescent="0.25">
      <c r="B105" s="307">
        <v>10</v>
      </c>
      <c r="C105" s="307" t="s">
        <v>424</v>
      </c>
      <c r="D105" s="307">
        <v>12500</v>
      </c>
      <c r="E105" s="307">
        <v>100</v>
      </c>
      <c r="F105" s="335">
        <f>Table13[[#This Row],[AMOUNT]]*(Table13[[#This Row],[TARGET]]-E106)</f>
        <v>375000</v>
      </c>
      <c r="G105" s="307" t="s">
        <v>424</v>
      </c>
      <c r="H105" s="337">
        <v>12500</v>
      </c>
      <c r="I105" s="337">
        <v>100</v>
      </c>
      <c r="J105" s="335">
        <f>Table13[[#This Row],[AMOUNT NEW]]*(Table13[[#This Row],[TARGET NEW]]-I106)</f>
        <v>375000</v>
      </c>
    </row>
    <row r="106" spans="2:10" x14ac:dyDescent="0.25">
      <c r="B106" s="307">
        <v>10</v>
      </c>
      <c r="C106" s="307" t="s">
        <v>424</v>
      </c>
      <c r="D106" s="307">
        <v>13000</v>
      </c>
      <c r="E106" s="307">
        <v>70</v>
      </c>
      <c r="F106" s="335">
        <f>Table13[[#This Row],[AMOUNT]]*(Table13[[#This Row],[TARGET]]-E107)</f>
        <v>520000</v>
      </c>
      <c r="G106" s="307" t="s">
        <v>424</v>
      </c>
      <c r="H106" s="337">
        <v>13000</v>
      </c>
      <c r="I106" s="337">
        <v>70</v>
      </c>
      <c r="J106" s="335">
        <f>Table13[[#This Row],[AMOUNT NEW]]*(Table13[[#This Row],[TARGET NEW]]-I107)</f>
        <v>520000</v>
      </c>
    </row>
    <row r="107" spans="2:10" x14ac:dyDescent="0.25">
      <c r="B107" s="307">
        <v>10</v>
      </c>
      <c r="C107" s="307" t="s">
        <v>424</v>
      </c>
      <c r="D107" s="307">
        <v>13500</v>
      </c>
      <c r="E107" s="307">
        <v>30</v>
      </c>
      <c r="F107" s="335">
        <f>Table13[[#This Row],[AMOUNT]]*(Table13[[#This Row],[TARGET]]-E108)</f>
        <v>337500</v>
      </c>
      <c r="G107" s="307" t="s">
        <v>424</v>
      </c>
      <c r="H107" s="337">
        <v>13500</v>
      </c>
      <c r="I107" s="337">
        <v>30</v>
      </c>
      <c r="J107" s="335">
        <f>Table13[[#This Row],[AMOUNT NEW]]*(Table13[[#This Row],[TARGET NEW]]-I108)</f>
        <v>337500</v>
      </c>
    </row>
    <row r="108" spans="2:10" x14ac:dyDescent="0.25">
      <c r="B108" s="307">
        <v>10</v>
      </c>
      <c r="C108" s="307" t="s">
        <v>418</v>
      </c>
      <c r="D108" s="307">
        <v>10</v>
      </c>
      <c r="E108" s="307">
        <v>5</v>
      </c>
      <c r="F108" s="335">
        <f>Table13[[#This Row],[AMOUNT]]*(Table13[[#This Row],[TARGET]]-E109)</f>
        <v>40</v>
      </c>
      <c r="G108" s="307" t="s">
        <v>418</v>
      </c>
      <c r="H108" s="337">
        <v>10</v>
      </c>
      <c r="I108" s="337">
        <v>5</v>
      </c>
      <c r="J108" s="335">
        <f>Table13[[#This Row],[AMOUNT NEW]]*(Table13[[#This Row],[TARGET NEW]]-I109)</f>
        <v>40</v>
      </c>
    </row>
    <row r="109" spans="2:10" x14ac:dyDescent="0.25">
      <c r="B109" s="308">
        <v>10</v>
      </c>
      <c r="C109" s="308" t="s">
        <v>427</v>
      </c>
      <c r="D109" s="308" t="s">
        <v>230</v>
      </c>
      <c r="E109" s="308">
        <v>1</v>
      </c>
      <c r="F109" s="335">
        <v>0</v>
      </c>
      <c r="G109" s="308" t="s">
        <v>427</v>
      </c>
      <c r="H109" s="320" t="s">
        <v>230</v>
      </c>
      <c r="I109" s="320">
        <v>1</v>
      </c>
      <c r="J109" s="335"/>
    </row>
    <row r="112" spans="2:10" x14ac:dyDescent="0.25">
      <c r="B112" s="294" t="s">
        <v>470</v>
      </c>
      <c r="C112" s="294" t="s">
        <v>469</v>
      </c>
      <c r="D112" s="294" t="s">
        <v>468</v>
      </c>
      <c r="E112" s="294" t="s">
        <v>467</v>
      </c>
    </row>
    <row r="113" spans="2:5" x14ac:dyDescent="0.25">
      <c r="B113" s="1" t="s">
        <v>67</v>
      </c>
      <c r="C113" s="1">
        <v>1</v>
      </c>
      <c r="D113" s="302">
        <v>200</v>
      </c>
      <c r="E113" s="103">
        <v>200</v>
      </c>
    </row>
    <row r="114" spans="2:5" x14ac:dyDescent="0.25">
      <c r="B114" s="1" t="s">
        <v>68</v>
      </c>
      <c r="C114" s="1">
        <v>2</v>
      </c>
      <c r="D114" s="302">
        <v>300</v>
      </c>
      <c r="E114" s="103">
        <v>300</v>
      </c>
    </row>
    <row r="115" spans="2:5" x14ac:dyDescent="0.25">
      <c r="B115" s="1" t="s">
        <v>69</v>
      </c>
      <c r="C115" s="1">
        <v>3</v>
      </c>
      <c r="D115" s="302">
        <v>600</v>
      </c>
      <c r="E115" s="103">
        <v>600</v>
      </c>
    </row>
  </sheetData>
  <mergeCells count="13">
    <mergeCell ref="B12:D12"/>
    <mergeCell ref="B22:D22"/>
    <mergeCell ref="B58:F58"/>
    <mergeCell ref="AK12:AL12"/>
    <mergeCell ref="L12:M12"/>
    <mergeCell ref="J12:K12"/>
    <mergeCell ref="AH12:AI12"/>
    <mergeCell ref="AA12:AB12"/>
    <mergeCell ref="T12:V12"/>
    <mergeCell ref="AD12:AE12"/>
    <mergeCell ref="AF12:AG12"/>
    <mergeCell ref="W12:X12"/>
    <mergeCell ref="Y12:Z12"/>
  </mergeCells>
  <dataValidations count="2">
    <dataValidation allowBlank="1" showInputMessage="1" showErrorMessage="1" prompt="percentage [0..1]" sqref="C14:C18"/>
    <dataValidation allowBlank="1" showErrorMessage="1" prompt="percentage [0..1]" sqref="D14:D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theme="9" tint="0.39997558519241921"/>
  </sheetPr>
  <dimension ref="A1:T133"/>
  <sheetViews>
    <sheetView tabSelected="1" topLeftCell="A100" workbookViewId="0">
      <selection activeCell="J128" sqref="J128"/>
    </sheetView>
  </sheetViews>
  <sheetFormatPr defaultRowHeight="15" x14ac:dyDescent="0.25"/>
  <cols>
    <col min="1" max="1" width="21.42578125" bestFit="1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1.4257812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4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</cols>
  <sheetData>
    <row r="1" spans="1:20" ht="19.5" thickBot="1" x14ac:dyDescent="0.35">
      <c r="A1" s="30" t="s">
        <v>180</v>
      </c>
      <c r="B1" s="36"/>
      <c r="C1" s="36"/>
      <c r="K1" s="195" t="s">
        <v>266</v>
      </c>
    </row>
    <row r="2" spans="1:20" ht="15.75" thickBot="1" x14ac:dyDescent="0.3">
      <c r="E2" s="180" t="s">
        <v>265</v>
      </c>
      <c r="F2" s="174" t="s">
        <v>182</v>
      </c>
      <c r="G2" s="174" t="s">
        <v>52</v>
      </c>
      <c r="H2" s="174" t="s">
        <v>53</v>
      </c>
      <c r="I2" s="153" t="s">
        <v>264</v>
      </c>
      <c r="K2" s="196" t="s">
        <v>327</v>
      </c>
    </row>
    <row r="3" spans="1:20" x14ac:dyDescent="0.25">
      <c r="A3" s="154" t="s">
        <v>52</v>
      </c>
      <c r="B3" s="155">
        <v>10</v>
      </c>
      <c r="C3" s="156" t="s">
        <v>54</v>
      </c>
      <c r="E3" s="181" t="s">
        <v>229</v>
      </c>
      <c r="F3" s="170">
        <f>Table11[price HC]*I3</f>
        <v>10</v>
      </c>
      <c r="G3" s="175">
        <f>ROUND(F3/$B$3,2)</f>
        <v>1</v>
      </c>
      <c r="H3" s="175">
        <f>ROUND(F3/$B$4,2)</f>
        <v>0.67</v>
      </c>
      <c r="I3" s="192">
        <v>1</v>
      </c>
    </row>
    <row r="4" spans="1:20" ht="15.75" thickBot="1" x14ac:dyDescent="0.3">
      <c r="A4" s="157" t="s">
        <v>53</v>
      </c>
      <c r="B4" s="158">
        <f>ROUND(B13/A13,0)</f>
        <v>15</v>
      </c>
      <c r="C4" s="159" t="s">
        <v>54</v>
      </c>
      <c r="D4" s="150"/>
      <c r="E4" s="182" t="s">
        <v>230</v>
      </c>
      <c r="F4" s="179">
        <f>Table11[price HC]*I4</f>
        <v>20</v>
      </c>
      <c r="G4" s="176">
        <f>ROUND(F4/$B$3,2)</f>
        <v>2</v>
      </c>
      <c r="H4" s="176">
        <f>ROUND(F4/$B$4,2)</f>
        <v>1.33</v>
      </c>
      <c r="I4" s="193">
        <v>2</v>
      </c>
    </row>
    <row r="5" spans="1:20" ht="15.75" thickBot="1" x14ac:dyDescent="0.3">
      <c r="A5" t="s">
        <v>259</v>
      </c>
    </row>
    <row r="6" spans="1:20" x14ac:dyDescent="0.25">
      <c r="A6" s="108" t="s">
        <v>46</v>
      </c>
      <c r="B6" s="169" t="s">
        <v>48</v>
      </c>
      <c r="C6" s="108" t="s">
        <v>47</v>
      </c>
      <c r="E6" s="152" t="s">
        <v>183</v>
      </c>
      <c r="F6" s="174" t="s">
        <v>187</v>
      </c>
      <c r="G6" s="174" t="s">
        <v>52</v>
      </c>
      <c r="H6" s="174" t="s">
        <v>53</v>
      </c>
      <c r="I6" s="153" t="s">
        <v>264</v>
      </c>
    </row>
    <row r="7" spans="1:20" x14ac:dyDescent="0.25">
      <c r="A7" s="160">
        <v>0.99</v>
      </c>
      <c r="B7" s="169">
        <f>ROUND(Table47[[#This Row],[Price]]*$B$3+Table47[[#This Row],[Price]]*$B$3*Table47[[#This Row],[Discount]],0)</f>
        <v>10</v>
      </c>
      <c r="C7" s="161">
        <v>0</v>
      </c>
      <c r="E7" s="172" t="s">
        <v>184</v>
      </c>
      <c r="F7" s="170">
        <f>Table11[price HC]*I7</f>
        <v>20</v>
      </c>
      <c r="G7" s="175">
        <f>ROUND(F7/$B$3,2)</f>
        <v>2</v>
      </c>
      <c r="H7" s="175">
        <f>ROUND(F7/$B$4,2)</f>
        <v>1.33</v>
      </c>
      <c r="I7" s="192">
        <v>2</v>
      </c>
    </row>
    <row r="8" spans="1:20" x14ac:dyDescent="0.25">
      <c r="A8" s="162">
        <v>4.99</v>
      </c>
      <c r="B8" s="169">
        <f>ROUND(Table47[[#This Row],[Price]]*$B$3+Table47[[#This Row],[Price]]*$B$3*Table47[[#This Row],[Discount]],0)</f>
        <v>52</v>
      </c>
      <c r="C8" s="163">
        <v>0.05</v>
      </c>
      <c r="E8" s="177" t="s">
        <v>185</v>
      </c>
      <c r="F8" s="171">
        <f>Table11[price HC]*I8</f>
        <v>50</v>
      </c>
      <c r="G8" s="183">
        <f>ROUND(F8/$B$3,2)</f>
        <v>5</v>
      </c>
      <c r="H8" s="183">
        <f t="shared" ref="H8:H9" si="0">ROUND(F8/$B$4,2)</f>
        <v>3.33</v>
      </c>
      <c r="I8" s="192">
        <v>5</v>
      </c>
    </row>
    <row r="9" spans="1:20" ht="15.75" thickBot="1" x14ac:dyDescent="0.3">
      <c r="A9" s="160">
        <v>9.99</v>
      </c>
      <c r="B9" s="169">
        <f>ROUND(Table47[[#This Row],[Price]]*$B$3+Table47[[#This Row],[Price]]*$B$3*Table47[[#This Row],[Discount]],0)</f>
        <v>110</v>
      </c>
      <c r="C9" s="161">
        <v>0.1</v>
      </c>
      <c r="E9" s="178" t="s">
        <v>186</v>
      </c>
      <c r="F9" s="184">
        <f>Table11[price HC]*I9</f>
        <v>100</v>
      </c>
      <c r="G9" s="185">
        <f>ROUND(F9/$B$3,2)</f>
        <v>10</v>
      </c>
      <c r="H9" s="185">
        <f t="shared" si="0"/>
        <v>6.67</v>
      </c>
      <c r="I9" s="193">
        <v>10</v>
      </c>
    </row>
    <row r="10" spans="1:20" ht="15.75" thickBot="1" x14ac:dyDescent="0.3">
      <c r="A10" s="162">
        <v>14.99</v>
      </c>
      <c r="B10" s="362">
        <f>ROUND(Table47[[#This Row],[Price]]*$B$3+Table47[[#This Row],[Price]]*$B$3*Table47[[#This Row],[Discount]],0)</f>
        <v>172</v>
      </c>
      <c r="C10" s="163">
        <v>0.15</v>
      </c>
    </row>
    <row r="11" spans="1:20" x14ac:dyDescent="0.25">
      <c r="A11" s="160">
        <v>19.989999999999998</v>
      </c>
      <c r="B11" s="169">
        <f>ROUND(Table47[[#This Row],[Price]]*$B$3+Table47[[#This Row],[Price]]*$B$3*Table47[[#This Row],[Discount]],0)</f>
        <v>250</v>
      </c>
      <c r="C11" s="161">
        <v>0.25</v>
      </c>
      <c r="E11" s="152" t="s">
        <v>265</v>
      </c>
      <c r="F11" s="174" t="s">
        <v>182</v>
      </c>
      <c r="G11" s="174" t="s">
        <v>52</v>
      </c>
      <c r="H11" s="174" t="s">
        <v>53</v>
      </c>
      <c r="I11" s="153" t="s">
        <v>264</v>
      </c>
      <c r="M11" s="101"/>
    </row>
    <row r="12" spans="1:20" x14ac:dyDescent="0.25">
      <c r="A12" s="162">
        <v>39.99</v>
      </c>
      <c r="B12" s="169">
        <f>ROUND(Table47[[#This Row],[Price]]*$B$3+Table47[[#This Row],[Price]]*$B$3*Table47[[#This Row],[Discount]],0)</f>
        <v>560</v>
      </c>
      <c r="C12" s="163">
        <v>0.4</v>
      </c>
      <c r="E12" s="172" t="s">
        <v>251</v>
      </c>
      <c r="F12" s="170">
        <f>Table11[price HC]*I12</f>
        <v>30</v>
      </c>
      <c r="G12" s="175">
        <f>ROUND(F12/$B$3,2)</f>
        <v>3</v>
      </c>
      <c r="H12" s="175">
        <f>ROUND(F12/$B$4,2)</f>
        <v>2</v>
      </c>
      <c r="I12" s="192">
        <v>3</v>
      </c>
    </row>
    <row r="13" spans="1:20" ht="15.75" thickBot="1" x14ac:dyDescent="0.3">
      <c r="A13" s="160">
        <v>79.989999999999995</v>
      </c>
      <c r="B13" s="169">
        <f>ROUND(Table47[[#This Row],[Price]]*$B$3+Table47[[#This Row],[Price]]*$B$3*Table47[[#This Row],[Discount]],0)</f>
        <v>1200</v>
      </c>
      <c r="C13" s="161">
        <v>0.5</v>
      </c>
      <c r="E13" s="173" t="s">
        <v>252</v>
      </c>
      <c r="F13" s="179">
        <f>Table11[price HC]*I13</f>
        <v>50</v>
      </c>
      <c r="G13" s="176">
        <f>ROUND(F13/$B$3,2)</f>
        <v>5</v>
      </c>
      <c r="H13" s="176">
        <f>ROUND(F13/$B$4,2)</f>
        <v>3.33</v>
      </c>
      <c r="I13" s="193">
        <v>5</v>
      </c>
    </row>
    <row r="15" spans="1:20" ht="19.5" thickBot="1" x14ac:dyDescent="0.35">
      <c r="A15" s="30" t="s">
        <v>181</v>
      </c>
      <c r="B15" s="36"/>
      <c r="C15" s="36"/>
      <c r="F15" s="382" t="s">
        <v>203</v>
      </c>
      <c r="G15" s="383"/>
      <c r="H15" s="384"/>
      <c r="I15" s="382" t="s">
        <v>270</v>
      </c>
      <c r="J15" s="383"/>
      <c r="K15" s="384"/>
      <c r="L15" s="382" t="s">
        <v>281</v>
      </c>
      <c r="M15" s="383"/>
      <c r="N15" s="384"/>
      <c r="O15" s="382" t="s">
        <v>282</v>
      </c>
      <c r="P15" s="383"/>
      <c r="Q15" s="384"/>
      <c r="R15" s="382" t="s">
        <v>283</v>
      </c>
      <c r="S15" s="383"/>
      <c r="T15" s="384"/>
    </row>
    <row r="16" spans="1:20" ht="15.75" thickBot="1" x14ac:dyDescent="0.3">
      <c r="E16" s="108" t="s">
        <v>4</v>
      </c>
      <c r="F16" s="108" t="s">
        <v>187</v>
      </c>
      <c r="G16" s="206" t="s">
        <v>52</v>
      </c>
      <c r="H16" s="205" t="s">
        <v>53</v>
      </c>
      <c r="I16" s="204" t="s">
        <v>271</v>
      </c>
      <c r="J16" s="194" t="s">
        <v>268</v>
      </c>
      <c r="K16" s="208" t="s">
        <v>269</v>
      </c>
      <c r="L16" s="209" t="s">
        <v>272</v>
      </c>
      <c r="M16" s="194" t="s">
        <v>273</v>
      </c>
      <c r="N16" s="208" t="s">
        <v>274</v>
      </c>
      <c r="O16" s="211" t="s">
        <v>275</v>
      </c>
      <c r="P16" s="212" t="s">
        <v>276</v>
      </c>
      <c r="Q16" s="214" t="s">
        <v>277</v>
      </c>
      <c r="R16" s="211" t="s">
        <v>278</v>
      </c>
      <c r="S16" s="212" t="s">
        <v>279</v>
      </c>
      <c r="T16" s="213" t="s">
        <v>280</v>
      </c>
    </row>
    <row r="17" spans="1:20" x14ac:dyDescent="0.25">
      <c r="A17" s="154" t="s">
        <v>52</v>
      </c>
      <c r="B17" s="155">
        <v>6000</v>
      </c>
      <c r="C17" s="156" t="s">
        <v>54</v>
      </c>
      <c r="E17" s="108" t="s">
        <v>191</v>
      </c>
      <c r="F17" s="164">
        <v>20</v>
      </c>
      <c r="G17" s="175">
        <f>F17/$B$3</f>
        <v>2</v>
      </c>
      <c r="H17" s="167">
        <f t="shared" ref="H17:H33" si="1">ROUND(F17/$B$4,2)</f>
        <v>1.33</v>
      </c>
      <c r="I17" s="164">
        <v>1700</v>
      </c>
      <c r="J17" s="175">
        <f>Table9[[#This Row],[Dis. 1 price (SC or HC)]]/$B$17</f>
        <v>0.28333333333333333</v>
      </c>
      <c r="K17" s="175">
        <f>Table9[[#This Row],[Dis. 1 price (SC or HC)]]/$B$18</f>
        <v>0.11111111111111112</v>
      </c>
      <c r="L17" s="210">
        <v>5</v>
      </c>
      <c r="M17" s="175">
        <f>Table9[[#This Row],[Dis. 2 price (SC or HC)]]/$B$3</f>
        <v>0.5</v>
      </c>
      <c r="N17" s="175">
        <f>Table9[[#This Row],[Dis. 2 price (SC or HC)]]/$B$4</f>
        <v>0.33333333333333331</v>
      </c>
      <c r="O17" s="217" t="s">
        <v>152</v>
      </c>
      <c r="P17" s="175" t="s">
        <v>152</v>
      </c>
      <c r="Q17" s="175" t="s">
        <v>152</v>
      </c>
      <c r="R17" s="217" t="s">
        <v>152</v>
      </c>
      <c r="S17" s="175" t="s">
        <v>152</v>
      </c>
      <c r="T17" s="175" t="s">
        <v>152</v>
      </c>
    </row>
    <row r="18" spans="1:20" ht="15.75" thickBot="1" x14ac:dyDescent="0.3">
      <c r="A18" s="157" t="s">
        <v>53</v>
      </c>
      <c r="B18" s="158">
        <f>B26/(A26/B4)</f>
        <v>15299.999999999998</v>
      </c>
      <c r="C18" s="159" t="s">
        <v>54</v>
      </c>
      <c r="E18" s="108" t="s">
        <v>194</v>
      </c>
      <c r="F18" s="164">
        <v>35</v>
      </c>
      <c r="G18" s="183">
        <f t="shared" ref="G18:G33" si="2">F18/$B$3</f>
        <v>3.5</v>
      </c>
      <c r="H18" s="168">
        <f t="shared" si="1"/>
        <v>2.33</v>
      </c>
      <c r="I18" s="164">
        <v>5300</v>
      </c>
      <c r="J18" s="183">
        <f>Table9[[#This Row],[Dis. 1 price (SC or HC)]]/$B$17</f>
        <v>0.8833333333333333</v>
      </c>
      <c r="K18" s="183">
        <f>Table9[[#This Row],[Dis. 1 price (SC or HC)]]/$B$18</f>
        <v>0.34640522875816998</v>
      </c>
      <c r="L18" s="210">
        <v>10</v>
      </c>
      <c r="M18" s="183">
        <f>Table9[[#This Row],[Dis. 2 price (SC or HC)]]/$B$3</f>
        <v>1</v>
      </c>
      <c r="N18" s="183">
        <f>Table9[[#This Row],[Dis. 2 price (SC or HC)]]/$B$4</f>
        <v>0.66666666666666663</v>
      </c>
      <c r="O18" s="216" t="s">
        <v>152</v>
      </c>
      <c r="P18" s="183" t="s">
        <v>152</v>
      </c>
      <c r="Q18" s="183" t="s">
        <v>152</v>
      </c>
      <c r="R18" s="216" t="s">
        <v>152</v>
      </c>
      <c r="S18" s="183" t="s">
        <v>152</v>
      </c>
      <c r="T18" s="183" t="s">
        <v>152</v>
      </c>
    </row>
    <row r="19" spans="1:20" x14ac:dyDescent="0.25">
      <c r="A19" t="s">
        <v>259</v>
      </c>
      <c r="E19" s="108" t="s">
        <v>192</v>
      </c>
      <c r="F19" s="164">
        <v>40</v>
      </c>
      <c r="G19" s="175">
        <f>F19/$B$3</f>
        <v>4</v>
      </c>
      <c r="H19" s="167">
        <f t="shared" si="1"/>
        <v>2.67</v>
      </c>
      <c r="I19" s="164">
        <v>10000</v>
      </c>
      <c r="J19" s="175">
        <f>Table9[[#This Row],[Dis. 1 price (SC or HC)]]/$B$17</f>
        <v>1.6666666666666667</v>
      </c>
      <c r="K19" s="175">
        <f>Table9[[#This Row],[Dis. 1 price (SC or HC)]]/$B$18</f>
        <v>0.65359477124183019</v>
      </c>
      <c r="L19" s="210">
        <v>10000</v>
      </c>
      <c r="M19" s="175">
        <f>Table9[[#This Row],[Dis. 2 price (SC or HC)]]/$B$17</f>
        <v>1.6666666666666667</v>
      </c>
      <c r="N19" s="175">
        <f>Table9[[#This Row],[Dis. 2 price (SC or HC)]]/$B$18</f>
        <v>0.65359477124183019</v>
      </c>
      <c r="O19" s="210">
        <v>15</v>
      </c>
      <c r="P19" s="175">
        <f>Table9[[#This Row],[Dis. 3 price (SC or HC)]]/$B$3</f>
        <v>1.5</v>
      </c>
      <c r="Q19" s="175">
        <f>Table9[[#This Row],[Dis. 3 price (SC or HC)]]/$B$4</f>
        <v>1</v>
      </c>
      <c r="R19" s="216" t="s">
        <v>152</v>
      </c>
      <c r="S19" s="175" t="s">
        <v>152</v>
      </c>
      <c r="T19" s="175" t="s">
        <v>152</v>
      </c>
    </row>
    <row r="20" spans="1:20" x14ac:dyDescent="0.25">
      <c r="A20" s="108" t="s">
        <v>260</v>
      </c>
      <c r="B20" s="169" t="s">
        <v>50</v>
      </c>
      <c r="C20" s="108" t="s">
        <v>47</v>
      </c>
      <c r="E20" s="108" t="s">
        <v>193</v>
      </c>
      <c r="F20" s="164">
        <v>50</v>
      </c>
      <c r="G20" s="183">
        <f t="shared" si="2"/>
        <v>5</v>
      </c>
      <c r="H20" s="168">
        <f>ROUND(F20/$B$4,2)</f>
        <v>3.33</v>
      </c>
      <c r="I20" s="164">
        <v>30000</v>
      </c>
      <c r="J20" s="183">
        <f>Table9[[#This Row],[Dis. 1 price (SC or HC)]]/$B$17</f>
        <v>5</v>
      </c>
      <c r="K20" s="183">
        <f>Table9[[#This Row],[Dis. 1 price (SC or HC)]]/$B$18</f>
        <v>1.9607843137254903</v>
      </c>
      <c r="L20" s="210">
        <v>30000</v>
      </c>
      <c r="M20" s="183">
        <f>Table9[[#This Row],[Dis. 2 price (SC or HC)]]/$B$17</f>
        <v>5</v>
      </c>
      <c r="N20" s="183">
        <f>Table9[[#This Row],[Dis. 2 price (SC or HC)]]/$B$18</f>
        <v>1.9607843137254903</v>
      </c>
      <c r="O20" s="210">
        <v>15</v>
      </c>
      <c r="P20" s="183">
        <f>Table9[[#This Row],[Dis. 3 price (SC or HC)]]/$B$3</f>
        <v>1.5</v>
      </c>
      <c r="Q20" s="183">
        <f>Table9[[#This Row],[Dis. 3 price (SC or HC)]]/$B$4</f>
        <v>1</v>
      </c>
      <c r="R20" s="216" t="s">
        <v>152</v>
      </c>
      <c r="S20" s="183" t="s">
        <v>152</v>
      </c>
      <c r="T20" s="183" t="s">
        <v>152</v>
      </c>
    </row>
    <row r="21" spans="1:20" x14ac:dyDescent="0.25">
      <c r="A21" s="108">
        <v>5</v>
      </c>
      <c r="B21" s="169">
        <f>ROUND((($B$17/$B$3)*Table479[[#This Row],[Price HC]])+((($B$17/$B$3)*Table479[[#This Row],[Price HC]])*Table479[[#This Row],[Discount]]),0)</f>
        <v>3000</v>
      </c>
      <c r="C21" s="161">
        <v>0</v>
      </c>
      <c r="E21" s="108" t="s">
        <v>195</v>
      </c>
      <c r="F21" s="164">
        <v>80</v>
      </c>
      <c r="G21" s="175">
        <f t="shared" si="2"/>
        <v>8</v>
      </c>
      <c r="H21" s="167">
        <f t="shared" si="1"/>
        <v>5.33</v>
      </c>
      <c r="I21" s="164">
        <v>58000</v>
      </c>
      <c r="J21" s="175">
        <f>Table9[[#This Row],[Dis. 1 price (SC or HC)]]/$B$17</f>
        <v>9.6666666666666661</v>
      </c>
      <c r="K21" s="175">
        <f>Table9[[#This Row],[Dis. 1 price (SC or HC)]]/$B$18</f>
        <v>3.7908496732026147</v>
      </c>
      <c r="L21" s="210">
        <v>58000</v>
      </c>
      <c r="M21" s="175">
        <f>Table9[[#This Row],[Dis. 2 price (SC or HC)]]/$B$17</f>
        <v>9.6666666666666661</v>
      </c>
      <c r="N21" s="175">
        <f>Table9[[#This Row],[Dis. 2 price (SC or HC)]]/$B$18</f>
        <v>3.7908496732026147</v>
      </c>
      <c r="O21" s="210">
        <v>15</v>
      </c>
      <c r="P21" s="175">
        <f>Table9[[#This Row],[Dis. 3 price (SC or HC)]]/$B$3</f>
        <v>1.5</v>
      </c>
      <c r="Q21" s="175">
        <f>Table9[[#This Row],[Dis. 3 price (SC or HC)]]/$B$4</f>
        <v>1</v>
      </c>
      <c r="R21" s="216" t="s">
        <v>152</v>
      </c>
      <c r="S21" s="175" t="s">
        <v>152</v>
      </c>
      <c r="T21" s="175" t="s">
        <v>152</v>
      </c>
    </row>
    <row r="22" spans="1:20" x14ac:dyDescent="0.25">
      <c r="A22" s="108">
        <v>20</v>
      </c>
      <c r="B22" s="169">
        <f>ROUND((($B$17/$B$3)*Table479[[#This Row],[Price HC]])+((($B$17/$B$3)*Table479[[#This Row],[Price HC]])*Table479[[#This Row],[Discount]]),0)</f>
        <v>13200</v>
      </c>
      <c r="C22" s="163">
        <v>0.1</v>
      </c>
      <c r="E22" s="108" t="s">
        <v>196</v>
      </c>
      <c r="F22" s="164">
        <v>100</v>
      </c>
      <c r="G22" s="183">
        <f t="shared" si="2"/>
        <v>10</v>
      </c>
      <c r="H22" s="168">
        <f t="shared" si="1"/>
        <v>6.67</v>
      </c>
      <c r="I22" s="164">
        <v>75000</v>
      </c>
      <c r="J22" s="183">
        <f>Table9[[#This Row],[Dis. 1 price (SC or HC)]]/$B$17</f>
        <v>12.5</v>
      </c>
      <c r="K22" s="183">
        <f>Table9[[#This Row],[Dis. 1 price (SC or HC)]]/$B$18</f>
        <v>4.9019607843137258</v>
      </c>
      <c r="L22" s="210">
        <v>75000</v>
      </c>
      <c r="M22" s="183">
        <f>Table9[[#This Row],[Dis. 2 price (SC or HC)]]/$B$17</f>
        <v>12.5</v>
      </c>
      <c r="N22" s="183">
        <f>Table9[[#This Row],[Dis. 2 price (SC or HC)]]/$B$18</f>
        <v>4.9019607843137258</v>
      </c>
      <c r="O22" s="210">
        <v>75000</v>
      </c>
      <c r="P22" s="183">
        <f>Table9[[#This Row],[Dis. 3 price (SC or HC)]]/$B$17</f>
        <v>12.5</v>
      </c>
      <c r="Q22" s="183">
        <f>Table9[[#This Row],[Dis. 3 price (SC or HC)]]/$B$18</f>
        <v>4.9019607843137258</v>
      </c>
      <c r="R22" s="210">
        <v>45</v>
      </c>
      <c r="S22" s="183">
        <f>Table9[[#This Row],[Dis. 4 price (SC or HC)]]/$B$3</f>
        <v>4.5</v>
      </c>
      <c r="T22" s="183">
        <f>Table9[[#This Row],[Dis. 4 price (SC or HC)]]/$B$4</f>
        <v>3</v>
      </c>
    </row>
    <row r="23" spans="1:20" x14ac:dyDescent="0.25">
      <c r="A23" s="108">
        <v>50</v>
      </c>
      <c r="B23" s="169">
        <f>ROUND((($B$17/$B$3)*Table479[[#This Row],[Price HC]])+((($B$17/$B$3)*Table479[[#This Row],[Price HC]])*Table479[[#This Row],[Discount]]),0)</f>
        <v>36000</v>
      </c>
      <c r="C23" s="161">
        <v>0.2</v>
      </c>
      <c r="E23" s="108" t="s">
        <v>197</v>
      </c>
      <c r="F23" s="164">
        <v>140</v>
      </c>
      <c r="G23" s="175">
        <f t="shared" si="2"/>
        <v>14</v>
      </c>
      <c r="H23" s="167">
        <f t="shared" si="1"/>
        <v>9.33</v>
      </c>
      <c r="I23" s="164">
        <v>80000</v>
      </c>
      <c r="J23" s="175">
        <f>Table9[[#This Row],[Dis. 1 price (SC or HC)]]/$B$17</f>
        <v>13.333333333333334</v>
      </c>
      <c r="K23" s="175">
        <f>Table9[[#This Row],[Dis. 1 price (SC or HC)]]/$B$18</f>
        <v>5.2287581699346415</v>
      </c>
      <c r="L23" s="210">
        <v>80000</v>
      </c>
      <c r="M23" s="175">
        <f>Table9[[#This Row],[Dis. 2 price (SC or HC)]]/$B$17</f>
        <v>13.333333333333334</v>
      </c>
      <c r="N23" s="175">
        <f>Table9[[#This Row],[Dis. 2 price (SC or HC)]]/$B$18</f>
        <v>5.2287581699346415</v>
      </c>
      <c r="O23" s="210">
        <v>80000</v>
      </c>
      <c r="P23" s="175">
        <f>Table9[[#This Row],[Dis. 3 price (SC or HC)]]/$B$17</f>
        <v>13.333333333333334</v>
      </c>
      <c r="Q23" s="175">
        <f>Table9[[#This Row],[Dis. 3 price (SC or HC)]]/$B$18</f>
        <v>5.2287581699346415</v>
      </c>
      <c r="R23" s="210">
        <v>45</v>
      </c>
      <c r="S23" s="175">
        <f>Table9[[#This Row],[Dis. 4 price (SC or HC)]]/$B$3</f>
        <v>4.5</v>
      </c>
      <c r="T23" s="175">
        <f>Table9[[#This Row],[Dis. 4 price (SC or HC)]]/$B$4</f>
        <v>3</v>
      </c>
    </row>
    <row r="24" spans="1:20" x14ac:dyDescent="0.25">
      <c r="A24" s="108">
        <v>350</v>
      </c>
      <c r="B24" s="169">
        <f>ROUND((($B$17/$B$3)*Table479[[#This Row],[Price HC]])+((($B$17/$B$3)*Table479[[#This Row],[Price HC]])*Table479[[#This Row],[Discount]]),0)</f>
        <v>294000</v>
      </c>
      <c r="C24" s="163">
        <v>0.4</v>
      </c>
      <c r="E24" s="108" t="s">
        <v>198</v>
      </c>
      <c r="F24" s="164">
        <v>175</v>
      </c>
      <c r="G24" s="183">
        <f t="shared" si="2"/>
        <v>17.5</v>
      </c>
      <c r="H24" s="168">
        <f t="shared" si="1"/>
        <v>11.67</v>
      </c>
      <c r="I24" s="164">
        <v>85000</v>
      </c>
      <c r="J24" s="183">
        <f>Table9[[#This Row],[Dis. 1 price (SC or HC)]]/$B$17</f>
        <v>14.166666666666666</v>
      </c>
      <c r="K24" s="183">
        <f>Table9[[#This Row],[Dis. 1 price (SC or HC)]]/$B$18</f>
        <v>5.5555555555555562</v>
      </c>
      <c r="L24" s="210">
        <v>85000</v>
      </c>
      <c r="M24" s="183">
        <f>Table9[[#This Row],[Dis. 2 price (SC or HC)]]/$B$17</f>
        <v>14.166666666666666</v>
      </c>
      <c r="N24" s="183">
        <f>Table9[[#This Row],[Dis. 2 price (SC or HC)]]/$B$18</f>
        <v>5.5555555555555562</v>
      </c>
      <c r="O24" s="210">
        <v>85000</v>
      </c>
      <c r="P24" s="183">
        <f>Table9[[#This Row],[Dis. 3 price (SC or HC)]]/$B$17</f>
        <v>14.166666666666666</v>
      </c>
      <c r="Q24" s="183">
        <f>Table9[[#This Row],[Dis. 3 price (SC or HC)]]/$B$18</f>
        <v>5.5555555555555562</v>
      </c>
      <c r="R24" s="210">
        <v>45</v>
      </c>
      <c r="S24" s="183">
        <f>Table9[[#This Row],[Dis. 4 price (SC or HC)]]/$B$3</f>
        <v>4.5</v>
      </c>
      <c r="T24" s="183">
        <f>Table9[[#This Row],[Dis. 4 price (SC or HC)]]/$B$4</f>
        <v>3</v>
      </c>
    </row>
    <row r="25" spans="1:20" x14ac:dyDescent="0.25">
      <c r="A25" s="108">
        <v>400</v>
      </c>
      <c r="B25" s="169">
        <f>ROUND((($B$17/$B$3)*Table479[[#This Row],[Price HC]])+((($B$17/$B$3)*Table479[[#This Row],[Price HC]])*Table479[[#This Row],[Discount]]),0)</f>
        <v>360000</v>
      </c>
      <c r="C25" s="161">
        <v>0.5</v>
      </c>
      <c r="E25" s="108" t="s">
        <v>199</v>
      </c>
      <c r="F25" s="164">
        <v>350</v>
      </c>
      <c r="G25" s="175">
        <f t="shared" si="2"/>
        <v>35</v>
      </c>
      <c r="H25" s="167">
        <f t="shared" si="1"/>
        <v>23.33</v>
      </c>
      <c r="I25" s="164">
        <v>95000</v>
      </c>
      <c r="J25" s="175">
        <f>Table9[[#This Row],[Dis. 1 price (SC or HC)]]/$B$17</f>
        <v>15.833333333333334</v>
      </c>
      <c r="K25" s="175">
        <f>Table9[[#This Row],[Dis. 1 price (SC or HC)]]/$B$18</f>
        <v>6.2091503267973867</v>
      </c>
      <c r="L25" s="210">
        <v>95000</v>
      </c>
      <c r="M25" s="175">
        <f>Table9[[#This Row],[Dis. 2 price (SC or HC)]]/$B$17</f>
        <v>15.833333333333334</v>
      </c>
      <c r="N25" s="175">
        <f>Table9[[#This Row],[Dis. 2 price (SC or HC)]]/$B$18</f>
        <v>6.2091503267973867</v>
      </c>
      <c r="O25" s="210">
        <v>95000</v>
      </c>
      <c r="P25" s="175">
        <f>Table9[[#This Row],[Dis. 3 price (SC or HC)]]/$B$17</f>
        <v>15.833333333333334</v>
      </c>
      <c r="Q25" s="175">
        <f>Table9[[#This Row],[Dis. 3 price (SC or HC)]]/$B$18</f>
        <v>6.2091503267973867</v>
      </c>
      <c r="R25" s="210">
        <v>45</v>
      </c>
      <c r="S25" s="175">
        <f>Table9[[#This Row],[Dis. 4 price (SC or HC)]]/$B$3</f>
        <v>4.5</v>
      </c>
      <c r="T25" s="175">
        <f>Table9[[#This Row],[Dis. 4 price (SC or HC)]]/$B$4</f>
        <v>3</v>
      </c>
    </row>
    <row r="26" spans="1:20" x14ac:dyDescent="0.25">
      <c r="A26" s="108">
        <v>1000</v>
      </c>
      <c r="B26" s="169">
        <f>ROUND((($B$17/$B$3)*Table479[[#This Row],[Price HC]])+((($B$17/$B$3)*Table479[[#This Row],[Price HC]])*Table479[[#This Row],[Discount]]),0)</f>
        <v>1020000</v>
      </c>
      <c r="C26" s="163">
        <v>0.7</v>
      </c>
      <c r="E26" s="108" t="s">
        <v>200</v>
      </c>
      <c r="F26" s="164">
        <v>400</v>
      </c>
      <c r="G26" s="183">
        <f t="shared" si="2"/>
        <v>40</v>
      </c>
      <c r="H26" s="168">
        <f t="shared" si="1"/>
        <v>26.67</v>
      </c>
      <c r="I26" s="164">
        <v>135000</v>
      </c>
      <c r="J26" s="183">
        <f>Table9[[#This Row],[Dis. 1 price (SC or HC)]]/$B$17</f>
        <v>22.5</v>
      </c>
      <c r="K26" s="183">
        <f>Table9[[#This Row],[Dis. 1 price (SC or HC)]]/$B$18</f>
        <v>8.8235294117647065</v>
      </c>
      <c r="L26" s="210">
        <v>135000</v>
      </c>
      <c r="M26" s="183">
        <f>Table9[[#This Row],[Dis. 2 price (SC or HC)]]/$B$17</f>
        <v>22.5</v>
      </c>
      <c r="N26" s="183">
        <f>Table9[[#This Row],[Dis. 2 price (SC or HC)]]/$B$18</f>
        <v>8.8235294117647065</v>
      </c>
      <c r="O26" s="210">
        <v>135000</v>
      </c>
      <c r="P26" s="183">
        <f>Table9[[#This Row],[Dis. 3 price (SC or HC)]]/$B$17</f>
        <v>22.5</v>
      </c>
      <c r="Q26" s="183">
        <f>Table9[[#This Row],[Dis. 3 price (SC or HC)]]/$B$18</f>
        <v>8.8235294117647065</v>
      </c>
      <c r="R26" s="210">
        <v>45</v>
      </c>
      <c r="S26" s="183">
        <f>Table9[[#This Row],[Dis. 4 price (SC or HC)]]/$B$3</f>
        <v>4.5</v>
      </c>
      <c r="T26" s="183">
        <f>Table9[[#This Row],[Dis. 4 price (SC or HC)]]/$B$4</f>
        <v>3</v>
      </c>
    </row>
    <row r="27" spans="1:20" x14ac:dyDescent="0.25">
      <c r="A27" s="108"/>
      <c r="B27" s="108"/>
      <c r="C27" s="108"/>
      <c r="E27" s="108" t="s">
        <v>201</v>
      </c>
      <c r="F27" s="164">
        <v>450</v>
      </c>
      <c r="G27" s="175">
        <f t="shared" si="2"/>
        <v>45</v>
      </c>
      <c r="H27" s="167">
        <f t="shared" si="1"/>
        <v>30</v>
      </c>
      <c r="I27" s="164">
        <v>155000</v>
      </c>
      <c r="J27" s="175">
        <f>Table9[[#This Row],[Dis. 1 price (SC or HC)]]/$B$17</f>
        <v>25.833333333333332</v>
      </c>
      <c r="K27" s="175">
        <f>Table9[[#This Row],[Dis. 1 price (SC or HC)]]/$B$18</f>
        <v>10.130718954248367</v>
      </c>
      <c r="L27" s="210">
        <v>155000</v>
      </c>
      <c r="M27" s="175">
        <f>Table9[[#This Row],[Dis. 2 price (SC or HC)]]/$B$17</f>
        <v>25.833333333333332</v>
      </c>
      <c r="N27" s="175">
        <f>Table9[[#This Row],[Dis. 2 price (SC or HC)]]/$B$18</f>
        <v>10.130718954248367</v>
      </c>
      <c r="O27" s="210">
        <v>155000</v>
      </c>
      <c r="P27" s="175">
        <f>Table9[[#This Row],[Dis. 3 price (SC or HC)]]/$B$17</f>
        <v>25.833333333333332</v>
      </c>
      <c r="Q27" s="175">
        <f>Table9[[#This Row],[Dis. 3 price (SC or HC)]]/$B$18</f>
        <v>10.130718954248367</v>
      </c>
      <c r="R27" s="210">
        <v>45</v>
      </c>
      <c r="S27" s="175">
        <f>Table9[[#This Row],[Dis. 4 price (SC or HC)]]/$B$3</f>
        <v>4.5</v>
      </c>
      <c r="T27" s="175">
        <f>Table9[[#This Row],[Dis. 4 price (SC or HC)]]/$B$4</f>
        <v>3</v>
      </c>
    </row>
    <row r="28" spans="1:20" ht="18.75" x14ac:dyDescent="0.3">
      <c r="A28" s="30" t="s">
        <v>261</v>
      </c>
      <c r="B28" s="36"/>
      <c r="C28" s="36"/>
      <c r="E28" s="108" t="s">
        <v>219</v>
      </c>
      <c r="F28" s="164">
        <v>550</v>
      </c>
      <c r="G28" s="183">
        <f t="shared" si="2"/>
        <v>55</v>
      </c>
      <c r="H28" s="168">
        <f t="shared" si="1"/>
        <v>36.67</v>
      </c>
      <c r="I28" s="164">
        <v>300000</v>
      </c>
      <c r="J28" s="183">
        <f>Table9[[#This Row],[Dis. 1 price (SC or HC)]]/$B$17</f>
        <v>50</v>
      </c>
      <c r="K28" s="183">
        <f>Table9[[#This Row],[Dis. 1 price (SC or HC)]]/$B$18</f>
        <v>19.607843137254903</v>
      </c>
      <c r="L28" s="210">
        <v>300000</v>
      </c>
      <c r="M28" s="183">
        <f>Table9[[#This Row],[Dis. 2 price (SC or HC)]]/$B$17</f>
        <v>50</v>
      </c>
      <c r="N28" s="183">
        <f>Table9[[#This Row],[Dis. 2 price (SC or HC)]]/$B$18</f>
        <v>19.607843137254903</v>
      </c>
      <c r="O28" s="210">
        <v>300000</v>
      </c>
      <c r="P28" s="183">
        <f>Table9[[#This Row],[Dis. 3 price (SC or HC)]]/$B$17</f>
        <v>50</v>
      </c>
      <c r="Q28" s="183">
        <f>Table9[[#This Row],[Dis. 3 price (SC or HC)]]/$B$18</f>
        <v>19.607843137254903</v>
      </c>
      <c r="R28" s="210">
        <v>45</v>
      </c>
      <c r="S28" s="183">
        <f>Table9[[#This Row],[Dis. 4 price (SC or HC)]]/$B$3</f>
        <v>4.5</v>
      </c>
      <c r="T28" s="183">
        <f>Table9[[#This Row],[Dis. 4 price (SC or HC)]]/$B$4</f>
        <v>3</v>
      </c>
    </row>
    <row r="29" spans="1:20" x14ac:dyDescent="0.25">
      <c r="A29" s="108"/>
      <c r="B29" s="108"/>
      <c r="C29" s="108"/>
      <c r="E29" s="108" t="s">
        <v>236</v>
      </c>
      <c r="F29" s="164">
        <v>95</v>
      </c>
      <c r="G29" s="175">
        <f>F29/$B$3</f>
        <v>9.5</v>
      </c>
      <c r="H29" s="167">
        <f t="shared" si="1"/>
        <v>6.33</v>
      </c>
      <c r="I29" s="215" t="s">
        <v>152</v>
      </c>
      <c r="J29" s="219" t="s">
        <v>152</v>
      </c>
      <c r="K29" s="219" t="s">
        <v>152</v>
      </c>
      <c r="L29" s="216" t="s">
        <v>152</v>
      </c>
      <c r="M29" s="219" t="s">
        <v>152</v>
      </c>
      <c r="N29" s="219" t="s">
        <v>152</v>
      </c>
      <c r="O29" s="216" t="s">
        <v>152</v>
      </c>
      <c r="P29" s="219" t="s">
        <v>152</v>
      </c>
      <c r="Q29" s="219" t="s">
        <v>152</v>
      </c>
      <c r="R29" s="216" t="s">
        <v>152</v>
      </c>
      <c r="S29" s="219" t="s">
        <v>152</v>
      </c>
      <c r="T29" s="219" t="s">
        <v>152</v>
      </c>
    </row>
    <row r="30" spans="1:20" x14ac:dyDescent="0.25">
      <c r="A30" s="151" t="s">
        <v>262</v>
      </c>
      <c r="B30" s="151" t="s">
        <v>263</v>
      </c>
      <c r="C30" s="108"/>
      <c r="E30" s="108" t="s">
        <v>237</v>
      </c>
      <c r="F30" s="164">
        <v>150</v>
      </c>
      <c r="G30" s="183">
        <f>F30/$B$3</f>
        <v>15</v>
      </c>
      <c r="H30" s="168">
        <f>ROUND(F30/$B$4,2)</f>
        <v>10</v>
      </c>
      <c r="I30" s="215" t="s">
        <v>152</v>
      </c>
      <c r="J30" s="218" t="s">
        <v>152</v>
      </c>
      <c r="K30" s="218" t="s">
        <v>152</v>
      </c>
      <c r="L30" s="216" t="s">
        <v>152</v>
      </c>
      <c r="M30" s="218" t="s">
        <v>152</v>
      </c>
      <c r="N30" s="218" t="s">
        <v>152</v>
      </c>
      <c r="O30" s="216" t="s">
        <v>152</v>
      </c>
      <c r="P30" s="218" t="s">
        <v>152</v>
      </c>
      <c r="Q30" s="218" t="s">
        <v>152</v>
      </c>
      <c r="R30" s="216" t="s">
        <v>152</v>
      </c>
      <c r="S30" s="218" t="s">
        <v>152</v>
      </c>
      <c r="T30" s="218" t="s">
        <v>152</v>
      </c>
    </row>
    <row r="31" spans="1:20" x14ac:dyDescent="0.25">
      <c r="A31" s="165">
        <v>10</v>
      </c>
      <c r="B31" s="160">
        <f>A31/B3</f>
        <v>1</v>
      </c>
      <c r="C31" s="108"/>
      <c r="E31" s="108" t="s">
        <v>238</v>
      </c>
      <c r="F31" s="164">
        <v>200</v>
      </c>
      <c r="G31" s="175">
        <f t="shared" si="2"/>
        <v>20</v>
      </c>
      <c r="H31" s="167">
        <f t="shared" si="1"/>
        <v>13.33</v>
      </c>
      <c r="I31" s="215" t="s">
        <v>152</v>
      </c>
      <c r="J31" s="219" t="s">
        <v>152</v>
      </c>
      <c r="K31" s="219" t="s">
        <v>152</v>
      </c>
      <c r="L31" s="216" t="s">
        <v>152</v>
      </c>
      <c r="M31" s="219" t="s">
        <v>152</v>
      </c>
      <c r="N31" s="219" t="s">
        <v>152</v>
      </c>
      <c r="O31" s="216" t="s">
        <v>152</v>
      </c>
      <c r="P31" s="219" t="s">
        <v>152</v>
      </c>
      <c r="Q31" s="219" t="s">
        <v>152</v>
      </c>
      <c r="R31" s="216" t="s">
        <v>152</v>
      </c>
      <c r="S31" s="219" t="s">
        <v>152</v>
      </c>
      <c r="T31" s="219" t="s">
        <v>152</v>
      </c>
    </row>
    <row r="32" spans="1:20" x14ac:dyDescent="0.25">
      <c r="E32" s="108" t="s">
        <v>239</v>
      </c>
      <c r="F32" s="164">
        <v>250</v>
      </c>
      <c r="G32" s="183">
        <f t="shared" si="2"/>
        <v>25</v>
      </c>
      <c r="H32" s="168">
        <f t="shared" si="1"/>
        <v>16.670000000000002</v>
      </c>
      <c r="I32" s="215" t="s">
        <v>152</v>
      </c>
      <c r="J32" s="218" t="s">
        <v>152</v>
      </c>
      <c r="K32" s="218" t="s">
        <v>152</v>
      </c>
      <c r="L32" s="216" t="s">
        <v>152</v>
      </c>
      <c r="M32" s="218" t="s">
        <v>152</v>
      </c>
      <c r="N32" s="218" t="s">
        <v>152</v>
      </c>
      <c r="O32" s="216" t="s">
        <v>152</v>
      </c>
      <c r="P32" s="218" t="s">
        <v>152</v>
      </c>
      <c r="Q32" s="218" t="s">
        <v>152</v>
      </c>
      <c r="R32" s="216" t="s">
        <v>152</v>
      </c>
      <c r="S32" s="218" t="s">
        <v>152</v>
      </c>
      <c r="T32" s="218" t="s">
        <v>152</v>
      </c>
    </row>
    <row r="33" spans="1:20" ht="19.5" thickBot="1" x14ac:dyDescent="0.35">
      <c r="A33" s="30" t="s">
        <v>232</v>
      </c>
      <c r="B33" s="36"/>
      <c r="C33" s="36"/>
      <c r="E33" s="108" t="s">
        <v>240</v>
      </c>
      <c r="F33" s="164">
        <v>300</v>
      </c>
      <c r="G33" s="207">
        <f t="shared" si="2"/>
        <v>30</v>
      </c>
      <c r="H33" s="166">
        <f t="shared" si="1"/>
        <v>20</v>
      </c>
      <c r="I33" s="215" t="s">
        <v>152</v>
      </c>
      <c r="J33" s="220" t="s">
        <v>152</v>
      </c>
      <c r="K33" s="220" t="s">
        <v>152</v>
      </c>
      <c r="L33" s="216" t="s">
        <v>152</v>
      </c>
      <c r="M33" s="220" t="s">
        <v>152</v>
      </c>
      <c r="N33" s="220" t="s">
        <v>152</v>
      </c>
      <c r="O33" s="216" t="s">
        <v>152</v>
      </c>
      <c r="P33" s="220" t="s">
        <v>152</v>
      </c>
      <c r="Q33" s="220" t="s">
        <v>152</v>
      </c>
      <c r="R33" s="216" t="s">
        <v>152</v>
      </c>
      <c r="S33" s="220" t="s">
        <v>152</v>
      </c>
      <c r="T33" s="220" t="s">
        <v>152</v>
      </c>
    </row>
    <row r="34" spans="1:20" ht="15.75" thickBot="1" x14ac:dyDescent="0.3"/>
    <row r="35" spans="1:20" x14ac:dyDescent="0.25">
      <c r="A35" s="4" t="s">
        <v>52</v>
      </c>
      <c r="B35" s="3">
        <f>B3/F3</f>
        <v>1</v>
      </c>
      <c r="C35" s="4" t="s">
        <v>54</v>
      </c>
      <c r="E35" s="186">
        <f>B17/B3</f>
        <v>600</v>
      </c>
      <c r="F35" s="187" t="s">
        <v>49</v>
      </c>
      <c r="G35" s="188" t="s">
        <v>52</v>
      </c>
      <c r="M35" s="203"/>
    </row>
    <row r="36" spans="1:20" ht="15.75" thickBot="1" x14ac:dyDescent="0.3">
      <c r="A36" s="4" t="s">
        <v>53</v>
      </c>
      <c r="B36" s="5">
        <f>ROUND(B4/F3,1)</f>
        <v>1.5</v>
      </c>
      <c r="C36" s="4" t="s">
        <v>54</v>
      </c>
      <c r="E36" s="189">
        <f>B18/B4</f>
        <v>1019.9999999999999</v>
      </c>
      <c r="F36" s="190" t="s">
        <v>49</v>
      </c>
      <c r="G36" s="191" t="s">
        <v>53</v>
      </c>
      <c r="M36" s="101"/>
    </row>
    <row r="38" spans="1:20" ht="18.75" x14ac:dyDescent="0.3">
      <c r="A38" s="30" t="s">
        <v>188</v>
      </c>
      <c r="B38" s="36"/>
      <c r="C38" s="36"/>
      <c r="D38" t="s">
        <v>326</v>
      </c>
      <c r="E38" s="30" t="s">
        <v>233</v>
      </c>
      <c r="F38" s="36"/>
      <c r="G38" s="36"/>
      <c r="I38" s="30" t="s">
        <v>253</v>
      </c>
      <c r="J38" s="36"/>
      <c r="K38" s="36"/>
      <c r="M38" s="30" t="s">
        <v>254</v>
      </c>
      <c r="N38" s="36"/>
      <c r="O38" s="36"/>
    </row>
    <row r="40" spans="1:20" x14ac:dyDescent="0.25">
      <c r="A40" s="4" t="s">
        <v>52</v>
      </c>
      <c r="B40" s="3">
        <f>B3/F7</f>
        <v>0.5</v>
      </c>
      <c r="C40" s="4" t="s">
        <v>54</v>
      </c>
      <c r="E40" s="4" t="s">
        <v>52</v>
      </c>
      <c r="F40" s="3">
        <f>B3/F4</f>
        <v>0.5</v>
      </c>
      <c r="G40" s="4" t="s">
        <v>54</v>
      </c>
      <c r="I40" s="4" t="s">
        <v>52</v>
      </c>
      <c r="J40" s="3">
        <f>B3/F12</f>
        <v>0.33333333333333331</v>
      </c>
      <c r="K40" s="4" t="s">
        <v>54</v>
      </c>
      <c r="M40" s="4" t="s">
        <v>52</v>
      </c>
      <c r="N40" s="3">
        <f>B3/F13</f>
        <v>0.2</v>
      </c>
      <c r="O40" s="4" t="s">
        <v>54</v>
      </c>
    </row>
    <row r="41" spans="1:20" x14ac:dyDescent="0.25">
      <c r="A41" s="4" t="s">
        <v>53</v>
      </c>
      <c r="B41" s="5">
        <f>ROUND(B4/F7,1)</f>
        <v>0.8</v>
      </c>
      <c r="C41" s="4" t="s">
        <v>54</v>
      </c>
      <c r="E41" s="4" t="s">
        <v>53</v>
      </c>
      <c r="F41" s="3">
        <f>B4/F4</f>
        <v>0.75</v>
      </c>
      <c r="G41" s="4" t="s">
        <v>54</v>
      </c>
      <c r="I41" s="4" t="s">
        <v>53</v>
      </c>
      <c r="J41" s="3">
        <f>B4/F12</f>
        <v>0.5</v>
      </c>
      <c r="K41" s="4" t="s">
        <v>54</v>
      </c>
      <c r="M41" s="4" t="s">
        <v>53</v>
      </c>
      <c r="N41" s="3">
        <f>B4/F13</f>
        <v>0.3</v>
      </c>
      <c r="O41" s="4" t="s">
        <v>54</v>
      </c>
    </row>
    <row r="43" spans="1:20" ht="18.75" x14ac:dyDescent="0.3">
      <c r="A43" s="30" t="s">
        <v>189</v>
      </c>
      <c r="B43" s="36"/>
      <c r="C43" s="36"/>
    </row>
    <row r="45" spans="1:20" x14ac:dyDescent="0.25">
      <c r="A45" s="4" t="s">
        <v>52</v>
      </c>
      <c r="B45" s="3">
        <f>B3/F8</f>
        <v>0.2</v>
      </c>
      <c r="C45" s="4" t="s">
        <v>54</v>
      </c>
    </row>
    <row r="46" spans="1:20" x14ac:dyDescent="0.25">
      <c r="A46" s="4" t="s">
        <v>53</v>
      </c>
      <c r="B46" s="5">
        <f>ROUND(B4/F8,1)</f>
        <v>0.3</v>
      </c>
      <c r="C46" s="4" t="s">
        <v>54</v>
      </c>
    </row>
    <row r="48" spans="1:20" ht="18.75" x14ac:dyDescent="0.3">
      <c r="A48" s="30" t="s">
        <v>190</v>
      </c>
      <c r="B48" s="36"/>
      <c r="C48" s="36"/>
    </row>
    <row r="50" spans="1:15" x14ac:dyDescent="0.25">
      <c r="A50" s="4" t="s">
        <v>52</v>
      </c>
      <c r="B50" s="3">
        <f>B3/F9</f>
        <v>0.1</v>
      </c>
      <c r="C50" s="4" t="s">
        <v>54</v>
      </c>
    </row>
    <row r="51" spans="1:15" x14ac:dyDescent="0.25">
      <c r="A51" s="4" t="s">
        <v>53</v>
      </c>
      <c r="B51" s="5">
        <f>ROUND(B4/F9,1)</f>
        <v>0.2</v>
      </c>
      <c r="C51" s="4" t="s">
        <v>54</v>
      </c>
    </row>
    <row r="53" spans="1:15" ht="15" customHeight="1" x14ac:dyDescent="0.25">
      <c r="A53" s="385" t="s">
        <v>267</v>
      </c>
      <c r="B53" s="385"/>
      <c r="C53" s="385"/>
      <c r="D53" s="385"/>
      <c r="E53" s="385"/>
      <c r="F53" s="385"/>
      <c r="G53" s="385"/>
      <c r="H53" s="385"/>
      <c r="I53" s="385"/>
      <c r="J53" s="385"/>
      <c r="K53" s="385"/>
      <c r="L53" s="385"/>
      <c r="M53" s="385"/>
      <c r="N53" s="385"/>
      <c r="O53" s="385"/>
    </row>
    <row r="54" spans="1:15" ht="15" customHeight="1" x14ac:dyDescent="0.25">
      <c r="A54" s="385"/>
      <c r="B54" s="385"/>
      <c r="C54" s="385"/>
      <c r="D54" s="385"/>
      <c r="E54" s="385"/>
      <c r="F54" s="385"/>
      <c r="G54" s="385"/>
      <c r="H54" s="385"/>
      <c r="I54" s="385"/>
      <c r="J54" s="385"/>
      <c r="K54" s="385"/>
      <c r="L54" s="385"/>
      <c r="M54" s="385"/>
      <c r="N54" s="385"/>
      <c r="O54" s="385"/>
    </row>
    <row r="55" spans="1:15" x14ac:dyDescent="0.25">
      <c r="A55" s="1"/>
      <c r="B55" s="1"/>
    </row>
    <row r="56" spans="1:15" ht="15.75" x14ac:dyDescent="0.25">
      <c r="A56" s="36" t="s">
        <v>120</v>
      </c>
      <c r="B56" s="36"/>
      <c r="C56" s="36"/>
      <c r="D56" s="36"/>
      <c r="F56" s="36" t="s">
        <v>258</v>
      </c>
      <c r="G56" s="36"/>
      <c r="H56" s="36"/>
      <c r="I56" s="36"/>
      <c r="K56" s="36" t="s">
        <v>325</v>
      </c>
      <c r="L56" s="36"/>
      <c r="M56" s="36"/>
      <c r="N56" s="36"/>
    </row>
    <row r="58" spans="1:15" x14ac:dyDescent="0.25">
      <c r="A58" s="129" t="s">
        <v>121</v>
      </c>
      <c r="B58" s="139" t="s">
        <v>122</v>
      </c>
      <c r="C58" s="139" t="s">
        <v>205</v>
      </c>
      <c r="D58" s="140" t="s">
        <v>206</v>
      </c>
      <c r="F58" s="140" t="s">
        <v>202</v>
      </c>
      <c r="G58" s="129" t="s">
        <v>249</v>
      </c>
      <c r="H58" s="130" t="s">
        <v>245</v>
      </c>
      <c r="I58" s="131" t="s">
        <v>246</v>
      </c>
      <c r="K58" s="140" t="s">
        <v>122</v>
      </c>
      <c r="L58" s="129" t="s">
        <v>249</v>
      </c>
      <c r="M58" s="130" t="s">
        <v>247</v>
      </c>
      <c r="N58" s="131" t="s">
        <v>248</v>
      </c>
    </row>
    <row r="59" spans="1:15" x14ac:dyDescent="0.25">
      <c r="A59" s="132" t="s">
        <v>44</v>
      </c>
      <c r="B59" s="141">
        <v>0</v>
      </c>
      <c r="C59" s="142">
        <f>B59/$B$3</f>
        <v>0</v>
      </c>
      <c r="D59" s="143">
        <f>B59/$B$4</f>
        <v>0</v>
      </c>
      <c r="F59" s="223">
        <v>1</v>
      </c>
      <c r="G59" s="132" t="s">
        <v>44</v>
      </c>
      <c r="H59" s="127">
        <f>B3*F59</f>
        <v>10</v>
      </c>
      <c r="I59" s="133">
        <f>B4*F59</f>
        <v>15</v>
      </c>
      <c r="K59" s="222">
        <v>1</v>
      </c>
      <c r="L59" s="132" t="s">
        <v>44</v>
      </c>
      <c r="M59" s="198">
        <f>ROUND((1/B3)*K59,3)</f>
        <v>0.1</v>
      </c>
      <c r="N59" s="199">
        <f>ROUND((1/B4)*K59,3)</f>
        <v>6.7000000000000004E-2</v>
      </c>
    </row>
    <row r="60" spans="1:15" ht="15.75" thickBot="1" x14ac:dyDescent="0.3">
      <c r="A60" s="224" t="s">
        <v>77</v>
      </c>
      <c r="B60" s="225">
        <v>0</v>
      </c>
      <c r="C60" s="226">
        <f>(B60/B17)</f>
        <v>0</v>
      </c>
      <c r="D60" s="227">
        <f>(B60/B18)</f>
        <v>0</v>
      </c>
      <c r="F60" s="240">
        <v>1</v>
      </c>
      <c r="G60" s="224" t="s">
        <v>77</v>
      </c>
      <c r="H60" s="238">
        <f>B17*F60</f>
        <v>6000</v>
      </c>
      <c r="I60" s="239">
        <f>B18*F60</f>
        <v>15299.999999999998</v>
      </c>
      <c r="K60" s="250">
        <v>1</v>
      </c>
      <c r="L60" s="224" t="s">
        <v>77</v>
      </c>
      <c r="M60" s="251">
        <f>ROUND((1/B17)*K60,10)</f>
        <v>1.6666669999999999E-4</v>
      </c>
      <c r="N60" s="252">
        <f>ROUND((1/B18)*K60,5)</f>
        <v>6.9999999999999994E-5</v>
      </c>
    </row>
    <row r="61" spans="1:15" x14ac:dyDescent="0.25">
      <c r="A61" s="132" t="s">
        <v>231</v>
      </c>
      <c r="B61" s="141">
        <v>0</v>
      </c>
      <c r="C61" s="142">
        <f>B61/B35</f>
        <v>0</v>
      </c>
      <c r="D61" s="143">
        <f>B61/B36</f>
        <v>0</v>
      </c>
      <c r="F61" s="223">
        <v>1</v>
      </c>
      <c r="G61" s="132" t="s">
        <v>231</v>
      </c>
      <c r="H61" s="127">
        <f>ROUND((B3/F3)*F61,1)</f>
        <v>1</v>
      </c>
      <c r="I61" s="133">
        <f>(B4/F3)*F61</f>
        <v>1.5</v>
      </c>
      <c r="K61" s="222">
        <v>1</v>
      </c>
      <c r="L61" s="132" t="s">
        <v>231</v>
      </c>
      <c r="M61" s="198">
        <f>G3*K61</f>
        <v>1</v>
      </c>
      <c r="N61" s="199">
        <f>H3*K61</f>
        <v>0.67</v>
      </c>
    </row>
    <row r="62" spans="1:15" x14ac:dyDescent="0.25">
      <c r="A62" s="134" t="s">
        <v>234</v>
      </c>
      <c r="B62" s="144">
        <v>0</v>
      </c>
      <c r="C62" s="145">
        <f>B62/F40</f>
        <v>0</v>
      </c>
      <c r="D62" s="146">
        <f>B62/F41</f>
        <v>0</v>
      </c>
      <c r="F62" s="223">
        <v>1</v>
      </c>
      <c r="G62" s="134" t="s">
        <v>234</v>
      </c>
      <c r="H62" s="128">
        <f>ROUND((B3/F4)*F62,1)</f>
        <v>0.5</v>
      </c>
      <c r="I62" s="135">
        <f>(B4/F4)*F62</f>
        <v>0.75</v>
      </c>
      <c r="K62" s="222">
        <v>1</v>
      </c>
      <c r="L62" s="134" t="s">
        <v>234</v>
      </c>
      <c r="M62" s="197">
        <f>G4*K62</f>
        <v>2</v>
      </c>
      <c r="N62" s="200">
        <f>H4*K62</f>
        <v>1.33</v>
      </c>
    </row>
    <row r="63" spans="1:15" x14ac:dyDescent="0.25">
      <c r="A63" s="132" t="s">
        <v>256</v>
      </c>
      <c r="B63" s="141">
        <v>0</v>
      </c>
      <c r="C63" s="142">
        <f>B63/J40</f>
        <v>0</v>
      </c>
      <c r="D63" s="143">
        <f>B63/J41</f>
        <v>0</v>
      </c>
      <c r="F63" s="223">
        <v>1</v>
      </c>
      <c r="G63" s="132" t="s">
        <v>256</v>
      </c>
      <c r="H63" s="127">
        <f>ROUND((B3/F12)*F63,2)</f>
        <v>0.33</v>
      </c>
      <c r="I63" s="133">
        <f>(B4/F12)*F63</f>
        <v>0.5</v>
      </c>
      <c r="K63" s="222">
        <v>1</v>
      </c>
      <c r="L63" s="132" t="s">
        <v>256</v>
      </c>
      <c r="M63" s="198">
        <f>G12*K63</f>
        <v>3</v>
      </c>
      <c r="N63" s="199">
        <f>H12*K63</f>
        <v>2</v>
      </c>
    </row>
    <row r="64" spans="1:15" ht="15.75" thickBot="1" x14ac:dyDescent="0.3">
      <c r="A64" s="224" t="s">
        <v>257</v>
      </c>
      <c r="B64" s="225">
        <v>0</v>
      </c>
      <c r="C64" s="226">
        <f>B64/N40</f>
        <v>0</v>
      </c>
      <c r="D64" s="227">
        <f>B64/N41</f>
        <v>0</v>
      </c>
      <c r="F64" s="240">
        <v>1</v>
      </c>
      <c r="G64" s="224" t="s">
        <v>257</v>
      </c>
      <c r="H64" s="238">
        <f>ROUND((B3/F13)*F64,2)</f>
        <v>0.2</v>
      </c>
      <c r="I64" s="239">
        <f>(B4/F13)*F64</f>
        <v>0.3</v>
      </c>
      <c r="K64" s="250">
        <v>1</v>
      </c>
      <c r="L64" s="224" t="s">
        <v>257</v>
      </c>
      <c r="M64" s="251">
        <f>G13*K64</f>
        <v>5</v>
      </c>
      <c r="N64" s="252">
        <f>H13*K64</f>
        <v>3.33</v>
      </c>
    </row>
    <row r="65" spans="1:14" x14ac:dyDescent="0.25">
      <c r="A65" s="132" t="s">
        <v>255</v>
      </c>
      <c r="B65" s="141">
        <v>0</v>
      </c>
      <c r="C65" s="142">
        <f>B65/B40</f>
        <v>0</v>
      </c>
      <c r="D65" s="143">
        <f>B65/B41</f>
        <v>0</v>
      </c>
      <c r="F65" s="223">
        <v>1</v>
      </c>
      <c r="G65" s="132" t="s">
        <v>123</v>
      </c>
      <c r="H65" s="127">
        <f>ROUND((B3/F7)*F65,1)</f>
        <v>0.5</v>
      </c>
      <c r="I65" s="133">
        <f>(B4/F7)*F65</f>
        <v>0.75</v>
      </c>
      <c r="K65" s="222">
        <v>1</v>
      </c>
      <c r="L65" s="132" t="s">
        <v>123</v>
      </c>
      <c r="M65" s="198">
        <f>G7*K65</f>
        <v>2</v>
      </c>
      <c r="N65" s="199">
        <f>H7*K65</f>
        <v>1.33</v>
      </c>
    </row>
    <row r="66" spans="1:14" x14ac:dyDescent="0.25">
      <c r="A66" s="134" t="s">
        <v>124</v>
      </c>
      <c r="B66" s="144">
        <v>0</v>
      </c>
      <c r="C66" s="145">
        <f>B66/B45</f>
        <v>0</v>
      </c>
      <c r="D66" s="146">
        <f>B66/B46</f>
        <v>0</v>
      </c>
      <c r="F66" s="223">
        <v>1</v>
      </c>
      <c r="G66" s="134" t="s">
        <v>124</v>
      </c>
      <c r="H66" s="128">
        <f>ROUND((B3/F8)*F66,1)</f>
        <v>0.2</v>
      </c>
      <c r="I66" s="135">
        <f>(B4/F8)*F66</f>
        <v>0.3</v>
      </c>
      <c r="K66" s="222">
        <v>1</v>
      </c>
      <c r="L66" s="134" t="s">
        <v>124</v>
      </c>
      <c r="M66" s="197">
        <f>G8*K66</f>
        <v>5</v>
      </c>
      <c r="N66" s="200">
        <f>H8*K66</f>
        <v>3.33</v>
      </c>
    </row>
    <row r="67" spans="1:14" ht="15.75" thickBot="1" x14ac:dyDescent="0.3">
      <c r="A67" s="228" t="s">
        <v>125</v>
      </c>
      <c r="B67" s="229">
        <v>0</v>
      </c>
      <c r="C67" s="230">
        <f>B67/B50</f>
        <v>0</v>
      </c>
      <c r="D67" s="231">
        <f>B67/B51</f>
        <v>0</v>
      </c>
      <c r="F67" s="240">
        <v>1</v>
      </c>
      <c r="G67" s="228" t="s">
        <v>125</v>
      </c>
      <c r="H67" s="241">
        <f>ROUND((B3/F9)*F67,1)</f>
        <v>0.1</v>
      </c>
      <c r="I67" s="242">
        <f>(B4/F9)*F67</f>
        <v>0.15</v>
      </c>
      <c r="K67" s="250">
        <v>1</v>
      </c>
      <c r="L67" s="228" t="s">
        <v>125</v>
      </c>
      <c r="M67" s="253">
        <f>G9*K67</f>
        <v>10</v>
      </c>
      <c r="N67" s="254">
        <f>H9*K67</f>
        <v>6.67</v>
      </c>
    </row>
    <row r="68" spans="1:14" x14ac:dyDescent="0.25">
      <c r="A68" s="134" t="s">
        <v>204</v>
      </c>
      <c r="B68" s="144">
        <v>0</v>
      </c>
      <c r="C68" s="145">
        <f t="shared" ref="C68:C84" si="3">G17*B68</f>
        <v>0</v>
      </c>
      <c r="D68" s="146">
        <f t="shared" ref="D68:D84" si="4">H17*B68</f>
        <v>0</v>
      </c>
      <c r="F68" s="223">
        <v>1</v>
      </c>
      <c r="G68" s="134" t="s">
        <v>204</v>
      </c>
      <c r="H68" s="128">
        <f>ROUND(F68/G17,3)</f>
        <v>0.5</v>
      </c>
      <c r="I68" s="135">
        <f>ROUND(F68/H17,3)</f>
        <v>0.752</v>
      </c>
      <c r="K68" s="222">
        <v>1</v>
      </c>
      <c r="L68" s="134" t="s">
        <v>204</v>
      </c>
      <c r="M68" s="197">
        <f t="shared" ref="M68:M84" si="5">G17*K68</f>
        <v>2</v>
      </c>
      <c r="N68" s="200">
        <f t="shared" ref="N68:N84" si="6">H17*K68</f>
        <v>1.33</v>
      </c>
    </row>
    <row r="69" spans="1:14" x14ac:dyDescent="0.25">
      <c r="A69" s="232" t="s">
        <v>207</v>
      </c>
      <c r="B69" s="147">
        <v>0</v>
      </c>
      <c r="C69" s="234">
        <f t="shared" si="3"/>
        <v>0</v>
      </c>
      <c r="D69" s="235">
        <f t="shared" si="4"/>
        <v>0</v>
      </c>
      <c r="F69" s="243">
        <v>1</v>
      </c>
      <c r="G69" s="232" t="s">
        <v>207</v>
      </c>
      <c r="H69" s="244">
        <f>ROUND(F69/G18,3)</f>
        <v>0.28599999999999998</v>
      </c>
      <c r="I69" s="245">
        <f>ROUND(F69/H18,3)</f>
        <v>0.42899999999999999</v>
      </c>
      <c r="K69" s="255">
        <v>1</v>
      </c>
      <c r="L69" s="232" t="s">
        <v>207</v>
      </c>
      <c r="M69" s="256">
        <f t="shared" si="5"/>
        <v>3.5</v>
      </c>
      <c r="N69" s="257">
        <f t="shared" si="6"/>
        <v>2.33</v>
      </c>
    </row>
    <row r="70" spans="1:14" x14ac:dyDescent="0.25">
      <c r="A70" s="134" t="s">
        <v>208</v>
      </c>
      <c r="B70" s="144">
        <v>0</v>
      </c>
      <c r="C70" s="145">
        <f t="shared" si="3"/>
        <v>0</v>
      </c>
      <c r="D70" s="146">
        <f t="shared" si="4"/>
        <v>0</v>
      </c>
      <c r="F70" s="223">
        <v>1</v>
      </c>
      <c r="G70" s="134" t="s">
        <v>208</v>
      </c>
      <c r="H70" s="128">
        <f t="shared" ref="H70:H84" si="7">ROUND(F70/G19,3)</f>
        <v>0.25</v>
      </c>
      <c r="I70" s="135">
        <f t="shared" ref="I70:I84" si="8">ROUND(F70/H19,3)</f>
        <v>0.375</v>
      </c>
      <c r="K70" s="222">
        <v>1</v>
      </c>
      <c r="L70" s="134" t="s">
        <v>208</v>
      </c>
      <c r="M70" s="197">
        <f t="shared" si="5"/>
        <v>4</v>
      </c>
      <c r="N70" s="200">
        <f t="shared" si="6"/>
        <v>2.67</v>
      </c>
    </row>
    <row r="71" spans="1:14" x14ac:dyDescent="0.25">
      <c r="A71" s="132" t="s">
        <v>209</v>
      </c>
      <c r="B71" s="141">
        <v>0</v>
      </c>
      <c r="C71" s="142">
        <f t="shared" si="3"/>
        <v>0</v>
      </c>
      <c r="D71" s="143">
        <f t="shared" si="4"/>
        <v>0</v>
      </c>
      <c r="F71" s="223">
        <v>1</v>
      </c>
      <c r="G71" s="132" t="s">
        <v>209</v>
      </c>
      <c r="H71" s="127">
        <f t="shared" si="7"/>
        <v>0.2</v>
      </c>
      <c r="I71" s="133">
        <f t="shared" si="8"/>
        <v>0.3</v>
      </c>
      <c r="K71" s="222">
        <v>1</v>
      </c>
      <c r="L71" s="132" t="s">
        <v>209</v>
      </c>
      <c r="M71" s="198">
        <f t="shared" si="5"/>
        <v>5</v>
      </c>
      <c r="N71" s="199">
        <f t="shared" si="6"/>
        <v>3.33</v>
      </c>
    </row>
    <row r="72" spans="1:14" x14ac:dyDescent="0.25">
      <c r="A72" s="136" t="s">
        <v>210</v>
      </c>
      <c r="B72" s="233">
        <v>0</v>
      </c>
      <c r="C72" s="148">
        <f t="shared" si="3"/>
        <v>0</v>
      </c>
      <c r="D72" s="149">
        <f t="shared" si="4"/>
        <v>0</v>
      </c>
      <c r="F72" s="243">
        <v>1</v>
      </c>
      <c r="G72" s="136" t="s">
        <v>210</v>
      </c>
      <c r="H72" s="137">
        <f t="shared" si="7"/>
        <v>0.125</v>
      </c>
      <c r="I72" s="138">
        <f t="shared" si="8"/>
        <v>0.188</v>
      </c>
      <c r="K72" s="255">
        <v>1</v>
      </c>
      <c r="L72" s="136" t="s">
        <v>210</v>
      </c>
      <c r="M72" s="201">
        <f t="shared" si="5"/>
        <v>8</v>
      </c>
      <c r="N72" s="202">
        <f t="shared" si="6"/>
        <v>5.33</v>
      </c>
    </row>
    <row r="73" spans="1:14" x14ac:dyDescent="0.25">
      <c r="A73" s="132" t="s">
        <v>211</v>
      </c>
      <c r="B73" s="141">
        <v>0</v>
      </c>
      <c r="C73" s="142">
        <f t="shared" si="3"/>
        <v>0</v>
      </c>
      <c r="D73" s="143">
        <f t="shared" si="4"/>
        <v>0</v>
      </c>
      <c r="F73" s="223">
        <v>1</v>
      </c>
      <c r="G73" s="132" t="s">
        <v>211</v>
      </c>
      <c r="H73" s="127">
        <f t="shared" si="7"/>
        <v>0.1</v>
      </c>
      <c r="I73" s="133">
        <f t="shared" si="8"/>
        <v>0.15</v>
      </c>
      <c r="K73" s="222">
        <v>1</v>
      </c>
      <c r="L73" s="132" t="s">
        <v>211</v>
      </c>
      <c r="M73" s="198">
        <f t="shared" si="5"/>
        <v>10</v>
      </c>
      <c r="N73" s="199">
        <f t="shared" si="6"/>
        <v>6.67</v>
      </c>
    </row>
    <row r="74" spans="1:14" x14ac:dyDescent="0.25">
      <c r="A74" s="134" t="s">
        <v>212</v>
      </c>
      <c r="B74" s="144">
        <v>0</v>
      </c>
      <c r="C74" s="145">
        <f t="shared" si="3"/>
        <v>0</v>
      </c>
      <c r="D74" s="146">
        <f t="shared" si="4"/>
        <v>0</v>
      </c>
      <c r="F74" s="223">
        <v>1</v>
      </c>
      <c r="G74" s="134" t="s">
        <v>212</v>
      </c>
      <c r="H74" s="128">
        <f t="shared" si="7"/>
        <v>7.0999999999999994E-2</v>
      </c>
      <c r="I74" s="135">
        <f t="shared" si="8"/>
        <v>0.107</v>
      </c>
      <c r="K74" s="222">
        <v>1</v>
      </c>
      <c r="L74" s="134" t="s">
        <v>212</v>
      </c>
      <c r="M74" s="197">
        <f>G23*K74</f>
        <v>14</v>
      </c>
      <c r="N74" s="200">
        <f t="shared" si="6"/>
        <v>9.33</v>
      </c>
    </row>
    <row r="75" spans="1:14" x14ac:dyDescent="0.25">
      <c r="A75" s="232" t="s">
        <v>213</v>
      </c>
      <c r="B75" s="147">
        <v>0</v>
      </c>
      <c r="C75" s="234">
        <f t="shared" si="3"/>
        <v>0</v>
      </c>
      <c r="D75" s="235">
        <f t="shared" si="4"/>
        <v>0</v>
      </c>
      <c r="F75" s="243">
        <v>1</v>
      </c>
      <c r="G75" s="232" t="s">
        <v>213</v>
      </c>
      <c r="H75" s="244">
        <f t="shared" si="7"/>
        <v>5.7000000000000002E-2</v>
      </c>
      <c r="I75" s="245">
        <f t="shared" si="8"/>
        <v>8.5999999999999993E-2</v>
      </c>
      <c r="K75" s="255">
        <v>1</v>
      </c>
      <c r="L75" s="232" t="s">
        <v>213</v>
      </c>
      <c r="M75" s="256">
        <f t="shared" si="5"/>
        <v>17.5</v>
      </c>
      <c r="N75" s="257">
        <f t="shared" si="6"/>
        <v>11.67</v>
      </c>
    </row>
    <row r="76" spans="1:14" x14ac:dyDescent="0.25">
      <c r="A76" s="134" t="s">
        <v>214</v>
      </c>
      <c r="B76" s="144">
        <v>0</v>
      </c>
      <c r="C76" s="145">
        <f t="shared" si="3"/>
        <v>0</v>
      </c>
      <c r="D76" s="146">
        <f t="shared" si="4"/>
        <v>0</v>
      </c>
      <c r="F76" s="223">
        <v>1</v>
      </c>
      <c r="G76" s="134" t="s">
        <v>214</v>
      </c>
      <c r="H76" s="128">
        <f t="shared" si="7"/>
        <v>2.9000000000000001E-2</v>
      </c>
      <c r="I76" s="135">
        <f t="shared" si="8"/>
        <v>4.2999999999999997E-2</v>
      </c>
      <c r="K76" s="222">
        <v>1</v>
      </c>
      <c r="L76" s="134" t="s">
        <v>214</v>
      </c>
      <c r="M76" s="197">
        <f t="shared" si="5"/>
        <v>35</v>
      </c>
      <c r="N76" s="200">
        <f t="shared" si="6"/>
        <v>23.33</v>
      </c>
    </row>
    <row r="77" spans="1:14" x14ac:dyDescent="0.25">
      <c r="A77" s="132" t="s">
        <v>215</v>
      </c>
      <c r="B77" s="141">
        <v>0</v>
      </c>
      <c r="C77" s="142">
        <f t="shared" si="3"/>
        <v>0</v>
      </c>
      <c r="D77" s="143">
        <f t="shared" si="4"/>
        <v>0</v>
      </c>
      <c r="F77" s="223">
        <v>1</v>
      </c>
      <c r="G77" s="132" t="s">
        <v>215</v>
      </c>
      <c r="H77" s="127">
        <f t="shared" si="7"/>
        <v>2.5000000000000001E-2</v>
      </c>
      <c r="I77" s="133">
        <f t="shared" si="8"/>
        <v>3.6999999999999998E-2</v>
      </c>
      <c r="K77" s="222">
        <v>1</v>
      </c>
      <c r="L77" s="132" t="s">
        <v>215</v>
      </c>
      <c r="M77" s="198">
        <f t="shared" si="5"/>
        <v>40</v>
      </c>
      <c r="N77" s="199">
        <f t="shared" si="6"/>
        <v>26.67</v>
      </c>
    </row>
    <row r="78" spans="1:14" x14ac:dyDescent="0.25">
      <c r="A78" s="136" t="s">
        <v>216</v>
      </c>
      <c r="B78" s="147">
        <v>0</v>
      </c>
      <c r="C78" s="148">
        <f t="shared" si="3"/>
        <v>0</v>
      </c>
      <c r="D78" s="149">
        <f t="shared" si="4"/>
        <v>0</v>
      </c>
      <c r="F78" s="243">
        <v>1</v>
      </c>
      <c r="G78" s="136" t="s">
        <v>216</v>
      </c>
      <c r="H78" s="137">
        <f t="shared" si="7"/>
        <v>2.1999999999999999E-2</v>
      </c>
      <c r="I78" s="138">
        <f t="shared" si="8"/>
        <v>3.3000000000000002E-2</v>
      </c>
      <c r="K78" s="255">
        <v>1</v>
      </c>
      <c r="L78" s="136" t="s">
        <v>216</v>
      </c>
      <c r="M78" s="201">
        <f t="shared" si="5"/>
        <v>45</v>
      </c>
      <c r="N78" s="202">
        <f t="shared" si="6"/>
        <v>30</v>
      </c>
    </row>
    <row r="79" spans="1:14" x14ac:dyDescent="0.25">
      <c r="A79" s="232" t="s">
        <v>220</v>
      </c>
      <c r="B79" s="233">
        <v>0</v>
      </c>
      <c r="C79" s="234">
        <f t="shared" si="3"/>
        <v>0</v>
      </c>
      <c r="D79" s="235">
        <f t="shared" si="4"/>
        <v>0</v>
      </c>
      <c r="F79" s="246">
        <v>1</v>
      </c>
      <c r="G79" s="247" t="s">
        <v>220</v>
      </c>
      <c r="H79" s="248">
        <f t="shared" si="7"/>
        <v>1.7999999999999999E-2</v>
      </c>
      <c r="I79" s="249">
        <f t="shared" si="8"/>
        <v>2.7E-2</v>
      </c>
      <c r="K79" s="258">
        <v>1</v>
      </c>
      <c r="L79" s="247" t="s">
        <v>220</v>
      </c>
      <c r="M79" s="259">
        <f t="shared" si="5"/>
        <v>55</v>
      </c>
      <c r="N79" s="260">
        <f t="shared" si="6"/>
        <v>36.67</v>
      </c>
    </row>
    <row r="80" spans="1:14" x14ac:dyDescent="0.25">
      <c r="A80" s="134" t="s">
        <v>241</v>
      </c>
      <c r="B80" s="141">
        <v>0</v>
      </c>
      <c r="C80" s="145">
        <f t="shared" si="3"/>
        <v>0</v>
      </c>
      <c r="D80" s="146">
        <f t="shared" si="4"/>
        <v>0</v>
      </c>
      <c r="F80" s="223">
        <v>1</v>
      </c>
      <c r="G80" s="134" t="s">
        <v>413</v>
      </c>
      <c r="H80" s="128">
        <f t="shared" si="7"/>
        <v>0.105</v>
      </c>
      <c r="I80" s="135">
        <f t="shared" si="8"/>
        <v>0.158</v>
      </c>
      <c r="K80" s="222">
        <v>1</v>
      </c>
      <c r="L80" s="134" t="s">
        <v>241</v>
      </c>
      <c r="M80" s="197">
        <f t="shared" si="5"/>
        <v>9.5</v>
      </c>
      <c r="N80" s="200">
        <f t="shared" si="6"/>
        <v>6.33</v>
      </c>
    </row>
    <row r="81" spans="1:14" x14ac:dyDescent="0.25">
      <c r="A81" s="132" t="s">
        <v>242</v>
      </c>
      <c r="B81" s="144">
        <v>0</v>
      </c>
      <c r="C81" s="142">
        <f t="shared" si="3"/>
        <v>0</v>
      </c>
      <c r="D81" s="143">
        <f t="shared" si="4"/>
        <v>0</v>
      </c>
      <c r="F81" s="223">
        <v>1</v>
      </c>
      <c r="G81" s="132" t="s">
        <v>414</v>
      </c>
      <c r="H81" s="127">
        <f t="shared" si="7"/>
        <v>6.7000000000000004E-2</v>
      </c>
      <c r="I81" s="133">
        <f t="shared" si="8"/>
        <v>0.1</v>
      </c>
      <c r="K81" s="222">
        <v>1</v>
      </c>
      <c r="L81" s="132" t="s">
        <v>242</v>
      </c>
      <c r="M81" s="198">
        <f t="shared" si="5"/>
        <v>15</v>
      </c>
      <c r="N81" s="199">
        <f t="shared" si="6"/>
        <v>10</v>
      </c>
    </row>
    <row r="82" spans="1:14" x14ac:dyDescent="0.25">
      <c r="A82" s="134" t="s">
        <v>243</v>
      </c>
      <c r="B82" s="141">
        <v>0</v>
      </c>
      <c r="C82" s="145">
        <f t="shared" si="3"/>
        <v>0</v>
      </c>
      <c r="D82" s="146">
        <f t="shared" si="4"/>
        <v>0</v>
      </c>
      <c r="F82" s="223">
        <v>1</v>
      </c>
      <c r="G82" s="134" t="s">
        <v>243</v>
      </c>
      <c r="H82" s="128">
        <f t="shared" si="7"/>
        <v>0.05</v>
      </c>
      <c r="I82" s="135">
        <f t="shared" si="8"/>
        <v>7.4999999999999997E-2</v>
      </c>
      <c r="K82" s="222">
        <v>1</v>
      </c>
      <c r="L82" s="134" t="s">
        <v>243</v>
      </c>
      <c r="M82" s="197">
        <f t="shared" si="5"/>
        <v>20</v>
      </c>
      <c r="N82" s="200">
        <f t="shared" si="6"/>
        <v>13.33</v>
      </c>
    </row>
    <row r="83" spans="1:14" x14ac:dyDescent="0.25">
      <c r="A83" s="132" t="s">
        <v>244</v>
      </c>
      <c r="B83" s="144">
        <v>0</v>
      </c>
      <c r="C83" s="142">
        <f t="shared" si="3"/>
        <v>0</v>
      </c>
      <c r="D83" s="143">
        <f t="shared" si="4"/>
        <v>0</v>
      </c>
      <c r="F83" s="223">
        <v>1</v>
      </c>
      <c r="G83" s="132" t="s">
        <v>244</v>
      </c>
      <c r="H83" s="127">
        <f t="shared" si="7"/>
        <v>0.04</v>
      </c>
      <c r="I83" s="133">
        <f t="shared" si="8"/>
        <v>0.06</v>
      </c>
      <c r="K83" s="222">
        <v>1</v>
      </c>
      <c r="L83" s="132" t="s">
        <v>244</v>
      </c>
      <c r="M83" s="198">
        <f t="shared" si="5"/>
        <v>25</v>
      </c>
      <c r="N83" s="199">
        <f t="shared" si="6"/>
        <v>16.670000000000002</v>
      </c>
    </row>
    <row r="84" spans="1:14" ht="15.75" thickBot="1" x14ac:dyDescent="0.3">
      <c r="A84" s="224" t="s">
        <v>250</v>
      </c>
      <c r="B84" s="225">
        <v>0</v>
      </c>
      <c r="C84" s="226">
        <f t="shared" si="3"/>
        <v>0</v>
      </c>
      <c r="D84" s="227">
        <f t="shared" si="4"/>
        <v>0</v>
      </c>
      <c r="F84" s="240">
        <v>1</v>
      </c>
      <c r="G84" s="224" t="s">
        <v>250</v>
      </c>
      <c r="H84" s="238">
        <f t="shared" si="7"/>
        <v>3.3000000000000002E-2</v>
      </c>
      <c r="I84" s="239">
        <f t="shared" si="8"/>
        <v>0.05</v>
      </c>
      <c r="K84" s="250">
        <v>1</v>
      </c>
      <c r="L84" s="224" t="s">
        <v>250</v>
      </c>
      <c r="M84" s="251">
        <f t="shared" si="5"/>
        <v>30</v>
      </c>
      <c r="N84" s="252">
        <f t="shared" si="6"/>
        <v>20</v>
      </c>
    </row>
    <row r="85" spans="1:14" x14ac:dyDescent="0.25">
      <c r="A85" s="132" t="s">
        <v>284</v>
      </c>
      <c r="B85" s="103">
        <v>0</v>
      </c>
      <c r="C85" s="142">
        <f>B85*J17</f>
        <v>0</v>
      </c>
      <c r="D85" s="143">
        <f>B85*K17</f>
        <v>0</v>
      </c>
      <c r="F85" s="223">
        <v>1</v>
      </c>
      <c r="G85" s="132" t="s">
        <v>284</v>
      </c>
      <c r="H85" s="127">
        <f>ROUND(F85/J17,2)</f>
        <v>3.53</v>
      </c>
      <c r="I85" s="133">
        <f>ROUND(F85/K17,2)</f>
        <v>9</v>
      </c>
      <c r="K85" s="222">
        <v>1</v>
      </c>
      <c r="L85" s="132" t="s">
        <v>284</v>
      </c>
      <c r="M85" s="198">
        <f>K85*J17</f>
        <v>0.28333333333333333</v>
      </c>
      <c r="N85" s="199">
        <f>K85*K17</f>
        <v>0.11111111111111112</v>
      </c>
    </row>
    <row r="86" spans="1:14" x14ac:dyDescent="0.25">
      <c r="A86" s="136" t="s">
        <v>285</v>
      </c>
      <c r="B86" s="236">
        <v>0</v>
      </c>
      <c r="C86" s="148">
        <f>B86*M17</f>
        <v>0</v>
      </c>
      <c r="D86" s="149">
        <f>B86*N17</f>
        <v>0</v>
      </c>
      <c r="F86" s="243">
        <v>1</v>
      </c>
      <c r="G86" s="136" t="s">
        <v>285</v>
      </c>
      <c r="H86" s="137">
        <f>ROUND(F86/M17,2)</f>
        <v>2</v>
      </c>
      <c r="I86" s="138">
        <f>ROUND(F86/N17,2)</f>
        <v>3</v>
      </c>
      <c r="K86" s="255">
        <v>1</v>
      </c>
      <c r="L86" s="136" t="s">
        <v>285</v>
      </c>
      <c r="M86" s="201">
        <f>K86*M17</f>
        <v>0.5</v>
      </c>
      <c r="N86" s="202">
        <f>K86*N17</f>
        <v>0.33333333333333331</v>
      </c>
    </row>
    <row r="87" spans="1:14" x14ac:dyDescent="0.25">
      <c r="A87" s="132" t="s">
        <v>286</v>
      </c>
      <c r="B87" s="103">
        <v>0</v>
      </c>
      <c r="C87" s="142">
        <f>B87*J18</f>
        <v>0</v>
      </c>
      <c r="D87" s="143">
        <f>B87*K18</f>
        <v>0</v>
      </c>
      <c r="F87" s="223">
        <v>1</v>
      </c>
      <c r="G87" s="132" t="s">
        <v>286</v>
      </c>
      <c r="H87" s="127">
        <f>ROUND(F87/J18,2)</f>
        <v>1.1299999999999999</v>
      </c>
      <c r="I87" s="133">
        <f>ROUND(F87/K18,2)</f>
        <v>2.89</v>
      </c>
      <c r="K87" s="222">
        <v>1</v>
      </c>
      <c r="L87" s="132" t="s">
        <v>286</v>
      </c>
      <c r="M87" s="198">
        <f>K87*J18</f>
        <v>0.8833333333333333</v>
      </c>
      <c r="N87" s="199">
        <f>K87*K18</f>
        <v>0.34640522875816998</v>
      </c>
    </row>
    <row r="88" spans="1:14" x14ac:dyDescent="0.25">
      <c r="A88" s="136" t="s">
        <v>287</v>
      </c>
      <c r="B88" s="236">
        <v>0</v>
      </c>
      <c r="C88" s="148">
        <f>B88*M18</f>
        <v>0</v>
      </c>
      <c r="D88" s="149">
        <f>B88*N18</f>
        <v>0</v>
      </c>
      <c r="F88" s="243">
        <v>1</v>
      </c>
      <c r="G88" s="136" t="s">
        <v>287</v>
      </c>
      <c r="H88" s="137">
        <f>ROUND(F88/M18,2)</f>
        <v>1</v>
      </c>
      <c r="I88" s="138">
        <f>ROUND(F88/N18,2)</f>
        <v>1.5</v>
      </c>
      <c r="K88" s="255">
        <v>1</v>
      </c>
      <c r="L88" s="136" t="s">
        <v>287</v>
      </c>
      <c r="M88" s="201">
        <f>K88*M18</f>
        <v>1</v>
      </c>
      <c r="N88" s="202">
        <f>K88*N18</f>
        <v>0.66666666666666663</v>
      </c>
    </row>
    <row r="89" spans="1:14" x14ac:dyDescent="0.25">
      <c r="A89" s="132" t="s">
        <v>288</v>
      </c>
      <c r="B89" s="103">
        <v>0</v>
      </c>
      <c r="C89" s="142">
        <f>B89*J19</f>
        <v>0</v>
      </c>
      <c r="D89" s="143">
        <f>B89*K19</f>
        <v>0</v>
      </c>
      <c r="F89" s="223">
        <v>1</v>
      </c>
      <c r="G89" s="132" t="s">
        <v>288</v>
      </c>
      <c r="H89" s="127">
        <f>ROUND(F89/J19,2)</f>
        <v>0.6</v>
      </c>
      <c r="I89" s="133">
        <f>ROUND(F89/K19,2)</f>
        <v>1.53</v>
      </c>
      <c r="K89" s="222">
        <v>1</v>
      </c>
      <c r="L89" s="132" t="s">
        <v>288</v>
      </c>
      <c r="M89" s="198">
        <f>K89*J19</f>
        <v>1.6666666666666667</v>
      </c>
      <c r="N89" s="199">
        <f>K89*K19</f>
        <v>0.65359477124183019</v>
      </c>
    </row>
    <row r="90" spans="1:14" x14ac:dyDescent="0.25">
      <c r="A90" s="134" t="s">
        <v>289</v>
      </c>
      <c r="B90" s="103">
        <v>0</v>
      </c>
      <c r="C90" s="145">
        <f>B90*M19</f>
        <v>0</v>
      </c>
      <c r="D90" s="146">
        <f>B90*N19</f>
        <v>0</v>
      </c>
      <c r="F90" s="223">
        <v>1</v>
      </c>
      <c r="G90" s="134" t="s">
        <v>289</v>
      </c>
      <c r="H90" s="128">
        <f>ROUND(F90/M19,2)</f>
        <v>0.6</v>
      </c>
      <c r="I90" s="135">
        <f>ROUND(F90/N19,2)</f>
        <v>1.53</v>
      </c>
      <c r="K90" s="222">
        <v>1</v>
      </c>
      <c r="L90" s="134" t="s">
        <v>289</v>
      </c>
      <c r="M90" s="197">
        <f>K90*M19</f>
        <v>1.6666666666666667</v>
      </c>
      <c r="N90" s="200">
        <f>K90*N19</f>
        <v>0.65359477124183019</v>
      </c>
    </row>
    <row r="91" spans="1:14" x14ac:dyDescent="0.25">
      <c r="A91" s="232" t="s">
        <v>290</v>
      </c>
      <c r="B91" s="236">
        <v>0</v>
      </c>
      <c r="C91" s="234">
        <f>B91*P19</f>
        <v>0</v>
      </c>
      <c r="D91" s="235">
        <f>B91*Q19</f>
        <v>0</v>
      </c>
      <c r="F91" s="243">
        <v>1</v>
      </c>
      <c r="G91" s="232" t="s">
        <v>290</v>
      </c>
      <c r="H91" s="244">
        <f>ROUND(F91/P19,2)</f>
        <v>0.67</v>
      </c>
      <c r="I91" s="245">
        <f>ROUND(F91/Q19,2)</f>
        <v>1</v>
      </c>
      <c r="K91" s="255">
        <v>1</v>
      </c>
      <c r="L91" s="232" t="s">
        <v>290</v>
      </c>
      <c r="M91" s="256">
        <f>K91*P19</f>
        <v>1.5</v>
      </c>
      <c r="N91" s="257">
        <f>K91*Q19</f>
        <v>1</v>
      </c>
    </row>
    <row r="92" spans="1:14" x14ac:dyDescent="0.25">
      <c r="A92" s="134" t="s">
        <v>291</v>
      </c>
      <c r="B92" s="103">
        <v>0</v>
      </c>
      <c r="C92" s="145">
        <f>B92*J20</f>
        <v>0</v>
      </c>
      <c r="D92" s="146">
        <f>B92*K20</f>
        <v>0</v>
      </c>
      <c r="F92" s="223">
        <v>1</v>
      </c>
      <c r="G92" s="134" t="s">
        <v>291</v>
      </c>
      <c r="H92" s="128">
        <f>ROUND(F92/J20,2)</f>
        <v>0.2</v>
      </c>
      <c r="I92" s="135">
        <f>ROUND(F92/K20,2)</f>
        <v>0.51</v>
      </c>
      <c r="K92" s="222">
        <v>1</v>
      </c>
      <c r="L92" s="134" t="s">
        <v>291</v>
      </c>
      <c r="M92" s="197">
        <f>K92*J20</f>
        <v>5</v>
      </c>
      <c r="N92" s="200">
        <f>K92*K20</f>
        <v>1.9607843137254903</v>
      </c>
    </row>
    <row r="93" spans="1:14" x14ac:dyDescent="0.25">
      <c r="A93" s="132" t="s">
        <v>292</v>
      </c>
      <c r="B93" s="103">
        <v>0</v>
      </c>
      <c r="C93" s="142">
        <f>B93*M20</f>
        <v>0</v>
      </c>
      <c r="D93" s="143">
        <f>B93*N20</f>
        <v>0</v>
      </c>
      <c r="F93" s="223">
        <v>1</v>
      </c>
      <c r="G93" s="132" t="s">
        <v>292</v>
      </c>
      <c r="H93" s="127">
        <f>ROUND(F93/M20,2)</f>
        <v>0.2</v>
      </c>
      <c r="I93" s="133">
        <f>ROUND(F93/N20,2)</f>
        <v>0.51</v>
      </c>
      <c r="K93" s="222">
        <v>1</v>
      </c>
      <c r="L93" s="132" t="s">
        <v>292</v>
      </c>
      <c r="M93" s="198">
        <f>K93*M20</f>
        <v>5</v>
      </c>
      <c r="N93" s="199">
        <f>K93*N20</f>
        <v>1.9607843137254903</v>
      </c>
    </row>
    <row r="94" spans="1:14" x14ac:dyDescent="0.25">
      <c r="A94" s="136" t="s">
        <v>293</v>
      </c>
      <c r="B94" s="236">
        <v>0</v>
      </c>
      <c r="C94" s="148">
        <f>B94*P20</f>
        <v>0</v>
      </c>
      <c r="D94" s="149">
        <f>B94*Q20</f>
        <v>0</v>
      </c>
      <c r="F94" s="243">
        <v>1</v>
      </c>
      <c r="G94" s="136" t="s">
        <v>293</v>
      </c>
      <c r="H94" s="137">
        <f>ROUND(F94/P20,2)</f>
        <v>0.67</v>
      </c>
      <c r="I94" s="138">
        <f>ROUND(F94/Q20,2)</f>
        <v>1</v>
      </c>
      <c r="J94" t="s">
        <v>326</v>
      </c>
      <c r="K94" s="255">
        <v>1</v>
      </c>
      <c r="L94" s="136" t="s">
        <v>293</v>
      </c>
      <c r="M94" s="201">
        <f>K94*P20</f>
        <v>1.5</v>
      </c>
      <c r="N94" s="202">
        <f>K94*Q20</f>
        <v>1</v>
      </c>
    </row>
    <row r="95" spans="1:14" x14ac:dyDescent="0.25">
      <c r="A95" s="132" t="s">
        <v>294</v>
      </c>
      <c r="B95" s="103">
        <v>0</v>
      </c>
      <c r="C95" s="142">
        <f>B95*J21</f>
        <v>0</v>
      </c>
      <c r="D95" s="143">
        <f>B95*K21</f>
        <v>0</v>
      </c>
      <c r="F95" s="223">
        <v>1</v>
      </c>
      <c r="G95" s="132" t="s">
        <v>294</v>
      </c>
      <c r="H95" s="127">
        <f>ROUND(F95/J21,2)</f>
        <v>0.1</v>
      </c>
      <c r="I95" s="133">
        <f>ROUND(F95/K21,2)</f>
        <v>0.26</v>
      </c>
      <c r="K95" s="222">
        <v>1</v>
      </c>
      <c r="L95" s="132" t="s">
        <v>294</v>
      </c>
      <c r="M95" s="198">
        <f>K95*J21</f>
        <v>9.6666666666666661</v>
      </c>
      <c r="N95" s="199">
        <f>K95*K21</f>
        <v>3.7908496732026147</v>
      </c>
    </row>
    <row r="96" spans="1:14" x14ac:dyDescent="0.25">
      <c r="A96" s="134" t="s">
        <v>295</v>
      </c>
      <c r="B96" s="103">
        <v>0</v>
      </c>
      <c r="C96" s="145">
        <f>B96*M21</f>
        <v>0</v>
      </c>
      <c r="D96" s="146">
        <f>B96*N21</f>
        <v>0</v>
      </c>
      <c r="F96" s="223">
        <v>1</v>
      </c>
      <c r="G96" s="134" t="s">
        <v>295</v>
      </c>
      <c r="H96" s="128">
        <f>ROUND(F96/M21,2)</f>
        <v>0.1</v>
      </c>
      <c r="I96" s="135">
        <f>ROUND(F96/N21,2)</f>
        <v>0.26</v>
      </c>
      <c r="K96" s="222">
        <v>1</v>
      </c>
      <c r="L96" s="134" t="s">
        <v>295</v>
      </c>
      <c r="M96" s="197">
        <f>K96*M21</f>
        <v>9.6666666666666661</v>
      </c>
      <c r="N96" s="200">
        <f>K96*N21</f>
        <v>3.7908496732026147</v>
      </c>
    </row>
    <row r="97" spans="1:14" x14ac:dyDescent="0.25">
      <c r="A97" s="232" t="s">
        <v>296</v>
      </c>
      <c r="B97" s="236">
        <v>0</v>
      </c>
      <c r="C97" s="234">
        <f>B97*P21</f>
        <v>0</v>
      </c>
      <c r="D97" s="235">
        <f>B97*Q21</f>
        <v>0</v>
      </c>
      <c r="F97" s="243">
        <v>1</v>
      </c>
      <c r="G97" s="232" t="s">
        <v>296</v>
      </c>
      <c r="H97" s="244">
        <f>ROUND(F97/P21,2)</f>
        <v>0.67</v>
      </c>
      <c r="I97" s="245">
        <f>ROUND(F97/Q21,2)</f>
        <v>1</v>
      </c>
      <c r="K97" s="255">
        <v>1</v>
      </c>
      <c r="L97" s="232" t="s">
        <v>296</v>
      </c>
      <c r="M97" s="256">
        <f>K97*P21</f>
        <v>1.5</v>
      </c>
      <c r="N97" s="257">
        <f>K97*Q21</f>
        <v>1</v>
      </c>
    </row>
    <row r="98" spans="1:14" x14ac:dyDescent="0.25">
      <c r="A98" s="134" t="s">
        <v>297</v>
      </c>
      <c r="B98" s="103">
        <v>0</v>
      </c>
      <c r="C98" s="145">
        <f>B98*J22</f>
        <v>0</v>
      </c>
      <c r="D98" s="146">
        <f>B98*K22</f>
        <v>0</v>
      </c>
      <c r="F98" s="223">
        <v>1</v>
      </c>
      <c r="G98" s="134" t="s">
        <v>297</v>
      </c>
      <c r="H98" s="128">
        <f>ROUND(F98/J22,4)</f>
        <v>0.08</v>
      </c>
      <c r="I98" s="135">
        <f>ROUND(F98/K22,4)</f>
        <v>0.20399999999999999</v>
      </c>
      <c r="K98" s="222">
        <v>1</v>
      </c>
      <c r="L98" s="134" t="s">
        <v>297</v>
      </c>
      <c r="M98" s="197">
        <f>K98*J22</f>
        <v>12.5</v>
      </c>
      <c r="N98" s="200">
        <f>K98*K22</f>
        <v>4.9019607843137258</v>
      </c>
    </row>
    <row r="99" spans="1:14" x14ac:dyDescent="0.25">
      <c r="A99" s="132" t="s">
        <v>298</v>
      </c>
      <c r="B99" s="103">
        <v>0</v>
      </c>
      <c r="C99" s="142">
        <f>B99*M22</f>
        <v>0</v>
      </c>
      <c r="D99" s="143">
        <f>B99*N22</f>
        <v>0</v>
      </c>
      <c r="F99" s="223">
        <v>1</v>
      </c>
      <c r="G99" s="132" t="s">
        <v>298</v>
      </c>
      <c r="H99" s="127">
        <f>ROUND(F99/M22,4)</f>
        <v>0.08</v>
      </c>
      <c r="I99" s="133">
        <f>ROUND(F99/N22,4)</f>
        <v>0.20399999999999999</v>
      </c>
      <c r="K99" s="222">
        <v>1</v>
      </c>
      <c r="L99" s="132" t="s">
        <v>298</v>
      </c>
      <c r="M99" s="198">
        <f>K99*M22</f>
        <v>12.5</v>
      </c>
      <c r="N99" s="199">
        <f>K99*N22</f>
        <v>4.9019607843137258</v>
      </c>
    </row>
    <row r="100" spans="1:14" x14ac:dyDescent="0.25">
      <c r="A100" s="134" t="s">
        <v>299</v>
      </c>
      <c r="B100" s="103">
        <v>0</v>
      </c>
      <c r="C100" s="145">
        <f>B100*P22</f>
        <v>0</v>
      </c>
      <c r="D100" s="146">
        <f>B100*Q22</f>
        <v>0</v>
      </c>
      <c r="F100" s="223">
        <v>1</v>
      </c>
      <c r="G100" s="134" t="s">
        <v>299</v>
      </c>
      <c r="H100" s="128">
        <f>ROUND(F100/P22,4)</f>
        <v>0.08</v>
      </c>
      <c r="I100" s="135">
        <f>ROUND(F100/Q22,4)</f>
        <v>0.20399999999999999</v>
      </c>
      <c r="K100" s="222">
        <v>1</v>
      </c>
      <c r="L100" s="134" t="s">
        <v>299</v>
      </c>
      <c r="M100" s="197">
        <f>K100*P22</f>
        <v>12.5</v>
      </c>
      <c r="N100" s="200">
        <f>K100*Q22</f>
        <v>4.9019607843137258</v>
      </c>
    </row>
    <row r="101" spans="1:14" x14ac:dyDescent="0.25">
      <c r="A101" s="232" t="s">
        <v>300</v>
      </c>
      <c r="B101" s="236">
        <v>0</v>
      </c>
      <c r="C101" s="234">
        <f>B101*S22</f>
        <v>0</v>
      </c>
      <c r="D101" s="235">
        <f>B101*T22</f>
        <v>0</v>
      </c>
      <c r="F101" s="243">
        <v>1</v>
      </c>
      <c r="G101" s="232" t="s">
        <v>300</v>
      </c>
      <c r="H101" s="244">
        <f>ROUND(F101/S22,4)</f>
        <v>0.22220000000000001</v>
      </c>
      <c r="I101" s="245">
        <f>ROUND(F101/T22,4)</f>
        <v>0.33329999999999999</v>
      </c>
      <c r="K101" s="255">
        <v>1</v>
      </c>
      <c r="L101" s="232" t="s">
        <v>300</v>
      </c>
      <c r="M101" s="256">
        <f>K101*S22</f>
        <v>4.5</v>
      </c>
      <c r="N101" s="257">
        <f>K101*T22</f>
        <v>3</v>
      </c>
    </row>
    <row r="102" spans="1:14" x14ac:dyDescent="0.25">
      <c r="A102" s="134" t="s">
        <v>301</v>
      </c>
      <c r="B102" s="103">
        <v>0</v>
      </c>
      <c r="C102" s="145">
        <f>B102*J23</f>
        <v>0</v>
      </c>
      <c r="D102" s="146">
        <f>B102*K23</f>
        <v>0</v>
      </c>
      <c r="F102" s="223">
        <v>1</v>
      </c>
      <c r="G102" s="134" t="s">
        <v>301</v>
      </c>
      <c r="H102" s="128">
        <f>ROUND(F102/J23,4)</f>
        <v>7.4999999999999997E-2</v>
      </c>
      <c r="I102" s="135">
        <f>ROUND(F102/K23,4)</f>
        <v>0.1913</v>
      </c>
      <c r="K102" s="222">
        <v>1</v>
      </c>
      <c r="L102" s="134" t="s">
        <v>301</v>
      </c>
      <c r="M102" s="197">
        <f>K102*J23</f>
        <v>13.333333333333334</v>
      </c>
      <c r="N102" s="200">
        <f>K102*K23</f>
        <v>5.2287581699346415</v>
      </c>
    </row>
    <row r="103" spans="1:14" x14ac:dyDescent="0.25">
      <c r="A103" s="132" t="s">
        <v>302</v>
      </c>
      <c r="B103" s="103">
        <v>0</v>
      </c>
      <c r="C103" s="142">
        <f>B103*M23</f>
        <v>0</v>
      </c>
      <c r="D103" s="143">
        <f>B103*N23</f>
        <v>0</v>
      </c>
      <c r="F103" s="223">
        <v>1</v>
      </c>
      <c r="G103" s="132" t="s">
        <v>302</v>
      </c>
      <c r="H103" s="127">
        <f>ROUND(F103/M23,4)</f>
        <v>7.4999999999999997E-2</v>
      </c>
      <c r="I103" s="133">
        <f>ROUND(F103/N23,4)</f>
        <v>0.1913</v>
      </c>
      <c r="K103" s="222">
        <v>1</v>
      </c>
      <c r="L103" s="132" t="s">
        <v>302</v>
      </c>
      <c r="M103" s="198">
        <f>K103*M23</f>
        <v>13.333333333333334</v>
      </c>
      <c r="N103" s="199">
        <f>K103*N23</f>
        <v>5.2287581699346415</v>
      </c>
    </row>
    <row r="104" spans="1:14" x14ac:dyDescent="0.25">
      <c r="A104" s="134" t="s">
        <v>303</v>
      </c>
      <c r="B104" s="103">
        <v>0</v>
      </c>
      <c r="C104" s="145">
        <f>B104*P23</f>
        <v>0</v>
      </c>
      <c r="D104" s="146">
        <f>B104*Q23</f>
        <v>0</v>
      </c>
      <c r="F104" s="223">
        <v>1</v>
      </c>
      <c r="G104" s="134" t="s">
        <v>303</v>
      </c>
      <c r="H104" s="128">
        <f>ROUND(F104/P23,4)</f>
        <v>7.4999999999999997E-2</v>
      </c>
      <c r="I104" s="135">
        <f>ROUND(F104/Q23,4)</f>
        <v>0.1913</v>
      </c>
      <c r="K104" s="222">
        <v>1</v>
      </c>
      <c r="L104" s="134" t="s">
        <v>303</v>
      </c>
      <c r="M104" s="197">
        <f>K104*P23</f>
        <v>13.333333333333334</v>
      </c>
      <c r="N104" s="200">
        <f>K104*Q23</f>
        <v>5.2287581699346415</v>
      </c>
    </row>
    <row r="105" spans="1:14" x14ac:dyDescent="0.25">
      <c r="A105" s="232" t="s">
        <v>304</v>
      </c>
      <c r="B105" s="236">
        <v>0</v>
      </c>
      <c r="C105" s="234">
        <f>B105*S23</f>
        <v>0</v>
      </c>
      <c r="D105" s="235">
        <f>B105*T23</f>
        <v>0</v>
      </c>
      <c r="F105" s="243">
        <v>1</v>
      </c>
      <c r="G105" s="232" t="s">
        <v>304</v>
      </c>
      <c r="H105" s="244">
        <f>ROUND(F105/S23,4)</f>
        <v>0.22220000000000001</v>
      </c>
      <c r="I105" s="245">
        <f>ROUND(F105/T23,4)</f>
        <v>0.33329999999999999</v>
      </c>
      <c r="K105" s="255">
        <v>1</v>
      </c>
      <c r="L105" s="232" t="s">
        <v>304</v>
      </c>
      <c r="M105" s="256">
        <f>K105*S23</f>
        <v>4.5</v>
      </c>
      <c r="N105" s="257">
        <f>K105*T23</f>
        <v>3</v>
      </c>
    </row>
    <row r="106" spans="1:14" x14ac:dyDescent="0.25">
      <c r="A106" s="134" t="s">
        <v>305</v>
      </c>
      <c r="B106" s="103">
        <v>0</v>
      </c>
      <c r="C106" s="145">
        <f>B106*J24</f>
        <v>0</v>
      </c>
      <c r="D106" s="146">
        <f>B106*K24</f>
        <v>0</v>
      </c>
      <c r="F106" s="223">
        <v>1</v>
      </c>
      <c r="G106" s="134" t="s">
        <v>305</v>
      </c>
      <c r="H106" s="128">
        <f>ROUND(F106/J24,4)</f>
        <v>7.0599999999999996E-2</v>
      </c>
      <c r="I106" s="135">
        <f>ROUND(F106/K24,4)</f>
        <v>0.18</v>
      </c>
      <c r="K106" s="222">
        <v>1</v>
      </c>
      <c r="L106" s="134" t="s">
        <v>305</v>
      </c>
      <c r="M106" s="197">
        <f>K106*J24</f>
        <v>14.166666666666666</v>
      </c>
      <c r="N106" s="200">
        <f>K106*K24</f>
        <v>5.5555555555555562</v>
      </c>
    </row>
    <row r="107" spans="1:14" x14ac:dyDescent="0.25">
      <c r="A107" s="132" t="s">
        <v>306</v>
      </c>
      <c r="B107" s="103">
        <v>0</v>
      </c>
      <c r="C107" s="142">
        <f>B107*M24</f>
        <v>0</v>
      </c>
      <c r="D107" s="143">
        <f>B107*N24</f>
        <v>0</v>
      </c>
      <c r="F107" s="223">
        <v>1</v>
      </c>
      <c r="G107" s="132" t="s">
        <v>306</v>
      </c>
      <c r="H107" s="127">
        <f>ROUND(F107/M24,4)</f>
        <v>7.0599999999999996E-2</v>
      </c>
      <c r="I107" s="133">
        <f>ROUND(F107/N24,4)</f>
        <v>0.18</v>
      </c>
      <c r="K107" s="222">
        <v>1</v>
      </c>
      <c r="L107" s="132" t="s">
        <v>306</v>
      </c>
      <c r="M107" s="198">
        <f>K107*M24</f>
        <v>14.166666666666666</v>
      </c>
      <c r="N107" s="199">
        <f>K107*N24</f>
        <v>5.5555555555555562</v>
      </c>
    </row>
    <row r="108" spans="1:14" x14ac:dyDescent="0.25">
      <c r="A108" s="134" t="s">
        <v>307</v>
      </c>
      <c r="B108" s="103">
        <v>0</v>
      </c>
      <c r="C108" s="145">
        <f>B108*P24</f>
        <v>0</v>
      </c>
      <c r="D108" s="146">
        <f>B108*Q24</f>
        <v>0</v>
      </c>
      <c r="F108" s="223">
        <v>1</v>
      </c>
      <c r="G108" s="134" t="s">
        <v>307</v>
      </c>
      <c r="H108" s="128">
        <f>ROUND(F108/P24,4)</f>
        <v>7.0599999999999996E-2</v>
      </c>
      <c r="I108" s="135">
        <f>ROUND(F108/Q24,4)</f>
        <v>0.18</v>
      </c>
      <c r="K108" s="222">
        <v>1</v>
      </c>
      <c r="L108" s="134" t="s">
        <v>307</v>
      </c>
      <c r="M108" s="197">
        <f>K108*P24</f>
        <v>14.166666666666666</v>
      </c>
      <c r="N108" s="200">
        <f>K108*Q24</f>
        <v>5.5555555555555562</v>
      </c>
    </row>
    <row r="109" spans="1:14" x14ac:dyDescent="0.25">
      <c r="A109" s="232" t="s">
        <v>308</v>
      </c>
      <c r="B109" s="236">
        <v>0</v>
      </c>
      <c r="C109" s="234">
        <f>B109*S24</f>
        <v>0</v>
      </c>
      <c r="D109" s="235">
        <f>B109*T24</f>
        <v>0</v>
      </c>
      <c r="F109" s="243">
        <v>1</v>
      </c>
      <c r="G109" s="232" t="s">
        <v>308</v>
      </c>
      <c r="H109" s="244">
        <f>ROUND(F109/S24,4)</f>
        <v>0.22220000000000001</v>
      </c>
      <c r="I109" s="245">
        <f>ROUND(F109/T24,4)</f>
        <v>0.33329999999999999</v>
      </c>
      <c r="K109" s="255">
        <v>1</v>
      </c>
      <c r="L109" s="232" t="s">
        <v>308</v>
      </c>
      <c r="M109" s="256">
        <f>K109*S24</f>
        <v>4.5</v>
      </c>
      <c r="N109" s="257">
        <f>K109*T24</f>
        <v>3</v>
      </c>
    </row>
    <row r="110" spans="1:14" x14ac:dyDescent="0.25">
      <c r="A110" s="134" t="s">
        <v>309</v>
      </c>
      <c r="B110" s="103">
        <v>0</v>
      </c>
      <c r="C110" s="145">
        <f>B110*J25</f>
        <v>0</v>
      </c>
      <c r="D110" s="146">
        <f>B110*K25</f>
        <v>0</v>
      </c>
      <c r="F110" s="223">
        <v>1</v>
      </c>
      <c r="G110" s="134" t="s">
        <v>309</v>
      </c>
      <c r="H110" s="128">
        <f>ROUND(F110/J25,4)</f>
        <v>6.3200000000000006E-2</v>
      </c>
      <c r="I110" s="135">
        <f>ROUND(F110/K25,4)</f>
        <v>0.16109999999999999</v>
      </c>
      <c r="K110" s="222">
        <v>1</v>
      </c>
      <c r="L110" s="134" t="s">
        <v>309</v>
      </c>
      <c r="M110" s="197">
        <f>K110*J25</f>
        <v>15.833333333333334</v>
      </c>
      <c r="N110" s="200">
        <f>K110*K25</f>
        <v>6.2091503267973867</v>
      </c>
    </row>
    <row r="111" spans="1:14" x14ac:dyDescent="0.25">
      <c r="A111" s="132" t="s">
        <v>310</v>
      </c>
      <c r="B111" s="103">
        <v>0</v>
      </c>
      <c r="C111" s="142">
        <f>B111*M25</f>
        <v>0</v>
      </c>
      <c r="D111" s="143">
        <f>B111*N25</f>
        <v>0</v>
      </c>
      <c r="F111" s="223">
        <v>1</v>
      </c>
      <c r="G111" s="132" t="s">
        <v>310</v>
      </c>
      <c r="H111" s="127">
        <f>ROUND(F111/M25,4)</f>
        <v>6.3200000000000006E-2</v>
      </c>
      <c r="I111" s="133">
        <f>ROUND(F111/N25,4)</f>
        <v>0.16109999999999999</v>
      </c>
      <c r="K111" s="222">
        <v>1</v>
      </c>
      <c r="L111" s="132" t="s">
        <v>310</v>
      </c>
      <c r="M111" s="198">
        <f>K111*M25</f>
        <v>15.833333333333334</v>
      </c>
      <c r="N111" s="199">
        <f>K111*N25</f>
        <v>6.2091503267973867</v>
      </c>
    </row>
    <row r="112" spans="1:14" x14ac:dyDescent="0.25">
      <c r="A112" s="134" t="s">
        <v>311</v>
      </c>
      <c r="B112" s="103">
        <v>0</v>
      </c>
      <c r="C112" s="145">
        <f>B112*P25</f>
        <v>0</v>
      </c>
      <c r="D112" s="146">
        <f>B112*Q25</f>
        <v>0</v>
      </c>
      <c r="F112" s="223">
        <v>1</v>
      </c>
      <c r="G112" s="134" t="s">
        <v>311</v>
      </c>
      <c r="H112" s="128">
        <f>ROUND(F112/P25,4)</f>
        <v>6.3200000000000006E-2</v>
      </c>
      <c r="I112" s="135">
        <f>ROUND(F112/Q25,4)</f>
        <v>0.16109999999999999</v>
      </c>
      <c r="K112" s="222">
        <v>1</v>
      </c>
      <c r="L112" s="134" t="s">
        <v>311</v>
      </c>
      <c r="M112" s="197">
        <f>K112*P25</f>
        <v>15.833333333333334</v>
      </c>
      <c r="N112" s="200">
        <f>K112*Q25</f>
        <v>6.2091503267973867</v>
      </c>
    </row>
    <row r="113" spans="1:14" x14ac:dyDescent="0.25">
      <c r="A113" s="232" t="s">
        <v>312</v>
      </c>
      <c r="B113" s="236">
        <v>0</v>
      </c>
      <c r="C113" s="234">
        <f>B113*S25</f>
        <v>0</v>
      </c>
      <c r="D113" s="235">
        <f>B113*T25</f>
        <v>0</v>
      </c>
      <c r="F113" s="243">
        <v>1</v>
      </c>
      <c r="G113" s="232" t="s">
        <v>312</v>
      </c>
      <c r="H113" s="244">
        <f>ROUND(F113/S25,4)</f>
        <v>0.22220000000000001</v>
      </c>
      <c r="I113" s="245">
        <f>ROUND(F113/T25,4)</f>
        <v>0.33329999999999999</v>
      </c>
      <c r="K113" s="255">
        <v>1</v>
      </c>
      <c r="L113" s="232" t="s">
        <v>312</v>
      </c>
      <c r="M113" s="256">
        <f>K113*S25</f>
        <v>4.5</v>
      </c>
      <c r="N113" s="257">
        <f>K113*T25</f>
        <v>3</v>
      </c>
    </row>
    <row r="114" spans="1:14" x14ac:dyDescent="0.25">
      <c r="A114" s="134" t="s">
        <v>313</v>
      </c>
      <c r="B114" s="103">
        <v>0</v>
      </c>
      <c r="C114" s="145">
        <f>B114*J26</f>
        <v>0</v>
      </c>
      <c r="D114" s="146">
        <f>B114*K26</f>
        <v>0</v>
      </c>
      <c r="F114" s="223">
        <v>1</v>
      </c>
      <c r="G114" s="134" t="s">
        <v>313</v>
      </c>
      <c r="H114" s="128">
        <f>ROUND(F114/J26,4)</f>
        <v>4.4400000000000002E-2</v>
      </c>
      <c r="I114" s="135">
        <f>ROUND(F114/K26,4)</f>
        <v>0.1133</v>
      </c>
      <c r="K114" s="222">
        <v>1</v>
      </c>
      <c r="L114" s="134" t="s">
        <v>313</v>
      </c>
      <c r="M114" s="197">
        <f>K114*J26</f>
        <v>22.5</v>
      </c>
      <c r="N114" s="200">
        <f>K114*K26</f>
        <v>8.8235294117647065</v>
      </c>
    </row>
    <row r="115" spans="1:14" x14ac:dyDescent="0.25">
      <c r="A115" s="132" t="s">
        <v>314</v>
      </c>
      <c r="B115" s="103">
        <v>0</v>
      </c>
      <c r="C115" s="142">
        <f>B115*M26</f>
        <v>0</v>
      </c>
      <c r="D115" s="143">
        <f>B115*N26</f>
        <v>0</v>
      </c>
      <c r="F115" s="223">
        <v>1</v>
      </c>
      <c r="G115" s="132" t="s">
        <v>314</v>
      </c>
      <c r="H115" s="127">
        <f>ROUND(F115/M26,4)</f>
        <v>4.4400000000000002E-2</v>
      </c>
      <c r="I115" s="133">
        <f>ROUND(F115/N26,4)</f>
        <v>0.1133</v>
      </c>
      <c r="K115" s="222">
        <v>1</v>
      </c>
      <c r="L115" s="132" t="s">
        <v>314</v>
      </c>
      <c r="M115" s="198">
        <f>K115*M26</f>
        <v>22.5</v>
      </c>
      <c r="N115" s="199">
        <f>K115*N26</f>
        <v>8.8235294117647065</v>
      </c>
    </row>
    <row r="116" spans="1:14" x14ac:dyDescent="0.25">
      <c r="A116" s="134" t="s">
        <v>315</v>
      </c>
      <c r="B116" s="103">
        <v>0</v>
      </c>
      <c r="C116" s="145">
        <f>B116*P26</f>
        <v>0</v>
      </c>
      <c r="D116" s="146">
        <f>B116*Q26</f>
        <v>0</v>
      </c>
      <c r="F116" s="223">
        <v>1</v>
      </c>
      <c r="G116" s="134" t="s">
        <v>315</v>
      </c>
      <c r="H116" s="128">
        <f>ROUND(F116/P26,4)</f>
        <v>4.4400000000000002E-2</v>
      </c>
      <c r="I116" s="135">
        <f>ROUND(F116/Q26,4)</f>
        <v>0.1133</v>
      </c>
      <c r="K116" s="222">
        <v>1</v>
      </c>
      <c r="L116" s="134" t="s">
        <v>315</v>
      </c>
      <c r="M116" s="197">
        <f>K116*P26</f>
        <v>22.5</v>
      </c>
      <c r="N116" s="200">
        <f>K116*Q26</f>
        <v>8.8235294117647065</v>
      </c>
    </row>
    <row r="117" spans="1:14" x14ac:dyDescent="0.25">
      <c r="A117" s="232" t="s">
        <v>316</v>
      </c>
      <c r="B117" s="236">
        <v>0</v>
      </c>
      <c r="C117" s="234">
        <f>B117*S26</f>
        <v>0</v>
      </c>
      <c r="D117" s="235">
        <f>B117*T26</f>
        <v>0</v>
      </c>
      <c r="F117" s="243">
        <v>1</v>
      </c>
      <c r="G117" s="232" t="s">
        <v>316</v>
      </c>
      <c r="H117" s="244">
        <f>ROUND(F117/S26,4)</f>
        <v>0.22220000000000001</v>
      </c>
      <c r="I117" s="245">
        <f>ROUND(F117/T26,4)</f>
        <v>0.33329999999999999</v>
      </c>
      <c r="K117" s="255">
        <v>1</v>
      </c>
      <c r="L117" s="232" t="s">
        <v>316</v>
      </c>
      <c r="M117" s="256">
        <f>K117*S26</f>
        <v>4.5</v>
      </c>
      <c r="N117" s="257">
        <f>K117*T26</f>
        <v>3</v>
      </c>
    </row>
    <row r="118" spans="1:14" x14ac:dyDescent="0.25">
      <c r="A118" s="134" t="s">
        <v>317</v>
      </c>
      <c r="B118" s="103">
        <v>0</v>
      </c>
      <c r="C118" s="145">
        <f>B118*J27</f>
        <v>0</v>
      </c>
      <c r="D118" s="146">
        <f>B118*K27</f>
        <v>0</v>
      </c>
      <c r="F118" s="223">
        <v>1</v>
      </c>
      <c r="G118" s="134" t="s">
        <v>317</v>
      </c>
      <c r="H118" s="128">
        <f>ROUND(F118/J27,4)</f>
        <v>3.8699999999999998E-2</v>
      </c>
      <c r="I118" s="135">
        <f>ROUND(F118/K27,4)</f>
        <v>9.8699999999999996E-2</v>
      </c>
      <c r="K118" s="222">
        <v>1</v>
      </c>
      <c r="L118" s="134" t="s">
        <v>317</v>
      </c>
      <c r="M118" s="197">
        <f>K118*J27</f>
        <v>25.833333333333332</v>
      </c>
      <c r="N118" s="200">
        <f>K118*K27</f>
        <v>10.130718954248367</v>
      </c>
    </row>
    <row r="119" spans="1:14" x14ac:dyDescent="0.25">
      <c r="A119" s="221" t="s">
        <v>318</v>
      </c>
      <c r="B119" s="103">
        <v>0</v>
      </c>
      <c r="C119" s="142">
        <f>B119*M27</f>
        <v>0</v>
      </c>
      <c r="D119" s="143">
        <f>B119*N27</f>
        <v>0</v>
      </c>
      <c r="F119" s="223">
        <v>1</v>
      </c>
      <c r="G119" s="221" t="s">
        <v>318</v>
      </c>
      <c r="H119" s="127">
        <f>ROUND(F119/M27,4)</f>
        <v>3.8699999999999998E-2</v>
      </c>
      <c r="I119" s="133">
        <f>ROUND(F119/N27,4)</f>
        <v>9.8699999999999996E-2</v>
      </c>
      <c r="K119" s="222">
        <v>1</v>
      </c>
      <c r="L119" s="221" t="s">
        <v>318</v>
      </c>
      <c r="M119" s="198">
        <f>K119*M27</f>
        <v>25.833333333333332</v>
      </c>
      <c r="N119" s="199">
        <f>K119*N27</f>
        <v>10.130718954248367</v>
      </c>
    </row>
    <row r="120" spans="1:14" x14ac:dyDescent="0.25">
      <c r="A120" s="134" t="s">
        <v>319</v>
      </c>
      <c r="B120" s="103">
        <v>0</v>
      </c>
      <c r="C120" s="145">
        <f>B120*P27</f>
        <v>0</v>
      </c>
      <c r="D120" s="146">
        <f>B120*Q27</f>
        <v>0</v>
      </c>
      <c r="F120" s="223">
        <v>1</v>
      </c>
      <c r="G120" s="134" t="s">
        <v>319</v>
      </c>
      <c r="H120" s="128">
        <f>ROUND(F120/P27,4)</f>
        <v>3.8699999999999998E-2</v>
      </c>
      <c r="I120" s="135">
        <f>ROUND(F120/Q27,4)</f>
        <v>9.8699999999999996E-2</v>
      </c>
      <c r="K120" s="222">
        <v>1</v>
      </c>
      <c r="L120" s="134" t="s">
        <v>319</v>
      </c>
      <c r="M120" s="197">
        <f>K120*P27</f>
        <v>25.833333333333332</v>
      </c>
      <c r="N120" s="200">
        <f>K120*Q27</f>
        <v>10.130718954248367</v>
      </c>
    </row>
    <row r="121" spans="1:14" x14ac:dyDescent="0.25">
      <c r="A121" s="232" t="s">
        <v>320</v>
      </c>
      <c r="B121" s="236">
        <v>0</v>
      </c>
      <c r="C121" s="234">
        <f>B121*S27</f>
        <v>0</v>
      </c>
      <c r="D121" s="235">
        <f>B121*T27</f>
        <v>0</v>
      </c>
      <c r="F121" s="243">
        <v>1</v>
      </c>
      <c r="G121" s="232" t="s">
        <v>320</v>
      </c>
      <c r="H121" s="244">
        <f>ROUND(F121/S27,4)</f>
        <v>0.22220000000000001</v>
      </c>
      <c r="I121" s="245">
        <f>ROUND(F121/T27,4)</f>
        <v>0.33329999999999999</v>
      </c>
      <c r="K121" s="255">
        <v>1</v>
      </c>
      <c r="L121" s="232" t="s">
        <v>320</v>
      </c>
      <c r="M121" s="256">
        <f>K121*S27</f>
        <v>4.5</v>
      </c>
      <c r="N121" s="257">
        <f>K121*T27</f>
        <v>3</v>
      </c>
    </row>
    <row r="122" spans="1:14" x14ac:dyDescent="0.25">
      <c r="A122" s="134" t="s">
        <v>321</v>
      </c>
      <c r="B122" s="103">
        <v>1</v>
      </c>
      <c r="C122" s="145">
        <f>B122*J28</f>
        <v>50</v>
      </c>
      <c r="D122" s="146">
        <f>B122*K28</f>
        <v>19.607843137254903</v>
      </c>
      <c r="F122" s="223">
        <v>1</v>
      </c>
      <c r="G122" s="134" t="s">
        <v>321</v>
      </c>
      <c r="H122" s="128">
        <f>ROUND(F122/J28,4)</f>
        <v>0.02</v>
      </c>
      <c r="I122" s="135">
        <f>ROUND(F122/K28,4)</f>
        <v>5.0999999999999997E-2</v>
      </c>
      <c r="K122" s="222">
        <v>1</v>
      </c>
      <c r="L122" s="134" t="s">
        <v>321</v>
      </c>
      <c r="M122" s="197">
        <f>K122*J28</f>
        <v>50</v>
      </c>
      <c r="N122" s="200">
        <f>K122*K28</f>
        <v>19.607843137254903</v>
      </c>
    </row>
    <row r="123" spans="1:14" x14ac:dyDescent="0.25">
      <c r="A123" s="132" t="s">
        <v>322</v>
      </c>
      <c r="B123" s="103">
        <v>0</v>
      </c>
      <c r="C123" s="142">
        <f>B123*M28</f>
        <v>0</v>
      </c>
      <c r="D123" s="143">
        <f>B123*N28</f>
        <v>0</v>
      </c>
      <c r="F123" s="223">
        <v>1</v>
      </c>
      <c r="G123" s="132" t="s">
        <v>322</v>
      </c>
      <c r="H123" s="127">
        <f>ROUND(F123/M28,4)</f>
        <v>0.02</v>
      </c>
      <c r="I123" s="133">
        <f>ROUND(F123/N28,4)</f>
        <v>5.0999999999999997E-2</v>
      </c>
      <c r="K123" s="222">
        <v>1</v>
      </c>
      <c r="L123" s="132" t="s">
        <v>322</v>
      </c>
      <c r="M123" s="198">
        <f>K123*M28</f>
        <v>50</v>
      </c>
      <c r="N123" s="199">
        <f>K123*N28</f>
        <v>19.607843137254903</v>
      </c>
    </row>
    <row r="124" spans="1:14" x14ac:dyDescent="0.25">
      <c r="A124" s="134" t="s">
        <v>323</v>
      </c>
      <c r="B124" s="103">
        <v>0</v>
      </c>
      <c r="C124" s="145">
        <f>B124*P28</f>
        <v>0</v>
      </c>
      <c r="D124" s="146">
        <f>B124*Q28</f>
        <v>0</v>
      </c>
      <c r="F124" s="223">
        <v>1</v>
      </c>
      <c r="G124" s="134" t="s">
        <v>323</v>
      </c>
      <c r="H124" s="128">
        <f>ROUND(F124/P28,4)</f>
        <v>0.02</v>
      </c>
      <c r="I124" s="135">
        <f>ROUND(F124/Q28,4)</f>
        <v>5.0999999999999997E-2</v>
      </c>
      <c r="K124" s="222">
        <v>1</v>
      </c>
      <c r="L124" s="134" t="s">
        <v>323</v>
      </c>
      <c r="M124" s="197">
        <f>K124*P28</f>
        <v>50</v>
      </c>
      <c r="N124" s="200">
        <f>K124*Q28</f>
        <v>19.607843137254903</v>
      </c>
    </row>
    <row r="125" spans="1:14" x14ac:dyDescent="0.25">
      <c r="A125" s="237" t="s">
        <v>324</v>
      </c>
      <c r="B125" s="236">
        <v>0</v>
      </c>
      <c r="C125" s="234">
        <f>B125*S28</f>
        <v>0</v>
      </c>
      <c r="D125" s="235">
        <f>B125*T28</f>
        <v>0</v>
      </c>
      <c r="F125" s="243">
        <v>1</v>
      </c>
      <c r="G125" s="237" t="s">
        <v>324</v>
      </c>
      <c r="H125" s="244">
        <f>ROUND(F125/S28,4)</f>
        <v>0.22220000000000001</v>
      </c>
      <c r="I125" s="245">
        <f>ROUND(F125/T28,4)</f>
        <v>0.33329999999999999</v>
      </c>
      <c r="K125" s="255">
        <v>1</v>
      </c>
      <c r="L125" s="237" t="s">
        <v>324</v>
      </c>
      <c r="M125" s="256">
        <f>K125*S28</f>
        <v>4.5</v>
      </c>
      <c r="N125" s="257">
        <f>K125*T28</f>
        <v>3</v>
      </c>
    </row>
    <row r="127" spans="1:14" ht="15.75" thickBot="1" x14ac:dyDescent="0.3">
      <c r="A127" s="274"/>
      <c r="B127" s="275"/>
      <c r="C127" s="275"/>
      <c r="D127" s="276"/>
      <c r="F127" s="274" t="s">
        <v>404</v>
      </c>
      <c r="G127" s="275"/>
      <c r="H127" s="276" t="s">
        <v>405</v>
      </c>
    </row>
    <row r="128" spans="1:14" ht="16.5" thickTop="1" thickBot="1" x14ac:dyDescent="0.3">
      <c r="A128" s="268"/>
      <c r="B128" s="39" t="s">
        <v>126</v>
      </c>
      <c r="C128" s="145">
        <f>ROUND(SUM(C59:C125),1)</f>
        <v>50</v>
      </c>
      <c r="D128" s="263">
        <f>ROUND(SUM(D59:D125),1)</f>
        <v>19.600000000000001</v>
      </c>
      <c r="F128" s="261" t="s">
        <v>333</v>
      </c>
      <c r="G128" s="269"/>
      <c r="H128" s="262" t="s">
        <v>493</v>
      </c>
    </row>
    <row r="129" spans="1:8" ht="15.75" thickTop="1" x14ac:dyDescent="0.25">
      <c r="A129" s="264" t="s">
        <v>127</v>
      </c>
      <c r="B129" s="119">
        <v>50</v>
      </c>
      <c r="C129" s="277"/>
      <c r="D129" s="278"/>
      <c r="F129" s="268"/>
      <c r="G129" s="269"/>
      <c r="H129" s="270"/>
    </row>
    <row r="130" spans="1:8" x14ac:dyDescent="0.25">
      <c r="A130" s="265" t="s">
        <v>47</v>
      </c>
      <c r="B130" s="266">
        <f>IFERROR(1-(B129/C128),0)</f>
        <v>0</v>
      </c>
      <c r="C130" s="279"/>
      <c r="D130" s="270"/>
      <c r="F130" s="268"/>
      <c r="G130" s="269"/>
      <c r="H130" s="270"/>
    </row>
    <row r="131" spans="1:8" x14ac:dyDescent="0.25">
      <c r="A131" s="268"/>
      <c r="B131" s="269"/>
      <c r="C131" s="269"/>
      <c r="D131" s="270"/>
      <c r="F131" s="268"/>
      <c r="G131" s="269"/>
      <c r="H131" s="270"/>
    </row>
    <row r="132" spans="1:8" x14ac:dyDescent="0.25">
      <c r="A132" s="271"/>
      <c r="B132" s="272"/>
      <c r="C132" s="272"/>
      <c r="D132" s="273"/>
      <c r="F132" s="271"/>
      <c r="G132" s="272"/>
      <c r="H132" s="273"/>
    </row>
    <row r="133" spans="1:8" x14ac:dyDescent="0.25">
      <c r="F133" s="267" t="s">
        <v>406</v>
      </c>
    </row>
  </sheetData>
  <mergeCells count="6">
    <mergeCell ref="R15:T15"/>
    <mergeCell ref="A53:O54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ignoredErrors>
    <ignoredError sqref="J17:J28 K30:K33 J30:J33 J29:K29" calculatedColumn="1"/>
  </ignoredErrors>
  <drawing r:id="rId2"/>
  <legacyDrawing r:id="rId3"/>
  <controls>
    <mc:AlternateContent xmlns:mc="http://schemas.openxmlformats.org/markup-compatibility/2006">
      <mc:Choice Requires="x14">
        <control shapeId="8194" r:id="rId4" name="CommandButton1">
          <controlPr defaultSize="0" autoLine="0" r:id="rId5">
            <anchor moveWithCells="1">
              <from>
                <xdr:col>2</xdr:col>
                <xdr:colOff>333375</xdr:colOff>
                <xdr:row>129</xdr:row>
                <xdr:rowOff>76200</xdr:rowOff>
              </from>
              <to>
                <xdr:col>3</xdr:col>
                <xdr:colOff>647700</xdr:colOff>
                <xdr:row>131</xdr:row>
                <xdr:rowOff>95250</xdr:rowOff>
              </to>
            </anchor>
          </controlPr>
        </control>
      </mc:Choice>
      <mc:Fallback>
        <control shapeId="8194" r:id="rId4" name="CommandButton1"/>
      </mc:Fallback>
    </mc:AlternateContent>
    <mc:AlternateContent xmlns:mc="http://schemas.openxmlformats.org/markup-compatibility/2006">
      <mc:Choice Requires="x14">
        <control shapeId="8196" r:id="rId6" name="CommandButton2">
          <controlPr defaultSize="0" autoLine="0" r:id="rId7">
            <anchor moveWithCells="1">
              <from>
                <xdr:col>6</xdr:col>
                <xdr:colOff>19050</xdr:colOff>
                <xdr:row>129</xdr:row>
                <xdr:rowOff>76200</xdr:rowOff>
              </from>
              <to>
                <xdr:col>6</xdr:col>
                <xdr:colOff>1390650</xdr:colOff>
                <xdr:row>131</xdr:row>
                <xdr:rowOff>85725</xdr:rowOff>
              </to>
            </anchor>
          </controlPr>
        </control>
      </mc:Choice>
      <mc:Fallback>
        <control shapeId="8196" r:id="rId6" name="CommandButton2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'Link table'!$B$23:$B$97</xm:f>
          </x14:formula1>
          <xm:sqref>F128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1.xml>�� 
</file>

<file path=customXml/item1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428E760-B837-43D3-BFB6-FA3F00E4351C}">
  <ds:schemaRefs/>
</ds:datastoreItem>
</file>

<file path=customXml/itemProps2.xml><?xml version="1.0" encoding="utf-8"?>
<ds:datastoreItem xmlns:ds="http://schemas.openxmlformats.org/officeDocument/2006/customXml" ds:itemID="{B0B7BE38-2889-44EA-9FB0-2D6FF9BB889A}">
  <ds:schemaRefs/>
</ds:datastoreItem>
</file>

<file path=customXml/itemProps3.xml><?xml version="1.0" encoding="utf-8"?>
<ds:datastoreItem xmlns:ds="http://schemas.openxmlformats.org/officeDocument/2006/customXml" ds:itemID="{4B5313D3-99C5-44BD-BE39-5926B1C15ED3}">
  <ds:schemaRefs/>
</ds:datastoreItem>
</file>

<file path=customXml/itemProps4.xml><?xml version="1.0" encoding="utf-8"?>
<ds:datastoreItem xmlns:ds="http://schemas.openxmlformats.org/officeDocument/2006/customXml" ds:itemID="{F11733BD-FDAC-45AD-A0CD-7C4B6266E0CC}">
  <ds:schemaRefs/>
</ds:datastoreItem>
</file>

<file path=customXml/itemProps5.xml><?xml version="1.0" encoding="utf-8"?>
<ds:datastoreItem xmlns:ds="http://schemas.openxmlformats.org/officeDocument/2006/customXml" ds:itemID="{CA5FF991-C66A-4AAF-AC09-3E8322DE2999}">
  <ds:schemaRefs/>
</ds:datastoreItem>
</file>

<file path=customXml/itemProps6.xml><?xml version="1.0" encoding="utf-8"?>
<ds:datastoreItem xmlns:ds="http://schemas.openxmlformats.org/officeDocument/2006/customXml" ds:itemID="{72671333-EA01-4E61-9495-0C521CFF4E42}">
  <ds:schemaRefs/>
</ds:datastoreItem>
</file>

<file path=customXml/itemProps7.xml><?xml version="1.0" encoding="utf-8"?>
<ds:datastoreItem xmlns:ds="http://schemas.openxmlformats.org/officeDocument/2006/customXml" ds:itemID="{F8AB7AAD-CCBA-4D35-9A0D-E4DC6E01A4E1}">
  <ds:schemaRefs/>
</ds:datastoreItem>
</file>

<file path=customXml/itemProps8.xml><?xml version="1.0" encoding="utf-8"?>
<ds:datastoreItem xmlns:ds="http://schemas.openxmlformats.org/officeDocument/2006/customXml" ds:itemID="{27B0BC59-0E6A-4278-957E-2A6158A5EF58}">
  <ds:schemaRefs/>
</ds:datastoreItem>
</file>

<file path=customXml/itemProps9.xml><?xml version="1.0" encoding="utf-8"?>
<ds:datastoreItem xmlns:ds="http://schemas.openxmlformats.org/officeDocument/2006/customXml" ds:itemID="{14FA3DBF-3D10-4CEC-9C13-2B643DF1E106}">
  <ds:schemaRefs/>
</ds:datastoreItem>
</file>

<file path=customXml/itemProps10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1.xml><?xml version="1.0" encoding="utf-8"?>
<ds:datastoreItem xmlns:ds="http://schemas.openxmlformats.org/officeDocument/2006/customXml" ds:itemID="{73EAB481-866B-4C0F-8627-26832E150B4D}">
  <ds:schemaRefs/>
</ds:datastoreItem>
</file>

<file path=customXml/itemProps12.xml><?xml version="1.0" encoding="utf-8"?>
<ds:datastoreItem xmlns:ds="http://schemas.openxmlformats.org/officeDocument/2006/customXml" ds:itemID="{A4A5620A-4296-4C7A-BA8C-7054E1FB2B7E}">
  <ds:schemaRefs>
    <ds:schemaRef ds:uri="http://purl.org/dc/terms/"/>
    <ds:schemaRef ds:uri="http://purl.org/dc/dcmitype/"/>
    <ds:schemaRef ds:uri="http://schemas.openxmlformats.org/package/2006/metadata/core-properties"/>
    <ds:schemaRef ds:uri="http://www.w3.org/XML/1998/namespace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</ds:schemaRefs>
</ds:datastoreItem>
</file>

<file path=customXml/itemProps13.xml><?xml version="1.0" encoding="utf-8"?>
<ds:datastoreItem xmlns:ds="http://schemas.openxmlformats.org/officeDocument/2006/customXml" ds:itemID="{A502F854-1DC8-4930-AC9B-4F60D9DD5EEF}">
  <ds:schemaRefs/>
</ds:datastoreItem>
</file>

<file path=customXml/itemProps14.xml><?xml version="1.0" encoding="utf-8"?>
<ds:datastoreItem xmlns:ds="http://schemas.openxmlformats.org/officeDocument/2006/customXml" ds:itemID="{09DE11B8-3459-491D-8BA8-7D75F0234420}">
  <ds:schemaRefs/>
</ds:datastoreItem>
</file>

<file path=customXml/itemProps15.xml><?xml version="1.0" encoding="utf-8"?>
<ds:datastoreItem xmlns:ds="http://schemas.openxmlformats.org/officeDocument/2006/customXml" ds:itemID="{E4A9B254-DDD8-464F-AF7A-4D112BB6FD8E}">
  <ds:schemaRefs/>
</ds:datastoreItem>
</file>

<file path=customXml/itemProps16.xml><?xml version="1.0" encoding="utf-8"?>
<ds:datastoreItem xmlns:ds="http://schemas.openxmlformats.org/officeDocument/2006/customXml" ds:itemID="{5C670962-9690-435C-A5BE-6413D7595FD6}">
  <ds:schemaRefs/>
</ds:datastoreItem>
</file>

<file path=customXml/itemProps17.xml><?xml version="1.0" encoding="utf-8"?>
<ds:datastoreItem xmlns:ds="http://schemas.openxmlformats.org/officeDocument/2006/customXml" ds:itemID="{3B5C8196-2348-4D06-B408-7ECE9A09663C}">
  <ds:schemaRefs/>
</ds:datastoreItem>
</file>

<file path=customXml/itemProps18.xml><?xml version="1.0" encoding="utf-8"?>
<ds:datastoreItem xmlns:ds="http://schemas.openxmlformats.org/officeDocument/2006/customXml" ds:itemID="{E68C531D-A362-4FEB-8EB6-C7E4117D7A69}">
  <ds:schemaRefs/>
</ds:datastoreItem>
</file>

<file path=customXml/itemProps19.xml><?xml version="1.0" encoding="utf-8"?>
<ds:datastoreItem xmlns:ds="http://schemas.openxmlformats.org/officeDocument/2006/customXml" ds:itemID="{498F0357-19EF-429B-ABBE-9EE0F18B7652}">
  <ds:schemaRefs/>
</ds:datastoreItem>
</file>

<file path=customXml/itemProps20.xml><?xml version="1.0" encoding="utf-8"?>
<ds:datastoreItem xmlns:ds="http://schemas.openxmlformats.org/officeDocument/2006/customXml" ds:itemID="{457F4C07-1709-4595-8EC4-6C0DABF04268}">
  <ds:schemaRefs/>
</ds:datastoreItem>
</file>

<file path=customXml/itemProps21.xml><?xml version="1.0" encoding="utf-8"?>
<ds:datastoreItem xmlns:ds="http://schemas.openxmlformats.org/officeDocument/2006/customXml" ds:itemID="{C5CBC30E-2F3A-4931-BF4A-9F61DD9D84E2}">
  <ds:schemaRefs/>
</ds:datastoreItem>
</file>

<file path=customXml/itemProps22.xml><?xml version="1.0" encoding="utf-8"?>
<ds:datastoreItem xmlns:ds="http://schemas.openxmlformats.org/officeDocument/2006/customXml" ds:itemID="{F92C5DF9-F10E-4F67-A74E-2A3531B26D44}">
  <ds:schemaRefs/>
</ds:datastoreItem>
</file>

<file path=customXml/itemProps23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BD - Heats Maps (2)</vt:lpstr>
      <vt:lpstr>Dragons - Unlock</vt:lpstr>
      <vt:lpstr>Run - Duration</vt:lpstr>
      <vt:lpstr>Link table</vt:lpstr>
      <vt:lpstr>Timers</vt:lpstr>
      <vt:lpstr>Balance - XP points</vt:lpstr>
      <vt:lpstr>Missions rewards&amp;quantities</vt:lpstr>
      <vt:lpstr>Daily Rewards</vt:lpstr>
      <vt:lpstr>Offer Simulator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2019-10-01T13:40:02Z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