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1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4.xml" ContentType="application/vnd.openxmlformats-officedocument.drawing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5.xml" ContentType="application/vnd.openxmlformats-officedocument.drawing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D:\Projects\dragon\client\Docs\Progression\"/>
    </mc:Choice>
  </mc:AlternateContent>
  <bookViews>
    <workbookView xWindow="480" yWindow="135" windowWidth="22860" windowHeight="11640" activeTab="1"/>
  </bookViews>
  <sheets>
    <sheet name="Entities" sheetId="12" r:id="rId1"/>
    <sheet name="Dragons" sheetId="3" r:id="rId2"/>
    <sheet name="Prog." sheetId="15" r:id="rId3"/>
    <sheet name="Prog. &quot;Village&quot;" sheetId="8" r:id="rId4"/>
    <sheet name="Prog. &quot;Castle&quot;" sheetId="14" r:id="rId5"/>
    <sheet name="Prog. &quot;Dark&quot;" sheetId="16" r:id="rId6"/>
    <sheet name="DATA_DRAGONS_CONTENT" sheetId="5" r:id="rId7"/>
    <sheet name="DATA_SCENES_UNITY_1" sheetId="9" r:id="rId8"/>
    <sheet name="DATA_SCENES_UNITY_2" sheetId="13" r:id="rId9"/>
    <sheet name="CheckSpawnersDuplicity" sheetId="17" r:id="rId10"/>
    <sheet name="Entities FPS" sheetId="6" r:id="rId11"/>
  </sheets>
  <calcPr calcId="162913"/>
</workbook>
</file>

<file path=xl/calcChain.xml><?xml version="1.0" encoding="utf-8"?>
<calcChain xmlns="http://schemas.openxmlformats.org/spreadsheetml/2006/main">
  <c r="N41" i="13" l="1"/>
  <c r="AC41" i="13"/>
  <c r="AR41" i="13"/>
  <c r="N12" i="12" l="1"/>
  <c r="N13" i="12"/>
  <c r="N14" i="12"/>
  <c r="N15" i="12"/>
  <c r="N16" i="12"/>
  <c r="N17" i="12"/>
  <c r="N18" i="12"/>
  <c r="N19" i="12"/>
  <c r="N20" i="12"/>
  <c r="N21" i="12"/>
  <c r="N22" i="12"/>
  <c r="N23" i="12"/>
  <c r="N24" i="12"/>
  <c r="N25" i="12"/>
  <c r="N26" i="12"/>
  <c r="N27" i="12"/>
  <c r="N28" i="12"/>
  <c r="N29" i="12"/>
  <c r="N30" i="12"/>
  <c r="N31" i="12"/>
  <c r="N32" i="12"/>
  <c r="N33" i="12"/>
  <c r="N34" i="12"/>
  <c r="N35" i="12"/>
  <c r="N36" i="12"/>
  <c r="N39" i="12"/>
  <c r="N40" i="12"/>
  <c r="N41" i="12"/>
  <c r="N42" i="12"/>
  <c r="N37" i="12"/>
  <c r="N38" i="12"/>
  <c r="N44" i="12"/>
  <c r="N43" i="12"/>
  <c r="N45" i="12"/>
  <c r="N46" i="12"/>
  <c r="N47" i="12"/>
  <c r="N48" i="12"/>
  <c r="N49" i="12"/>
  <c r="N50" i="12"/>
  <c r="N51" i="12"/>
  <c r="N52" i="12"/>
  <c r="N53" i="12"/>
  <c r="N54" i="12"/>
  <c r="N55" i="12"/>
  <c r="N56" i="12"/>
  <c r="N57" i="12"/>
  <c r="N58" i="12"/>
  <c r="N59" i="12"/>
  <c r="N60" i="12"/>
  <c r="N61" i="12"/>
  <c r="N62" i="12"/>
  <c r="N63" i="12"/>
  <c r="N64" i="12"/>
  <c r="N66" i="12"/>
  <c r="N67" i="12"/>
  <c r="N68" i="12"/>
  <c r="N69" i="12"/>
  <c r="N70" i="12"/>
  <c r="N71" i="12"/>
  <c r="N65" i="12"/>
  <c r="N72" i="12"/>
  <c r="N73" i="12"/>
  <c r="N74" i="12"/>
  <c r="N75" i="12"/>
  <c r="N76" i="12"/>
  <c r="N77" i="12"/>
  <c r="N78" i="12"/>
  <c r="N79" i="12"/>
  <c r="N80" i="12"/>
  <c r="N81" i="12"/>
  <c r="N82" i="12"/>
  <c r="N83" i="12"/>
  <c r="N84" i="12"/>
  <c r="N85" i="12"/>
  <c r="N86" i="12"/>
  <c r="N87" i="12"/>
  <c r="N89" i="12"/>
  <c r="N88" i="12"/>
  <c r="N90" i="12"/>
  <c r="N91" i="12"/>
  <c r="N92" i="12"/>
  <c r="N93" i="12"/>
  <c r="N94" i="12"/>
  <c r="N95" i="12"/>
  <c r="N96" i="12"/>
  <c r="N97" i="12"/>
  <c r="N98" i="12"/>
  <c r="N99" i="12"/>
  <c r="N100" i="12"/>
  <c r="N101" i="12"/>
  <c r="N102" i="12"/>
  <c r="N103" i="12"/>
  <c r="N104" i="12"/>
  <c r="N105" i="12"/>
  <c r="N106" i="12"/>
  <c r="N107" i="12"/>
  <c r="N108" i="12"/>
  <c r="N109" i="12"/>
  <c r="N110" i="12"/>
  <c r="N111" i="12"/>
  <c r="N112" i="12"/>
  <c r="N113" i="12"/>
  <c r="N114" i="12"/>
  <c r="N115" i="12"/>
  <c r="N116" i="12"/>
  <c r="N117" i="12"/>
  <c r="N118" i="12"/>
  <c r="N119" i="12"/>
  <c r="N120" i="12"/>
  <c r="N121" i="12"/>
  <c r="N122" i="12"/>
  <c r="N123" i="12"/>
  <c r="N125" i="12"/>
  <c r="N124" i="12"/>
  <c r="N126" i="12"/>
  <c r="N127" i="12"/>
  <c r="N128" i="12"/>
  <c r="N129" i="12"/>
  <c r="N130" i="12"/>
  <c r="N131" i="12"/>
  <c r="N132" i="12"/>
  <c r="N133" i="12"/>
  <c r="N134" i="12"/>
  <c r="N135" i="12"/>
  <c r="N136" i="12"/>
  <c r="N137" i="12"/>
  <c r="N138" i="12"/>
  <c r="N139" i="12"/>
  <c r="N140" i="12"/>
  <c r="N141" i="12"/>
  <c r="N142" i="12"/>
  <c r="N143" i="12"/>
  <c r="N144" i="12"/>
  <c r="N145" i="12"/>
  <c r="N146" i="12"/>
  <c r="N147" i="12"/>
  <c r="N148" i="12"/>
  <c r="N149" i="12"/>
  <c r="N151" i="12"/>
  <c r="N150" i="12"/>
  <c r="N152" i="12"/>
  <c r="N153" i="12"/>
  <c r="N154" i="12"/>
  <c r="N156" i="12"/>
  <c r="N157" i="12"/>
  <c r="N158" i="12"/>
  <c r="N159" i="12"/>
  <c r="N160" i="12"/>
  <c r="N161" i="12"/>
  <c r="N162" i="12"/>
  <c r="N163" i="12"/>
  <c r="N155" i="12"/>
  <c r="N164" i="12"/>
  <c r="N165" i="12"/>
  <c r="N167" i="12"/>
  <c r="N168" i="12"/>
  <c r="N169" i="12"/>
  <c r="N166" i="12"/>
  <c r="P12" i="12"/>
  <c r="P13" i="12"/>
  <c r="P14" i="12"/>
  <c r="P15" i="12"/>
  <c r="P16" i="12"/>
  <c r="P17" i="12"/>
  <c r="P18" i="12"/>
  <c r="P19" i="12"/>
  <c r="P20" i="12"/>
  <c r="P21" i="12"/>
  <c r="P22" i="12"/>
  <c r="P23" i="12"/>
  <c r="P24" i="12"/>
  <c r="P25" i="12"/>
  <c r="P26" i="12"/>
  <c r="P27" i="12"/>
  <c r="P28" i="12"/>
  <c r="P29" i="12"/>
  <c r="P30" i="12"/>
  <c r="P31" i="12"/>
  <c r="P32" i="12"/>
  <c r="P33" i="12"/>
  <c r="P34" i="12"/>
  <c r="P35" i="12"/>
  <c r="P36" i="12"/>
  <c r="P39" i="12"/>
  <c r="P40" i="12"/>
  <c r="P41" i="12"/>
  <c r="P42" i="12"/>
  <c r="P37" i="12"/>
  <c r="P38" i="12"/>
  <c r="P44" i="12"/>
  <c r="P43" i="12"/>
  <c r="P45" i="12"/>
  <c r="P46" i="12"/>
  <c r="P47" i="12"/>
  <c r="P48" i="12"/>
  <c r="P49" i="12"/>
  <c r="P50" i="12"/>
  <c r="P51" i="12"/>
  <c r="P52" i="12"/>
  <c r="P53" i="12"/>
  <c r="P54" i="12"/>
  <c r="P55" i="12"/>
  <c r="P56" i="12"/>
  <c r="P57" i="12"/>
  <c r="P58" i="12"/>
  <c r="P59" i="12"/>
  <c r="P60" i="12"/>
  <c r="P61" i="12"/>
  <c r="P62" i="12"/>
  <c r="P63" i="12"/>
  <c r="P64" i="12"/>
  <c r="P66" i="12"/>
  <c r="P67" i="12"/>
  <c r="P68" i="12"/>
  <c r="P69" i="12"/>
  <c r="P70" i="12"/>
  <c r="P71" i="12"/>
  <c r="P65" i="12"/>
  <c r="P72" i="12"/>
  <c r="P73" i="12"/>
  <c r="P74" i="12"/>
  <c r="P75" i="12"/>
  <c r="P76" i="12"/>
  <c r="P77" i="12"/>
  <c r="P78" i="12"/>
  <c r="P79" i="12"/>
  <c r="P80" i="12"/>
  <c r="P81" i="12"/>
  <c r="P82" i="12"/>
  <c r="P83" i="12"/>
  <c r="P84" i="12"/>
  <c r="P85" i="12"/>
  <c r="P86" i="12"/>
  <c r="P87" i="12"/>
  <c r="P89" i="12"/>
  <c r="P88" i="12"/>
  <c r="P90" i="12"/>
  <c r="P91" i="12"/>
  <c r="P92" i="12"/>
  <c r="P93" i="12"/>
  <c r="P94" i="12"/>
  <c r="P95" i="12"/>
  <c r="P96" i="12"/>
  <c r="P97" i="12"/>
  <c r="P98" i="12"/>
  <c r="P99" i="12"/>
  <c r="P100" i="12"/>
  <c r="P101" i="12"/>
  <c r="P102" i="12"/>
  <c r="P103" i="12"/>
  <c r="P104" i="12"/>
  <c r="P105" i="12"/>
  <c r="P106" i="12"/>
  <c r="P107" i="12"/>
  <c r="P108" i="12"/>
  <c r="P109" i="12"/>
  <c r="P110" i="12"/>
  <c r="P111" i="12"/>
  <c r="P112" i="12"/>
  <c r="P113" i="12"/>
  <c r="P114" i="12"/>
  <c r="P115" i="12"/>
  <c r="P116" i="12"/>
  <c r="P117" i="12"/>
  <c r="P118" i="12"/>
  <c r="P119" i="12"/>
  <c r="P120" i="12"/>
  <c r="P121" i="12"/>
  <c r="P122" i="12"/>
  <c r="P123" i="12"/>
  <c r="P125" i="12"/>
  <c r="P124" i="12"/>
  <c r="P126" i="12"/>
  <c r="P127" i="12"/>
  <c r="P128" i="12"/>
  <c r="P129" i="12"/>
  <c r="P130" i="12"/>
  <c r="P131" i="12"/>
  <c r="P132" i="12"/>
  <c r="P133" i="12"/>
  <c r="P134" i="12"/>
  <c r="P135" i="12"/>
  <c r="P136" i="12"/>
  <c r="P137" i="12"/>
  <c r="P138" i="12"/>
  <c r="P139" i="12"/>
  <c r="P140" i="12"/>
  <c r="P141" i="12"/>
  <c r="P142" i="12"/>
  <c r="P143" i="12"/>
  <c r="P144" i="12"/>
  <c r="P145" i="12"/>
  <c r="P146" i="12"/>
  <c r="P147" i="12"/>
  <c r="P148" i="12"/>
  <c r="P149" i="12"/>
  <c r="P151" i="12"/>
  <c r="P150" i="12"/>
  <c r="P152" i="12"/>
  <c r="P153" i="12"/>
  <c r="P154" i="12"/>
  <c r="P156" i="12"/>
  <c r="P157" i="12"/>
  <c r="P158" i="12"/>
  <c r="P159" i="12"/>
  <c r="P160" i="12"/>
  <c r="P161" i="12"/>
  <c r="P162" i="12"/>
  <c r="P163" i="12"/>
  <c r="P155" i="12"/>
  <c r="P164" i="12"/>
  <c r="P165" i="12"/>
  <c r="P167" i="12"/>
  <c r="P168" i="12"/>
  <c r="P169" i="12"/>
  <c r="P166" i="12"/>
  <c r="R12" i="12"/>
  <c r="R13" i="12"/>
  <c r="R14" i="12"/>
  <c r="R15" i="12"/>
  <c r="R16" i="12"/>
  <c r="R17" i="12"/>
  <c r="T17" i="12" s="1"/>
  <c r="R18" i="12"/>
  <c r="R19" i="12"/>
  <c r="R20" i="12"/>
  <c r="R21" i="12"/>
  <c r="R22" i="12"/>
  <c r="R23" i="12"/>
  <c r="R24" i="12"/>
  <c r="R25" i="12"/>
  <c r="R26" i="12"/>
  <c r="R27" i="12"/>
  <c r="R28" i="12"/>
  <c r="R29" i="12"/>
  <c r="T29" i="12" s="1"/>
  <c r="R30" i="12"/>
  <c r="R31" i="12"/>
  <c r="R32" i="12"/>
  <c r="R33" i="12"/>
  <c r="R34" i="12"/>
  <c r="R35" i="12"/>
  <c r="R36" i="12"/>
  <c r="R39" i="12"/>
  <c r="R40" i="12"/>
  <c r="R41" i="12"/>
  <c r="R42" i="12"/>
  <c r="R37" i="12"/>
  <c r="R38" i="12"/>
  <c r="R44" i="12"/>
  <c r="R43" i="12"/>
  <c r="R45" i="12"/>
  <c r="R46" i="12"/>
  <c r="R47" i="12"/>
  <c r="R48" i="12"/>
  <c r="R49" i="12"/>
  <c r="R50" i="12"/>
  <c r="R51" i="12"/>
  <c r="R52" i="12"/>
  <c r="R53" i="12"/>
  <c r="R54" i="12"/>
  <c r="R55" i="12"/>
  <c r="R56" i="12"/>
  <c r="R57" i="12"/>
  <c r="R58" i="12"/>
  <c r="R59" i="12"/>
  <c r="R60" i="12"/>
  <c r="R61" i="12"/>
  <c r="R62" i="12"/>
  <c r="R63" i="12"/>
  <c r="R64" i="12"/>
  <c r="R66" i="12"/>
  <c r="T66" i="12" s="1"/>
  <c r="R67" i="12"/>
  <c r="R68" i="12"/>
  <c r="R69" i="12"/>
  <c r="R70" i="12"/>
  <c r="R71" i="12"/>
  <c r="R65" i="12"/>
  <c r="R72" i="12"/>
  <c r="R73" i="12"/>
  <c r="R74" i="12"/>
  <c r="R75" i="12"/>
  <c r="R76" i="12"/>
  <c r="R77" i="12"/>
  <c r="T77" i="12" s="1"/>
  <c r="R78" i="12"/>
  <c r="R79" i="12"/>
  <c r="R80" i="12"/>
  <c r="R81" i="12"/>
  <c r="R82" i="12"/>
  <c r="R83" i="12"/>
  <c r="R84" i="12"/>
  <c r="R85" i="12"/>
  <c r="R86" i="12"/>
  <c r="R87" i="12"/>
  <c r="R89" i="12"/>
  <c r="R88" i="12"/>
  <c r="R90" i="12"/>
  <c r="R91" i="12"/>
  <c r="R92" i="12"/>
  <c r="R93" i="12"/>
  <c r="R94" i="12"/>
  <c r="R95" i="12"/>
  <c r="R96" i="12"/>
  <c r="R97" i="12"/>
  <c r="R98" i="12"/>
  <c r="R99" i="12"/>
  <c r="R100" i="12"/>
  <c r="R101" i="12"/>
  <c r="R102" i="12"/>
  <c r="R103" i="12"/>
  <c r="R104" i="12"/>
  <c r="R105" i="12"/>
  <c r="R106" i="12"/>
  <c r="R107" i="12"/>
  <c r="R108" i="12"/>
  <c r="R109" i="12"/>
  <c r="R110" i="12"/>
  <c r="R111" i="12"/>
  <c r="R112" i="12"/>
  <c r="R113" i="12"/>
  <c r="R114" i="12"/>
  <c r="R115" i="12"/>
  <c r="R116" i="12"/>
  <c r="R117" i="12"/>
  <c r="R118" i="12"/>
  <c r="R119" i="12"/>
  <c r="R120" i="12"/>
  <c r="R121" i="12"/>
  <c r="R122" i="12"/>
  <c r="R123" i="12"/>
  <c r="R125" i="12"/>
  <c r="R124" i="12"/>
  <c r="R126" i="12"/>
  <c r="R127" i="12"/>
  <c r="R128" i="12"/>
  <c r="R129" i="12"/>
  <c r="R130" i="12"/>
  <c r="R131" i="12"/>
  <c r="R132" i="12"/>
  <c r="R133" i="12"/>
  <c r="R134" i="12"/>
  <c r="R135" i="12"/>
  <c r="R136" i="12"/>
  <c r="R137" i="12"/>
  <c r="T137" i="12" s="1"/>
  <c r="R138" i="12"/>
  <c r="R139" i="12"/>
  <c r="R140" i="12"/>
  <c r="R141" i="12"/>
  <c r="R142" i="12"/>
  <c r="R143" i="12"/>
  <c r="R144" i="12"/>
  <c r="R145" i="12"/>
  <c r="R146" i="12"/>
  <c r="R147" i="12"/>
  <c r="R148" i="12"/>
  <c r="R149" i="12"/>
  <c r="R151" i="12"/>
  <c r="R150" i="12"/>
  <c r="R152" i="12"/>
  <c r="R153" i="12"/>
  <c r="R154" i="12"/>
  <c r="R156" i="12"/>
  <c r="R157" i="12"/>
  <c r="R158" i="12"/>
  <c r="R159" i="12"/>
  <c r="R160" i="12"/>
  <c r="R161" i="12"/>
  <c r="R162" i="12"/>
  <c r="R163" i="12"/>
  <c r="R155" i="12"/>
  <c r="R164" i="12"/>
  <c r="R165" i="12"/>
  <c r="R167" i="12"/>
  <c r="R168" i="12"/>
  <c r="R169" i="12"/>
  <c r="R166" i="12"/>
  <c r="T42" i="12" l="1"/>
  <c r="T150" i="12"/>
  <c r="T115" i="12"/>
  <c r="T79" i="12"/>
  <c r="T155" i="12"/>
  <c r="T55" i="12"/>
  <c r="T19" i="12"/>
  <c r="T119" i="12"/>
  <c r="T107" i="12"/>
  <c r="T23" i="12"/>
  <c r="T93" i="12"/>
  <c r="T105" i="12"/>
  <c r="T139" i="12"/>
  <c r="T64" i="12"/>
  <c r="T114" i="12"/>
  <c r="T90" i="12"/>
  <c r="T18" i="12"/>
  <c r="T36" i="12"/>
  <c r="T144" i="12"/>
  <c r="T120" i="12"/>
  <c r="T72" i="12"/>
  <c r="T60" i="12"/>
  <c r="T48" i="12"/>
  <c r="T24" i="12"/>
  <c r="T167" i="12"/>
  <c r="T12" i="12"/>
  <c r="T33" i="12"/>
  <c r="T103" i="12"/>
  <c r="T28" i="12"/>
  <c r="T78" i="12"/>
  <c r="T101" i="12"/>
  <c r="T37" i="12"/>
  <c r="T165" i="12"/>
  <c r="T27" i="12"/>
  <c r="T68" i="12"/>
  <c r="T44" i="12"/>
  <c r="T16" i="12"/>
  <c r="T91" i="12"/>
  <c r="T31" i="12"/>
  <c r="T127" i="12"/>
  <c r="T140" i="12"/>
  <c r="T128" i="12"/>
  <c r="T116" i="12"/>
  <c r="T104" i="12"/>
  <c r="T92" i="12"/>
  <c r="T80" i="12"/>
  <c r="T69" i="12"/>
  <c r="T56" i="12"/>
  <c r="T43" i="12"/>
  <c r="T32" i="12"/>
  <c r="T20" i="12"/>
  <c r="T132" i="12"/>
  <c r="T108" i="12"/>
  <c r="T84" i="12"/>
  <c r="T148" i="12"/>
  <c r="T76" i="12"/>
  <c r="T136" i="12"/>
  <c r="T100" i="12"/>
  <c r="T163" i="12"/>
  <c r="T30" i="12"/>
  <c r="T160" i="12"/>
  <c r="T135" i="12"/>
  <c r="T123" i="12"/>
  <c r="T121" i="12"/>
  <c r="T85" i="12"/>
  <c r="T61" i="12"/>
  <c r="T169" i="12"/>
  <c r="T157" i="12"/>
  <c r="T96" i="12"/>
  <c r="T49" i="12"/>
  <c r="T21" i="12"/>
  <c r="T83" i="12"/>
  <c r="T141" i="12"/>
  <c r="T117" i="12"/>
  <c r="T81" i="12"/>
  <c r="T70" i="12"/>
  <c r="T133" i="12"/>
  <c r="T57" i="12"/>
  <c r="T97" i="12"/>
  <c r="T25" i="12"/>
  <c r="T118" i="12"/>
  <c r="T58" i="12"/>
  <c r="T102" i="12"/>
  <c r="T67" i="12"/>
  <c r="T54" i="12"/>
  <c r="T38" i="12"/>
  <c r="T124" i="12"/>
  <c r="T15" i="12"/>
  <c r="T156" i="12"/>
  <c r="T34" i="12"/>
  <c r="T126" i="12"/>
  <c r="T130" i="12"/>
  <c r="T168" i="12"/>
  <c r="T35" i="12"/>
  <c r="T142" i="12"/>
  <c r="T22" i="12"/>
  <c r="T87" i="12"/>
  <c r="T153" i="12"/>
  <c r="T158" i="12"/>
  <c r="T106" i="12"/>
  <c r="T41" i="12"/>
  <c r="T95" i="12"/>
  <c r="T82" i="12"/>
  <c r="T162" i="12"/>
  <c r="T113" i="12"/>
  <c r="T151" i="12"/>
  <c r="T129" i="12"/>
  <c r="T47" i="12"/>
  <c r="T125" i="12"/>
  <c r="T112" i="12"/>
  <c r="T89" i="12"/>
  <c r="T149" i="12"/>
  <c r="T46" i="12"/>
  <c r="T45" i="12"/>
  <c r="T145" i="12"/>
  <c r="T73" i="12"/>
  <c r="T13" i="12"/>
  <c r="T154" i="12"/>
  <c r="T71" i="12"/>
  <c r="T138" i="12"/>
  <c r="T94" i="12"/>
  <c r="T65" i="12"/>
  <c r="T147" i="12"/>
  <c r="T111" i="12"/>
  <c r="T99" i="12"/>
  <c r="T75" i="12"/>
  <c r="T63" i="12"/>
  <c r="T51" i="12"/>
  <c r="T166" i="12"/>
  <c r="T109" i="12"/>
  <c r="T39" i="12"/>
  <c r="T131" i="12"/>
  <c r="T59" i="12"/>
  <c r="T143" i="12"/>
  <c r="T52" i="12"/>
  <c r="T159" i="12"/>
  <c r="T146" i="12"/>
  <c r="T134" i="12"/>
  <c r="T122" i="12"/>
  <c r="T110" i="12"/>
  <c r="T98" i="12"/>
  <c r="T86" i="12"/>
  <c r="T74" i="12"/>
  <c r="T62" i="12"/>
  <c r="T50" i="12"/>
  <c r="T40" i="12"/>
  <c r="T26" i="12"/>
  <c r="T14" i="12"/>
  <c r="T88" i="12"/>
  <c r="T161" i="12"/>
  <c r="T164" i="12"/>
  <c r="T53" i="12"/>
  <c r="T152" i="12"/>
  <c r="Q123" i="12"/>
  <c r="S74" i="12"/>
  <c r="FD182" i="9"/>
  <c r="FF67" i="9"/>
  <c r="ES22" i="9"/>
  <c r="FF115" i="9"/>
  <c r="ES107" i="9"/>
  <c r="FF188" i="9"/>
  <c r="FF70" i="9"/>
  <c r="ES58" i="9"/>
  <c r="FF161" i="9"/>
  <c r="FD89" i="9"/>
  <c r="EU130" i="9"/>
  <c r="FD45" i="9"/>
  <c r="FD41" i="9"/>
  <c r="ES104" i="9"/>
  <c r="EU94" i="9"/>
  <c r="ES48" i="9"/>
  <c r="FF151" i="9"/>
  <c r="FD188" i="9"/>
  <c r="FD123" i="9"/>
  <c r="ES96" i="9"/>
  <c r="ES91" i="9"/>
  <c r="EU134" i="9"/>
  <c r="FD80" i="9"/>
  <c r="FF220" i="9"/>
  <c r="ES43" i="9"/>
  <c r="FD52" i="9"/>
  <c r="FF23" i="9"/>
  <c r="FD61" i="9"/>
  <c r="FF199" i="9"/>
  <c r="FF201" i="9"/>
  <c r="EU23" i="9"/>
  <c r="FD177" i="9"/>
  <c r="FF25" i="9"/>
  <c r="EU150" i="9"/>
  <c r="EU127" i="9"/>
  <c r="EU74" i="9"/>
  <c r="FF29" i="9"/>
  <c r="EU111" i="9"/>
  <c r="EU118" i="9"/>
  <c r="FF106" i="9"/>
  <c r="FD142" i="9"/>
  <c r="FF150" i="9"/>
  <c r="EU90" i="9"/>
  <c r="FD129" i="9"/>
  <c r="FD124" i="9"/>
  <c r="ES113" i="9"/>
  <c r="FF112" i="9"/>
  <c r="EU68" i="9"/>
  <c r="FD28" i="9"/>
  <c r="FF176" i="9"/>
  <c r="EU63" i="9"/>
  <c r="FF191" i="9"/>
  <c r="FF99" i="9"/>
  <c r="EU144" i="9"/>
  <c r="FF73" i="9"/>
  <c r="ES74" i="9"/>
  <c r="EU114" i="9"/>
  <c r="ES55" i="9"/>
  <c r="FF135" i="9"/>
  <c r="ES27" i="9"/>
  <c r="EU133" i="9"/>
  <c r="FD35" i="9"/>
  <c r="EU139" i="9"/>
  <c r="FF162" i="9"/>
  <c r="FD135" i="9"/>
  <c r="EU47" i="9"/>
  <c r="EU33" i="9"/>
  <c r="FF74" i="9"/>
  <c r="EU36" i="9"/>
  <c r="FD168" i="9"/>
  <c r="FF170" i="9"/>
  <c r="FD185" i="9"/>
  <c r="FD109" i="9"/>
  <c r="ES37" i="9"/>
  <c r="ES67" i="9"/>
  <c r="FD199" i="9"/>
  <c r="FD175" i="9"/>
  <c r="FD163" i="9"/>
  <c r="ES120" i="9"/>
  <c r="FD172" i="9"/>
  <c r="FF64" i="9"/>
  <c r="ES142" i="9"/>
  <c r="FD58" i="9"/>
  <c r="FF48" i="9"/>
  <c r="FD26" i="9"/>
  <c r="FD38" i="9"/>
  <c r="FF97" i="9"/>
  <c r="EU122" i="9"/>
  <c r="FD51" i="9"/>
  <c r="FF28" i="9"/>
  <c r="FF134" i="9"/>
  <c r="FF43" i="9"/>
  <c r="ES101" i="9"/>
  <c r="EU42" i="9"/>
  <c r="FD43" i="9"/>
  <c r="FF210" i="9"/>
  <c r="FF177" i="9"/>
  <c r="ES92" i="9"/>
  <c r="FF42" i="9"/>
  <c r="FD23" i="9"/>
  <c r="ES90" i="9"/>
  <c r="FF159" i="9"/>
  <c r="FF125" i="9"/>
  <c r="ES122" i="9"/>
  <c r="FF46" i="9"/>
  <c r="FD149" i="9"/>
  <c r="ES33" i="9"/>
  <c r="FF124" i="9"/>
  <c r="FD143" i="9"/>
  <c r="FF55" i="9"/>
  <c r="FD167" i="9"/>
  <c r="EU44" i="9"/>
  <c r="FD116" i="9"/>
  <c r="FF47" i="9"/>
  <c r="FF87" i="9"/>
  <c r="FF60" i="9"/>
  <c r="FF117" i="9"/>
  <c r="FD122" i="9"/>
  <c r="ES75" i="9"/>
  <c r="EU79" i="9"/>
  <c r="EU58" i="9"/>
  <c r="FF90" i="9"/>
  <c r="EU126" i="9"/>
  <c r="FF216" i="9"/>
  <c r="ES158" i="9"/>
  <c r="EU80" i="9"/>
  <c r="FF168" i="9"/>
  <c r="ES62" i="9"/>
  <c r="EU91" i="9"/>
  <c r="FD90" i="9"/>
  <c r="ES157" i="9"/>
  <c r="FF98" i="9"/>
  <c r="FD190" i="9"/>
  <c r="FD53" i="9"/>
  <c r="FD112" i="9"/>
  <c r="ES117" i="9"/>
  <c r="ES126" i="9"/>
  <c r="FD200" i="9"/>
  <c r="FD198" i="9"/>
  <c r="ES44" i="9"/>
  <c r="FD74" i="9"/>
  <c r="EU56" i="9"/>
  <c r="FF190" i="9"/>
  <c r="FF154" i="9"/>
  <c r="EU158" i="9"/>
  <c r="FF184" i="9"/>
  <c r="FF105" i="9"/>
  <c r="FD113" i="9"/>
  <c r="EU141" i="9"/>
  <c r="FD176" i="9"/>
  <c r="EU81" i="9"/>
  <c r="EU135" i="9"/>
  <c r="ES46" i="9"/>
  <c r="EU83" i="9"/>
  <c r="FF31" i="9"/>
  <c r="ES41" i="9"/>
  <c r="FF181" i="9"/>
  <c r="FD71" i="9"/>
  <c r="ES54" i="9"/>
  <c r="FD93" i="9"/>
  <c r="FD117" i="9"/>
  <c r="EU109" i="9"/>
  <c r="FD159" i="9"/>
  <c r="FF80" i="9"/>
  <c r="FF215" i="9"/>
  <c r="ES110" i="9"/>
  <c r="FD108" i="9"/>
  <c r="FD63" i="9"/>
  <c r="FD138" i="9"/>
  <c r="FD197" i="9"/>
  <c r="EU31" i="9"/>
  <c r="EU132" i="9"/>
  <c r="FD220" i="9"/>
  <c r="FD77" i="9"/>
  <c r="EU37" i="9"/>
  <c r="FD92" i="9"/>
  <c r="ES77" i="9"/>
  <c r="ES108" i="9"/>
  <c r="FF185" i="9"/>
  <c r="FD210" i="9"/>
  <c r="FF218" i="9"/>
  <c r="FF84" i="9"/>
  <c r="FD24" i="9"/>
  <c r="FF130" i="9"/>
  <c r="EU143" i="9"/>
  <c r="FD215" i="9"/>
  <c r="ES49" i="9"/>
  <c r="FD83" i="9"/>
  <c r="FF139" i="9"/>
  <c r="ES25" i="9"/>
  <c r="FF82" i="9"/>
  <c r="FD154" i="9"/>
  <c r="ES130" i="9"/>
  <c r="EU76" i="9"/>
  <c r="EU50" i="9"/>
  <c r="FD193" i="9"/>
  <c r="FF195" i="9"/>
  <c r="EU29" i="9"/>
  <c r="FF78" i="9"/>
  <c r="FD111" i="9"/>
  <c r="FD31" i="9"/>
  <c r="EU110" i="9"/>
  <c r="ES80" i="9"/>
  <c r="ES147" i="9"/>
  <c r="FF155" i="9"/>
  <c r="FD126" i="9"/>
  <c r="FD78" i="9"/>
  <c r="ES141" i="9"/>
  <c r="ES39" i="9"/>
  <c r="FD206" i="9"/>
  <c r="ES133" i="9"/>
  <c r="FF113" i="9"/>
  <c r="FF206" i="9"/>
  <c r="FD180" i="9"/>
  <c r="FF189" i="9"/>
  <c r="ES63" i="9"/>
  <c r="FD208" i="9"/>
  <c r="EU49" i="9"/>
  <c r="FD65" i="9"/>
  <c r="FF165" i="9"/>
  <c r="EU123" i="9"/>
  <c r="FF180" i="9"/>
  <c r="FF62" i="9"/>
  <c r="FD145" i="9"/>
  <c r="FF196" i="9"/>
  <c r="FF76" i="9"/>
  <c r="EU41" i="9"/>
  <c r="FD110" i="9"/>
  <c r="ES106" i="9"/>
  <c r="FD130" i="9"/>
  <c r="EU32" i="9"/>
  <c r="ES156" i="9"/>
  <c r="FF101" i="9"/>
  <c r="FD68" i="9"/>
  <c r="FD202" i="9"/>
  <c r="FF58" i="9"/>
  <c r="FD151" i="9"/>
  <c r="FF164" i="9"/>
  <c r="FF128" i="9"/>
  <c r="FF56" i="9"/>
  <c r="EU55" i="9"/>
  <c r="FF65" i="9"/>
  <c r="ES150" i="9"/>
  <c r="EU104" i="9"/>
  <c r="FD34" i="9"/>
  <c r="FD95" i="9"/>
  <c r="EU26" i="9"/>
  <c r="FF147" i="9"/>
  <c r="ES73" i="9"/>
  <c r="FF26" i="9"/>
  <c r="FF156" i="9"/>
  <c r="ES78" i="9"/>
  <c r="FD56" i="9"/>
  <c r="FF104" i="9"/>
  <c r="EU64" i="9"/>
  <c r="FD70" i="9"/>
  <c r="ES103" i="9"/>
  <c r="ES35" i="9"/>
  <c r="ES89" i="9"/>
  <c r="ES115" i="9"/>
  <c r="EU138" i="9"/>
  <c r="FD201" i="9"/>
  <c r="ES155" i="9"/>
  <c r="FF142" i="9"/>
  <c r="FF166" i="9"/>
  <c r="FF116" i="9"/>
  <c r="ES53" i="9"/>
  <c r="FD150" i="9"/>
  <c r="FF79" i="9"/>
  <c r="EU27" i="9"/>
  <c r="FD136" i="9"/>
  <c r="ES137" i="9"/>
  <c r="FD32" i="9"/>
  <c r="ES105" i="9"/>
  <c r="FF171" i="9"/>
  <c r="ES109" i="9"/>
  <c r="ES151" i="9"/>
  <c r="FF138" i="9"/>
  <c r="FD97" i="9"/>
  <c r="FD171" i="9"/>
  <c r="FD214" i="9"/>
  <c r="FF108" i="9"/>
  <c r="EU117" i="9"/>
  <c r="FD191" i="9"/>
  <c r="EU71" i="9"/>
  <c r="ES112" i="9"/>
  <c r="EU57" i="9"/>
  <c r="FF91" i="9"/>
  <c r="ES47" i="9"/>
  <c r="FF129" i="9"/>
  <c r="FD57" i="9"/>
  <c r="ES145" i="9"/>
  <c r="FD67" i="9"/>
  <c r="EU72" i="9"/>
  <c r="FD121" i="9"/>
  <c r="EU147" i="9"/>
  <c r="FF118" i="9"/>
  <c r="FD196" i="9"/>
  <c r="ES61" i="9"/>
  <c r="ES38" i="9"/>
  <c r="EU95" i="9"/>
  <c r="FF148" i="9"/>
  <c r="EU101" i="9"/>
  <c r="FD25" i="9"/>
  <c r="FD69" i="9"/>
  <c r="FF71" i="9"/>
  <c r="EU125" i="9"/>
  <c r="FD218" i="9"/>
  <c r="EU92" i="9"/>
  <c r="FF146" i="9"/>
  <c r="FF89" i="9"/>
  <c r="ES97" i="9"/>
  <c r="FF94" i="9"/>
  <c r="EU69" i="9"/>
  <c r="FD132" i="9"/>
  <c r="FD155" i="9"/>
  <c r="EU152" i="9"/>
  <c r="FF109" i="9"/>
  <c r="FF175" i="9"/>
  <c r="EU129" i="9"/>
  <c r="EU151" i="9"/>
  <c r="FD174" i="9"/>
  <c r="EU84" i="9"/>
  <c r="FF72" i="9"/>
  <c r="FF187" i="9"/>
  <c r="EU24" i="9"/>
  <c r="ES64" i="9"/>
  <c r="FD212" i="9"/>
  <c r="EU112" i="9"/>
  <c r="FF173" i="9"/>
  <c r="EU54" i="9"/>
  <c r="FF153" i="9"/>
  <c r="FD164" i="9"/>
  <c r="FD103" i="9"/>
  <c r="FF54" i="9"/>
  <c r="FD105" i="9"/>
  <c r="FF49" i="9"/>
  <c r="ES36" i="9"/>
  <c r="ES83" i="9"/>
  <c r="FF85" i="9"/>
  <c r="ES45" i="9"/>
  <c r="FF107" i="9"/>
  <c r="FD128" i="9"/>
  <c r="FD50" i="9"/>
  <c r="ES52" i="9"/>
  <c r="FD88" i="9"/>
  <c r="EU137" i="9"/>
  <c r="FD85" i="9"/>
  <c r="FD106" i="9"/>
  <c r="ES136" i="9"/>
  <c r="FF163" i="9"/>
  <c r="EU53" i="9"/>
  <c r="ES93" i="9"/>
  <c r="FD211" i="9"/>
  <c r="FD134" i="9"/>
  <c r="EU28" i="9"/>
  <c r="FD94" i="9"/>
  <c r="EU34" i="9"/>
  <c r="EU82" i="9"/>
  <c r="FD217" i="9"/>
  <c r="FD98" i="9"/>
  <c r="ES24" i="9"/>
  <c r="FD192" i="9"/>
  <c r="EU113" i="9"/>
  <c r="FD55" i="9"/>
  <c r="FF121" i="9"/>
  <c r="ES154" i="9"/>
  <c r="ES95" i="9"/>
  <c r="FD44" i="9"/>
  <c r="EU105" i="9"/>
  <c r="FD178" i="9"/>
  <c r="EU59" i="9"/>
  <c r="EU116" i="9"/>
  <c r="FD81" i="9"/>
  <c r="EU119" i="9"/>
  <c r="FF178" i="9"/>
  <c r="FF53" i="9"/>
  <c r="EU131" i="9"/>
  <c r="FF204" i="9"/>
  <c r="FF141" i="9"/>
  <c r="EU142" i="9"/>
  <c r="FD46" i="9"/>
  <c r="FD127" i="9"/>
  <c r="EU86" i="9"/>
  <c r="FD30" i="9"/>
  <c r="FD179" i="9"/>
  <c r="FF145" i="9"/>
  <c r="FD162" i="9"/>
  <c r="FD137" i="9"/>
  <c r="FD157" i="9"/>
  <c r="FD60" i="9"/>
  <c r="FD183" i="9"/>
  <c r="FD82" i="9"/>
  <c r="EU154" i="9"/>
  <c r="ES88" i="9"/>
  <c r="FF186" i="9"/>
  <c r="EU39" i="9"/>
  <c r="FD184" i="9"/>
  <c r="EU89" i="9"/>
  <c r="FF217" i="9"/>
  <c r="FF144" i="9"/>
  <c r="ES111" i="9"/>
  <c r="ES123" i="9"/>
  <c r="FD102" i="9"/>
  <c r="ES72" i="9"/>
  <c r="FF44" i="9"/>
  <c r="FD22" i="9"/>
  <c r="FD139" i="9"/>
  <c r="FD87" i="9"/>
  <c r="ES128" i="9"/>
  <c r="ES149" i="9"/>
  <c r="EU98" i="9"/>
  <c r="FD144" i="9"/>
  <c r="ES87" i="9"/>
  <c r="ES65" i="9"/>
  <c r="EU149" i="9"/>
  <c r="ES60" i="9"/>
  <c r="FD147" i="9"/>
  <c r="FD96" i="9"/>
  <c r="ES148" i="9"/>
  <c r="EU38" i="9"/>
  <c r="FF192" i="9"/>
  <c r="FF96" i="9"/>
  <c r="EU93" i="9"/>
  <c r="FF37" i="9"/>
  <c r="EU22" i="9"/>
  <c r="FF126" i="9"/>
  <c r="FD40" i="9"/>
  <c r="FF207" i="9"/>
  <c r="FF36" i="9"/>
  <c r="FF120" i="9"/>
  <c r="FD205" i="9"/>
  <c r="ES66" i="9"/>
  <c r="FF212" i="9"/>
  <c r="FD48" i="9"/>
  <c r="ES23" i="9"/>
  <c r="FD203" i="9"/>
  <c r="FD213" i="9"/>
  <c r="FF119" i="9"/>
  <c r="EU153" i="9"/>
  <c r="FF157" i="9"/>
  <c r="FD59" i="9"/>
  <c r="ES153" i="9"/>
  <c r="EU148" i="9"/>
  <c r="FD146" i="9"/>
  <c r="FF39" i="9"/>
  <c r="FF202" i="9"/>
  <c r="FD66" i="9"/>
  <c r="FD216" i="9"/>
  <c r="EU107" i="9"/>
  <c r="ES76" i="9"/>
  <c r="ES102" i="9"/>
  <c r="ES86" i="9"/>
  <c r="EU35" i="9"/>
  <c r="FF122" i="9"/>
  <c r="EU66" i="9"/>
  <c r="FD29" i="9"/>
  <c r="FF102" i="9"/>
  <c r="FF61" i="9"/>
  <c r="FF211" i="9"/>
  <c r="EU121" i="9"/>
  <c r="FF143" i="9"/>
  <c r="EU115" i="9"/>
  <c r="EU128" i="9"/>
  <c r="FD33" i="9"/>
  <c r="ES32" i="9"/>
  <c r="ES81" i="9"/>
  <c r="FF63" i="9"/>
  <c r="EU30" i="9"/>
  <c r="FD194" i="9"/>
  <c r="FD47" i="9"/>
  <c r="EU60" i="9"/>
  <c r="FD152" i="9"/>
  <c r="FD64" i="9"/>
  <c r="EU45" i="9"/>
  <c r="ES114" i="9"/>
  <c r="FF132" i="9"/>
  <c r="ES70" i="9"/>
  <c r="FF208" i="9"/>
  <c r="FF45" i="9"/>
  <c r="EU48" i="9"/>
  <c r="FF123" i="9"/>
  <c r="ES28" i="9"/>
  <c r="EU100" i="9"/>
  <c r="FF133" i="9"/>
  <c r="FF69" i="9"/>
  <c r="FD195" i="9"/>
  <c r="ES144" i="9"/>
  <c r="FF86" i="9"/>
  <c r="ES51" i="9"/>
  <c r="FF136" i="9"/>
  <c r="FD79" i="9"/>
  <c r="FF182" i="9"/>
  <c r="FF110" i="9"/>
  <c r="ES68" i="9"/>
  <c r="FF51" i="9"/>
  <c r="ES140" i="9"/>
  <c r="EU97" i="9"/>
  <c r="EU96" i="9"/>
  <c r="FF111" i="9"/>
  <c r="FF167" i="9"/>
  <c r="FD73" i="9"/>
  <c r="FD101" i="9"/>
  <c r="ES29" i="9"/>
  <c r="FF52" i="9"/>
  <c r="FD186" i="9"/>
  <c r="FF22" i="9"/>
  <c r="EU102" i="9"/>
  <c r="FD207" i="9"/>
  <c r="ES127" i="9"/>
  <c r="EU88" i="9"/>
  <c r="FF197" i="9"/>
  <c r="FF81" i="9"/>
  <c r="EU25" i="9"/>
  <c r="FD125" i="9"/>
  <c r="FF149" i="9"/>
  <c r="FF33" i="9"/>
  <c r="FD169" i="9"/>
  <c r="FF200" i="9"/>
  <c r="FF35" i="9"/>
  <c r="FD39" i="9"/>
  <c r="ES69" i="9"/>
  <c r="EU136" i="9"/>
  <c r="FD62" i="9"/>
  <c r="ES143" i="9"/>
  <c r="ES34" i="9"/>
  <c r="ES134" i="9"/>
  <c r="FF214" i="9"/>
  <c r="FD166" i="9"/>
  <c r="ES100" i="9"/>
  <c r="FF160" i="9"/>
  <c r="FF95" i="9"/>
  <c r="EU87" i="9"/>
  <c r="FF205" i="9"/>
  <c r="ES152" i="9"/>
  <c r="EU73" i="9"/>
  <c r="FD148" i="9"/>
  <c r="FD119" i="9"/>
  <c r="FD107" i="9"/>
  <c r="FF41" i="9"/>
  <c r="FF183" i="9"/>
  <c r="EU120" i="9"/>
  <c r="FD114" i="9"/>
  <c r="ES138" i="9"/>
  <c r="FD72" i="9"/>
  <c r="FD100" i="9"/>
  <c r="ES85" i="9"/>
  <c r="FD49" i="9"/>
  <c r="EU67" i="9"/>
  <c r="FD104" i="9"/>
  <c r="FD76" i="9"/>
  <c r="FF140" i="9"/>
  <c r="ES124" i="9"/>
  <c r="EU159" i="9"/>
  <c r="ES59" i="9"/>
  <c r="ES57" i="9"/>
  <c r="FF213" i="9"/>
  <c r="FD187" i="9"/>
  <c r="FD27" i="9"/>
  <c r="ES131" i="9"/>
  <c r="FD173" i="9"/>
  <c r="EU103" i="9"/>
  <c r="FD219" i="9"/>
  <c r="EU85" i="9"/>
  <c r="ES40" i="9"/>
  <c r="FF30" i="9"/>
  <c r="ES79" i="9"/>
  <c r="ES139" i="9"/>
  <c r="FF198" i="9"/>
  <c r="ES121" i="9"/>
  <c r="FF75" i="9"/>
  <c r="ES56" i="9"/>
  <c r="EU146" i="9"/>
  <c r="ES98" i="9"/>
  <c r="FD204" i="9"/>
  <c r="EU65" i="9"/>
  <c r="FF40" i="9"/>
  <c r="ES125" i="9"/>
  <c r="EU124" i="9"/>
  <c r="ES135" i="9"/>
  <c r="FD99" i="9"/>
  <c r="FD170" i="9"/>
  <c r="FD160" i="9"/>
  <c r="ES26" i="9"/>
  <c r="FF24" i="9"/>
  <c r="EU99" i="9"/>
  <c r="FF209" i="9"/>
  <c r="FD161" i="9"/>
  <c r="FF194" i="9"/>
  <c r="FD165" i="9"/>
  <c r="FF137" i="9"/>
  <c r="EU46" i="9"/>
  <c r="FD158" i="9"/>
  <c r="FF219" i="9"/>
  <c r="FF100" i="9"/>
  <c r="ES30" i="9"/>
  <c r="ES42" i="9"/>
  <c r="FF66" i="9"/>
  <c r="FF158" i="9"/>
  <c r="FF174" i="9"/>
  <c r="EU52" i="9"/>
  <c r="FF38" i="9"/>
  <c r="FF203" i="9"/>
  <c r="ES116" i="9"/>
  <c r="FD54" i="9"/>
  <c r="FF32" i="9"/>
  <c r="ES50" i="9"/>
  <c r="FF34" i="9"/>
  <c r="ES118" i="9"/>
  <c r="FF57" i="9"/>
  <c r="FF114" i="9"/>
  <c r="FF103" i="9"/>
  <c r="FF59" i="9"/>
  <c r="ES31" i="9"/>
  <c r="FF83" i="9"/>
  <c r="FD42" i="9"/>
  <c r="ES119" i="9"/>
  <c r="FD84" i="9"/>
  <c r="EU51" i="9"/>
  <c r="ES132" i="9"/>
  <c r="FD141" i="9"/>
  <c r="FD156" i="9"/>
  <c r="FF77" i="9"/>
  <c r="ES94" i="9"/>
  <c r="FF152" i="9"/>
  <c r="EU78" i="9"/>
  <c r="FD181" i="9"/>
  <c r="EU145" i="9"/>
  <c r="EU70" i="9"/>
  <c r="ES71" i="9"/>
  <c r="FF88" i="9"/>
  <c r="ES146" i="9"/>
  <c r="FD133" i="9"/>
  <c r="ES84" i="9"/>
  <c r="FD115" i="9"/>
  <c r="ES159" i="9"/>
  <c r="ES129" i="9"/>
  <c r="FD86" i="9"/>
  <c r="EU77" i="9"/>
  <c r="FF93" i="9"/>
  <c r="FF50" i="9"/>
  <c r="EU157" i="9"/>
  <c r="FF27" i="9"/>
  <c r="FD120" i="9"/>
  <c r="FD209" i="9"/>
  <c r="FD37" i="9"/>
  <c r="EU140" i="9"/>
  <c r="EU106" i="9"/>
  <c r="FD189" i="9"/>
  <c r="FF127" i="9"/>
  <c r="FD131" i="9"/>
  <c r="EU40" i="9"/>
  <c r="FD153" i="9"/>
  <c r="FF193" i="9"/>
  <c r="EU155" i="9"/>
  <c r="ES82" i="9"/>
  <c r="FD118" i="9"/>
  <c r="EU108" i="9"/>
  <c r="EU61" i="9"/>
  <c r="FD75" i="9"/>
  <c r="EU43" i="9"/>
  <c r="FF92" i="9"/>
  <c r="EU62" i="9"/>
  <c r="FF68" i="9"/>
  <c r="EU75" i="9"/>
  <c r="ES99" i="9"/>
  <c r="FF179" i="9"/>
  <c r="FF172" i="9"/>
  <c r="EU156" i="9"/>
  <c r="FD140" i="9"/>
  <c r="FD91" i="9"/>
  <c r="FF169" i="9"/>
  <c r="FD36" i="9"/>
  <c r="FF131" i="9"/>
  <c r="FE36" i="9" l="1"/>
  <c r="FE91" i="9"/>
  <c r="FE140" i="9"/>
  <c r="ET99" i="9"/>
  <c r="FE75" i="9"/>
  <c r="FE118" i="9"/>
  <c r="ET82" i="9"/>
  <c r="FE153" i="9"/>
  <c r="FE131" i="9"/>
  <c r="FE189" i="9"/>
  <c r="FE37" i="9"/>
  <c r="FE209" i="9"/>
  <c r="FE120" i="9"/>
  <c r="FE86" i="9"/>
  <c r="ET129" i="9"/>
  <c r="ET159" i="9"/>
  <c r="FE115" i="9"/>
  <c r="ET84" i="9"/>
  <c r="FE133" i="9"/>
  <c r="ET146" i="9"/>
  <c r="ET71" i="9"/>
  <c r="FE181" i="9"/>
  <c r="ET94" i="9"/>
  <c r="FE156" i="9"/>
  <c r="FE141" i="9"/>
  <c r="ET132" i="9"/>
  <c r="FE84" i="9"/>
  <c r="ET119" i="9"/>
  <c r="FE42" i="9"/>
  <c r="ET31" i="9"/>
  <c r="ET118" i="9"/>
  <c r="ET50" i="9"/>
  <c r="FE54" i="9"/>
  <c r="ET116" i="9"/>
  <c r="ET42" i="9"/>
  <c r="ET30" i="9"/>
  <c r="FE158" i="9"/>
  <c r="FE165" i="9"/>
  <c r="FE161" i="9"/>
  <c r="ET26" i="9"/>
  <c r="FE160" i="9"/>
  <c r="FE170" i="9"/>
  <c r="FE99" i="9"/>
  <c r="ET135" i="9"/>
  <c r="ET125" i="9"/>
  <c r="FE204" i="9"/>
  <c r="ET98" i="9"/>
  <c r="ET56" i="9"/>
  <c r="ET121" i="9"/>
  <c r="ET139" i="9"/>
  <c r="ET79" i="9"/>
  <c r="ET40" i="9"/>
  <c r="FE219" i="9"/>
  <c r="FE173" i="9"/>
  <c r="ET131" i="9"/>
  <c r="FE27" i="9"/>
  <c r="FE187" i="9"/>
  <c r="ET57" i="9"/>
  <c r="ET59" i="9"/>
  <c r="ET124" i="9"/>
  <c r="FE76" i="9"/>
  <c r="FE104" i="9"/>
  <c r="FE49" i="9"/>
  <c r="ET85" i="9"/>
  <c r="FE100" i="9"/>
  <c r="FE72" i="9"/>
  <c r="ET138" i="9"/>
  <c r="FE114" i="9"/>
  <c r="FE107" i="9"/>
  <c r="FE119" i="9"/>
  <c r="FE148" i="9"/>
  <c r="ET152" i="9"/>
  <c r="ET100" i="9"/>
  <c r="FE166" i="9"/>
  <c r="ET134" i="9"/>
  <c r="ET34" i="9"/>
  <c r="ET143" i="9"/>
  <c r="FE62" i="9"/>
  <c r="ET69" i="9"/>
  <c r="FE39" i="9"/>
  <c r="FE169" i="9"/>
  <c r="FE125" i="9"/>
  <c r="ET127" i="9"/>
  <c r="FE207" i="9"/>
  <c r="FE186" i="9"/>
  <c r="ET29" i="9"/>
  <c r="FE101" i="9"/>
  <c r="FE73" i="9"/>
  <c r="ET140" i="9"/>
  <c r="ET68" i="9"/>
  <c r="FE79" i="9"/>
  <c r="ET51" i="9"/>
  <c r="ET144" i="9"/>
  <c r="FE195" i="9"/>
  <c r="ET28" i="9"/>
  <c r="ET70" i="9"/>
  <c r="ET114" i="9"/>
  <c r="FE64" i="9"/>
  <c r="FE152" i="9"/>
  <c r="FE47" i="9"/>
  <c r="FE194" i="9"/>
  <c r="ET81" i="9"/>
  <c r="ET32" i="9"/>
  <c r="FE33" i="9"/>
  <c r="FE29" i="9"/>
  <c r="ET86" i="9"/>
  <c r="ET102" i="9"/>
  <c r="ET76" i="9"/>
  <c r="FE216" i="9"/>
  <c r="FE66" i="9"/>
  <c r="FE146" i="9"/>
  <c r="ET153" i="9"/>
  <c r="FE59" i="9"/>
  <c r="FE213" i="9"/>
  <c r="FE203" i="9"/>
  <c r="ET23" i="9"/>
  <c r="FE48" i="9"/>
  <c r="ET66" i="9"/>
  <c r="FE205" i="9"/>
  <c r="FE40" i="9"/>
  <c r="ET148" i="9"/>
  <c r="FE96" i="9"/>
  <c r="FE147" i="9"/>
  <c r="ET60" i="9"/>
  <c r="ET65" i="9"/>
  <c r="ET87" i="9"/>
  <c r="FE144" i="9"/>
  <c r="ET149" i="9"/>
  <c r="ET128" i="9"/>
  <c r="FE87" i="9"/>
  <c r="FE139" i="9"/>
  <c r="FE22" i="9"/>
  <c r="ET72" i="9"/>
  <c r="FE102" i="9"/>
  <c r="ET123" i="9"/>
  <c r="ET111" i="9"/>
  <c r="FE184" i="9"/>
  <c r="ET88" i="9"/>
  <c r="FE82" i="9"/>
  <c r="FE183" i="9"/>
  <c r="FE60" i="9"/>
  <c r="FE157" i="9"/>
  <c r="FE137" i="9"/>
  <c r="FE162" i="9"/>
  <c r="FE179" i="9"/>
  <c r="FE30" i="9"/>
  <c r="FE127" i="9"/>
  <c r="FE46" i="9"/>
  <c r="FE81" i="9"/>
  <c r="FE178" i="9"/>
  <c r="FE44" i="9"/>
  <c r="ET95" i="9"/>
  <c r="ET154" i="9"/>
  <c r="FE55" i="9"/>
  <c r="FE192" i="9"/>
  <c r="ET24" i="9"/>
  <c r="FE98" i="9"/>
  <c r="FE217" i="9"/>
  <c r="FE94" i="9"/>
  <c r="FE134" i="9"/>
  <c r="FE211" i="9"/>
  <c r="ET93" i="9"/>
  <c r="ET136" i="9"/>
  <c r="FE106" i="9"/>
  <c r="FE85" i="9"/>
  <c r="FE88" i="9"/>
  <c r="ET52" i="9"/>
  <c r="FE50" i="9"/>
  <c r="FE128" i="9"/>
  <c r="ET45" i="9"/>
  <c r="ET83" i="9"/>
  <c r="ET36" i="9"/>
  <c r="FE105" i="9"/>
  <c r="FE103" i="9"/>
  <c r="FE164" i="9"/>
  <c r="FE212" i="9"/>
  <c r="ET64" i="9"/>
  <c r="FE174" i="9"/>
  <c r="FE155" i="9"/>
  <c r="FE132" i="9"/>
  <c r="ET97" i="9"/>
  <c r="FE218" i="9"/>
  <c r="FE69" i="9"/>
  <c r="FE25" i="9"/>
  <c r="ET38" i="9"/>
  <c r="ET61" i="9"/>
  <c r="FE196" i="9"/>
  <c r="FE121" i="9"/>
  <c r="FE67" i="9"/>
  <c r="ET145" i="9"/>
  <c r="FE57" i="9"/>
  <c r="ET47" i="9"/>
  <c r="ET112" i="9"/>
  <c r="FE191" i="9"/>
  <c r="FE214" i="9"/>
  <c r="FE171" i="9"/>
  <c r="FE97" i="9"/>
  <c r="ET151" i="9"/>
  <c r="ET109" i="9"/>
  <c r="ET105" i="9"/>
  <c r="FE32" i="9"/>
  <c r="ET137" i="9"/>
  <c r="FE136" i="9"/>
  <c r="FE150" i="9"/>
  <c r="ET53" i="9"/>
  <c r="ET155" i="9"/>
  <c r="FE201" i="9"/>
  <c r="ET115" i="9"/>
  <c r="ET89" i="9"/>
  <c r="ET35" i="9"/>
  <c r="ET103" i="9"/>
  <c r="FE70" i="9"/>
  <c r="FE56" i="9"/>
  <c r="ET78" i="9"/>
  <c r="ET73" i="9"/>
  <c r="FE95" i="9"/>
  <c r="FE34" i="9"/>
  <c r="ET150" i="9"/>
  <c r="FE151" i="9"/>
  <c r="FE202" i="9"/>
  <c r="FE68" i="9"/>
  <c r="ET156" i="9"/>
  <c r="FE130" i="9"/>
  <c r="ET106" i="9"/>
  <c r="FE110" i="9"/>
  <c r="FE145" i="9"/>
  <c r="FE65" i="9"/>
  <c r="FE208" i="9"/>
  <c r="ET63" i="9"/>
  <c r="FE180" i="9"/>
  <c r="ET133" i="9"/>
  <c r="FE206" i="9"/>
  <c r="ET39" i="9"/>
  <c r="ET141" i="9"/>
  <c r="FE78" i="9"/>
  <c r="FE126" i="9"/>
  <c r="ET147" i="9"/>
  <c r="ET80" i="9"/>
  <c r="FE31" i="9"/>
  <c r="FE111" i="9"/>
  <c r="FE193" i="9"/>
  <c r="ET130" i="9"/>
  <c r="FE154" i="9"/>
  <c r="ET25" i="9"/>
  <c r="FE83" i="9"/>
  <c r="ET49" i="9"/>
  <c r="FE215" i="9"/>
  <c r="FE24" i="9"/>
  <c r="FE210" i="9"/>
  <c r="ET108" i="9"/>
  <c r="ET77" i="9"/>
  <c r="FE92" i="9"/>
  <c r="FE77" i="9"/>
  <c r="FE220" i="9"/>
  <c r="FE197" i="9"/>
  <c r="FE138" i="9"/>
  <c r="FE63" i="9"/>
  <c r="FE108" i="9"/>
  <c r="ET110" i="9"/>
  <c r="FE159" i="9"/>
  <c r="FE117" i="9"/>
  <c r="FE93" i="9"/>
  <c r="ET54" i="9"/>
  <c r="FE71" i="9"/>
  <c r="ET41" i="9"/>
  <c r="ET46" i="9"/>
  <c r="FE176" i="9"/>
  <c r="FE113" i="9"/>
  <c r="FE74" i="9"/>
  <c r="ET44" i="9"/>
  <c r="FE198" i="9"/>
  <c r="FE200" i="9"/>
  <c r="ET126" i="9"/>
  <c r="ET117" i="9"/>
  <c r="FE112" i="9"/>
  <c r="FE53" i="9"/>
  <c r="FE190" i="9"/>
  <c r="ET157" i="9"/>
  <c r="FE90" i="9"/>
  <c r="ET62" i="9"/>
  <c r="ET158" i="9"/>
  <c r="ET75" i="9"/>
  <c r="FE122" i="9"/>
  <c r="FE116" i="9"/>
  <c r="FE167" i="9"/>
  <c r="FE143" i="9"/>
  <c r="ET33" i="9"/>
  <c r="FE149" i="9"/>
  <c r="ET122" i="9"/>
  <c r="ET90" i="9"/>
  <c r="FE23" i="9"/>
  <c r="ET92" i="9"/>
  <c r="FE43" i="9"/>
  <c r="ET101" i="9"/>
  <c r="FE51" i="9"/>
  <c r="FE38" i="9"/>
  <c r="FE26" i="9"/>
  <c r="FE58" i="9"/>
  <c r="ET142" i="9"/>
  <c r="FE172" i="9"/>
  <c r="ET120" i="9"/>
  <c r="FE163" i="9"/>
  <c r="FE175" i="9"/>
  <c r="FE199" i="9"/>
  <c r="ET67" i="9"/>
  <c r="ET37" i="9"/>
  <c r="FE109" i="9"/>
  <c r="FE185" i="9"/>
  <c r="FE168" i="9"/>
  <c r="FE135" i="9"/>
  <c r="FE35" i="9"/>
  <c r="ET27" i="9"/>
  <c r="ET55" i="9"/>
  <c r="ET74" i="9"/>
  <c r="FE28" i="9"/>
  <c r="ET113" i="9"/>
  <c r="FE124" i="9"/>
  <c r="FE129" i="9"/>
  <c r="FE142" i="9"/>
  <c r="FE177" i="9"/>
  <c r="FE61" i="9"/>
  <c r="FE52" i="9"/>
  <c r="ET43" i="9"/>
  <c r="FE80" i="9"/>
  <c r="ET91" i="9"/>
  <c r="ET96" i="9"/>
  <c r="FE123" i="9"/>
  <c r="FE188" i="9"/>
  <c r="ET48" i="9"/>
  <c r="ET104" i="9"/>
  <c r="FE41" i="9"/>
  <c r="FE45" i="9"/>
  <c r="FE89" i="9"/>
  <c r="ET58" i="9"/>
  <c r="ET107" i="9"/>
  <c r="ET22" i="9"/>
  <c r="FE182" i="9"/>
  <c r="O12" i="12"/>
  <c r="O24" i="12"/>
  <c r="O36" i="12"/>
  <c r="O48" i="12"/>
  <c r="O60" i="12"/>
  <c r="O72" i="12"/>
  <c r="O84" i="12"/>
  <c r="O96" i="12"/>
  <c r="O108" i="12"/>
  <c r="O120" i="12"/>
  <c r="O132" i="12"/>
  <c r="O13" i="12"/>
  <c r="O25" i="12"/>
  <c r="O39" i="12"/>
  <c r="O49" i="12"/>
  <c r="O61" i="12"/>
  <c r="O73" i="12"/>
  <c r="O85" i="12"/>
  <c r="O97" i="12"/>
  <c r="O109" i="12"/>
  <c r="O121" i="12"/>
  <c r="O133" i="12"/>
  <c r="O145" i="12"/>
  <c r="O158" i="12"/>
  <c r="O32" i="12"/>
  <c r="O56" i="12"/>
  <c r="O80" i="12"/>
  <c r="O104" i="12"/>
  <c r="O128" i="12"/>
  <c r="O152" i="12"/>
  <c r="O14" i="12"/>
  <c r="O40" i="12"/>
  <c r="O62" i="12"/>
  <c r="O86" i="12"/>
  <c r="O110" i="12"/>
  <c r="O134" i="12"/>
  <c r="O159" i="12"/>
  <c r="O15" i="12"/>
  <c r="O41" i="12"/>
  <c r="O63" i="12"/>
  <c r="O87" i="12"/>
  <c r="O111" i="12"/>
  <c r="O135" i="12"/>
  <c r="O160" i="12"/>
  <c r="O16" i="12"/>
  <c r="O42" i="12"/>
  <c r="O64" i="12"/>
  <c r="O89" i="12"/>
  <c r="O112" i="12"/>
  <c r="O21" i="12"/>
  <c r="O26" i="12"/>
  <c r="O50" i="12"/>
  <c r="O74" i="12"/>
  <c r="O98" i="12"/>
  <c r="O122" i="12"/>
  <c r="O146" i="12"/>
  <c r="O68" i="12"/>
  <c r="O123" i="12"/>
  <c r="O69" i="12"/>
  <c r="O125" i="12"/>
  <c r="O55" i="12"/>
  <c r="O116" i="12"/>
  <c r="O19" i="12"/>
  <c r="O75" i="12"/>
  <c r="O127" i="12"/>
  <c r="O20" i="12"/>
  <c r="O76" i="12"/>
  <c r="O139" i="12"/>
  <c r="O27" i="12"/>
  <c r="O79" i="12"/>
  <c r="O140" i="12"/>
  <c r="O28" i="12"/>
  <c r="O91" i="12"/>
  <c r="O147" i="12"/>
  <c r="O31" i="12"/>
  <c r="O92" i="12"/>
  <c r="O148" i="12"/>
  <c r="O44" i="12"/>
  <c r="O99" i="12"/>
  <c r="O150" i="12"/>
  <c r="O43" i="12"/>
  <c r="O100" i="12"/>
  <c r="O155" i="12"/>
  <c r="O51" i="12"/>
  <c r="O103" i="12"/>
  <c r="O164" i="12"/>
  <c r="O52" i="12"/>
  <c r="O115" i="12"/>
  <c r="S80" i="12"/>
  <c r="Q68" i="12"/>
  <c r="Q104" i="12"/>
  <c r="U88" i="12"/>
  <c r="Q74" i="12"/>
  <c r="Q146" i="12"/>
  <c r="S125" i="12"/>
  <c r="Q39" i="12"/>
  <c r="Q87" i="12"/>
  <c r="O154" i="12"/>
  <c r="Q151" i="12"/>
  <c r="O66" i="12"/>
  <c r="O151" i="12"/>
  <c r="S147" i="12"/>
  <c r="S129" i="12"/>
  <c r="O130" i="12"/>
  <c r="O38" i="12"/>
  <c r="S71" i="12"/>
  <c r="U25" i="12"/>
  <c r="O117" i="12"/>
  <c r="S133" i="12"/>
  <c r="S162" i="12"/>
  <c r="Q134" i="12"/>
  <c r="Q75" i="12"/>
  <c r="Q114" i="12"/>
  <c r="O34" i="12"/>
  <c r="U74" i="12"/>
  <c r="S98" i="12"/>
  <c r="S105" i="12"/>
  <c r="O129" i="12"/>
  <c r="O144" i="12"/>
  <c r="Q159" i="12"/>
  <c r="Q140" i="12"/>
  <c r="S46" i="12"/>
  <c r="O163" i="12"/>
  <c r="U97" i="12"/>
  <c r="O45" i="12"/>
  <c r="S39" i="12"/>
  <c r="O169" i="12"/>
  <c r="O17" i="12"/>
  <c r="Q115" i="12"/>
  <c r="Q152" i="12"/>
  <c r="Q26" i="12"/>
  <c r="Q98" i="12"/>
  <c r="S42" i="12"/>
  <c r="Q166" i="12"/>
  <c r="S82" i="12"/>
  <c r="O23" i="12"/>
  <c r="S152" i="12"/>
  <c r="U113" i="12"/>
  <c r="U82" i="12"/>
  <c r="S94" i="12"/>
  <c r="O142" i="12"/>
  <c r="O156" i="12"/>
  <c r="O67" i="12"/>
  <c r="S97" i="12"/>
  <c r="S99" i="12"/>
  <c r="O57" i="12"/>
  <c r="Q85" i="12"/>
  <c r="Q133" i="12"/>
  <c r="S75" i="12"/>
  <c r="S61" i="12"/>
  <c r="S104" i="12"/>
  <c r="O94" i="12"/>
  <c r="S41" i="12"/>
  <c r="S22" i="12"/>
  <c r="Q144" i="12"/>
  <c r="S32" i="12"/>
  <c r="U94" i="12"/>
  <c r="Q79" i="12"/>
  <c r="U46" i="12"/>
  <c r="U54" i="12"/>
  <c r="S40" i="12"/>
  <c r="Q14" i="12"/>
  <c r="S148" i="12"/>
  <c r="O88" i="12"/>
  <c r="O54" i="12"/>
  <c r="O83" i="12"/>
  <c r="O157" i="12"/>
  <c r="Q103" i="12"/>
  <c r="U164" i="12"/>
  <c r="U26" i="12"/>
  <c r="U98" i="12"/>
  <c r="S142" i="12"/>
  <c r="O107" i="12"/>
  <c r="S164" i="12"/>
  <c r="O113" i="12"/>
  <c r="O82" i="12"/>
  <c r="O126" i="12"/>
  <c r="S15" i="12"/>
  <c r="O78" i="12"/>
  <c r="O70" i="12"/>
  <c r="S49" i="12"/>
  <c r="S110" i="12"/>
  <c r="S85" i="12"/>
  <c r="Q20" i="12"/>
  <c r="Q32" i="12"/>
  <c r="Q43" i="12"/>
  <c r="Q56" i="12"/>
  <c r="Q21" i="12"/>
  <c r="Q33" i="12"/>
  <c r="Q45" i="12"/>
  <c r="Q57" i="12"/>
  <c r="Q70" i="12"/>
  <c r="Q81" i="12"/>
  <c r="Q93" i="12"/>
  <c r="Q105" i="12"/>
  <c r="Q117" i="12"/>
  <c r="Q129" i="12"/>
  <c r="Q141" i="12"/>
  <c r="Q153" i="12"/>
  <c r="Q15" i="12"/>
  <c r="Q34" i="12"/>
  <c r="Q51" i="12"/>
  <c r="Q71" i="12"/>
  <c r="Q106" i="12"/>
  <c r="Q142" i="12"/>
  <c r="Q16" i="12"/>
  <c r="Q35" i="12"/>
  <c r="Q52" i="12"/>
  <c r="Q65" i="12"/>
  <c r="Q89" i="12"/>
  <c r="Q107" i="12"/>
  <c r="Q125" i="12"/>
  <c r="Q143" i="12"/>
  <c r="Q161" i="12"/>
  <c r="Q17" i="12"/>
  <c r="Q36" i="12"/>
  <c r="Q53" i="12"/>
  <c r="Q72" i="12"/>
  <c r="Q88" i="12"/>
  <c r="Q124" i="12"/>
  <c r="Q162" i="12"/>
  <c r="Q18" i="12"/>
  <c r="Q54" i="12"/>
  <c r="Q90" i="12"/>
  <c r="Q126" i="12"/>
  <c r="Q163" i="12"/>
  <c r="Q22" i="12"/>
  <c r="Q41" i="12"/>
  <c r="Q58" i="12"/>
  <c r="Q94" i="12"/>
  <c r="Q130" i="12"/>
  <c r="Q167" i="12"/>
  <c r="Q27" i="12"/>
  <c r="Q46" i="12"/>
  <c r="Q82" i="12"/>
  <c r="Q118" i="12"/>
  <c r="Q154" i="12"/>
  <c r="Q12" i="12"/>
  <c r="Q59" i="12"/>
  <c r="Q100" i="12"/>
  <c r="Q138" i="12"/>
  <c r="Q60" i="12"/>
  <c r="Q101" i="12"/>
  <c r="Q148" i="12"/>
  <c r="Q23" i="12"/>
  <c r="Q64" i="12"/>
  <c r="Q102" i="12"/>
  <c r="Q149" i="12"/>
  <c r="Q24" i="12"/>
  <c r="Q66" i="12"/>
  <c r="Q112" i="12"/>
  <c r="Q156" i="12"/>
  <c r="Q28" i="12"/>
  <c r="Q67" i="12"/>
  <c r="Q113" i="12"/>
  <c r="Q157" i="12"/>
  <c r="Q29" i="12"/>
  <c r="Q76" i="12"/>
  <c r="Q119" i="12"/>
  <c r="Q49" i="12"/>
  <c r="Q96" i="12"/>
  <c r="Q137" i="12"/>
  <c r="Q30" i="12"/>
  <c r="Q77" i="12"/>
  <c r="Q120" i="12"/>
  <c r="Q168" i="12"/>
  <c r="Q42" i="12"/>
  <c r="Q83" i="12"/>
  <c r="Q169" i="12"/>
  <c r="Q37" i="12"/>
  <c r="Q84" i="12"/>
  <c r="Q131" i="12"/>
  <c r="Q47" i="12"/>
  <c r="Q132" i="12"/>
  <c r="Q48" i="12"/>
  <c r="Q95" i="12"/>
  <c r="Q136" i="12"/>
  <c r="Q55" i="12"/>
  <c r="S112" i="12"/>
  <c r="S57" i="12"/>
  <c r="O119" i="12"/>
  <c r="Q116" i="12"/>
  <c r="U138" i="12"/>
  <c r="S130" i="12"/>
  <c r="S106" i="12"/>
  <c r="Q86" i="12"/>
  <c r="O138" i="12"/>
  <c r="O22" i="12"/>
  <c r="O33" i="12"/>
  <c r="O141" i="12"/>
  <c r="Q111" i="12"/>
  <c r="U142" i="12"/>
  <c r="S25" i="12"/>
  <c r="O143" i="12"/>
  <c r="S16" i="12"/>
  <c r="Q40" i="12"/>
  <c r="S52" i="12"/>
  <c r="S111" i="12"/>
  <c r="Q135" i="12"/>
  <c r="O165" i="12"/>
  <c r="S27" i="12"/>
  <c r="O137" i="12"/>
  <c r="S146" i="12"/>
  <c r="U106" i="12"/>
  <c r="O35" i="12"/>
  <c r="S58" i="12"/>
  <c r="O90" i="12"/>
  <c r="O58" i="12"/>
  <c r="O46" i="12"/>
  <c r="S87" i="12"/>
  <c r="Q80" i="12"/>
  <c r="S100" i="12"/>
  <c r="S33" i="12"/>
  <c r="S135" i="12"/>
  <c r="O47" i="12"/>
  <c r="U62" i="12"/>
  <c r="S81" i="12"/>
  <c r="S136" i="12"/>
  <c r="Q25" i="12"/>
  <c r="Q91" i="12"/>
  <c r="Q109" i="12"/>
  <c r="O65" i="12"/>
  <c r="S86" i="12"/>
  <c r="U159" i="12"/>
  <c r="U149" i="12"/>
  <c r="S145" i="12"/>
  <c r="Q150" i="12"/>
  <c r="S64" i="12"/>
  <c r="U143" i="12"/>
  <c r="U147" i="12"/>
  <c r="S166" i="12"/>
  <c r="Q73" i="12"/>
  <c r="O136" i="12"/>
  <c r="O149" i="12"/>
  <c r="S118" i="12"/>
  <c r="U124" i="12"/>
  <c r="U102" i="12"/>
  <c r="Q165" i="12"/>
  <c r="U81" i="12"/>
  <c r="O106" i="12"/>
  <c r="S160" i="12"/>
  <c r="S70" i="12"/>
  <c r="Q13" i="12"/>
  <c r="S158" i="12"/>
  <c r="S17" i="12"/>
  <c r="S29" i="12"/>
  <c r="S37" i="12"/>
  <c r="S53" i="12"/>
  <c r="S66" i="12"/>
  <c r="S77" i="12"/>
  <c r="S88" i="12"/>
  <c r="S101" i="12"/>
  <c r="S113" i="12"/>
  <c r="S124" i="12"/>
  <c r="S48" i="12"/>
  <c r="S96" i="12"/>
  <c r="S144" i="12"/>
  <c r="S20" i="12"/>
  <c r="S36" i="12"/>
  <c r="S69" i="12"/>
  <c r="S84" i="12"/>
  <c r="S116" i="12"/>
  <c r="S132" i="12"/>
  <c r="S18" i="12"/>
  <c r="S67" i="12"/>
  <c r="S114" i="12"/>
  <c r="S163" i="12"/>
  <c r="S19" i="12"/>
  <c r="S35" i="12"/>
  <c r="S68" i="12"/>
  <c r="S83" i="12"/>
  <c r="S115" i="12"/>
  <c r="S131" i="12"/>
  <c r="S155" i="12"/>
  <c r="S24" i="12"/>
  <c r="S72" i="12"/>
  <c r="S120" i="12"/>
  <c r="S169" i="12"/>
  <c r="S38" i="12"/>
  <c r="S90" i="12"/>
  <c r="S138" i="12"/>
  <c r="S14" i="12"/>
  <c r="S47" i="12"/>
  <c r="S79" i="12"/>
  <c r="S143" i="12"/>
  <c r="S21" i="12"/>
  <c r="S54" i="12"/>
  <c r="S151" i="12"/>
  <c r="S12" i="12"/>
  <c r="S43" i="12"/>
  <c r="S108" i="12"/>
  <c r="S140" i="12"/>
  <c r="S23" i="12"/>
  <c r="S55" i="12"/>
  <c r="S119" i="12"/>
  <c r="S150" i="12"/>
  <c r="S59" i="12"/>
  <c r="S91" i="12"/>
  <c r="S156" i="12"/>
  <c r="S60" i="12"/>
  <c r="S92" i="12"/>
  <c r="S157" i="12"/>
  <c r="S31" i="12"/>
  <c r="S95" i="12"/>
  <c r="S127" i="12"/>
  <c r="S44" i="12"/>
  <c r="S107" i="12"/>
  <c r="S139" i="12"/>
  <c r="S30" i="12"/>
  <c r="S93" i="12"/>
  <c r="S126" i="12"/>
  <c r="S13" i="12"/>
  <c r="S45" i="12"/>
  <c r="S78" i="12"/>
  <c r="S109" i="12"/>
  <c r="S141" i="12"/>
  <c r="S102" i="12"/>
  <c r="S65" i="12"/>
  <c r="S103" i="12"/>
  <c r="S168" i="12"/>
  <c r="Q62" i="12"/>
  <c r="U65" i="12"/>
  <c r="Q78" i="12"/>
  <c r="O30" i="12"/>
  <c r="S128" i="12"/>
  <c r="U83" i="12"/>
  <c r="Q128" i="12"/>
  <c r="S153" i="12"/>
  <c r="Q97" i="12"/>
  <c r="Q158" i="12"/>
  <c r="S161" i="12"/>
  <c r="S159" i="12"/>
  <c r="S28" i="12"/>
  <c r="Q164" i="12"/>
  <c r="O166" i="12"/>
  <c r="S137" i="12"/>
  <c r="Q155" i="12"/>
  <c r="O37" i="12"/>
  <c r="Q50" i="12"/>
  <c r="Q122" i="12"/>
  <c r="S76" i="12"/>
  <c r="Q63" i="12"/>
  <c r="Q147" i="12"/>
  <c r="O161" i="12"/>
  <c r="U47" i="12"/>
  <c r="O95" i="12"/>
  <c r="U153" i="12"/>
  <c r="O168" i="12"/>
  <c r="S167" i="12"/>
  <c r="O124" i="12"/>
  <c r="O102" i="12"/>
  <c r="O118" i="12"/>
  <c r="Q121" i="12"/>
  <c r="O81" i="12"/>
  <c r="S117" i="12"/>
  <c r="S62" i="12"/>
  <c r="Q44" i="12"/>
  <c r="U131" i="12"/>
  <c r="S63" i="12"/>
  <c r="U34" i="12"/>
  <c r="O105" i="12"/>
  <c r="S123" i="12"/>
  <c r="Q92" i="12"/>
  <c r="O131" i="12"/>
  <c r="S34" i="12"/>
  <c r="U146" i="12"/>
  <c r="Q99" i="12"/>
  <c r="O77" i="12"/>
  <c r="S50" i="12"/>
  <c r="S26" i="12"/>
  <c r="U99" i="12"/>
  <c r="S73" i="12"/>
  <c r="S154" i="12"/>
  <c r="S134" i="12"/>
  <c r="U109" i="12"/>
  <c r="O101" i="12"/>
  <c r="Q127" i="12"/>
  <c r="Q139" i="12"/>
  <c r="Q110" i="12"/>
  <c r="O53" i="12"/>
  <c r="O29" i="12"/>
  <c r="Q19" i="12"/>
  <c r="S149" i="12"/>
  <c r="Q31" i="12"/>
  <c r="Q69" i="12"/>
  <c r="S56" i="12"/>
  <c r="S89" i="12"/>
  <c r="O59" i="12"/>
  <c r="Q160" i="12"/>
  <c r="O71" i="12"/>
  <c r="Q145" i="12"/>
  <c r="Q38" i="12"/>
  <c r="O162" i="12"/>
  <c r="Q61" i="12"/>
  <c r="O153" i="12"/>
  <c r="S51" i="12"/>
  <c r="S121" i="12"/>
  <c r="O18" i="12"/>
  <c r="O114" i="12"/>
  <c r="O167" i="12"/>
  <c r="U57" i="12"/>
  <c r="O93" i="12"/>
  <c r="Q108" i="12"/>
  <c r="S165" i="12"/>
  <c r="S122" i="12"/>
  <c r="U126" i="12"/>
  <c r="Q86" i="3"/>
  <c r="S86" i="3"/>
  <c r="R73" i="3"/>
  <c r="P73" i="3"/>
  <c r="L73" i="3"/>
  <c r="M73" i="3" s="1"/>
  <c r="U73" i="3" s="1"/>
  <c r="L56" i="3"/>
  <c r="N56" i="3" s="1"/>
  <c r="O40" i="3"/>
  <c r="M40" i="3"/>
  <c r="N40" i="3" s="1"/>
  <c r="P40" i="3" s="1"/>
  <c r="L40" i="3"/>
  <c r="S40" i="3" s="1"/>
  <c r="L41" i="3"/>
  <c r="DL584" i="9"/>
  <c r="DL856" i="9"/>
  <c r="CG203" i="9"/>
  <c r="DC57" i="9"/>
  <c r="DL800" i="9"/>
  <c r="DN488" i="9"/>
  <c r="DL889" i="9"/>
  <c r="DA288" i="9"/>
  <c r="DL254" i="9"/>
  <c r="DL547" i="9"/>
  <c r="DN590" i="9"/>
  <c r="CP132" i="9"/>
  <c r="DL311" i="9"/>
  <c r="BT82" i="9"/>
  <c r="CE268" i="9"/>
  <c r="DL487" i="9"/>
  <c r="DA173" i="9"/>
  <c r="DN189" i="9"/>
  <c r="DL452" i="9"/>
  <c r="CP48" i="9"/>
  <c r="DA264" i="9"/>
  <c r="DL835" i="9"/>
  <c r="DL305" i="9"/>
  <c r="BT45" i="9"/>
  <c r="BV208" i="9"/>
  <c r="BV498" i="9"/>
  <c r="DN104" i="9"/>
  <c r="DN619" i="9"/>
  <c r="DL741" i="9"/>
  <c r="DL730" i="9"/>
  <c r="DC88" i="9"/>
  <c r="CE405" i="9"/>
  <c r="CE357" i="9"/>
  <c r="DN662" i="9"/>
  <c r="DN49" i="9"/>
  <c r="CE349" i="9"/>
  <c r="CE94" i="9"/>
  <c r="DA61" i="9"/>
  <c r="CR162" i="9"/>
  <c r="CG221" i="9"/>
  <c r="DN857" i="9"/>
  <c r="DN386" i="9"/>
  <c r="DC133" i="9"/>
  <c r="DC55" i="9"/>
  <c r="DC241" i="9"/>
  <c r="DN582" i="9"/>
  <c r="DN692" i="9"/>
  <c r="CR54" i="9"/>
  <c r="BT490" i="9"/>
  <c r="DN855" i="9"/>
  <c r="CR110" i="9"/>
  <c r="S31" i="9"/>
  <c r="DN154" i="9"/>
  <c r="DA343" i="9"/>
  <c r="DC236" i="9"/>
  <c r="DC211" i="9"/>
  <c r="CR149" i="9"/>
  <c r="CP136" i="9"/>
  <c r="DA45" i="9"/>
  <c r="DL370" i="9"/>
  <c r="DN38" i="9"/>
  <c r="DA303" i="9"/>
  <c r="DN637" i="9"/>
  <c r="BT359" i="9"/>
  <c r="BI226" i="9"/>
  <c r="DL494" i="9"/>
  <c r="DN141" i="9"/>
  <c r="DN471" i="9"/>
  <c r="Q60" i="9"/>
  <c r="AO350" i="9"/>
  <c r="DN84" i="9"/>
  <c r="DN111" i="9"/>
  <c r="DA313" i="9"/>
  <c r="DC282" i="9"/>
  <c r="CG86" i="9"/>
  <c r="DN74" i="9"/>
  <c r="CG207" i="9"/>
  <c r="CE356" i="9"/>
  <c r="BK39" i="9"/>
  <c r="DL163" i="9"/>
  <c r="DA63" i="9"/>
  <c r="CE185" i="9"/>
  <c r="DL528" i="9"/>
  <c r="CG168" i="9"/>
  <c r="DN174" i="9"/>
  <c r="DL119" i="9"/>
  <c r="CP38" i="9"/>
  <c r="AO388" i="9"/>
  <c r="AM272" i="9"/>
  <c r="DN423" i="9"/>
  <c r="DL901" i="9"/>
  <c r="DN519" i="9"/>
  <c r="AZ164" i="9"/>
  <c r="DN520" i="9"/>
  <c r="CP189" i="9"/>
  <c r="CG321" i="9"/>
  <c r="BV254" i="9"/>
  <c r="DN321" i="9"/>
  <c r="CE296" i="9"/>
  <c r="CR133" i="9"/>
  <c r="DN116" i="9"/>
  <c r="DL485" i="9"/>
  <c r="DN123" i="9"/>
  <c r="BV407" i="9"/>
  <c r="DL896" i="9"/>
  <c r="DC240" i="9"/>
  <c r="CE421" i="9"/>
  <c r="BV243" i="9"/>
  <c r="AO148" i="9"/>
  <c r="DN433" i="9"/>
  <c r="DN535" i="9"/>
  <c r="CE52" i="9"/>
  <c r="DA106" i="9"/>
  <c r="DN493" i="9"/>
  <c r="DL282" i="9"/>
  <c r="CG247" i="9"/>
  <c r="DN378" i="9"/>
  <c r="BT389" i="9"/>
  <c r="DN906" i="9"/>
  <c r="DN495" i="9"/>
  <c r="DL824" i="9"/>
  <c r="DN77" i="9"/>
  <c r="DL220" i="9"/>
  <c r="DL366" i="9"/>
  <c r="DL38" i="9"/>
  <c r="CP164" i="9"/>
  <c r="DN391" i="9"/>
  <c r="DL314" i="9"/>
  <c r="CR221" i="9"/>
  <c r="DN280" i="9"/>
  <c r="BV501" i="9"/>
  <c r="DN682" i="9"/>
  <c r="DL197" i="9"/>
  <c r="DL751" i="9"/>
  <c r="CG82" i="9"/>
  <c r="CG199" i="9"/>
  <c r="DL116" i="9"/>
  <c r="CR215" i="9"/>
  <c r="DL246" i="9"/>
  <c r="DL301" i="9"/>
  <c r="CE346" i="9"/>
  <c r="BV31" i="9"/>
  <c r="CP137" i="9"/>
  <c r="DN216" i="9"/>
  <c r="DN211" i="9"/>
  <c r="CR156" i="9"/>
  <c r="DN754" i="9"/>
  <c r="DL688" i="9"/>
  <c r="DL141" i="9"/>
  <c r="CR194" i="9"/>
  <c r="CP162" i="9"/>
  <c r="CP30" i="9"/>
  <c r="CE430" i="9"/>
  <c r="DN46" i="9"/>
  <c r="CG105" i="9"/>
  <c r="DL449" i="9"/>
  <c r="DN887" i="9"/>
  <c r="CR111" i="9"/>
  <c r="DL492" i="9"/>
  <c r="DL639" i="9"/>
  <c r="DN252" i="9"/>
  <c r="DA348" i="9"/>
  <c r="DN443" i="9"/>
  <c r="DL607" i="9"/>
  <c r="CG172" i="9"/>
  <c r="AZ143" i="9"/>
  <c r="BV314" i="9"/>
  <c r="DL849" i="9"/>
  <c r="DL351" i="9"/>
  <c r="CE304" i="9"/>
  <c r="DN167" i="9"/>
  <c r="DN172" i="9"/>
  <c r="CP206" i="9"/>
  <c r="AM118" i="9"/>
  <c r="CE233" i="9"/>
  <c r="DL627" i="9"/>
  <c r="DA190" i="9"/>
  <c r="DC319" i="9"/>
  <c r="DL176" i="9"/>
  <c r="DL590" i="9"/>
  <c r="DN314" i="9"/>
  <c r="CR201" i="9"/>
  <c r="DN407" i="9"/>
  <c r="DC239" i="9"/>
  <c r="DL902" i="9"/>
  <c r="DC125" i="9"/>
  <c r="DN176" i="9"/>
  <c r="CG209" i="9"/>
  <c r="CG134" i="9"/>
  <c r="DL281" i="9"/>
  <c r="CE318" i="9"/>
  <c r="DC299" i="9"/>
  <c r="DN383" i="9"/>
  <c r="DL699" i="9"/>
  <c r="DL729" i="9"/>
  <c r="CR58" i="9"/>
  <c r="DC229" i="9"/>
  <c r="DN588" i="9"/>
  <c r="DL227" i="9"/>
  <c r="DL317" i="9"/>
  <c r="DN515" i="9"/>
  <c r="DL859" i="9"/>
  <c r="DL190" i="9"/>
  <c r="AM347" i="9"/>
  <c r="CG398" i="9"/>
  <c r="CR136" i="9"/>
  <c r="DC325" i="9"/>
  <c r="CE219" i="9"/>
  <c r="DN103" i="9"/>
  <c r="DC328" i="9"/>
  <c r="CR68" i="9"/>
  <c r="DN257" i="9"/>
  <c r="DA180" i="9"/>
  <c r="DN667" i="9"/>
  <c r="DL650" i="9"/>
  <c r="DL267" i="9"/>
  <c r="DL436" i="9"/>
  <c r="DA72" i="9"/>
  <c r="DL486" i="9"/>
  <c r="DN451" i="9"/>
  <c r="DL716" i="9"/>
  <c r="DL796" i="9"/>
  <c r="DA274" i="9"/>
  <c r="DL440" i="9"/>
  <c r="DA239" i="9"/>
  <c r="CG173" i="9"/>
  <c r="DN656" i="9"/>
  <c r="CG63" i="9"/>
  <c r="DA321" i="9"/>
  <c r="DN368" i="9"/>
  <c r="DN542" i="9"/>
  <c r="DL383" i="9"/>
  <c r="CG117" i="9"/>
  <c r="DN844" i="9"/>
  <c r="DL527" i="9"/>
  <c r="CG245" i="9"/>
  <c r="DL498" i="9"/>
  <c r="CG165" i="9"/>
  <c r="DA166" i="9"/>
  <c r="DN248" i="9"/>
  <c r="CG259" i="9"/>
  <c r="DL232" i="9"/>
  <c r="BT123" i="9"/>
  <c r="DN825" i="9"/>
  <c r="DL417" i="9"/>
  <c r="DL453" i="9"/>
  <c r="CE135" i="9"/>
  <c r="DL854" i="9"/>
  <c r="DN795" i="9"/>
  <c r="DN641" i="9"/>
  <c r="DN394" i="9"/>
  <c r="DC143" i="9"/>
  <c r="DL240" i="9"/>
  <c r="DN870" i="9"/>
  <c r="CR100" i="9"/>
  <c r="CE54" i="9"/>
  <c r="DA47" i="9"/>
  <c r="DN207" i="9"/>
  <c r="DN838" i="9"/>
  <c r="CP112" i="9"/>
  <c r="DL493" i="9"/>
  <c r="DN270" i="9"/>
  <c r="DA282" i="9"/>
  <c r="CG280" i="9"/>
  <c r="DA212" i="9"/>
  <c r="DL128" i="9"/>
  <c r="DA42" i="9"/>
  <c r="DN95" i="9"/>
  <c r="DA27" i="9"/>
  <c r="DN78" i="9"/>
  <c r="BT286" i="9"/>
  <c r="DC228" i="9"/>
  <c r="DL76" i="9"/>
  <c r="CP151" i="9"/>
  <c r="DC289" i="9"/>
  <c r="CG278" i="9"/>
  <c r="DC194" i="9"/>
  <c r="DN462" i="9"/>
  <c r="DL295" i="9"/>
  <c r="CP86" i="9"/>
  <c r="DL759" i="9"/>
  <c r="DN344" i="9"/>
  <c r="CE71" i="9"/>
  <c r="CP22" i="9"/>
  <c r="CE42" i="9"/>
  <c r="DL193" i="9"/>
  <c r="DL884" i="9"/>
  <c r="CG178" i="9"/>
  <c r="DN502" i="9"/>
  <c r="DN384" i="9"/>
  <c r="DL510" i="9"/>
  <c r="DN648" i="9"/>
  <c r="DN264" i="9"/>
  <c r="BV115" i="9"/>
  <c r="DN731" i="9"/>
  <c r="DL876" i="9"/>
  <c r="DN277" i="9"/>
  <c r="DC74" i="9"/>
  <c r="BV185" i="9"/>
  <c r="DN25" i="9"/>
  <c r="DN670" i="9"/>
  <c r="DC155" i="9"/>
  <c r="DA243" i="9"/>
  <c r="DN883" i="9"/>
  <c r="DN690" i="9"/>
  <c r="DL862" i="9"/>
  <c r="DL573" i="9"/>
  <c r="DN184" i="9"/>
  <c r="DN796" i="9"/>
  <c r="DN143" i="9"/>
  <c r="DL25" i="9"/>
  <c r="DL175" i="9"/>
  <c r="AO105" i="9"/>
  <c r="BV394" i="9"/>
  <c r="CR220" i="9"/>
  <c r="AM417" i="9"/>
  <c r="BV328" i="9"/>
  <c r="CP186" i="9"/>
  <c r="DN756" i="9"/>
  <c r="BT60" i="9"/>
  <c r="DN352" i="9"/>
  <c r="DA356" i="9"/>
  <c r="DN341" i="9"/>
  <c r="BV175" i="9"/>
  <c r="DL95" i="9"/>
  <c r="DA346" i="9"/>
  <c r="DL468" i="9"/>
  <c r="DL662" i="9"/>
  <c r="DN858" i="9"/>
  <c r="DN231" i="9"/>
  <c r="DL633" i="9"/>
  <c r="DL156" i="9"/>
  <c r="DL830" i="9"/>
  <c r="CR186" i="9"/>
  <c r="DN861" i="9"/>
  <c r="DN484" i="9"/>
  <c r="DN802" i="9"/>
  <c r="BV84" i="9"/>
  <c r="DN506" i="9"/>
  <c r="DN438" i="9"/>
  <c r="DL443" i="9"/>
  <c r="DL284" i="9"/>
  <c r="DL589" i="9"/>
  <c r="DL815" i="9"/>
  <c r="DA181" i="9"/>
  <c r="BT166" i="9"/>
  <c r="DN880" i="9"/>
  <c r="AO211" i="9"/>
  <c r="DN881" i="9"/>
  <c r="DN279" i="9"/>
  <c r="DL409" i="9"/>
  <c r="CE325" i="9"/>
  <c r="CE276" i="9"/>
  <c r="DN253" i="9"/>
  <c r="DA185" i="9"/>
  <c r="DA118" i="9"/>
  <c r="CR178" i="9"/>
  <c r="DN711" i="9"/>
  <c r="BT321" i="9"/>
  <c r="DL169" i="9"/>
  <c r="CE411" i="9"/>
  <c r="DN811" i="9"/>
  <c r="DL734" i="9"/>
  <c r="DC283" i="9"/>
  <c r="CE355" i="9"/>
  <c r="CE60" i="9"/>
  <c r="CR57" i="9"/>
  <c r="AO396" i="9"/>
  <c r="DN258" i="9"/>
  <c r="DN815" i="9"/>
  <c r="CG300" i="9"/>
  <c r="DL780" i="9"/>
  <c r="DN293" i="9"/>
  <c r="DL91" i="9"/>
  <c r="CR25" i="9"/>
  <c r="DN71" i="9"/>
  <c r="DL216" i="9"/>
  <c r="BV213" i="9"/>
  <c r="CR34" i="9"/>
  <c r="DA284" i="9"/>
  <c r="CG27" i="9"/>
  <c r="DL544" i="9"/>
  <c r="CE35" i="9"/>
  <c r="DL870" i="9"/>
  <c r="CR161" i="9"/>
  <c r="DL458" i="9"/>
  <c r="CP56" i="9"/>
  <c r="DL802" i="9"/>
  <c r="DN114" i="9"/>
  <c r="CG133" i="9"/>
  <c r="DL329" i="9"/>
  <c r="DL325" i="9"/>
  <c r="DA148" i="9"/>
  <c r="DN516" i="9"/>
  <c r="DN122" i="9"/>
  <c r="DL374" i="9"/>
  <c r="DN282" i="9"/>
  <c r="CE371" i="9"/>
  <c r="DC320" i="9"/>
  <c r="DL570" i="9"/>
  <c r="DA261" i="9"/>
  <c r="DN626" i="9"/>
  <c r="CP150" i="9"/>
  <c r="CR114" i="9"/>
  <c r="DN657" i="9"/>
  <c r="AO116" i="9"/>
  <c r="CG189" i="9"/>
  <c r="DN192" i="9"/>
  <c r="DA262" i="9"/>
  <c r="DL324" i="9"/>
  <c r="DA92" i="9"/>
  <c r="DN474" i="9"/>
  <c r="BT309" i="9"/>
  <c r="DL906" i="9"/>
  <c r="DN62" i="9"/>
  <c r="DL167" i="9"/>
  <c r="DL65" i="9"/>
  <c r="CE237" i="9"/>
  <c r="BT287" i="9"/>
  <c r="DN820" i="9"/>
  <c r="DN40" i="9"/>
  <c r="DN428" i="9"/>
  <c r="DN483" i="9"/>
  <c r="CE334" i="9"/>
  <c r="DN899" i="9"/>
  <c r="DC83" i="9"/>
  <c r="CG380" i="9"/>
  <c r="BI68" i="9"/>
  <c r="CE386" i="9"/>
  <c r="DN115" i="9"/>
  <c r="CG166" i="9"/>
  <c r="DL505" i="9"/>
  <c r="DN163" i="9"/>
  <c r="DA96" i="9"/>
  <c r="DN650" i="9"/>
  <c r="DN272" i="9"/>
  <c r="CG339" i="9"/>
  <c r="DN816" i="9"/>
  <c r="H317" i="9"/>
  <c r="DN894" i="9"/>
  <c r="DN160" i="9"/>
  <c r="DN377" i="9"/>
  <c r="CG78" i="9"/>
  <c r="BT236" i="9"/>
  <c r="DC156" i="9"/>
  <c r="DA182" i="9"/>
  <c r="AO202" i="9"/>
  <c r="DA341" i="9"/>
  <c r="CE331" i="9"/>
  <c r="DL767" i="9"/>
  <c r="DL653" i="9"/>
  <c r="DL850" i="9"/>
  <c r="DL693" i="9"/>
  <c r="DA179" i="9"/>
  <c r="CP176" i="9"/>
  <c r="DN361" i="9"/>
  <c r="DN254" i="9"/>
  <c r="DA290" i="9"/>
  <c r="CR32" i="9"/>
  <c r="DN552" i="9"/>
  <c r="DA245" i="9"/>
  <c r="DL182" i="9"/>
  <c r="DC62" i="9"/>
  <c r="DC287" i="9"/>
  <c r="CP146" i="9"/>
  <c r="DA353" i="9"/>
  <c r="DC256" i="9"/>
  <c r="DL149" i="9"/>
  <c r="DL92" i="9"/>
  <c r="DN597" i="9"/>
  <c r="DL445" i="9"/>
  <c r="AX128" i="9"/>
  <c r="DN868" i="9"/>
  <c r="DL98" i="9"/>
  <c r="DL907" i="9"/>
  <c r="DC72" i="9"/>
  <c r="DC159" i="9"/>
  <c r="DL701" i="9"/>
  <c r="CE63" i="9"/>
  <c r="DL398" i="9"/>
  <c r="DN701" i="9"/>
  <c r="DC123" i="9"/>
  <c r="CE387" i="9"/>
  <c r="BT330" i="9"/>
  <c r="CE175" i="9"/>
  <c r="BT256" i="9"/>
  <c r="DA204" i="9"/>
  <c r="DA58" i="9"/>
  <c r="DC324" i="9"/>
  <c r="DL54" i="9"/>
  <c r="CR217" i="9"/>
  <c r="CR174" i="9"/>
  <c r="DN550" i="9"/>
  <c r="DN579" i="9"/>
  <c r="CP211" i="9"/>
  <c r="CE179" i="9"/>
  <c r="CP192" i="9"/>
  <c r="CG329" i="9"/>
  <c r="DC149" i="9"/>
  <c r="DL93" i="9"/>
  <c r="DN767" i="9"/>
  <c r="DN774" i="9"/>
  <c r="DC209" i="9"/>
  <c r="DL788" i="9"/>
  <c r="DN374" i="9"/>
  <c r="CG299" i="9"/>
  <c r="DC293" i="9"/>
  <c r="DN725" i="9"/>
  <c r="DL726" i="9"/>
  <c r="DA62" i="9"/>
  <c r="CR152" i="9"/>
  <c r="DC224" i="9"/>
  <c r="CP52" i="9"/>
  <c r="DN275" i="9"/>
  <c r="BV414" i="9"/>
  <c r="BV261" i="9"/>
  <c r="DA46" i="9"/>
  <c r="DC64" i="9"/>
  <c r="DN605" i="9"/>
  <c r="BT58" i="9"/>
  <c r="DN714" i="9"/>
  <c r="DN140" i="9"/>
  <c r="DN304" i="9"/>
  <c r="DC90" i="9"/>
  <c r="DL237" i="9"/>
  <c r="DC348" i="9"/>
  <c r="DL892" i="9"/>
  <c r="DN900" i="9"/>
  <c r="DL349" i="9"/>
  <c r="DL687" i="9"/>
  <c r="DL467" i="9"/>
  <c r="DC117" i="9"/>
  <c r="CE56" i="9"/>
  <c r="BI45" i="9"/>
  <c r="CE97" i="9"/>
  <c r="DL669" i="9"/>
  <c r="DA278" i="9"/>
  <c r="CG244" i="9"/>
  <c r="CP42" i="9"/>
  <c r="DL179" i="9"/>
  <c r="DN379" i="9"/>
  <c r="DN129" i="9"/>
  <c r="DL170" i="9"/>
  <c r="DN310" i="9"/>
  <c r="BV295" i="9"/>
  <c r="BT432" i="9"/>
  <c r="DN335" i="9"/>
  <c r="DA79" i="9"/>
  <c r="DL219" i="9"/>
  <c r="DL823" i="9"/>
  <c r="DC338" i="9"/>
  <c r="BK200" i="9"/>
  <c r="BT130" i="9"/>
  <c r="BT361" i="9"/>
  <c r="DA217" i="9"/>
  <c r="BV218" i="9"/>
  <c r="DC280" i="9"/>
  <c r="BT222" i="9"/>
  <c r="DN606" i="9"/>
  <c r="DA44" i="9"/>
  <c r="DC215" i="9"/>
  <c r="DA103" i="9"/>
  <c r="CR211" i="9"/>
  <c r="AZ23" i="9"/>
  <c r="BT477" i="9"/>
  <c r="DC212" i="9"/>
  <c r="CG349" i="9"/>
  <c r="CG277" i="9"/>
  <c r="DL711" i="9"/>
  <c r="CP25" i="9"/>
  <c r="DL184" i="9"/>
  <c r="DL561" i="9"/>
  <c r="DC131" i="9"/>
  <c r="DC323" i="9"/>
  <c r="DA315" i="9"/>
  <c r="DN768" i="9"/>
  <c r="DL612" i="9"/>
  <c r="CE293" i="9"/>
  <c r="DC329" i="9"/>
  <c r="DL393" i="9"/>
  <c r="BT77" i="9"/>
  <c r="CG73" i="9"/>
  <c r="DN445" i="9"/>
  <c r="BV411" i="9"/>
  <c r="DN828" i="9"/>
  <c r="DN375" i="9"/>
  <c r="DL139" i="9"/>
  <c r="DN75" i="9"/>
  <c r="AM227" i="9"/>
  <c r="CR142" i="9"/>
  <c r="DL635" i="9"/>
  <c r="DN288" i="9"/>
  <c r="DN203" i="9"/>
  <c r="DC270" i="9"/>
  <c r="DC178" i="9"/>
  <c r="DL599" i="9"/>
  <c r="DN907" i="9"/>
  <c r="DN437" i="9"/>
  <c r="BV71" i="9"/>
  <c r="DN803" i="9"/>
  <c r="AM29" i="9"/>
  <c r="CE186" i="9"/>
  <c r="BT94" i="9"/>
  <c r="CR170" i="9"/>
  <c r="DL64" i="9"/>
  <c r="CP203" i="9"/>
  <c r="CR51" i="9"/>
  <c r="CG213" i="9"/>
  <c r="DL886" i="9"/>
  <c r="DC173" i="9"/>
  <c r="DN830" i="9"/>
  <c r="CG302" i="9"/>
  <c r="DL132" i="9"/>
  <c r="DL689" i="9"/>
  <c r="DA205" i="9"/>
  <c r="DL728" i="9"/>
  <c r="BV24" i="9"/>
  <c r="DN208" i="9"/>
  <c r="DC76" i="9"/>
  <c r="CP37" i="9"/>
  <c r="CE61" i="9"/>
  <c r="DL81" i="9"/>
  <c r="DL592" i="9"/>
  <c r="DL814" i="9"/>
  <c r="DL115" i="9"/>
  <c r="DN397" i="9"/>
  <c r="BT183" i="9"/>
  <c r="DA351" i="9"/>
  <c r="CP68" i="9"/>
  <c r="DL469" i="9"/>
  <c r="DA164" i="9"/>
  <c r="CG87" i="9"/>
  <c r="DL213" i="9"/>
  <c r="DN631" i="9"/>
  <c r="BV476" i="9"/>
  <c r="DC174" i="9"/>
  <c r="DL395" i="9"/>
  <c r="DL438" i="9"/>
  <c r="CE120" i="9"/>
  <c r="DC275" i="9"/>
  <c r="CG28" i="9"/>
  <c r="BK128" i="9"/>
  <c r="DN276" i="9"/>
  <c r="CG64" i="9"/>
  <c r="DN234" i="9"/>
  <c r="DL488" i="9"/>
  <c r="CP215" i="9"/>
  <c r="AO70" i="9"/>
  <c r="DN746" i="9"/>
  <c r="DC298" i="9"/>
  <c r="CE412" i="9"/>
  <c r="DN677" i="9"/>
  <c r="DC110" i="9"/>
  <c r="DL165" i="9"/>
  <c r="DL483" i="9"/>
  <c r="BT190" i="9"/>
  <c r="DC115" i="9"/>
  <c r="CG219" i="9"/>
  <c r="BV475" i="9"/>
  <c r="DN624" i="9"/>
  <c r="DL97" i="9"/>
  <c r="CG193" i="9"/>
  <c r="DN798" i="9"/>
  <c r="DN668" i="9"/>
  <c r="CP129" i="9"/>
  <c r="DC191" i="9"/>
  <c r="DC214" i="9"/>
  <c r="DL340" i="9"/>
  <c r="BT363" i="9"/>
  <c r="DL245" i="9"/>
  <c r="DL171" i="9"/>
  <c r="CR135" i="9"/>
  <c r="DL286" i="9"/>
  <c r="DL637" i="9"/>
  <c r="DL247" i="9"/>
  <c r="DL72" i="9"/>
  <c r="DN105" i="9"/>
  <c r="DA171" i="9"/>
  <c r="AZ96" i="9"/>
  <c r="DL535" i="9"/>
  <c r="DL100" i="9"/>
  <c r="BT112" i="9"/>
  <c r="CE254" i="9"/>
  <c r="CP216" i="9"/>
  <c r="DL400" i="9"/>
  <c r="DN601" i="9"/>
  <c r="DL143" i="9"/>
  <c r="DL379" i="9"/>
  <c r="DA246" i="9"/>
  <c r="BV187" i="9"/>
  <c r="CR117" i="9"/>
  <c r="DL369" i="9"/>
  <c r="BV111" i="9"/>
  <c r="DN780" i="9"/>
  <c r="DN398" i="9"/>
  <c r="DN736" i="9"/>
  <c r="DA240" i="9"/>
  <c r="DL358" i="9"/>
  <c r="DL500" i="9"/>
  <c r="DL273" i="9"/>
  <c r="CG180" i="9"/>
  <c r="CP159" i="9"/>
  <c r="DC96" i="9"/>
  <c r="CR134" i="9"/>
  <c r="DN422" i="9"/>
  <c r="CP66" i="9"/>
  <c r="DL720" i="9"/>
  <c r="DL619" i="9"/>
  <c r="CG423" i="9"/>
  <c r="DL559" i="9"/>
  <c r="DC138" i="9"/>
  <c r="CE98" i="9"/>
  <c r="DN82" i="9"/>
  <c r="DL259" i="9"/>
  <c r="DN89" i="9"/>
  <c r="DL737" i="9"/>
  <c r="DA358" i="9"/>
  <c r="DL784" i="9"/>
  <c r="DL373" i="9"/>
  <c r="DC271" i="9"/>
  <c r="CP44" i="9"/>
  <c r="CG381" i="9"/>
  <c r="DA29" i="9"/>
  <c r="DL821" i="9"/>
  <c r="DN64" i="9"/>
  <c r="DN628" i="9"/>
  <c r="DL266" i="9"/>
  <c r="DA230" i="9"/>
  <c r="DC190" i="9"/>
  <c r="DL212" i="9"/>
  <c r="DC179" i="9"/>
  <c r="DN734" i="9"/>
  <c r="BT243" i="9"/>
  <c r="BV26" i="9"/>
  <c r="CP142" i="9"/>
  <c r="DL415" i="9"/>
  <c r="DL173" i="9"/>
  <c r="CE165" i="9"/>
  <c r="DN39" i="9"/>
  <c r="DL496" i="9"/>
  <c r="DC119" i="9"/>
  <c r="DA285" i="9"/>
  <c r="DL666" i="9"/>
  <c r="BT143" i="9"/>
  <c r="DA108" i="9"/>
  <c r="BV429" i="9"/>
  <c r="CG210" i="9"/>
  <c r="BT164" i="9"/>
  <c r="DL52" i="9"/>
  <c r="DN31" i="9"/>
  <c r="CE369" i="9"/>
  <c r="CR62" i="9"/>
  <c r="CR209" i="9"/>
  <c r="DA292" i="9"/>
  <c r="DC129" i="9"/>
  <c r="DA333" i="9"/>
  <c r="DN135" i="9"/>
  <c r="DL66" i="9"/>
  <c r="DC294" i="9"/>
  <c r="BT478" i="9"/>
  <c r="CG395" i="9"/>
  <c r="CG75" i="9"/>
  <c r="CE395" i="9"/>
  <c r="CR159" i="9"/>
  <c r="DC321" i="9"/>
  <c r="CE345" i="9"/>
  <c r="DL181" i="9"/>
  <c r="DN210" i="9"/>
  <c r="DA324" i="9"/>
  <c r="BV454" i="9"/>
  <c r="DL441" i="9"/>
  <c r="DN893" i="9"/>
  <c r="DC258" i="9"/>
  <c r="CE286" i="9"/>
  <c r="DN763" i="9"/>
  <c r="CG33" i="9"/>
  <c r="BK71" i="9"/>
  <c r="DN730" i="9"/>
  <c r="H271" i="9"/>
  <c r="CP207" i="9"/>
  <c r="DL725" i="9"/>
  <c r="DA74" i="9"/>
  <c r="DN630" i="9"/>
  <c r="DA135" i="9"/>
  <c r="CR109" i="9"/>
  <c r="CE23" i="9"/>
  <c r="AZ107" i="9"/>
  <c r="F499" i="9"/>
  <c r="BV176" i="9"/>
  <c r="CP171" i="9"/>
  <c r="DN285" i="9"/>
  <c r="DA117" i="9"/>
  <c r="CG26" i="9"/>
  <c r="DL62" i="9"/>
  <c r="DC226" i="9"/>
  <c r="BT382" i="9"/>
  <c r="BI131" i="9"/>
  <c r="DC322" i="9"/>
  <c r="CP155" i="9"/>
  <c r="BV150" i="9"/>
  <c r="DL836" i="9"/>
  <c r="DL148" i="9"/>
  <c r="DL355" i="9"/>
  <c r="DN721" i="9"/>
  <c r="CR203" i="9"/>
  <c r="DC68" i="9"/>
  <c r="AM168" i="9"/>
  <c r="DN512" i="9"/>
  <c r="H506" i="9"/>
  <c r="CE226" i="9"/>
  <c r="DN742" i="9"/>
  <c r="CE168" i="9"/>
  <c r="CG263" i="9"/>
  <c r="CP177" i="9"/>
  <c r="BT75" i="9"/>
  <c r="AM85" i="9"/>
  <c r="Q110" i="9"/>
  <c r="DN610" i="9"/>
  <c r="DL121" i="9"/>
  <c r="CG283" i="9"/>
  <c r="DL352" i="9"/>
  <c r="DL334" i="9"/>
  <c r="CR150" i="9"/>
  <c r="DN511" i="9"/>
  <c r="BV427" i="9"/>
  <c r="CP88" i="9"/>
  <c r="DA270" i="9"/>
  <c r="DL378" i="9"/>
  <c r="BT192" i="9"/>
  <c r="CG377" i="9"/>
  <c r="DC81" i="9"/>
  <c r="DL874" i="9"/>
  <c r="DN607" i="9"/>
  <c r="DC66" i="9"/>
  <c r="AZ146" i="9"/>
  <c r="DL811" i="9"/>
  <c r="DN640" i="9"/>
  <c r="BT437" i="9"/>
  <c r="DN412" i="9"/>
  <c r="DL804" i="9"/>
  <c r="CR183" i="9"/>
  <c r="DA347" i="9"/>
  <c r="DL204" i="9"/>
  <c r="DN155" i="9"/>
  <c r="CE136" i="9"/>
  <c r="CE240" i="9"/>
  <c r="CE247" i="9"/>
  <c r="CG262" i="9"/>
  <c r="CE154" i="9"/>
  <c r="CR214" i="9"/>
  <c r="BV413" i="9"/>
  <c r="DL386" i="9"/>
  <c r="CE37" i="9"/>
  <c r="DN420" i="9"/>
  <c r="DN63" i="9"/>
  <c r="DL147" i="9"/>
  <c r="DN500" i="9"/>
  <c r="DN149" i="9"/>
  <c r="DL761" i="9"/>
  <c r="DL536" i="9"/>
  <c r="CE348" i="9"/>
  <c r="AO398" i="9"/>
  <c r="DL508" i="9"/>
  <c r="CG301" i="9"/>
  <c r="CR66" i="9"/>
  <c r="DL367" i="9"/>
  <c r="DN399" i="9"/>
  <c r="DL540" i="9"/>
  <c r="DL503" i="9"/>
  <c r="DN508" i="9"/>
  <c r="BT420" i="9"/>
  <c r="CR102" i="9"/>
  <c r="DA95" i="9"/>
  <c r="DN212" i="9"/>
  <c r="DN233" i="9"/>
  <c r="BV470" i="9"/>
  <c r="DN481" i="9"/>
  <c r="CP180" i="9"/>
  <c r="CR119" i="9"/>
  <c r="BV345" i="9"/>
  <c r="DA192" i="9"/>
  <c r="DA280" i="9"/>
  <c r="DL684" i="9"/>
  <c r="DA84" i="9"/>
  <c r="DA124" i="9"/>
  <c r="DA330" i="9"/>
  <c r="DL30" i="9"/>
  <c r="DL178" i="9"/>
  <c r="DL756" i="9"/>
  <c r="DC51" i="9"/>
  <c r="CE415" i="9"/>
  <c r="AO231" i="9"/>
  <c r="CR42" i="9"/>
  <c r="DC160" i="9"/>
  <c r="BV284" i="9"/>
  <c r="CG84" i="9"/>
  <c r="DN322" i="9"/>
  <c r="DN872" i="9"/>
  <c r="CE76" i="9"/>
  <c r="BV64" i="9"/>
  <c r="BT288" i="9"/>
  <c r="AO309" i="9"/>
  <c r="CR167" i="9"/>
  <c r="AM368" i="9"/>
  <c r="BI36" i="9"/>
  <c r="BT42" i="9"/>
  <c r="H492" i="9"/>
  <c r="DA249" i="9"/>
  <c r="CR199" i="9"/>
  <c r="CE132" i="9"/>
  <c r="DL319" i="9"/>
  <c r="BV278" i="9"/>
  <c r="CG131" i="9"/>
  <c r="DA257" i="9"/>
  <c r="CR147" i="9"/>
  <c r="CP74" i="9"/>
  <c r="DN775" i="9"/>
  <c r="DL690" i="9"/>
  <c r="DN110" i="9"/>
  <c r="BT360" i="9"/>
  <c r="DC196" i="9"/>
  <c r="CR71" i="9"/>
  <c r="CG140" i="9"/>
  <c r="AB33" i="9"/>
  <c r="BI121" i="9"/>
  <c r="F419" i="9"/>
  <c r="BT252" i="9"/>
  <c r="DN448" i="9"/>
  <c r="DN652" i="9"/>
  <c r="BT333" i="9"/>
  <c r="DL750" i="9"/>
  <c r="CE341" i="9"/>
  <c r="AZ189" i="9"/>
  <c r="DN687" i="9"/>
  <c r="DN580" i="9"/>
  <c r="DL435" i="9"/>
  <c r="S101" i="9"/>
  <c r="BV80" i="9"/>
  <c r="BT443" i="9"/>
  <c r="CR128" i="9"/>
  <c r="CR177" i="9"/>
  <c r="DC70" i="9"/>
  <c r="CR74" i="9"/>
  <c r="CG273" i="9"/>
  <c r="CR164" i="9"/>
  <c r="DN598" i="9"/>
  <c r="DC120" i="9"/>
  <c r="CE352" i="9"/>
  <c r="DL594" i="9"/>
  <c r="CP71" i="9"/>
  <c r="DN886" i="9"/>
  <c r="DL298" i="9"/>
  <c r="DL134" i="9"/>
  <c r="DA273" i="9"/>
  <c r="AZ91" i="9"/>
  <c r="DL605" i="9"/>
  <c r="DL214" i="9"/>
  <c r="CE177" i="9"/>
  <c r="DL337" i="9"/>
  <c r="DL644" i="9"/>
  <c r="DN265" i="9"/>
  <c r="DL260" i="9"/>
  <c r="DN201" i="9"/>
  <c r="DA170" i="9"/>
  <c r="DL861" i="9"/>
  <c r="DN170" i="9"/>
  <c r="DN137" i="9"/>
  <c r="DC158" i="9"/>
  <c r="DL502" i="9"/>
  <c r="DL696" i="9"/>
  <c r="DN306" i="9"/>
  <c r="DL882" i="9"/>
  <c r="CE231" i="9"/>
  <c r="BT450" i="9"/>
  <c r="BT475" i="9"/>
  <c r="DC113" i="9"/>
  <c r="DC146" i="9"/>
  <c r="DN133" i="9"/>
  <c r="BT326" i="9"/>
  <c r="DA307" i="9"/>
  <c r="DC189" i="9"/>
  <c r="DL507" i="9"/>
  <c r="DN455" i="9"/>
  <c r="CP97" i="9"/>
  <c r="AM45" i="9"/>
  <c r="DN107" i="9"/>
  <c r="DN369" i="9"/>
  <c r="DN281" i="9"/>
  <c r="CR89" i="9"/>
  <c r="DN561" i="9"/>
  <c r="DL303" i="9"/>
  <c r="DN700" i="9"/>
  <c r="BV402" i="9"/>
  <c r="BT74" i="9"/>
  <c r="BV338" i="9"/>
  <c r="BV408" i="9"/>
  <c r="DN518" i="9"/>
  <c r="DC43" i="9"/>
  <c r="CP169" i="9"/>
  <c r="CR36" i="9"/>
  <c r="DN569" i="9"/>
  <c r="DN327" i="9"/>
  <c r="DN832" i="9"/>
  <c r="DN661" i="9"/>
  <c r="DA266" i="9"/>
  <c r="CE92" i="9"/>
  <c r="CP111" i="9"/>
  <c r="DA337" i="9"/>
  <c r="AO395" i="9"/>
  <c r="CP76" i="9"/>
  <c r="CG239" i="9"/>
  <c r="DA64" i="9"/>
  <c r="CE44" i="9"/>
  <c r="BT446" i="9"/>
  <c r="DL470" i="9"/>
  <c r="DN877" i="9"/>
  <c r="BV112" i="9"/>
  <c r="CP55" i="9"/>
  <c r="BI81" i="9"/>
  <c r="BT90" i="9"/>
  <c r="DN793" i="9"/>
  <c r="DL58" i="9"/>
  <c r="CG101" i="9"/>
  <c r="DN544" i="9"/>
  <c r="DN435" i="9"/>
  <c r="BT409" i="9"/>
  <c r="DL566" i="9"/>
  <c r="AD32" i="9"/>
  <c r="S98" i="9"/>
  <c r="BT345" i="9"/>
  <c r="CE50" i="9"/>
  <c r="DC80" i="9"/>
  <c r="CE374" i="9"/>
  <c r="DL106" i="9"/>
  <c r="CR50" i="9"/>
  <c r="AM48" i="9"/>
  <c r="BI89" i="9"/>
  <c r="AM389" i="9"/>
  <c r="DA275" i="9"/>
  <c r="DL249" i="9"/>
  <c r="DN735" i="9"/>
  <c r="DA65" i="9"/>
  <c r="DL871" i="9"/>
  <c r="DL56" i="9"/>
  <c r="CR48" i="9"/>
  <c r="BK161" i="9"/>
  <c r="DL538" i="9"/>
  <c r="DA111" i="9"/>
  <c r="CE155" i="9"/>
  <c r="BV117" i="9"/>
  <c r="CP32" i="9"/>
  <c r="DN48" i="9"/>
  <c r="DA43" i="9"/>
  <c r="DA119" i="9"/>
  <c r="DN56" i="9"/>
  <c r="DL312" i="9"/>
  <c r="CP174" i="9"/>
  <c r="DL625" i="9"/>
  <c r="DC98" i="9"/>
  <c r="DC231" i="9"/>
  <c r="CG108" i="9"/>
  <c r="BV354" i="9"/>
  <c r="DL94" i="9"/>
  <c r="DL331" i="9"/>
  <c r="DL673" i="9"/>
  <c r="DN564" i="9"/>
  <c r="DL152" i="9"/>
  <c r="DN560" i="9"/>
  <c r="DN903" i="9"/>
  <c r="DL309" i="9"/>
  <c r="DL348" i="9"/>
  <c r="DN419" i="9"/>
  <c r="CE269" i="9"/>
  <c r="BT463" i="9"/>
  <c r="DC106" i="9"/>
  <c r="DA242" i="9"/>
  <c r="CG269" i="9"/>
  <c r="DL233" i="9"/>
  <c r="DN651" i="9"/>
  <c r="DC307" i="9"/>
  <c r="DA159" i="9"/>
  <c r="DC75" i="9"/>
  <c r="DL364" i="9"/>
  <c r="DN525" i="9"/>
  <c r="BV436" i="9"/>
  <c r="DC139" i="9"/>
  <c r="CG202" i="9"/>
  <c r="DC326" i="9"/>
  <c r="DL670" i="9"/>
  <c r="CP73" i="9"/>
  <c r="CP91" i="9"/>
  <c r="DN251" i="9"/>
  <c r="BT317" i="9"/>
  <c r="BT262" i="9"/>
  <c r="DN200" i="9"/>
  <c r="DA57" i="9"/>
  <c r="DN504" i="9"/>
  <c r="CG150" i="9"/>
  <c r="DL842" i="9"/>
  <c r="CG121" i="9"/>
  <c r="DN782" i="9"/>
  <c r="DL714" i="9"/>
  <c r="DN494" i="9"/>
  <c r="DC260" i="9"/>
  <c r="CE388" i="9"/>
  <c r="DA306" i="9"/>
  <c r="BT277" i="9"/>
  <c r="DL867" i="9"/>
  <c r="DN710" i="9"/>
  <c r="CP197" i="9"/>
  <c r="DA287" i="9"/>
  <c r="DC127" i="9"/>
  <c r="DN247" i="9"/>
  <c r="DL749" i="9"/>
  <c r="DC53" i="9"/>
  <c r="DL560" i="9"/>
  <c r="DA253" i="9"/>
  <c r="DA23" i="9"/>
  <c r="DN434" i="9"/>
  <c r="CG246" i="9"/>
  <c r="DL795" i="9"/>
  <c r="CR208" i="9"/>
  <c r="DL85" i="9"/>
  <c r="DL806" i="9"/>
  <c r="DN159" i="9"/>
  <c r="BV52" i="9"/>
  <c r="BT241" i="9"/>
  <c r="BI162" i="9"/>
  <c r="DA352" i="9"/>
  <c r="BT474" i="9"/>
  <c r="BV48" i="9"/>
  <c r="BT161" i="9"/>
  <c r="CG367" i="9"/>
  <c r="DN609" i="9"/>
  <c r="DN126" i="9"/>
  <c r="DC327" i="9"/>
  <c r="AO102" i="9"/>
  <c r="DN117" i="9"/>
  <c r="DA130" i="9"/>
  <c r="DN70" i="9"/>
  <c r="AD35" i="9"/>
  <c r="Q91" i="9"/>
  <c r="CR49" i="9"/>
  <c r="CE410" i="9"/>
  <c r="DN202" i="9"/>
  <c r="DL600" i="9"/>
  <c r="CR130" i="9"/>
  <c r="BK210" i="9"/>
  <c r="AO79" i="9"/>
  <c r="AX126" i="9"/>
  <c r="Q138" i="9"/>
  <c r="CE176" i="9"/>
  <c r="DN856" i="9"/>
  <c r="CG284" i="9"/>
  <c r="DA357" i="9"/>
  <c r="CG160" i="9"/>
  <c r="AO402" i="9"/>
  <c r="BV204" i="9"/>
  <c r="DN722" i="9"/>
  <c r="AX122" i="9"/>
  <c r="CE270" i="9"/>
  <c r="DN331" i="9"/>
  <c r="AB46" i="9"/>
  <c r="BT447" i="9"/>
  <c r="DN153" i="9"/>
  <c r="DL903" i="9"/>
  <c r="AX105" i="9"/>
  <c r="DL845" i="9"/>
  <c r="DN440" i="9"/>
  <c r="AZ148" i="9"/>
  <c r="Q70" i="9"/>
  <c r="CG384" i="9"/>
  <c r="DA157" i="9"/>
  <c r="DN171" i="9"/>
  <c r="CE399" i="9"/>
  <c r="CP144" i="9"/>
  <c r="DL575" i="9"/>
  <c r="DN827" i="9"/>
  <c r="CP72" i="9"/>
  <c r="AO242" i="9"/>
  <c r="CG272" i="9"/>
  <c r="BV262" i="9"/>
  <c r="CE210" i="9"/>
  <c r="BT323" i="9"/>
  <c r="BV450" i="9"/>
  <c r="DL82" i="9"/>
  <c r="AD26" i="9"/>
  <c r="DL419" i="9"/>
  <c r="DN570" i="9"/>
  <c r="DL828" i="9"/>
  <c r="CG430" i="9"/>
  <c r="DN404" i="9"/>
  <c r="CG240" i="9"/>
  <c r="DN583" i="9"/>
  <c r="DN80" i="9"/>
  <c r="CE392" i="9"/>
  <c r="CG54" i="9"/>
  <c r="DL571" i="9"/>
  <c r="DC38" i="9"/>
  <c r="DA344" i="9"/>
  <c r="DN874" i="9"/>
  <c r="DL347" i="9"/>
  <c r="DC235" i="9"/>
  <c r="DN199" i="9"/>
  <c r="BV124" i="9"/>
  <c r="DN346" i="9"/>
  <c r="DC165" i="9"/>
  <c r="DA326" i="9"/>
  <c r="DL645" i="9"/>
  <c r="DL609" i="9"/>
  <c r="DL122" i="9"/>
  <c r="DL277" i="9"/>
  <c r="CR98" i="9"/>
  <c r="DL87" i="9"/>
  <c r="DN761" i="9"/>
  <c r="DL629" i="9"/>
  <c r="CE330" i="9"/>
  <c r="DA133" i="9"/>
  <c r="CG92" i="9"/>
  <c r="CG304" i="9"/>
  <c r="DN187" i="9"/>
  <c r="DL597" i="9"/>
  <c r="DC221" i="9"/>
  <c r="DN841" i="9"/>
  <c r="CR44" i="9"/>
  <c r="DL313" i="9"/>
  <c r="BK51" i="9"/>
  <c r="DL342" i="9"/>
  <c r="DN559" i="9"/>
  <c r="DL770" i="9"/>
  <c r="DN834" i="9"/>
  <c r="BT35" i="9"/>
  <c r="DL754" i="9"/>
  <c r="DN61" i="9"/>
  <c r="CG324" i="9"/>
  <c r="BV410" i="9"/>
  <c r="CE292" i="9"/>
  <c r="CP101" i="9"/>
  <c r="DN578" i="9"/>
  <c r="DL411" i="9"/>
  <c r="CE407" i="9"/>
  <c r="AZ32" i="9"/>
  <c r="DN362" i="9"/>
  <c r="DL45" i="9"/>
  <c r="DN863" i="9"/>
  <c r="DL192" i="9"/>
  <c r="DL677" i="9"/>
  <c r="AM101" i="9"/>
  <c r="CP105" i="9"/>
  <c r="DC85" i="9"/>
  <c r="CE78" i="9"/>
  <c r="BT204" i="9"/>
  <c r="DN245" i="9"/>
  <c r="CR24" i="9"/>
  <c r="DL531" i="9"/>
  <c r="CE85" i="9"/>
  <c r="DC151" i="9"/>
  <c r="CE114" i="9"/>
  <c r="DN198" i="9"/>
  <c r="CP69" i="9"/>
  <c r="CP119" i="9"/>
  <c r="DC264" i="9"/>
  <c r="DN836" i="9"/>
  <c r="BT270" i="9"/>
  <c r="DL296" i="9"/>
  <c r="DL455" i="9"/>
  <c r="CG214" i="9"/>
  <c r="DA163" i="9"/>
  <c r="DC305" i="9"/>
  <c r="DN205" i="9"/>
  <c r="AZ159" i="9"/>
  <c r="DL703" i="9"/>
  <c r="DN615" i="9"/>
  <c r="DN842" i="9"/>
  <c r="DL172" i="9"/>
  <c r="DL407" i="9"/>
  <c r="DN459" i="9"/>
  <c r="CP152" i="9"/>
  <c r="DL636" i="9"/>
  <c r="BV56" i="9"/>
  <c r="BT334" i="9"/>
  <c r="DC290" i="9"/>
  <c r="CE384" i="9"/>
  <c r="DL665" i="9"/>
  <c r="BV372" i="9"/>
  <c r="CG144" i="9"/>
  <c r="DN299" i="9"/>
  <c r="CG52" i="9"/>
  <c r="DA183" i="9"/>
  <c r="DN801" i="9"/>
  <c r="DL272" i="9"/>
  <c r="CG155" i="9"/>
  <c r="DL727" i="9"/>
  <c r="DL392" i="9"/>
  <c r="DN227" i="9"/>
  <c r="AO150" i="9"/>
  <c r="CP122" i="9"/>
  <c r="DL791" i="9"/>
  <c r="DA32" i="9"/>
  <c r="DN612" i="9"/>
  <c r="BI202" i="9"/>
  <c r="BV72" i="9"/>
  <c r="DC42" i="9"/>
  <c r="DL674" i="9"/>
  <c r="DL574" i="9"/>
  <c r="CE320" i="9"/>
  <c r="DN538" i="9"/>
  <c r="DL208" i="9"/>
  <c r="DL898" i="9"/>
  <c r="CG336" i="9"/>
  <c r="DC82" i="9"/>
  <c r="DL44" i="9"/>
  <c r="DL822" i="9"/>
  <c r="DN862" i="9"/>
  <c r="CP34" i="9"/>
  <c r="DN429" i="9"/>
  <c r="DN529" i="9"/>
  <c r="AM355" i="9"/>
  <c r="BV491" i="9"/>
  <c r="DL664" i="9"/>
  <c r="DC251" i="9"/>
  <c r="DN625" i="9"/>
  <c r="DL102" i="9"/>
  <c r="DA69" i="9"/>
  <c r="DN180" i="9"/>
  <c r="DL381" i="9"/>
  <c r="DN427" i="9"/>
  <c r="CG179" i="9"/>
  <c r="DL652" i="9"/>
  <c r="F142" i="9"/>
  <c r="DN249" i="9"/>
  <c r="AM349" i="9"/>
  <c r="CE207" i="9"/>
  <c r="DA68" i="9"/>
  <c r="BK109" i="9"/>
  <c r="DN204" i="9"/>
  <c r="CP49" i="9"/>
  <c r="DL226" i="9"/>
  <c r="DN621" i="9"/>
  <c r="CP94" i="9"/>
  <c r="F443" i="9"/>
  <c r="BT290" i="9"/>
  <c r="DL125" i="9"/>
  <c r="CG378" i="9"/>
  <c r="BV233" i="9"/>
  <c r="CG157" i="9"/>
  <c r="BV38" i="9"/>
  <c r="DA328" i="9"/>
  <c r="DC334" i="9"/>
  <c r="DN330" i="9"/>
  <c r="DC346" i="9"/>
  <c r="DL863" i="9"/>
  <c r="AO375" i="9"/>
  <c r="DA161" i="9"/>
  <c r="DL433" i="9"/>
  <c r="DL643" i="9"/>
  <c r="DN26" i="9"/>
  <c r="AZ28" i="9"/>
  <c r="DN733" i="9"/>
  <c r="AO112" i="9"/>
  <c r="DN86" i="9"/>
  <c r="BT365" i="9"/>
  <c r="DN809" i="9"/>
  <c r="DL786" i="9"/>
  <c r="BT102" i="9"/>
  <c r="BV309" i="9"/>
  <c r="CE251" i="9"/>
  <c r="DL33" i="9"/>
  <c r="DL225" i="9"/>
  <c r="DL205" i="9"/>
  <c r="DA78" i="9"/>
  <c r="DA28" i="9"/>
  <c r="BT403" i="9"/>
  <c r="AM177" i="9"/>
  <c r="CE73" i="9"/>
  <c r="DL490" i="9"/>
  <c r="AZ180" i="9"/>
  <c r="DL137" i="9"/>
  <c r="DC182" i="9"/>
  <c r="AM316" i="9"/>
  <c r="AO65" i="9"/>
  <c r="BV62" i="9"/>
  <c r="H649" i="9"/>
  <c r="CP220" i="9"/>
  <c r="BV166" i="9"/>
  <c r="BV303" i="9"/>
  <c r="CP141" i="9"/>
  <c r="CE68" i="9"/>
  <c r="CE291" i="9"/>
  <c r="CG416" i="9"/>
  <c r="DC27" i="9"/>
  <c r="CP199" i="9"/>
  <c r="DN209" i="9"/>
  <c r="DL130" i="9"/>
  <c r="DL243" i="9"/>
  <c r="DN452" i="9"/>
  <c r="CG370" i="9"/>
  <c r="DC217" i="9"/>
  <c r="AX28" i="9"/>
  <c r="CE311" i="9"/>
  <c r="CG418" i="9"/>
  <c r="DA232" i="9"/>
  <c r="CG103" i="9"/>
  <c r="DN703" i="9"/>
  <c r="DN551" i="9"/>
  <c r="DN745" i="9"/>
  <c r="DN359" i="9"/>
  <c r="DL180" i="9"/>
  <c r="DC253" i="9"/>
  <c r="DL672" i="9"/>
  <c r="BV308" i="9"/>
  <c r="DN747" i="9"/>
  <c r="BT430" i="9"/>
  <c r="DL792" i="9"/>
  <c r="DN749" i="9"/>
  <c r="DN543" i="9"/>
  <c r="DL323" i="9"/>
  <c r="DA90" i="9"/>
  <c r="DN408" i="9"/>
  <c r="DL344" i="9"/>
  <c r="DC222" i="9"/>
  <c r="DA355" i="9"/>
  <c r="CP184" i="9"/>
  <c r="DN685" i="9"/>
  <c r="DL402" i="9"/>
  <c r="DC154" i="9"/>
  <c r="BI95" i="9"/>
  <c r="DC23" i="9"/>
  <c r="DL686" i="9"/>
  <c r="CR39" i="9"/>
  <c r="AM395" i="9"/>
  <c r="CR198" i="9"/>
  <c r="DL595" i="9"/>
  <c r="DL124" i="9"/>
  <c r="DL682" i="9"/>
  <c r="BT244" i="9"/>
  <c r="DA186" i="9"/>
  <c r="CR105" i="9"/>
  <c r="DN360" i="9"/>
  <c r="BT139" i="9"/>
  <c r="DL816" i="9"/>
  <c r="DL797" i="9"/>
  <c r="BT197" i="9"/>
  <c r="DL275" i="9"/>
  <c r="CG253" i="9"/>
  <c r="DL405" i="9"/>
  <c r="DN536" i="9"/>
  <c r="CR129" i="9"/>
  <c r="BV438" i="9"/>
  <c r="AM253" i="9"/>
  <c r="CG382" i="9"/>
  <c r="AZ118" i="9"/>
  <c r="DA102" i="9"/>
  <c r="CR196" i="9"/>
  <c r="AX104" i="9"/>
  <c r="CG32" i="9"/>
  <c r="CG31" i="9"/>
  <c r="CG158" i="9"/>
  <c r="DN680" i="9"/>
  <c r="H459" i="9"/>
  <c r="CP51" i="9"/>
  <c r="DA216" i="9"/>
  <c r="BV155" i="9"/>
  <c r="H336" i="9"/>
  <c r="AM235" i="9"/>
  <c r="H558" i="9"/>
  <c r="BT492" i="9"/>
  <c r="DL833" i="9"/>
  <c r="BI130" i="9"/>
  <c r="DC73" i="9"/>
  <c r="S71" i="9"/>
  <c r="DN289" i="9"/>
  <c r="DL150" i="9"/>
  <c r="AO390" i="9"/>
  <c r="AZ49" i="9"/>
  <c r="BT255" i="9"/>
  <c r="CG226" i="9"/>
  <c r="DA286" i="9"/>
  <c r="DL90" i="9"/>
  <c r="BI100" i="9"/>
  <c r="DL783" i="9"/>
  <c r="DN777" i="9"/>
  <c r="DL279" i="9"/>
  <c r="AO351" i="9"/>
  <c r="BT110" i="9"/>
  <c r="DA291" i="9"/>
  <c r="BT336" i="9"/>
  <c r="CE241" i="9"/>
  <c r="DL678" i="9"/>
  <c r="CR107" i="9"/>
  <c r="DL215" i="9"/>
  <c r="DL353" i="9"/>
  <c r="DC225" i="9"/>
  <c r="BT358" i="9"/>
  <c r="CE65" i="9"/>
  <c r="DN127" i="9"/>
  <c r="H138" i="9"/>
  <c r="AZ161" i="9"/>
  <c r="DN106" i="9"/>
  <c r="DN503" i="9"/>
  <c r="CE215" i="9"/>
  <c r="CE255" i="9"/>
  <c r="CE336" i="9"/>
  <c r="BV100" i="9"/>
  <c r="AZ174" i="9"/>
  <c r="BI173" i="9"/>
  <c r="DL196" i="9"/>
  <c r="DN54" i="9"/>
  <c r="DL113" i="9"/>
  <c r="BV330" i="9"/>
  <c r="BT414" i="9"/>
  <c r="DC37" i="9"/>
  <c r="BV181" i="9"/>
  <c r="CE79" i="9"/>
  <c r="BT442" i="9"/>
  <c r="DN764" i="9"/>
  <c r="DN791" i="9"/>
  <c r="DN557" i="9"/>
  <c r="DA211" i="9"/>
  <c r="DL660" i="9"/>
  <c r="CG55" i="9"/>
  <c r="CR96" i="9"/>
  <c r="DN165" i="9"/>
  <c r="DL26" i="9"/>
  <c r="DC176" i="9"/>
  <c r="DL707" i="9"/>
  <c r="DL253" i="9"/>
  <c r="CR79" i="9"/>
  <c r="DN797" i="9"/>
  <c r="BT472" i="9"/>
  <c r="CG122" i="9"/>
  <c r="CG44" i="9"/>
  <c r="DN266" i="9"/>
  <c r="DL142" i="9"/>
  <c r="DL700" i="9"/>
  <c r="DL893" i="9"/>
  <c r="DL49" i="9"/>
  <c r="CE113" i="9"/>
  <c r="CE234" i="9"/>
  <c r="CP201" i="9"/>
  <c r="CP67" i="9"/>
  <c r="DN532" i="9"/>
  <c r="DN136" i="9"/>
  <c r="DL663" i="9"/>
  <c r="CP75" i="9"/>
  <c r="DN339" i="9"/>
  <c r="CG270" i="9"/>
  <c r="CG46" i="9"/>
  <c r="DL586" i="9"/>
  <c r="DN175" i="9"/>
  <c r="DN370" i="9"/>
  <c r="DA36" i="9"/>
  <c r="DC355" i="9"/>
  <c r="AX177" i="9"/>
  <c r="DN718" i="9"/>
  <c r="CG315" i="9"/>
  <c r="DL593" i="9"/>
  <c r="DL206" i="9"/>
  <c r="DL529" i="9"/>
  <c r="BI120" i="9"/>
  <c r="DN98" i="9"/>
  <c r="AX175" i="9"/>
  <c r="CG114" i="9"/>
  <c r="CP202" i="9"/>
  <c r="AB70" i="9"/>
  <c r="AO189" i="9"/>
  <c r="DN546" i="9"/>
  <c r="BT260" i="9"/>
  <c r="DC312" i="9"/>
  <c r="AM183" i="9"/>
  <c r="DL744" i="9"/>
  <c r="CG374" i="9"/>
  <c r="DL108" i="9"/>
  <c r="DL50" i="9"/>
  <c r="CE48" i="9"/>
  <c r="DN168" i="9"/>
  <c r="BK29" i="9"/>
  <c r="DA153" i="9"/>
  <c r="DA295" i="9"/>
  <c r="BI224" i="9"/>
  <c r="DN808" i="9"/>
  <c r="DL144" i="9"/>
  <c r="CE117" i="9"/>
  <c r="DL384" i="9"/>
  <c r="DL489" i="9"/>
  <c r="DN23" i="9"/>
  <c r="BT499" i="9"/>
  <c r="DN421" i="9"/>
  <c r="AM284" i="9"/>
  <c r="DL602" i="9"/>
  <c r="DA38" i="9"/>
  <c r="DL525" i="9"/>
  <c r="DN30" i="9"/>
  <c r="CP85" i="9"/>
  <c r="CP172" i="9"/>
  <c r="DL676" i="9"/>
  <c r="BT223" i="9"/>
  <c r="BT327" i="9"/>
  <c r="CR37" i="9"/>
  <c r="CE297" i="9"/>
  <c r="CG276" i="9"/>
  <c r="DN884" i="9"/>
  <c r="DA94" i="9"/>
  <c r="BV28" i="9"/>
  <c r="DN540" i="9"/>
  <c r="BK61" i="9"/>
  <c r="DL429" i="9"/>
  <c r="DN65" i="9"/>
  <c r="DN807" i="9"/>
  <c r="CP154" i="9"/>
  <c r="DL738" i="9"/>
  <c r="DN537" i="9"/>
  <c r="CP89" i="9"/>
  <c r="CE196" i="9"/>
  <c r="DL685" i="9"/>
  <c r="AM260" i="9"/>
  <c r="BI70" i="9"/>
  <c r="CG37" i="9"/>
  <c r="BV326" i="9"/>
  <c r="H541" i="9"/>
  <c r="CG354" i="9"/>
  <c r="CP77" i="9"/>
  <c r="AO153" i="9"/>
  <c r="DA225" i="9"/>
  <c r="AO86" i="9"/>
  <c r="BV431" i="9"/>
  <c r="BV398" i="9"/>
  <c r="BK186" i="9"/>
  <c r="CG298" i="9"/>
  <c r="BT466" i="9"/>
  <c r="BT410" i="9"/>
  <c r="CE26" i="9"/>
  <c r="CE400" i="9"/>
  <c r="AO381" i="9"/>
  <c r="DN316" i="9"/>
  <c r="DL162" i="9"/>
  <c r="CG360" i="9"/>
  <c r="BT208" i="9"/>
  <c r="DN758" i="9"/>
  <c r="BT199" i="9"/>
  <c r="BV294" i="9"/>
  <c r="AM342" i="9"/>
  <c r="DL207" i="9"/>
  <c r="DN800" i="9"/>
  <c r="DC121" i="9"/>
  <c r="CP62" i="9"/>
  <c r="DL343" i="9"/>
  <c r="DL427" i="9"/>
  <c r="DN620" i="9"/>
  <c r="DL860" i="9"/>
  <c r="DA281" i="9"/>
  <c r="DL437" i="9"/>
  <c r="CR153" i="9"/>
  <c r="CR90" i="9"/>
  <c r="DN752" i="9"/>
  <c r="DL894" i="9"/>
  <c r="BV174" i="9"/>
  <c r="DL513" i="9"/>
  <c r="BT325" i="9"/>
  <c r="DC135" i="9"/>
  <c r="DC112" i="9"/>
  <c r="CE139" i="9"/>
  <c r="Q96" i="9"/>
  <c r="DC152" i="9"/>
  <c r="DL491" i="9"/>
  <c r="CG126" i="9"/>
  <c r="BV134" i="9"/>
  <c r="CP98" i="9"/>
  <c r="DN326" i="9"/>
  <c r="DA218" i="9"/>
  <c r="CR41" i="9"/>
  <c r="DN286" i="9"/>
  <c r="DL541" i="9"/>
  <c r="CG89" i="9"/>
  <c r="DN385" i="9"/>
  <c r="CE126" i="9"/>
  <c r="F81" i="9"/>
  <c r="DL719" i="9"/>
  <c r="DN354" i="9"/>
  <c r="DL388" i="9"/>
  <c r="DL585" i="9"/>
  <c r="CG195" i="9"/>
  <c r="CP58" i="9"/>
  <c r="BV369" i="9"/>
  <c r="CP217" i="9"/>
  <c r="Q73" i="9"/>
  <c r="CG74" i="9"/>
  <c r="DN225" i="9"/>
  <c r="BT175" i="9"/>
  <c r="DL73" i="9"/>
  <c r="CG385" i="9"/>
  <c r="DL837" i="9"/>
  <c r="AM132" i="9"/>
  <c r="DN406" i="9"/>
  <c r="BT488" i="9"/>
  <c r="DN847" i="9"/>
  <c r="DL194" i="9"/>
  <c r="DC184" i="9"/>
  <c r="AO281" i="9"/>
  <c r="DN581" i="9"/>
  <c r="CE221" i="9"/>
  <c r="DN555" i="9"/>
  <c r="DL552" i="9"/>
  <c r="DL330" i="9"/>
  <c r="DL504" i="9"/>
  <c r="CG191" i="9"/>
  <c r="DA236" i="9"/>
  <c r="DA150" i="9"/>
  <c r="DN614" i="9"/>
  <c r="Q78" i="9"/>
  <c r="F371" i="9"/>
  <c r="CR163" i="9"/>
  <c r="AZ185" i="9"/>
  <c r="CG371" i="9"/>
  <c r="DL578" i="9"/>
  <c r="DC300" i="9"/>
  <c r="DL326" i="9"/>
  <c r="DL706" i="9"/>
  <c r="S183" i="9"/>
  <c r="CE299" i="9"/>
  <c r="BV432" i="9"/>
  <c r="DN545" i="9"/>
  <c r="DN709" i="9"/>
  <c r="CP78" i="9"/>
  <c r="DN239" i="9"/>
  <c r="DN183" i="9"/>
  <c r="DN193" i="9"/>
  <c r="DA233" i="9"/>
  <c r="DN325" i="9"/>
  <c r="DL497" i="9"/>
  <c r="DN778" i="9"/>
  <c r="DN230" i="9"/>
  <c r="CE342" i="9"/>
  <c r="CE340" i="9"/>
  <c r="DL526" i="9"/>
  <c r="DA272" i="9"/>
  <c r="BT51" i="9"/>
  <c r="DL588" i="9"/>
  <c r="CP116" i="9"/>
  <c r="DN697" i="9"/>
  <c r="BI156" i="9"/>
  <c r="DN840" i="9"/>
  <c r="DC109" i="9"/>
  <c r="DA228" i="9"/>
  <c r="AM28" i="9"/>
  <c r="AD76" i="9"/>
  <c r="Q75" i="9"/>
  <c r="BV182" i="9"/>
  <c r="BT386" i="9"/>
  <c r="BV342" i="9"/>
  <c r="DN617" i="9"/>
  <c r="DN675" i="9"/>
  <c r="DL878" i="9"/>
  <c r="BI214" i="9"/>
  <c r="CG343" i="9"/>
  <c r="AD68" i="9"/>
  <c r="DN349" i="9"/>
  <c r="DC276" i="9"/>
  <c r="CG211" i="9"/>
  <c r="CG185" i="9"/>
  <c r="DL86" i="9"/>
  <c r="DN44" i="9"/>
  <c r="CG289" i="9"/>
  <c r="DL555" i="9"/>
  <c r="DN467" i="9"/>
  <c r="BV282" i="9"/>
  <c r="BI160" i="9"/>
  <c r="DL47" i="9"/>
  <c r="DN27" i="9"/>
  <c r="DN575" i="9"/>
  <c r="CP50" i="9"/>
  <c r="DN439" i="9"/>
  <c r="DN674" i="9"/>
  <c r="DN313" i="9"/>
  <c r="DA176" i="9"/>
  <c r="DL185" i="9"/>
  <c r="DC333" i="9"/>
  <c r="DC249" i="9"/>
  <c r="DN79" i="9"/>
  <c r="CR139" i="9"/>
  <c r="CG307" i="9"/>
  <c r="DA220" i="9"/>
  <c r="DN671" i="9"/>
  <c r="BT436" i="9"/>
  <c r="DN90" i="9"/>
  <c r="DA67" i="9"/>
  <c r="CG192" i="9"/>
  <c r="DL261" i="9"/>
  <c r="CP191" i="9"/>
  <c r="DN681" i="9"/>
  <c r="AM160" i="9"/>
  <c r="DN603" i="9"/>
  <c r="DN382" i="9"/>
  <c r="CE403" i="9"/>
  <c r="CR55" i="9"/>
  <c r="DN706" i="9"/>
  <c r="BI166" i="9"/>
  <c r="DN35" i="9"/>
  <c r="BV125" i="9"/>
  <c r="BK167" i="9"/>
  <c r="DN665" i="9"/>
  <c r="BV223" i="9"/>
  <c r="DC35" i="9"/>
  <c r="CP200" i="9"/>
  <c r="AM67" i="9"/>
  <c r="DL766" i="9"/>
  <c r="DN223" i="9"/>
  <c r="DN602" i="9"/>
  <c r="DN414" i="9"/>
  <c r="BT140" i="9"/>
  <c r="DA202" i="9"/>
  <c r="DN694" i="9"/>
  <c r="DL692" i="9"/>
  <c r="DL28" i="9"/>
  <c r="S106" i="9"/>
  <c r="CR143" i="9"/>
  <c r="DC28" i="9"/>
  <c r="AO39" i="9"/>
  <c r="DA25" i="9"/>
  <c r="CE273" i="9"/>
  <c r="CE244" i="9"/>
  <c r="CG345" i="9"/>
  <c r="DC24" i="9"/>
  <c r="AZ125" i="9"/>
  <c r="DN148" i="9"/>
  <c r="CR192" i="9"/>
  <c r="DN522" i="9"/>
  <c r="DL753" i="9"/>
  <c r="CG387" i="9"/>
  <c r="CE209" i="9"/>
  <c r="CG410" i="9"/>
  <c r="DL866" i="9"/>
  <c r="DN812" i="9"/>
  <c r="AM303" i="9"/>
  <c r="F422" i="9"/>
  <c r="CP128" i="9"/>
  <c r="DN769" i="9"/>
  <c r="DL316" i="9"/>
  <c r="AM122" i="9"/>
  <c r="CE425" i="9"/>
  <c r="DL522" i="9"/>
  <c r="DL320" i="9"/>
  <c r="CP165" i="9"/>
  <c r="BI116" i="9"/>
  <c r="DN806" i="9"/>
  <c r="CG34" i="9"/>
  <c r="DN910" i="9"/>
  <c r="CE362" i="9"/>
  <c r="DA80" i="9"/>
  <c r="DA66" i="9"/>
  <c r="BT445" i="9"/>
  <c r="DN466" i="9"/>
  <c r="DA214" i="9"/>
  <c r="DA234" i="9"/>
  <c r="DA354" i="9"/>
  <c r="DL118" i="9"/>
  <c r="BT193" i="9"/>
  <c r="BV453" i="9"/>
  <c r="H368" i="9"/>
  <c r="CG369" i="9"/>
  <c r="DA160" i="9"/>
  <c r="DL430" i="9"/>
  <c r="DA317" i="9"/>
  <c r="BV386" i="9"/>
  <c r="DL834" i="9"/>
  <c r="CE141" i="9"/>
  <c r="CE347" i="9"/>
  <c r="DA188" i="9"/>
  <c r="DC308" i="9"/>
  <c r="DN274" i="9"/>
  <c r="CG143" i="9"/>
  <c r="DC69" i="9"/>
  <c r="BV107" i="9"/>
  <c r="DL864" i="9"/>
  <c r="DA131" i="9"/>
  <c r="CE224" i="9"/>
  <c r="CP157" i="9"/>
  <c r="CG38" i="9"/>
  <c r="CR180" i="9"/>
  <c r="DN144" i="9"/>
  <c r="DL847" i="9"/>
  <c r="DA237" i="9"/>
  <c r="BV177" i="9"/>
  <c r="DC71" i="9"/>
  <c r="DN365" i="9"/>
  <c r="BV334" i="9"/>
  <c r="DN713" i="9"/>
  <c r="DN372" i="9"/>
  <c r="CG25" i="9"/>
  <c r="CE431" i="9"/>
  <c r="DN214" i="9"/>
  <c r="DN695" i="9"/>
  <c r="CR188" i="9"/>
  <c r="DN586" i="9"/>
  <c r="DA310" i="9"/>
  <c r="DC197" i="9"/>
  <c r="DL55" i="9"/>
  <c r="CG420" i="9"/>
  <c r="DN309" i="9"/>
  <c r="DL376" i="9"/>
  <c r="DN334" i="9"/>
  <c r="DN771" i="9"/>
  <c r="DC288" i="9"/>
  <c r="DN50" i="9"/>
  <c r="DL880" i="9"/>
  <c r="DN287" i="9"/>
  <c r="BI37" i="9"/>
  <c r="BT271" i="9"/>
  <c r="CP167" i="9"/>
  <c r="CR127" i="9"/>
  <c r="DC343" i="9"/>
  <c r="BV55" i="9"/>
  <c r="DA22" i="9"/>
  <c r="DC99" i="9"/>
  <c r="DA55" i="9"/>
  <c r="DL251" i="9"/>
  <c r="DA300" i="9"/>
  <c r="DA97" i="9"/>
  <c r="CG24" i="9"/>
  <c r="BV85" i="9"/>
  <c r="DN291" i="9"/>
  <c r="DL292" i="9"/>
  <c r="CG316" i="9"/>
  <c r="CP134" i="9"/>
  <c r="DC246" i="9"/>
  <c r="BK82" i="9"/>
  <c r="CG67" i="9"/>
  <c r="BT209" i="9"/>
  <c r="BT84" i="9"/>
  <c r="DL291" i="9"/>
  <c r="DN357" i="9"/>
  <c r="AD24" i="9"/>
  <c r="BT210" i="9"/>
  <c r="BT452" i="9"/>
  <c r="DC164" i="9"/>
  <c r="CG348" i="9"/>
  <c r="DN472" i="9"/>
  <c r="CG323" i="9"/>
  <c r="DC296" i="9"/>
  <c r="DL897" i="9"/>
  <c r="DL681" i="9"/>
  <c r="CE263" i="9"/>
  <c r="BI24" i="9"/>
  <c r="AZ101" i="9"/>
  <c r="F172" i="9"/>
  <c r="DL518" i="9"/>
  <c r="DN696" i="9"/>
  <c r="CE25" i="9"/>
  <c r="CP107" i="9"/>
  <c r="BT266" i="9"/>
  <c r="F483" i="9"/>
  <c r="CG35" i="9"/>
  <c r="CP181" i="9"/>
  <c r="BK122" i="9"/>
  <c r="F607" i="9"/>
  <c r="BK209" i="9"/>
  <c r="DL377" i="9"/>
  <c r="AZ173" i="9"/>
  <c r="DN139" i="9"/>
  <c r="CP84" i="9"/>
  <c r="CR56" i="9"/>
  <c r="DN453" i="9"/>
  <c r="BV161" i="9"/>
  <c r="DL817" i="9"/>
  <c r="DL654" i="9"/>
  <c r="BV192" i="9"/>
  <c r="DL465" i="9"/>
  <c r="AM321" i="9"/>
  <c r="DA162" i="9"/>
  <c r="DL872" i="9"/>
  <c r="BK155" i="9"/>
  <c r="DL447" i="9"/>
  <c r="AM91" i="9"/>
  <c r="BV51" i="9"/>
  <c r="CE393" i="9"/>
  <c r="DN343" i="9"/>
  <c r="BT311" i="9"/>
  <c r="AD67" i="9"/>
  <c r="DA331" i="9"/>
  <c r="DL96" i="9"/>
  <c r="BT109" i="9"/>
  <c r="DL228" i="9"/>
  <c r="DN442" i="9"/>
  <c r="CE354" i="9"/>
  <c r="S72" i="9"/>
  <c r="BT406" i="9"/>
  <c r="BK80" i="9"/>
  <c r="DN278" i="9"/>
  <c r="DN380" i="9"/>
  <c r="BT127" i="9"/>
  <c r="AO347" i="9"/>
  <c r="BT93" i="9"/>
  <c r="CG415" i="9"/>
  <c r="CG254" i="9"/>
  <c r="BV249" i="9"/>
  <c r="CP43" i="9"/>
  <c r="DN553" i="9"/>
  <c r="F118" i="9"/>
  <c r="DA258" i="9"/>
  <c r="DA296" i="9"/>
  <c r="H78" i="9"/>
  <c r="BV258" i="9"/>
  <c r="S153" i="9"/>
  <c r="CG375" i="9"/>
  <c r="CG100" i="9"/>
  <c r="DL702" i="9"/>
  <c r="DC297" i="9"/>
  <c r="DL446" i="9"/>
  <c r="DN134" i="9"/>
  <c r="DL808" i="9"/>
  <c r="DN255" i="9"/>
  <c r="DL431" i="9"/>
  <c r="DL617" i="9"/>
  <c r="DN67" i="9"/>
  <c r="BV46" i="9"/>
  <c r="DL615" i="9"/>
  <c r="DL659" i="9"/>
  <c r="DN766" i="9"/>
  <c r="AM279" i="9"/>
  <c r="DA259" i="9"/>
  <c r="BT163" i="9"/>
  <c r="DN850" i="9"/>
  <c r="BT486" i="9"/>
  <c r="CP139" i="9"/>
  <c r="DL895" i="9"/>
  <c r="DC183" i="9"/>
  <c r="DN773" i="9"/>
  <c r="DA136" i="9"/>
  <c r="DC350" i="9"/>
  <c r="CE191" i="9"/>
  <c r="DN324" i="9"/>
  <c r="DL463" i="9"/>
  <c r="DL195" i="9"/>
  <c r="DN113" i="9"/>
  <c r="DL414" i="9"/>
  <c r="DL257" i="9"/>
  <c r="DL848" i="9"/>
  <c r="BV126" i="9"/>
  <c r="DL451" i="9"/>
  <c r="DC29" i="9"/>
  <c r="DN558" i="9"/>
  <c r="DN464" i="9"/>
  <c r="CE420" i="9"/>
  <c r="DL755" i="9"/>
  <c r="DL832" i="9"/>
  <c r="DN373" i="9"/>
  <c r="BT59" i="9"/>
  <c r="DN387" i="9"/>
  <c r="AX46" i="9"/>
  <c r="DL657" i="9"/>
  <c r="DA33" i="9"/>
  <c r="DN290" i="9"/>
  <c r="DL68" i="9"/>
  <c r="CE242" i="9"/>
  <c r="DN55" i="9"/>
  <c r="CE91" i="9"/>
  <c r="DA332" i="9"/>
  <c r="DA322" i="9"/>
  <c r="BV322" i="9"/>
  <c r="DC177" i="9"/>
  <c r="S176" i="9"/>
  <c r="BK195" i="9"/>
  <c r="BV232" i="9"/>
  <c r="DN363" i="9"/>
  <c r="DN618" i="9"/>
  <c r="DC137" i="9"/>
  <c r="BI84" i="9"/>
  <c r="DL71" i="9"/>
  <c r="DL418" i="9"/>
  <c r="DN666" i="9"/>
  <c r="DN142" i="9"/>
  <c r="BV288" i="9"/>
  <c r="AM363" i="9"/>
  <c r="DL813" i="9"/>
  <c r="DL350" i="9"/>
  <c r="BT36" i="9"/>
  <c r="DC47" i="9"/>
  <c r="DN611" i="9"/>
  <c r="CE30" i="9"/>
  <c r="DN584" i="9"/>
  <c r="DN415" i="9"/>
  <c r="DC34" i="9"/>
  <c r="DL397" i="9"/>
  <c r="DN389" i="9"/>
  <c r="DC101" i="9"/>
  <c r="CG394" i="9"/>
  <c r="BV242" i="9"/>
  <c r="DN469" i="9"/>
  <c r="DN81" i="9"/>
  <c r="CE172" i="9"/>
  <c r="DL202" i="9"/>
  <c r="CR189" i="9"/>
  <c r="DL210" i="9"/>
  <c r="CP133" i="9"/>
  <c r="DN599" i="9"/>
  <c r="DN554" i="9"/>
  <c r="DL519" i="9"/>
  <c r="DN592" i="9"/>
  <c r="BT53" i="9"/>
  <c r="DL771" i="9"/>
  <c r="DL853" i="9"/>
  <c r="BT98" i="9"/>
  <c r="DC245" i="9"/>
  <c r="DC65" i="9"/>
  <c r="DN732" i="9"/>
  <c r="DN145" i="9"/>
  <c r="DN190" i="9"/>
  <c r="BV227" i="9"/>
  <c r="BV495" i="9"/>
  <c r="BK192" i="9"/>
  <c r="DN489" i="9"/>
  <c r="DL746" i="9"/>
  <c r="DL110" i="9"/>
  <c r="DC105" i="9"/>
  <c r="DN99" i="9"/>
  <c r="H519" i="9"/>
  <c r="DL606" i="9"/>
  <c r="DC309" i="9"/>
  <c r="CE46" i="9"/>
  <c r="DL648" i="9"/>
  <c r="CE284" i="9"/>
  <c r="BV316" i="9"/>
  <c r="DN396" i="9"/>
  <c r="DN891" i="9"/>
  <c r="Q125" i="9"/>
  <c r="AZ134" i="9"/>
  <c r="CG325" i="9"/>
  <c r="DN366" i="9"/>
  <c r="DN633" i="9"/>
  <c r="DL748" i="9"/>
  <c r="BI218" i="9"/>
  <c r="DC157" i="9"/>
  <c r="DL258" i="9"/>
  <c r="Q171" i="9"/>
  <c r="DA139" i="9"/>
  <c r="BT177" i="9"/>
  <c r="BV434" i="9"/>
  <c r="CE163" i="9"/>
  <c r="AX171" i="9"/>
  <c r="CG59" i="9"/>
  <c r="DL459" i="9"/>
  <c r="DA39" i="9"/>
  <c r="BT212" i="9"/>
  <c r="CP41" i="9"/>
  <c r="DL781" i="9"/>
  <c r="CE288" i="9"/>
  <c r="CE51" i="9"/>
  <c r="CE385" i="9"/>
  <c r="BI74" i="9"/>
  <c r="BI91" i="9"/>
  <c r="AM281" i="9"/>
  <c r="DA269" i="9"/>
  <c r="DN292" i="9"/>
  <c r="DN468" i="9"/>
  <c r="BT357" i="9"/>
  <c r="BV206" i="9"/>
  <c r="BT459" i="9"/>
  <c r="F329" i="9"/>
  <c r="AB35" i="9"/>
  <c r="F406" i="9"/>
  <c r="AX93" i="9"/>
  <c r="CE202" i="9"/>
  <c r="CR138" i="9"/>
  <c r="CE118" i="9"/>
  <c r="DC284" i="9"/>
  <c r="DN88" i="9"/>
  <c r="CP127" i="9"/>
  <c r="CE295" i="9"/>
  <c r="DL779" i="9"/>
  <c r="H324" i="9"/>
  <c r="BV399" i="9"/>
  <c r="DC22" i="9"/>
  <c r="DA196" i="9"/>
  <c r="BV377" i="9"/>
  <c r="DN186" i="9"/>
  <c r="AO419" i="9"/>
  <c r="AD84" i="9"/>
  <c r="AZ86" i="9"/>
  <c r="S159" i="9"/>
  <c r="BI60" i="9"/>
  <c r="F330" i="9"/>
  <c r="AZ56" i="9"/>
  <c r="S96" i="9"/>
  <c r="CR30" i="9"/>
  <c r="CG102" i="9"/>
  <c r="CE184" i="9"/>
  <c r="H639" i="9"/>
  <c r="AZ170" i="9"/>
  <c r="DL432" i="9"/>
  <c r="CP115" i="9"/>
  <c r="CR87" i="9"/>
  <c r="DN823" i="9"/>
  <c r="DL27" i="9"/>
  <c r="DN491" i="9"/>
  <c r="AX154" i="9"/>
  <c r="DA325" i="9"/>
  <c r="DL211" i="9"/>
  <c r="DL444" i="9"/>
  <c r="DL322" i="9"/>
  <c r="DL390" i="9"/>
  <c r="DA149" i="9"/>
  <c r="AZ121" i="9"/>
  <c r="DN547" i="9"/>
  <c r="DN342" i="9"/>
  <c r="AX136" i="9"/>
  <c r="DN843" i="9"/>
  <c r="DN740" i="9"/>
  <c r="CE326" i="9"/>
  <c r="DL372" i="9"/>
  <c r="CE93" i="9"/>
  <c r="CG361" i="9"/>
  <c r="DA268" i="9"/>
  <c r="DA235" i="9"/>
  <c r="AO146" i="9"/>
  <c r="CE376" i="9"/>
  <c r="Q215" i="9"/>
  <c r="DL289" i="9"/>
  <c r="DN392" i="9"/>
  <c r="CG419" i="9"/>
  <c r="AM246" i="9"/>
  <c r="DN837" i="9"/>
  <c r="DL333" i="9"/>
  <c r="CE150" i="9"/>
  <c r="H121" i="9"/>
  <c r="DN312" i="9"/>
  <c r="DN94" i="9"/>
  <c r="BV488" i="9"/>
  <c r="BT263" i="9"/>
  <c r="AO335" i="9"/>
  <c r="BK151" i="9"/>
  <c r="BT387" i="9"/>
  <c r="DL649" i="9"/>
  <c r="DN683" i="9"/>
  <c r="DL532" i="9"/>
  <c r="DC198" i="9"/>
  <c r="Q204" i="9"/>
  <c r="AO404" i="9"/>
  <c r="CE147" i="9"/>
  <c r="CE305" i="9"/>
  <c r="DN783" i="9"/>
  <c r="DC171" i="9"/>
  <c r="BV194" i="9"/>
  <c r="CE275" i="9"/>
  <c r="DC301" i="9"/>
  <c r="CG136" i="9"/>
  <c r="DN315" i="9"/>
  <c r="Q169" i="9"/>
  <c r="DN634" i="9"/>
  <c r="DN405" i="9"/>
  <c r="DC306" i="9"/>
  <c r="DC315" i="9"/>
  <c r="DC292" i="9"/>
  <c r="F267" i="9"/>
  <c r="BI124" i="9"/>
  <c r="BI110" i="9"/>
  <c r="CG249" i="9"/>
  <c r="DC141" i="9"/>
  <c r="DL628" i="9"/>
  <c r="DA231" i="9"/>
  <c r="DN739" i="9"/>
  <c r="BI23" i="9"/>
  <c r="BV287" i="9"/>
  <c r="BI123" i="9"/>
  <c r="AM280" i="9"/>
  <c r="DL310" i="9"/>
  <c r="CE302" i="9"/>
  <c r="AM322" i="9"/>
  <c r="DN311" i="9"/>
  <c r="AM25" i="9"/>
  <c r="S208" i="9"/>
  <c r="H106" i="9"/>
  <c r="BT393" i="9"/>
  <c r="H111" i="9"/>
  <c r="AM24" i="9"/>
  <c r="AZ182" i="9"/>
  <c r="S218" i="9"/>
  <c r="CR47" i="9"/>
  <c r="CE214" i="9"/>
  <c r="DN219" i="9"/>
  <c r="DN83" i="9"/>
  <c r="DN751" i="9"/>
  <c r="DN158" i="9"/>
  <c r="CE36" i="9"/>
  <c r="BV358" i="9"/>
  <c r="AM208" i="9"/>
  <c r="AB44" i="9"/>
  <c r="DL31" i="9"/>
  <c r="BI97" i="9"/>
  <c r="BV424" i="9"/>
  <c r="AM213" i="9"/>
  <c r="BK100" i="9"/>
  <c r="BV147" i="9"/>
  <c r="Q209" i="9"/>
  <c r="BK156" i="9"/>
  <c r="AM289" i="9"/>
  <c r="AO293" i="9"/>
  <c r="CP63" i="9"/>
  <c r="DL478" i="9"/>
  <c r="F504" i="9"/>
  <c r="AB79" i="9"/>
  <c r="DC273" i="9"/>
  <c r="AB41" i="9"/>
  <c r="BI49" i="9"/>
  <c r="BI76" i="9"/>
  <c r="DC303" i="9"/>
  <c r="AO229" i="9"/>
  <c r="AD77" i="9"/>
  <c r="BT180" i="9"/>
  <c r="DL534" i="9"/>
  <c r="DL239" i="9"/>
  <c r="DN34" i="9"/>
  <c r="DA339" i="9"/>
  <c r="CG208" i="9"/>
  <c r="DC331" i="9"/>
  <c r="CP208" i="9"/>
  <c r="AX151" i="9"/>
  <c r="DA238" i="9"/>
  <c r="DL339" i="9"/>
  <c r="CP104" i="9"/>
  <c r="DL583" i="9"/>
  <c r="DC36" i="9"/>
  <c r="DN355" i="9"/>
  <c r="DL365" i="9"/>
  <c r="DL166" i="9"/>
  <c r="AX88" i="9"/>
  <c r="Q128" i="9"/>
  <c r="DN865" i="9"/>
  <c r="DN530" i="9"/>
  <c r="DN430" i="9"/>
  <c r="DC86" i="9"/>
  <c r="AB86" i="9"/>
  <c r="DN52" i="9"/>
  <c r="DC169" i="9"/>
  <c r="CE140" i="9"/>
  <c r="DL621" i="9"/>
  <c r="DL77" i="9"/>
  <c r="DN401" i="9"/>
  <c r="DC95" i="9"/>
  <c r="DN822" i="9"/>
  <c r="BV270" i="9"/>
  <c r="AO366" i="9"/>
  <c r="BK180" i="9"/>
  <c r="CP131" i="9"/>
  <c r="BK219" i="9"/>
  <c r="BT388" i="9"/>
  <c r="DA229" i="9"/>
  <c r="BT341" i="9"/>
  <c r="BI46" i="9"/>
  <c r="Q92" i="9"/>
  <c r="BT352" i="9"/>
  <c r="BT179" i="9"/>
  <c r="DN409" i="9"/>
  <c r="DL109" i="9"/>
  <c r="AD62" i="9"/>
  <c r="DC93" i="9"/>
  <c r="CE32" i="9"/>
  <c r="CE279" i="9"/>
  <c r="F151" i="9"/>
  <c r="DC136" i="9"/>
  <c r="DN162" i="9"/>
  <c r="DL694" i="9"/>
  <c r="CE417" i="9"/>
  <c r="BT434" i="9"/>
  <c r="DN810" i="9"/>
  <c r="DA174" i="9"/>
  <c r="DL264" i="9"/>
  <c r="CG109" i="9"/>
  <c r="DN715" i="9"/>
  <c r="BT135" i="9"/>
  <c r="CG62" i="9"/>
  <c r="DA301" i="9"/>
  <c r="AM131" i="9"/>
  <c r="BV347" i="9"/>
  <c r="AB61" i="9"/>
  <c r="CR218" i="9"/>
  <c r="CE130" i="9"/>
  <c r="DL297" i="9"/>
  <c r="CG200" i="9"/>
  <c r="AO178" i="9"/>
  <c r="DL904" i="9"/>
  <c r="CR155" i="9"/>
  <c r="CG77" i="9"/>
  <c r="DC219" i="9"/>
  <c r="BT471" i="9"/>
  <c r="CP23" i="9"/>
  <c r="AO125" i="9"/>
  <c r="AX64" i="9"/>
  <c r="BV151" i="9"/>
  <c r="BT133" i="9"/>
  <c r="BV240" i="9"/>
  <c r="CE256" i="9"/>
  <c r="BT238" i="9"/>
  <c r="CP106" i="9"/>
  <c r="F228" i="9"/>
  <c r="DC238" i="9"/>
  <c r="BK54" i="9"/>
  <c r="AZ138" i="9"/>
  <c r="DN708" i="9"/>
  <c r="BT489" i="9"/>
  <c r="DL203" i="9"/>
  <c r="BT173" i="9"/>
  <c r="S43" i="9"/>
  <c r="CE322" i="9"/>
  <c r="AM267" i="9"/>
  <c r="BV272" i="9"/>
  <c r="CG241" i="9"/>
  <c r="F516" i="9"/>
  <c r="AB71" i="9"/>
  <c r="CG53" i="9"/>
  <c r="AO177" i="9"/>
  <c r="H572" i="9"/>
  <c r="BT503" i="9"/>
  <c r="DN43" i="9"/>
  <c r="DC257" i="9"/>
  <c r="AO197" i="9"/>
  <c r="Q114" i="9"/>
  <c r="DA197" i="9"/>
  <c r="AM135" i="9"/>
  <c r="DN505" i="9"/>
  <c r="DL626" i="9"/>
  <c r="DN835" i="9"/>
  <c r="DL543" i="9"/>
  <c r="DN859" i="9"/>
  <c r="BI192" i="9"/>
  <c r="DN772" i="9"/>
  <c r="DL569" i="9"/>
  <c r="DC168" i="9"/>
  <c r="BV158" i="9"/>
  <c r="CG236" i="9"/>
  <c r="DN594" i="9"/>
  <c r="DL683" i="9"/>
  <c r="DL546" i="9"/>
  <c r="DN632" i="9"/>
  <c r="CE319" i="9"/>
  <c r="DA289" i="9"/>
  <c r="DA299" i="9"/>
  <c r="DL57" i="9"/>
  <c r="CE198" i="9"/>
  <c r="DL159" i="9"/>
  <c r="DC274" i="9"/>
  <c r="DL153" i="9"/>
  <c r="CP39" i="9"/>
  <c r="CE194" i="9"/>
  <c r="BT137" i="9"/>
  <c r="DN461" i="9"/>
  <c r="DC56" i="9"/>
  <c r="DN59" i="9"/>
  <c r="BV25" i="9"/>
  <c r="DN235" i="9"/>
  <c r="BV172" i="9"/>
  <c r="DC233" i="9"/>
  <c r="DL191" i="9"/>
  <c r="CE333" i="9"/>
  <c r="AM221" i="9"/>
  <c r="DC272" i="9"/>
  <c r="DL787" i="9"/>
  <c r="F559" i="9"/>
  <c r="AM266" i="9"/>
  <c r="DL698" i="9"/>
  <c r="DN454" i="9"/>
  <c r="AM388" i="9"/>
  <c r="CE62" i="9"/>
  <c r="DN100" i="9"/>
  <c r="BT384" i="9"/>
  <c r="CP28" i="9"/>
  <c r="DC102" i="9"/>
  <c r="CE129" i="9"/>
  <c r="CE104" i="9"/>
  <c r="DN759" i="9"/>
  <c r="CE174" i="9"/>
  <c r="CE308" i="9"/>
  <c r="DN889" i="9"/>
  <c r="Q104" i="9"/>
  <c r="DA146" i="9"/>
  <c r="DN567" i="9"/>
  <c r="DA52" i="9"/>
  <c r="BT250" i="9"/>
  <c r="AM176" i="9"/>
  <c r="BI48" i="9"/>
  <c r="CE87" i="9"/>
  <c r="DN499" i="9"/>
  <c r="DC242" i="9"/>
  <c r="F666" i="9"/>
  <c r="BK154" i="9"/>
  <c r="AZ54" i="9"/>
  <c r="BV160" i="9"/>
  <c r="BT115" i="9"/>
  <c r="CG205" i="9"/>
  <c r="DC199" i="9"/>
  <c r="DL839" i="9"/>
  <c r="Q180" i="9"/>
  <c r="AM340" i="9"/>
  <c r="BV198" i="9"/>
  <c r="DN463" i="9"/>
  <c r="DN42" i="9"/>
  <c r="AM268" i="9"/>
  <c r="DN181" i="9"/>
  <c r="DA137" i="9"/>
  <c r="BV164" i="9"/>
  <c r="BI66" i="9"/>
  <c r="AX101" i="9"/>
  <c r="DC356" i="9"/>
  <c r="H330" i="9"/>
  <c r="DA327" i="9"/>
  <c r="AX53" i="9"/>
  <c r="CG334" i="9"/>
  <c r="AX38" i="9"/>
  <c r="DN295" i="9"/>
  <c r="F614" i="9"/>
  <c r="AO157" i="9"/>
  <c r="CE427" i="9"/>
  <c r="BI25" i="9"/>
  <c r="BV456" i="9"/>
  <c r="DN273" i="9"/>
  <c r="CE312" i="9"/>
  <c r="BV76" i="9"/>
  <c r="H645" i="9"/>
  <c r="DN719" i="9"/>
  <c r="DL131" i="9"/>
  <c r="CG218" i="9"/>
  <c r="S33" i="9"/>
  <c r="F677" i="9"/>
  <c r="H659" i="9"/>
  <c r="CE223" i="9"/>
  <c r="CE394" i="9"/>
  <c r="AB81" i="9"/>
  <c r="F273" i="9"/>
  <c r="DL554" i="9"/>
  <c r="AX57" i="9"/>
  <c r="H389" i="9"/>
  <c r="BT348" i="9"/>
  <c r="BK172" i="9"/>
  <c r="DN426" i="9"/>
  <c r="DL572" i="9"/>
  <c r="AM179" i="9"/>
  <c r="CE153" i="9"/>
  <c r="DL799" i="9"/>
  <c r="AX69" i="9"/>
  <c r="F645" i="9"/>
  <c r="AO254" i="9"/>
  <c r="H31" i="9"/>
  <c r="CE257" i="9"/>
  <c r="DN643" i="9"/>
  <c r="DC144" i="9"/>
  <c r="DL32" i="9"/>
  <c r="BK56" i="9"/>
  <c r="AO81" i="9"/>
  <c r="DL909" i="9"/>
  <c r="H625" i="9"/>
  <c r="AO67" i="9"/>
  <c r="AM81" i="9"/>
  <c r="DL231" i="9"/>
  <c r="CG322" i="9"/>
  <c r="CP87" i="9"/>
  <c r="BT435" i="9"/>
  <c r="CE123" i="9"/>
  <c r="DL160" i="9"/>
  <c r="DN195" i="9"/>
  <c r="DL346" i="9"/>
  <c r="CP123" i="9"/>
  <c r="CE134" i="9"/>
  <c r="DL580" i="9"/>
  <c r="S219" i="9"/>
  <c r="DA340" i="9"/>
  <c r="DN119" i="9"/>
  <c r="DN393" i="9"/>
  <c r="BT142" i="9"/>
  <c r="CP219" i="9"/>
  <c r="AO349" i="9"/>
  <c r="BT329" i="9"/>
  <c r="BV81" i="9"/>
  <c r="DN57" i="9"/>
  <c r="CE280" i="9"/>
  <c r="CR86" i="9"/>
  <c r="DA316" i="9"/>
  <c r="BT342" i="9"/>
  <c r="DL362" i="9"/>
  <c r="DN534" i="9"/>
  <c r="CR121" i="9"/>
  <c r="DL825" i="9"/>
  <c r="DA184" i="9"/>
  <c r="CG308" i="9"/>
  <c r="BT85" i="9"/>
  <c r="DL103" i="9"/>
  <c r="DN904" i="9"/>
  <c r="DL480" i="9"/>
  <c r="DN642" i="9"/>
  <c r="F497" i="9"/>
  <c r="AO314" i="9"/>
  <c r="DC147" i="9"/>
  <c r="DL520" i="9"/>
  <c r="CR27" i="9"/>
  <c r="BK38" i="9"/>
  <c r="AX150" i="9"/>
  <c r="BK191" i="9"/>
  <c r="DL885" i="9"/>
  <c r="CG403" i="9"/>
  <c r="CP109" i="9"/>
  <c r="DN220" i="9"/>
  <c r="BK40" i="9"/>
  <c r="AZ130" i="9"/>
  <c r="DC172" i="9"/>
  <c r="BT457" i="9"/>
  <c r="AM404" i="9"/>
  <c r="AO170" i="9"/>
  <c r="BV281" i="9"/>
  <c r="AM262" i="9"/>
  <c r="DN805" i="9"/>
  <c r="AO284" i="9"/>
  <c r="DL668" i="9"/>
  <c r="BK168" i="9"/>
  <c r="CE391" i="9"/>
  <c r="DN128" i="9"/>
  <c r="DA195" i="9"/>
  <c r="DN853" i="9"/>
  <c r="BT69" i="9"/>
  <c r="DC40" i="9"/>
  <c r="CR43" i="9"/>
  <c r="DA342" i="9"/>
  <c r="AX112" i="9"/>
  <c r="DL647" i="9"/>
  <c r="BT398" i="9"/>
  <c r="DL499" i="9"/>
  <c r="BT38" i="9"/>
  <c r="CE294" i="9"/>
  <c r="DC304" i="9"/>
  <c r="H234" i="9"/>
  <c r="BV447" i="9"/>
  <c r="BV131" i="9"/>
  <c r="DN232" i="9"/>
  <c r="BV439" i="9"/>
  <c r="F52" i="9"/>
  <c r="DL495" i="9"/>
  <c r="DL396" i="9"/>
  <c r="BV146" i="9"/>
  <c r="AX178" i="9"/>
  <c r="BV293" i="9"/>
  <c r="AM110" i="9"/>
  <c r="F31" i="9"/>
  <c r="AD73" i="9"/>
  <c r="DN215" i="9"/>
  <c r="DN905" i="9"/>
  <c r="CE358" i="9"/>
  <c r="AZ176" i="9"/>
  <c r="DL803" i="9"/>
  <c r="Q30" i="9"/>
  <c r="F305" i="9"/>
  <c r="AM229" i="9"/>
  <c r="BT92" i="9"/>
  <c r="BK94" i="9"/>
  <c r="DA349" i="9"/>
  <c r="DN305" i="9"/>
  <c r="AZ90" i="9"/>
  <c r="F57" i="9"/>
  <c r="CG422" i="9"/>
  <c r="H392" i="9"/>
  <c r="S213" i="9"/>
  <c r="BV483" i="9"/>
  <c r="H293" i="9"/>
  <c r="DN353" i="9"/>
  <c r="DN244" i="9"/>
  <c r="CE145" i="9"/>
  <c r="CE24" i="9"/>
  <c r="DA93" i="9"/>
  <c r="DC49" i="9"/>
  <c r="CG175" i="9"/>
  <c r="DN456" i="9"/>
  <c r="BV217" i="9"/>
  <c r="CR104" i="9"/>
  <c r="DL250" i="9"/>
  <c r="DL70" i="9"/>
  <c r="F204" i="9"/>
  <c r="DL46" i="9"/>
  <c r="BT120" i="9"/>
  <c r="AM225" i="9"/>
  <c r="CG392" i="9"/>
  <c r="DN319" i="9"/>
  <c r="DL846" i="9"/>
  <c r="DN897" i="9"/>
  <c r="DN457" i="9"/>
  <c r="DC100" i="9"/>
  <c r="CP29" i="9"/>
  <c r="BV286" i="9"/>
  <c r="DL410" i="9"/>
  <c r="DL462" i="9"/>
  <c r="DA73" i="9"/>
  <c r="CP70" i="9"/>
  <c r="DN348" i="9"/>
  <c r="AX98" i="9"/>
  <c r="DL338" i="9"/>
  <c r="CP166" i="9"/>
  <c r="DN108" i="9"/>
  <c r="BV350" i="9"/>
  <c r="DC357" i="9"/>
  <c r="DN222" i="9"/>
  <c r="DN328" i="9"/>
  <c r="BV271" i="9"/>
  <c r="CP196" i="9"/>
  <c r="BI26" i="9"/>
  <c r="DL60" i="9"/>
  <c r="DN595" i="9"/>
  <c r="DN635" i="9"/>
  <c r="DN96" i="9"/>
  <c r="DN848" i="9"/>
  <c r="DL345" i="9"/>
  <c r="CG351" i="9"/>
  <c r="CE178" i="9"/>
  <c r="CG312" i="9"/>
  <c r="DN659" i="9"/>
  <c r="AO255" i="9"/>
  <c r="DN826" i="9"/>
  <c r="DN53" i="9"/>
  <c r="AO93" i="9"/>
  <c r="DA37" i="9"/>
  <c r="DA260" i="9"/>
  <c r="DN574" i="9"/>
  <c r="CG333" i="9"/>
  <c r="DN792" i="9"/>
  <c r="DC261" i="9"/>
  <c r="DN720" i="9"/>
  <c r="F661" i="9"/>
  <c r="AM214" i="9"/>
  <c r="AO226" i="9"/>
  <c r="CP168" i="9"/>
  <c r="DL256" i="9"/>
  <c r="DA143" i="9"/>
  <c r="DL198" i="9"/>
  <c r="DL745" i="9"/>
  <c r="DA276" i="9"/>
  <c r="DL308" i="9"/>
  <c r="CG222" i="9"/>
  <c r="DL879" i="9"/>
  <c r="DL641" i="9"/>
  <c r="BT362" i="9"/>
  <c r="F165" i="9"/>
  <c r="AM114" i="9"/>
  <c r="AD46" i="9"/>
  <c r="DL831" i="9"/>
  <c r="DN563" i="9"/>
  <c r="BT114" i="9"/>
  <c r="CE327" i="9"/>
  <c r="BV108" i="9"/>
  <c r="DN169" i="9"/>
  <c r="DL473" i="9"/>
  <c r="DN573" i="9"/>
  <c r="BV333" i="9"/>
  <c r="Q63" i="9"/>
  <c r="CR182" i="9"/>
  <c r="CE80" i="9"/>
  <c r="H381" i="9"/>
  <c r="S172" i="9"/>
  <c r="AO263" i="9"/>
  <c r="BI139" i="9"/>
  <c r="AM123" i="9"/>
  <c r="DN240" i="9"/>
  <c r="DN102" i="9"/>
  <c r="DL248" i="9"/>
  <c r="CE81" i="9"/>
  <c r="BI170" i="9"/>
  <c r="BV106" i="9"/>
  <c r="DN317" i="9"/>
  <c r="F277" i="9"/>
  <c r="DL341" i="9"/>
  <c r="CR160" i="9"/>
  <c r="DL101" i="9"/>
  <c r="DA141" i="9"/>
  <c r="CP36" i="9"/>
  <c r="DC58" i="9"/>
  <c r="DN367" i="9"/>
  <c r="CR172" i="9"/>
  <c r="AZ87" i="9"/>
  <c r="Q89" i="9"/>
  <c r="DA255" i="9"/>
  <c r="H462" i="9"/>
  <c r="DN121" i="9"/>
  <c r="DN833" i="9"/>
  <c r="Q124" i="9"/>
  <c r="CE236" i="9"/>
  <c r="CG242" i="9"/>
  <c r="CR84" i="9"/>
  <c r="Q107" i="9"/>
  <c r="AX95" i="9"/>
  <c r="DA60" i="9"/>
  <c r="DN866" i="9"/>
  <c r="DA104" i="9"/>
  <c r="AM53" i="9"/>
  <c r="DC122" i="9"/>
  <c r="BT482" i="9"/>
  <c r="CP35" i="9"/>
  <c r="H547" i="9"/>
  <c r="BV248" i="9"/>
  <c r="AZ147" i="9"/>
  <c r="CP65" i="9"/>
  <c r="DC347" i="9"/>
  <c r="DL262" i="9"/>
  <c r="AM57" i="9"/>
  <c r="DA26" i="9"/>
  <c r="BT150" i="9"/>
  <c r="CE182" i="9"/>
  <c r="BV460" i="9"/>
  <c r="BI205" i="9"/>
  <c r="CE321" i="9"/>
  <c r="AM326" i="9"/>
  <c r="DN242" i="9"/>
  <c r="DA91" i="9"/>
  <c r="DL442" i="9"/>
  <c r="DN596" i="9"/>
  <c r="CR207" i="9"/>
  <c r="CG170" i="9"/>
  <c r="CG145" i="9"/>
  <c r="DL75" i="9"/>
  <c r="DN188" i="9"/>
  <c r="DN449" i="9"/>
  <c r="DN851" i="9"/>
  <c r="DC116" i="9"/>
  <c r="DL158" i="9"/>
  <c r="DL632" i="9"/>
  <c r="AB59" i="9"/>
  <c r="CE151" i="9"/>
  <c r="DL24" i="9"/>
  <c r="DL855" i="9"/>
  <c r="BK76" i="9"/>
  <c r="CE75" i="9"/>
  <c r="AO136" i="9"/>
  <c r="CG98" i="9"/>
  <c r="DL126" i="9"/>
  <c r="DL129" i="9"/>
  <c r="DL89" i="9"/>
  <c r="CR200" i="9"/>
  <c r="DC335" i="9"/>
  <c r="BT303" i="9"/>
  <c r="DL553" i="9"/>
  <c r="DL616" i="9"/>
  <c r="BV494" i="9"/>
  <c r="CE142" i="9"/>
  <c r="DN531" i="9"/>
  <c r="CE41" i="9"/>
  <c r="DN572" i="9"/>
  <c r="DN760" i="9"/>
  <c r="DA147" i="9"/>
  <c r="CR88" i="9"/>
  <c r="DL655" i="9"/>
  <c r="DL851" i="9"/>
  <c r="CG256" i="9"/>
  <c r="DA219" i="9"/>
  <c r="DL890" i="9"/>
  <c r="AM392" i="9"/>
  <c r="DC108" i="9"/>
  <c r="CG162" i="9"/>
  <c r="CE99" i="9"/>
  <c r="AM296" i="9"/>
  <c r="BV469" i="9"/>
  <c r="DA88" i="9"/>
  <c r="DN765" i="9"/>
  <c r="DC216" i="9"/>
  <c r="DA256" i="9"/>
  <c r="CE307" i="9"/>
  <c r="BT154" i="9"/>
  <c r="CR113" i="9"/>
  <c r="CP125" i="9"/>
  <c r="BT54" i="9"/>
  <c r="Q95" i="9"/>
  <c r="BI101" i="9"/>
  <c r="DL875" i="9"/>
  <c r="H471" i="9"/>
  <c r="CR173" i="9"/>
  <c r="CG65" i="9"/>
  <c r="F563" i="9"/>
  <c r="H325" i="9"/>
  <c r="F67" i="9"/>
  <c r="AD30" i="9"/>
  <c r="CP90" i="9"/>
  <c r="AD27" i="9"/>
  <c r="DL315" i="9"/>
  <c r="DN876" i="9"/>
  <c r="AO271" i="9"/>
  <c r="DA222" i="9"/>
  <c r="AM414" i="9"/>
  <c r="BV332" i="9"/>
  <c r="AM209" i="9"/>
  <c r="DN748" i="9"/>
  <c r="H269" i="9"/>
  <c r="DL877" i="9"/>
  <c r="DL789" i="9"/>
  <c r="CE228" i="9"/>
  <c r="BT504" i="9"/>
  <c r="BI212" i="9"/>
  <c r="DC201" i="9"/>
  <c r="AB24" i="9"/>
  <c r="BI64" i="9"/>
  <c r="F69" i="9"/>
  <c r="BT106" i="9"/>
  <c r="DL545" i="9"/>
  <c r="AM294" i="9"/>
  <c r="CP60" i="9"/>
  <c r="H656" i="9"/>
  <c r="DL506" i="9"/>
  <c r="AO147" i="9"/>
  <c r="BV253" i="9"/>
  <c r="F598" i="9"/>
  <c r="H48" i="9"/>
  <c r="H95" i="9"/>
  <c r="BV486" i="9"/>
  <c r="DN705" i="9"/>
  <c r="CG124" i="9"/>
  <c r="DL174" i="9"/>
  <c r="DN510" i="9"/>
  <c r="H181" i="9"/>
  <c r="BT124" i="9"/>
  <c r="CE287" i="9"/>
  <c r="CG293" i="9"/>
  <c r="AZ29" i="9"/>
  <c r="AD60" i="9"/>
  <c r="CE88" i="9"/>
  <c r="DL680" i="9"/>
  <c r="DN627" i="9"/>
  <c r="AM113" i="9"/>
  <c r="DN60" i="9"/>
  <c r="BK91" i="9"/>
  <c r="DN47" i="9"/>
  <c r="AM23" i="9"/>
  <c r="AZ64" i="9"/>
  <c r="H204" i="9"/>
  <c r="CE416" i="9"/>
  <c r="CG80" i="9"/>
  <c r="H30" i="9"/>
  <c r="F679" i="9"/>
  <c r="AZ151" i="9"/>
  <c r="DN185" i="9"/>
  <c r="DN482" i="9"/>
  <c r="CG295" i="9"/>
  <c r="DL416" i="9"/>
  <c r="DC340" i="9"/>
  <c r="DL695" i="9"/>
  <c r="DL151" i="9"/>
  <c r="DL622" i="9"/>
  <c r="AO325" i="9"/>
  <c r="DL283" i="9"/>
  <c r="BV110" i="9"/>
  <c r="BK45" i="9"/>
  <c r="DN475" i="9"/>
  <c r="DL869" i="9"/>
  <c r="AM356" i="9"/>
  <c r="DA334" i="9"/>
  <c r="DN410" i="9"/>
  <c r="S209" i="9"/>
  <c r="DN755" i="9"/>
  <c r="DL299" i="9"/>
  <c r="AO139" i="9"/>
  <c r="CG115" i="9"/>
  <c r="DN741" i="9"/>
  <c r="AD58" i="9"/>
  <c r="BT305" i="9"/>
  <c r="CG198" i="9"/>
  <c r="DN480" i="9"/>
  <c r="H398" i="9"/>
  <c r="Q120" i="9"/>
  <c r="DA82" i="9"/>
  <c r="DN895" i="9"/>
  <c r="DA56" i="9"/>
  <c r="BI58" i="9"/>
  <c r="F404" i="9"/>
  <c r="BV122" i="9"/>
  <c r="DA75" i="9"/>
  <c r="CG425" i="9"/>
  <c r="DA71" i="9"/>
  <c r="DN120" i="9"/>
  <c r="CP187" i="9"/>
  <c r="DL758" i="9"/>
  <c r="BT433" i="9"/>
  <c r="BT155" i="9"/>
  <c r="DL509" i="9"/>
  <c r="CG431" i="9"/>
  <c r="BT213" i="9"/>
  <c r="Q103" i="9"/>
  <c r="BV226" i="9"/>
  <c r="DL235" i="9"/>
  <c r="BT281" i="9"/>
  <c r="CG22" i="9"/>
  <c r="DC124" i="9"/>
  <c r="F646" i="9"/>
  <c r="CE28" i="9"/>
  <c r="DN655" i="9"/>
  <c r="AM401" i="9"/>
  <c r="AO71" i="9"/>
  <c r="AX139" i="9"/>
  <c r="BK126" i="9"/>
  <c r="BT37" i="9"/>
  <c r="DA191" i="9"/>
  <c r="AM383" i="9"/>
  <c r="AX134" i="9"/>
  <c r="DL551" i="9"/>
  <c r="AD61" i="9"/>
  <c r="BK216" i="9"/>
  <c r="F387" i="9"/>
  <c r="CP182" i="9"/>
  <c r="CG365" i="9"/>
  <c r="BK150" i="9"/>
  <c r="AM134" i="9"/>
  <c r="CE43" i="9"/>
  <c r="BK22" i="9"/>
  <c r="AX173" i="9"/>
  <c r="BT254" i="9"/>
  <c r="S202" i="9"/>
  <c r="AD55" i="9"/>
  <c r="F662" i="9"/>
  <c r="CG291" i="9"/>
  <c r="CG186" i="9"/>
  <c r="AM87" i="9"/>
  <c r="CP198" i="9"/>
  <c r="AM323" i="9"/>
  <c r="BT299" i="9"/>
  <c r="H401" i="9"/>
  <c r="AX186" i="9"/>
  <c r="CG294" i="9"/>
  <c r="BT176" i="9"/>
  <c r="DL263" i="9"/>
  <c r="CP145" i="9"/>
  <c r="BT415" i="9"/>
  <c r="CG251" i="9"/>
  <c r="F28" i="9"/>
  <c r="H393" i="9"/>
  <c r="H666" i="9"/>
  <c r="CG288" i="9"/>
  <c r="DC134" i="9"/>
  <c r="BV68" i="9"/>
  <c r="DL146" i="9"/>
  <c r="CE249" i="9"/>
  <c r="CG167" i="9"/>
  <c r="CG116" i="9"/>
  <c r="BV500" i="9"/>
  <c r="AZ186" i="9"/>
  <c r="Q164" i="9"/>
  <c r="CG229" i="9"/>
  <c r="BI71" i="9"/>
  <c r="F660" i="9"/>
  <c r="AD64" i="9"/>
  <c r="CG404" i="9"/>
  <c r="DN587" i="9"/>
  <c r="DA138" i="9"/>
  <c r="DN724" i="9"/>
  <c r="CE298" i="9"/>
  <c r="DL557" i="9"/>
  <c r="DL752" i="9"/>
  <c r="DC45" i="9"/>
  <c r="DL844" i="9"/>
  <c r="DL515" i="9"/>
  <c r="DL336" i="9"/>
  <c r="CR77" i="9"/>
  <c r="DC265" i="9"/>
  <c r="DL34" i="9"/>
  <c r="DN91" i="9"/>
  <c r="DL865" i="9"/>
  <c r="DL778" i="9"/>
  <c r="AM337" i="9"/>
  <c r="DC237" i="9"/>
  <c r="DL199" i="9"/>
  <c r="CR112" i="9"/>
  <c r="DN298" i="9"/>
  <c r="CG424" i="9"/>
  <c r="CE364" i="9"/>
  <c r="BV236" i="9"/>
  <c r="AO260" i="9"/>
  <c r="BV221" i="9"/>
  <c r="CR184" i="9"/>
  <c r="DN831" i="9"/>
  <c r="AM240" i="9"/>
  <c r="BV292" i="9"/>
  <c r="DN829" i="9"/>
  <c r="CG359" i="9"/>
  <c r="AZ190" i="9"/>
  <c r="DC255" i="9"/>
  <c r="DA168" i="9"/>
  <c r="DL399" i="9"/>
  <c r="DL838" i="9"/>
  <c r="Q85" i="9"/>
  <c r="CG29" i="9"/>
  <c r="CP205" i="9"/>
  <c r="AO134" i="9"/>
  <c r="DL763" i="9"/>
  <c r="DN262" i="9"/>
  <c r="DL242" i="9"/>
  <c r="CP80" i="9"/>
  <c r="BV171" i="9"/>
  <c r="CG152" i="9"/>
  <c r="DC193" i="9"/>
  <c r="DC230" i="9"/>
  <c r="DL840" i="9"/>
  <c r="H357" i="9"/>
  <c r="DC46" i="9"/>
  <c r="DA336" i="9"/>
  <c r="BT172" i="9"/>
  <c r="CG70" i="9"/>
  <c r="BV39" i="9"/>
  <c r="CG72" i="9"/>
  <c r="CE39" i="9"/>
  <c r="DL618" i="9"/>
  <c r="AO43" i="9"/>
  <c r="F469" i="9"/>
  <c r="BV435" i="9"/>
  <c r="AO59" i="9"/>
  <c r="CE156" i="9"/>
  <c r="BV362" i="9"/>
  <c r="DC317" i="9"/>
  <c r="H358" i="9"/>
  <c r="H332" i="9"/>
  <c r="AO114" i="9"/>
  <c r="AM264" i="9"/>
  <c r="DC32" i="9"/>
  <c r="AM32" i="9"/>
  <c r="AM399" i="9"/>
  <c r="CG355" i="9"/>
  <c r="BT265" i="9"/>
  <c r="BV104" i="9"/>
  <c r="BK148" i="9"/>
  <c r="S97" i="9"/>
  <c r="H446" i="9"/>
  <c r="CG93" i="9"/>
  <c r="CP114" i="9"/>
  <c r="CG344" i="9"/>
  <c r="AO210" i="9"/>
  <c r="BV364" i="9"/>
  <c r="AM344" i="9"/>
  <c r="H663" i="9"/>
  <c r="H538" i="9"/>
  <c r="CE57" i="9"/>
  <c r="AZ122" i="9"/>
  <c r="DA309" i="9"/>
  <c r="AM37" i="9"/>
  <c r="DC302" i="9"/>
  <c r="BT65" i="9"/>
  <c r="AD97" i="9"/>
  <c r="AO94" i="9"/>
  <c r="H220" i="9"/>
  <c r="DN514" i="9"/>
  <c r="BK211" i="9"/>
  <c r="F126" i="9"/>
  <c r="BV252" i="9"/>
  <c r="CP158" i="9"/>
  <c r="DL718" i="9"/>
  <c r="BV49" i="9"/>
  <c r="AO207" i="9"/>
  <c r="CE34" i="9"/>
  <c r="H589" i="9"/>
  <c r="H397" i="9"/>
  <c r="DN672" i="9"/>
  <c r="F367" i="9"/>
  <c r="F584" i="9"/>
  <c r="BV197" i="9"/>
  <c r="DN663" i="9"/>
  <c r="DA314" i="9"/>
  <c r="CG353" i="9"/>
  <c r="BV35" i="9"/>
  <c r="S174" i="9"/>
  <c r="CE84" i="9"/>
  <c r="DA114" i="9"/>
  <c r="DN591" i="9"/>
  <c r="BK223" i="9"/>
  <c r="DL332" i="9"/>
  <c r="DN873" i="9"/>
  <c r="DC232" i="9"/>
  <c r="DL651" i="9"/>
  <c r="Q108" i="9"/>
  <c r="CG147" i="9"/>
  <c r="BV304" i="9"/>
  <c r="BV245" i="9"/>
  <c r="CG352" i="9"/>
  <c r="CE205" i="9"/>
  <c r="CE106" i="9"/>
  <c r="CG76" i="9"/>
  <c r="DA86" i="9"/>
  <c r="DN604" i="9"/>
  <c r="DN260" i="9"/>
  <c r="AM46" i="9"/>
  <c r="DN896" i="9"/>
  <c r="BK35" i="9"/>
  <c r="DL328" i="9"/>
  <c r="CG399" i="9"/>
  <c r="CE188" i="9"/>
  <c r="CE138" i="9"/>
  <c r="CE225" i="9"/>
  <c r="BV425" i="9"/>
  <c r="DN623" i="9"/>
  <c r="DN320" i="9"/>
  <c r="CG335" i="9"/>
  <c r="BV154" i="9"/>
  <c r="DN486" i="9"/>
  <c r="AM199" i="9"/>
  <c r="BK134" i="9"/>
  <c r="DN194" i="9"/>
  <c r="DL230" i="9"/>
  <c r="AM265" i="9"/>
  <c r="BT41" i="9"/>
  <c r="CG409" i="9"/>
  <c r="AM350" i="9"/>
  <c r="H429" i="9"/>
  <c r="S81" i="9"/>
  <c r="BK79" i="9"/>
  <c r="CE131" i="9"/>
  <c r="DC268" i="9"/>
  <c r="AO63" i="9"/>
  <c r="DN166" i="9"/>
  <c r="CG421" i="9"/>
  <c r="BT456" i="9"/>
  <c r="DN300" i="9"/>
  <c r="BI138" i="9"/>
  <c r="CE422" i="9"/>
  <c r="AO53" i="9"/>
  <c r="CG217" i="9"/>
  <c r="Q37" i="9"/>
  <c r="AM206" i="9"/>
  <c r="DC277" i="9"/>
  <c r="H235" i="9"/>
  <c r="DL236" i="9"/>
  <c r="BT56" i="9"/>
  <c r="S108" i="9"/>
  <c r="CP126" i="9"/>
  <c r="BT453" i="9"/>
  <c r="DL691" i="9"/>
  <c r="DL608" i="9"/>
  <c r="BK176" i="9"/>
  <c r="BV69" i="9"/>
  <c r="DN908" i="9"/>
  <c r="BT169" i="9"/>
  <c r="BI207" i="9"/>
  <c r="DL278" i="9"/>
  <c r="CP54" i="9"/>
  <c r="CR197" i="9"/>
  <c r="F37" i="9"/>
  <c r="CG347" i="9"/>
  <c r="BI201" i="9"/>
  <c r="AX159" i="9"/>
  <c r="DN179" i="9"/>
  <c r="CR103" i="9"/>
  <c r="AO115" i="9"/>
  <c r="S182" i="9"/>
  <c r="AX149" i="9"/>
  <c r="CE95" i="9"/>
  <c r="BT194" i="9"/>
  <c r="DN246" i="9"/>
  <c r="CE77" i="9"/>
  <c r="DN45" i="9"/>
  <c r="F451" i="9"/>
  <c r="BT73" i="9"/>
  <c r="BK140" i="9"/>
  <c r="DL785" i="9"/>
  <c r="CG400" i="9"/>
  <c r="DL733" i="9"/>
  <c r="DL306" i="9"/>
  <c r="DA338" i="9"/>
  <c r="DN776" i="9"/>
  <c r="Q80" i="9"/>
  <c r="CE360" i="9"/>
  <c r="BK164" i="9"/>
  <c r="BV480" i="9"/>
  <c r="CP178" i="9"/>
  <c r="BT411" i="9"/>
  <c r="AZ124" i="9"/>
  <c r="DC181" i="9"/>
  <c r="CG177" i="9"/>
  <c r="AM61" i="9"/>
  <c r="F405" i="9"/>
  <c r="AZ108" i="9"/>
  <c r="AM251" i="9"/>
  <c r="AO212" i="9"/>
  <c r="F501" i="9"/>
  <c r="H378" i="9"/>
  <c r="F167" i="9"/>
  <c r="DL782" i="9"/>
  <c r="DC161" i="9"/>
  <c r="BV237" i="9"/>
  <c r="F238" i="9"/>
  <c r="DN308" i="9"/>
  <c r="S166" i="9"/>
  <c r="DA323" i="9"/>
  <c r="BT31" i="9"/>
  <c r="DL819" i="9"/>
  <c r="AM68" i="9"/>
  <c r="BT500" i="9"/>
  <c r="DL646" i="9"/>
  <c r="CG120" i="9"/>
  <c r="DN68" i="9"/>
  <c r="DL888" i="9"/>
  <c r="DN411" i="9"/>
  <c r="DA53" i="9"/>
  <c r="DL218" i="9"/>
  <c r="DN416" i="9"/>
  <c r="CR26" i="9"/>
  <c r="DL732" i="9"/>
  <c r="DA311" i="9"/>
  <c r="CR85" i="9"/>
  <c r="DL477" i="9"/>
  <c r="AM170" i="9"/>
  <c r="BT319" i="9"/>
  <c r="DC218" i="9"/>
  <c r="BV123" i="9"/>
  <c r="DA335" i="9"/>
  <c r="DL61" i="9"/>
  <c r="CP79" i="9"/>
  <c r="DL39" i="9"/>
  <c r="CR146" i="9"/>
  <c r="DC92" i="9"/>
  <c r="S114" i="9"/>
  <c r="BT44" i="9"/>
  <c r="DN497" i="9"/>
  <c r="DN664" i="9"/>
  <c r="DC130" i="9"/>
  <c r="CG190" i="9"/>
  <c r="CP120" i="9"/>
  <c r="DN395" i="9"/>
  <c r="DN568" i="9"/>
  <c r="DL820" i="9"/>
  <c r="DL234" i="9"/>
  <c r="AO165" i="9"/>
  <c r="DC252" i="9"/>
  <c r="AO173" i="9"/>
  <c r="BV92" i="9"/>
  <c r="DN224" i="9"/>
  <c r="CR145" i="9"/>
  <c r="AM89" i="9"/>
  <c r="F523" i="9"/>
  <c r="H417" i="9"/>
  <c r="Q47" i="9"/>
  <c r="DL521" i="9"/>
  <c r="BI216" i="9"/>
  <c r="CG56" i="9"/>
  <c r="AM408" i="9"/>
  <c r="DN364" i="9"/>
  <c r="DL238" i="9"/>
  <c r="CE230" i="9"/>
  <c r="BT364" i="9"/>
  <c r="BT247" i="9"/>
  <c r="CE380" i="9"/>
  <c r="CG320" i="9"/>
  <c r="DL582" i="9"/>
  <c r="DN716" i="9"/>
  <c r="DL456" i="9"/>
  <c r="BV448" i="9"/>
  <c r="DL271" i="9"/>
  <c r="CE29" i="9"/>
  <c r="CG250" i="9"/>
  <c r="BT182" i="9"/>
  <c r="CR126" i="9"/>
  <c r="AZ74" i="9"/>
  <c r="DN638" i="9"/>
  <c r="CG61" i="9"/>
  <c r="AX79" i="9"/>
  <c r="CE157" i="9"/>
  <c r="AM76" i="9"/>
  <c r="CR141" i="9"/>
  <c r="BV148" i="9"/>
  <c r="CR70" i="9"/>
  <c r="AM106" i="9"/>
  <c r="AM151" i="9"/>
  <c r="S49" i="9"/>
  <c r="CG402" i="9"/>
  <c r="BT258" i="9"/>
  <c r="BI194" i="9"/>
  <c r="DC166" i="9"/>
  <c r="CG141" i="9"/>
  <c r="F639" i="9"/>
  <c r="F140" i="9"/>
  <c r="Q168" i="9"/>
  <c r="F546" i="9"/>
  <c r="DC203" i="9"/>
  <c r="AM319" i="9"/>
  <c r="F627" i="9"/>
  <c r="DN613" i="9"/>
  <c r="BT50" i="9"/>
  <c r="CR176" i="9"/>
  <c r="AO399" i="9"/>
  <c r="AO302" i="9"/>
  <c r="DL35" i="9"/>
  <c r="DN465" i="9"/>
  <c r="BT242" i="9"/>
  <c r="H202" i="9"/>
  <c r="AD39" i="9"/>
  <c r="AD66" i="9"/>
  <c r="AO306" i="9"/>
  <c r="H467" i="9"/>
  <c r="DN548" i="9"/>
  <c r="AM419" i="9"/>
  <c r="H642" i="9"/>
  <c r="CG238" i="9"/>
  <c r="Q94" i="9"/>
  <c r="CR72" i="9"/>
  <c r="DL550" i="9"/>
  <c r="CE58" i="9"/>
  <c r="CE64" i="9"/>
  <c r="DN860" i="9"/>
  <c r="CE274" i="9"/>
  <c r="DA241" i="9"/>
  <c r="DL222" i="9"/>
  <c r="BT128" i="9"/>
  <c r="CP218" i="9"/>
  <c r="AM103" i="9"/>
  <c r="DL731" i="9"/>
  <c r="CG257" i="9"/>
  <c r="BV279" i="9"/>
  <c r="BK133" i="9"/>
  <c r="DL104" i="9"/>
  <c r="CE201" i="9"/>
  <c r="BV86" i="9"/>
  <c r="F77" i="9"/>
  <c r="DL624" i="9"/>
  <c r="DL715" i="9"/>
  <c r="BI163" i="9"/>
  <c r="CE313" i="9"/>
  <c r="CG279" i="9"/>
  <c r="AD90" i="9"/>
  <c r="DC31" i="9"/>
  <c r="S47" i="9"/>
  <c r="DL620" i="9"/>
  <c r="CE379" i="9"/>
  <c r="DA283" i="9"/>
  <c r="F606" i="9"/>
  <c r="DN541" i="9"/>
  <c r="AM295" i="9"/>
  <c r="BK85" i="9"/>
  <c r="BI182" i="9"/>
  <c r="DA329" i="9"/>
  <c r="DA121" i="9"/>
  <c r="Q217" i="9"/>
  <c r="BI63" i="9"/>
  <c r="DL117" i="9"/>
  <c r="AO256" i="9"/>
  <c r="CG364" i="9"/>
  <c r="BV496" i="9"/>
  <c r="BV280" i="9"/>
  <c r="AX180" i="9"/>
  <c r="BI184" i="9"/>
  <c r="F242" i="9"/>
  <c r="F659" i="9"/>
  <c r="AZ60" i="9"/>
  <c r="DN513" i="9"/>
  <c r="DL852" i="9"/>
  <c r="DN654" i="9"/>
  <c r="H75" i="9"/>
  <c r="AM109" i="9"/>
  <c r="DL810" i="9"/>
  <c r="DA34" i="9"/>
  <c r="BK31" i="9"/>
  <c r="BV78" i="9"/>
  <c r="F647" i="9"/>
  <c r="BK23" i="9"/>
  <c r="DL479" i="9"/>
  <c r="AM72" i="9"/>
  <c r="AO66" i="9"/>
  <c r="DL83" i="9"/>
  <c r="AD43" i="9"/>
  <c r="H621" i="9"/>
  <c r="AD63" i="9"/>
  <c r="Q27" i="9"/>
  <c r="Q214" i="9"/>
  <c r="CP53" i="9"/>
  <c r="BT225" i="9"/>
  <c r="Q116" i="9"/>
  <c r="DN790" i="9"/>
  <c r="AX58" i="9"/>
  <c r="CG227" i="9"/>
  <c r="F508" i="9"/>
  <c r="AM144" i="9"/>
  <c r="AZ169" i="9"/>
  <c r="BV490" i="9"/>
  <c r="CE401" i="9"/>
  <c r="BT202" i="9"/>
  <c r="CR118" i="9"/>
  <c r="BT145" i="9"/>
  <c r="S36" i="9"/>
  <c r="BT64" i="9"/>
  <c r="S27" i="9"/>
  <c r="AO54" i="9"/>
  <c r="DN818" i="9"/>
  <c r="F293" i="9"/>
  <c r="DN533" i="9"/>
  <c r="AO411" i="9"/>
  <c r="DC342" i="9"/>
  <c r="AZ171" i="9"/>
  <c r="CG85" i="9"/>
  <c r="F145" i="9"/>
  <c r="BT87" i="9"/>
  <c r="H117" i="9"/>
  <c r="BV234" i="9"/>
  <c r="AZ75" i="9"/>
  <c r="AO237" i="9"/>
  <c r="DL186" i="9"/>
  <c r="Q183" i="9"/>
  <c r="DL389" i="9"/>
  <c r="CG274" i="9"/>
  <c r="H376" i="9"/>
  <c r="BT229" i="9"/>
  <c r="BK199" i="9"/>
  <c r="CE413" i="9"/>
  <c r="AZ178" i="9"/>
  <c r="DN32" i="9"/>
  <c r="AD23" i="9"/>
  <c r="CR202" i="9"/>
  <c r="CE239" i="9"/>
  <c r="S65" i="9"/>
  <c r="CP108" i="9"/>
  <c r="BT322" i="9"/>
  <c r="DL556" i="9"/>
  <c r="Q134" i="9"/>
  <c r="AM71" i="9"/>
  <c r="H465" i="9"/>
  <c r="DL67" i="9"/>
  <c r="CE266" i="9"/>
  <c r="BT22" i="9"/>
  <c r="AD93" i="9"/>
  <c r="BV339" i="9"/>
  <c r="DN660" i="9"/>
  <c r="BV384" i="9"/>
  <c r="CG184" i="9"/>
  <c r="DN191" i="9"/>
  <c r="DL380" i="9"/>
  <c r="DN781" i="9"/>
  <c r="AO109" i="9"/>
  <c r="DL41" i="9"/>
  <c r="BV437" i="9"/>
  <c r="CE323" i="9"/>
  <c r="DN58" i="9"/>
  <c r="CE377" i="9"/>
  <c r="DL304" i="9"/>
  <c r="Q97" i="9"/>
  <c r="DN356" i="9"/>
  <c r="DN477" i="9"/>
  <c r="CG164" i="9"/>
  <c r="CE328" i="9"/>
  <c r="H129" i="9"/>
  <c r="AO192" i="9"/>
  <c r="AM129" i="9"/>
  <c r="CE162" i="9"/>
  <c r="BT413" i="9"/>
  <c r="CG282" i="9"/>
  <c r="CE396" i="9"/>
  <c r="H223" i="9"/>
  <c r="DC345" i="9"/>
  <c r="AZ128" i="9"/>
  <c r="DC44" i="9"/>
  <c r="DN336" i="9"/>
  <c r="CP82" i="9"/>
  <c r="CR99" i="9"/>
  <c r="AX83" i="9"/>
  <c r="DA76" i="9"/>
  <c r="DL818" i="9"/>
  <c r="BV478" i="9"/>
  <c r="BV336" i="9"/>
  <c r="Q44" i="9"/>
  <c r="BV93" i="9"/>
  <c r="CR187" i="9"/>
  <c r="AO276" i="9"/>
  <c r="CR29" i="9"/>
  <c r="AM216" i="9"/>
  <c r="Q159" i="9"/>
  <c r="CE144" i="9"/>
  <c r="BV468" i="9"/>
  <c r="DN744" i="9"/>
  <c r="AD49" i="9"/>
  <c r="BI169" i="9"/>
  <c r="H436" i="9"/>
  <c r="AO80" i="9"/>
  <c r="BT502" i="9"/>
  <c r="H594" i="9"/>
  <c r="BT214" i="9"/>
  <c r="DA154" i="9"/>
  <c r="F119" i="9"/>
  <c r="H127" i="9"/>
  <c r="DA109" i="9"/>
  <c r="DL183" i="9"/>
  <c r="AO23" i="9"/>
  <c r="AD75" i="9"/>
  <c r="F74" i="9"/>
  <c r="BV337" i="9"/>
  <c r="CE195" i="9"/>
  <c r="BV401" i="9"/>
  <c r="DL576" i="9"/>
  <c r="H484" i="9"/>
  <c r="DC250" i="9"/>
  <c r="Q198" i="9"/>
  <c r="H365" i="9"/>
  <c r="AD45" i="9"/>
  <c r="H669" i="9"/>
  <c r="AO382" i="9"/>
  <c r="H390" i="9"/>
  <c r="CE70" i="9"/>
  <c r="CE265" i="9"/>
  <c r="BI85" i="9"/>
  <c r="BV168" i="9"/>
  <c r="BI217" i="9"/>
  <c r="H554" i="9"/>
  <c r="AO196" i="9"/>
  <c r="Q182" i="9"/>
  <c r="F159" i="9"/>
  <c r="H386" i="9"/>
  <c r="BV449" i="9"/>
  <c r="DN424" i="9"/>
  <c r="AZ79" i="9"/>
  <c r="H82" i="9"/>
  <c r="AX89" i="9"/>
  <c r="BT86" i="9"/>
  <c r="Q72" i="9"/>
  <c r="BT351" i="9"/>
  <c r="AX85" i="9"/>
  <c r="BK107" i="9"/>
  <c r="CP102" i="9"/>
  <c r="S212" i="9"/>
  <c r="F463" i="9"/>
  <c r="CG314" i="9"/>
  <c r="AM416" i="9"/>
  <c r="DA271" i="9"/>
  <c r="AO44" i="9"/>
  <c r="AM205" i="9"/>
  <c r="F278" i="9"/>
  <c r="CG309" i="9"/>
  <c r="H617" i="9"/>
  <c r="DL809" i="9"/>
  <c r="AZ154" i="9"/>
  <c r="H98" i="9"/>
  <c r="BV403" i="9"/>
  <c r="F107" i="9"/>
  <c r="S131" i="9"/>
  <c r="BI112" i="9"/>
  <c r="AM152" i="9"/>
  <c r="H430" i="9"/>
  <c r="AM411" i="9"/>
  <c r="BV74" i="9"/>
  <c r="DL359" i="9"/>
  <c r="AO201" i="9"/>
  <c r="CE363" i="9"/>
  <c r="DL630" i="9"/>
  <c r="BV275" i="9"/>
  <c r="CG328" i="9"/>
  <c r="BV412" i="9"/>
  <c r="AM415" i="9"/>
  <c r="AX92" i="9"/>
  <c r="AM250" i="9"/>
  <c r="AO278" i="9"/>
  <c r="AX80" i="9"/>
  <c r="BI99" i="9"/>
  <c r="F514" i="9"/>
  <c r="AX168" i="9"/>
  <c r="CG23" i="9"/>
  <c r="DA112" i="9"/>
  <c r="DC79" i="9"/>
  <c r="CG413" i="9"/>
  <c r="DL747" i="9"/>
  <c r="BK196" i="9"/>
  <c r="BV462" i="9"/>
  <c r="DL78" i="9"/>
  <c r="CG106" i="9"/>
  <c r="CP40" i="9"/>
  <c r="CP118" i="9"/>
  <c r="CG79" i="9"/>
  <c r="DL217" i="9"/>
  <c r="BT422" i="9"/>
  <c r="BV348" i="9"/>
  <c r="DN593" i="9"/>
  <c r="BV445" i="9"/>
  <c r="S89" i="9"/>
  <c r="Q99" i="9"/>
  <c r="DL454" i="9"/>
  <c r="DC192" i="9"/>
  <c r="DL268" i="9"/>
  <c r="DA98" i="9"/>
  <c r="DL421" i="9"/>
  <c r="CG113" i="9"/>
  <c r="Q34" i="9"/>
  <c r="CG401" i="9"/>
  <c r="CG331" i="9"/>
  <c r="BT216" i="9"/>
  <c r="BK68" i="9"/>
  <c r="BV40" i="9"/>
  <c r="CE33" i="9"/>
  <c r="CE361" i="9"/>
  <c r="Q33" i="9"/>
  <c r="AX174" i="9"/>
  <c r="F610" i="9"/>
  <c r="BV361" i="9"/>
  <c r="AD94" i="9"/>
  <c r="AO261" i="9"/>
  <c r="DL736" i="9"/>
  <c r="AM231" i="9"/>
  <c r="CG107" i="9"/>
  <c r="H523" i="9"/>
  <c r="DN476" i="9"/>
  <c r="DN898" i="9"/>
  <c r="DL276" i="9"/>
  <c r="DN779" i="9"/>
  <c r="DL177" i="9"/>
  <c r="CG194" i="9"/>
  <c r="H650" i="9"/>
  <c r="AB43" i="9"/>
  <c r="DL501" i="9"/>
  <c r="AM257" i="9"/>
  <c r="DN485" i="9"/>
  <c r="Q186" i="9"/>
  <c r="AO33" i="9"/>
  <c r="DA277" i="9"/>
  <c r="BV45" i="9"/>
  <c r="AX84" i="9"/>
  <c r="F275" i="9"/>
  <c r="AM35" i="9"/>
  <c r="DA193" i="9"/>
  <c r="BK144" i="9"/>
  <c r="CE166" i="9"/>
  <c r="BT404" i="9"/>
  <c r="BV165" i="9"/>
  <c r="BI40" i="9"/>
  <c r="AO129" i="9"/>
  <c r="H440" i="9"/>
  <c r="AD56" i="9"/>
  <c r="H615" i="9"/>
  <c r="H441" i="9"/>
  <c r="BV121" i="9"/>
  <c r="AD53" i="9"/>
  <c r="BT400" i="9"/>
  <c r="BV313" i="9"/>
  <c r="BT375" i="9"/>
  <c r="H67" i="9"/>
  <c r="AM163" i="9"/>
  <c r="BV324" i="9"/>
  <c r="H205" i="9"/>
  <c r="F482" i="9"/>
  <c r="AO305" i="9"/>
  <c r="F424" i="9"/>
  <c r="CP130" i="9"/>
  <c r="CE86" i="9"/>
  <c r="AM318" i="9"/>
  <c r="BK62" i="9"/>
  <c r="BV130" i="9"/>
  <c r="F309" i="9"/>
  <c r="F173" i="9"/>
  <c r="F393" i="9"/>
  <c r="H524" i="9"/>
  <c r="DL43" i="9"/>
  <c r="DN241" i="9"/>
  <c r="BT259" i="9"/>
  <c r="BV61" i="9"/>
  <c r="F397" i="9"/>
  <c r="F264" i="9"/>
  <c r="CP175" i="9"/>
  <c r="CE159" i="9"/>
  <c r="AM371" i="9"/>
  <c r="AO230" i="9"/>
  <c r="F342" i="9"/>
  <c r="H218" i="9"/>
  <c r="CE272" i="9"/>
  <c r="S100" i="9"/>
  <c r="AO57" i="9"/>
  <c r="F518" i="9"/>
  <c r="CR140" i="9"/>
  <c r="DL807" i="9"/>
  <c r="F361" i="9"/>
  <c r="AO342" i="9"/>
  <c r="AX190" i="9"/>
  <c r="BT284" i="9"/>
  <c r="AM291" i="9"/>
  <c r="DC278" i="9"/>
  <c r="AM65" i="9"/>
  <c r="AO412" i="9"/>
  <c r="DC142" i="9"/>
  <c r="H481" i="9"/>
  <c r="H76" i="9"/>
  <c r="BV186" i="9"/>
  <c r="AZ141" i="9"/>
  <c r="F536" i="9"/>
  <c r="AM192" i="9"/>
  <c r="DA189" i="9"/>
  <c r="DL868" i="9"/>
  <c r="CG318" i="9"/>
  <c r="DA48" i="9"/>
  <c r="DN87" i="9"/>
  <c r="AM370" i="9"/>
  <c r="CG127" i="9"/>
  <c r="BT147" i="9"/>
  <c r="DC185" i="9"/>
  <c r="AO206" i="9"/>
  <c r="DN521" i="9"/>
  <c r="DN269" i="9"/>
  <c r="BT40" i="9"/>
  <c r="AX158" i="9"/>
  <c r="DA125" i="9"/>
  <c r="BT343" i="9"/>
  <c r="DC97" i="9"/>
  <c r="DN109" i="9"/>
  <c r="AX81" i="9"/>
  <c r="AO429" i="9"/>
  <c r="DN616" i="9"/>
  <c r="DA263" i="9"/>
  <c r="DA31" i="9"/>
  <c r="AO38" i="9"/>
  <c r="DN794" i="9"/>
  <c r="CE192" i="9"/>
  <c r="BV222" i="9"/>
  <c r="CG66" i="9"/>
  <c r="DN197" i="9"/>
  <c r="DC295" i="9"/>
  <c r="DN196" i="9"/>
  <c r="DL423" i="9"/>
  <c r="DL514" i="9"/>
  <c r="DL511" i="9"/>
  <c r="DN418" i="9"/>
  <c r="AO265" i="9"/>
  <c r="AM302" i="9"/>
  <c r="BV156" i="9"/>
  <c r="AO140" i="9"/>
  <c r="H23" i="9"/>
  <c r="BK90" i="9"/>
  <c r="BT332" i="9"/>
  <c r="DL640" i="9"/>
  <c r="AO156" i="9"/>
  <c r="AM107" i="9"/>
  <c r="DL69" i="9"/>
  <c r="CE250" i="9"/>
  <c r="BV162" i="9"/>
  <c r="CE406" i="9"/>
  <c r="H432" i="9"/>
  <c r="BT97" i="9"/>
  <c r="AB66" i="9"/>
  <c r="BV415" i="9"/>
  <c r="AO143" i="9"/>
  <c r="BK217" i="9"/>
  <c r="AM130" i="9"/>
  <c r="BK78" i="9"/>
  <c r="F319" i="9"/>
  <c r="Q206" i="9"/>
  <c r="CG393" i="9"/>
  <c r="CE125" i="9"/>
  <c r="BV216" i="9"/>
  <c r="DL900" i="9"/>
  <c r="DC187" i="9"/>
  <c r="F641" i="9"/>
  <c r="DA177" i="9"/>
  <c r="CE170" i="9"/>
  <c r="BI158" i="9"/>
  <c r="F664" i="9"/>
  <c r="CR28" i="9"/>
  <c r="DN323" i="9"/>
  <c r="CR69" i="9"/>
  <c r="DC200" i="9"/>
  <c r="CG151" i="9"/>
  <c r="AO426" i="9"/>
  <c r="H289" i="9"/>
  <c r="H62" i="9"/>
  <c r="F474" i="9"/>
  <c r="AM79" i="9"/>
  <c r="Q127" i="9"/>
  <c r="BK181" i="9"/>
  <c r="DN852" i="9"/>
  <c r="Q121" i="9"/>
  <c r="DN118" i="9"/>
  <c r="CE148" i="9"/>
  <c r="BV41" i="9"/>
  <c r="DN345" i="9"/>
  <c r="AX75" i="9"/>
  <c r="CE107" i="9"/>
  <c r="H556" i="9"/>
  <c r="F583" i="9"/>
  <c r="BV442" i="9"/>
  <c r="AX91" i="9"/>
  <c r="DL524" i="9"/>
  <c r="AD70" i="9"/>
  <c r="BV472" i="9"/>
  <c r="CP195" i="9"/>
  <c r="DA167" i="9"/>
  <c r="AM274" i="9"/>
  <c r="H426" i="9"/>
  <c r="DL601" i="9"/>
  <c r="AX140" i="9"/>
  <c r="H69" i="9"/>
  <c r="BT159" i="9"/>
  <c r="CR81" i="9"/>
  <c r="F224" i="9"/>
  <c r="DL290" i="9"/>
  <c r="DA50" i="9"/>
  <c r="BT458" i="9"/>
  <c r="AO397" i="9"/>
  <c r="BV42" i="9"/>
  <c r="DC267" i="9"/>
  <c r="H614" i="9"/>
  <c r="BK48" i="9"/>
  <c r="CR65" i="9"/>
  <c r="AO320" i="9"/>
  <c r="BT280" i="9"/>
  <c r="H110" i="9"/>
  <c r="F432" i="9"/>
  <c r="DN585" i="9"/>
  <c r="AO60" i="9"/>
  <c r="F374" i="9"/>
  <c r="AZ104" i="9"/>
  <c r="F130" i="9"/>
  <c r="DN256" i="9"/>
  <c r="Q140" i="9"/>
  <c r="CG171" i="9"/>
  <c r="H39" i="9"/>
  <c r="DL145" i="9"/>
  <c r="DA54" i="9"/>
  <c r="DC310" i="9"/>
  <c r="DC344" i="9"/>
  <c r="DN691" i="9"/>
  <c r="BT116" i="9"/>
  <c r="BI221" i="9"/>
  <c r="BV300" i="9"/>
  <c r="BV246" i="9"/>
  <c r="DL241" i="9"/>
  <c r="CG187" i="9"/>
  <c r="AO360" i="9"/>
  <c r="AM369" i="9"/>
  <c r="BT300" i="9"/>
  <c r="Q38" i="9"/>
  <c r="AM93" i="9"/>
  <c r="CE271" i="9"/>
  <c r="CE343" i="9"/>
  <c r="CR144" i="9"/>
  <c r="DL385" i="9"/>
  <c r="CE414" i="9"/>
  <c r="BT167" i="9"/>
  <c r="AO282" i="9"/>
  <c r="BI155" i="9"/>
  <c r="AX30" i="9"/>
  <c r="AB55" i="9"/>
  <c r="BV173" i="9"/>
  <c r="AO225" i="9"/>
  <c r="AM39" i="9"/>
  <c r="CE121" i="9"/>
  <c r="BV94" i="9"/>
  <c r="F346" i="9"/>
  <c r="H302" i="9"/>
  <c r="DL123" i="9"/>
  <c r="DL623" i="9"/>
  <c r="CP213" i="9"/>
  <c r="CR181" i="9"/>
  <c r="DN124" i="9"/>
  <c r="BK227" i="9"/>
  <c r="DL265" i="9"/>
  <c r="AM407" i="9"/>
  <c r="BV250" i="9"/>
  <c r="BV109" i="9"/>
  <c r="AM230" i="9"/>
  <c r="CR213" i="9"/>
  <c r="S57" i="9"/>
  <c r="BT501" i="9"/>
  <c r="AD51" i="9"/>
  <c r="AX43" i="9"/>
  <c r="CP27" i="9"/>
  <c r="BT170" i="9"/>
  <c r="CG235" i="9"/>
  <c r="AZ175" i="9"/>
  <c r="DC351" i="9"/>
  <c r="DA297" i="9"/>
  <c r="BK30" i="9"/>
  <c r="CG197" i="9"/>
  <c r="BT401" i="9"/>
  <c r="F350" i="9"/>
  <c r="H300" i="9"/>
  <c r="BV285" i="9"/>
  <c r="DL138" i="9"/>
  <c r="DA210" i="9"/>
  <c r="F478" i="9"/>
  <c r="DN236" i="9"/>
  <c r="AX143" i="9"/>
  <c r="BT233" i="9"/>
  <c r="DL577" i="9"/>
  <c r="AO164" i="9"/>
  <c r="DA120" i="9"/>
  <c r="Q185" i="9"/>
  <c r="BT217" i="9"/>
  <c r="Q81" i="9"/>
  <c r="AM275" i="9"/>
  <c r="DA213" i="9"/>
  <c r="BV83" i="9"/>
  <c r="CE187" i="9"/>
  <c r="F570" i="9"/>
  <c r="F601" i="9"/>
  <c r="BK208" i="9"/>
  <c r="BV201" i="9"/>
  <c r="Q122" i="9"/>
  <c r="DL29" i="9"/>
  <c r="CG386" i="9"/>
  <c r="DL80" i="9"/>
  <c r="BK187" i="9"/>
  <c r="BK66" i="9"/>
  <c r="BK83" i="9"/>
  <c r="F675" i="9"/>
  <c r="H280" i="9"/>
  <c r="Q199" i="9"/>
  <c r="H510" i="9"/>
  <c r="CG319" i="9"/>
  <c r="DL563" i="9"/>
  <c r="AD33" i="9"/>
  <c r="H345" i="9"/>
  <c r="CE55" i="9"/>
  <c r="AX189" i="9"/>
  <c r="BK130" i="9"/>
  <c r="AD72" i="9"/>
  <c r="F630" i="9"/>
  <c r="BI134" i="9"/>
  <c r="S58" i="9"/>
  <c r="BV89" i="9"/>
  <c r="BT328" i="9"/>
  <c r="H153" i="9"/>
  <c r="Q163" i="9"/>
  <c r="BK127" i="9"/>
  <c r="BV59" i="9"/>
  <c r="AO308" i="9"/>
  <c r="DL422" i="9"/>
  <c r="BT306" i="9"/>
  <c r="BV189" i="9"/>
  <c r="F328" i="9"/>
  <c r="DL790" i="9"/>
  <c r="CE423" i="9"/>
  <c r="H563" i="9"/>
  <c r="F512" i="9"/>
  <c r="H607" i="9"/>
  <c r="H195" i="9"/>
  <c r="BT397" i="9"/>
  <c r="F149" i="9"/>
  <c r="BV464" i="9"/>
  <c r="BI179" i="9"/>
  <c r="DL805" i="9"/>
  <c r="Q203" i="9"/>
  <c r="F602" i="9"/>
  <c r="AM104" i="9"/>
  <c r="F170" i="9"/>
  <c r="BV325" i="9"/>
  <c r="Q41" i="9"/>
  <c r="Q77" i="9"/>
  <c r="BI199" i="9"/>
  <c r="BK226" i="9"/>
  <c r="F286" i="9"/>
  <c r="DN845" i="9"/>
  <c r="CG290" i="9"/>
  <c r="DL471" i="9"/>
  <c r="CP24" i="9"/>
  <c r="DA298" i="9"/>
  <c r="DL558" i="9"/>
  <c r="CG47" i="9"/>
  <c r="BK60" i="9"/>
  <c r="DL37" i="9"/>
  <c r="CE398" i="9"/>
  <c r="AB75" i="9"/>
  <c r="BT427" i="9"/>
  <c r="DN846" i="9"/>
  <c r="DN729" i="9"/>
  <c r="DN36" i="9"/>
  <c r="DL375" i="9"/>
  <c r="DN76" i="9"/>
  <c r="DL74" i="9"/>
  <c r="F91" i="9"/>
  <c r="DN347" i="9"/>
  <c r="Q176" i="9"/>
  <c r="AO424" i="9"/>
  <c r="BT111" i="9"/>
  <c r="DN450" i="9"/>
  <c r="BK24" i="9"/>
  <c r="CG337" i="9"/>
  <c r="DN636" i="9"/>
  <c r="DL413" i="9"/>
  <c r="DL23" i="9"/>
  <c r="AB99" i="9"/>
  <c r="DA152" i="9"/>
  <c r="CP31" i="9"/>
  <c r="CR205" i="9"/>
  <c r="DC205" i="9"/>
  <c r="DN549" i="9"/>
  <c r="AM298" i="9"/>
  <c r="S194" i="9"/>
  <c r="AM99" i="9"/>
  <c r="DL873" i="9"/>
  <c r="S90" i="9"/>
  <c r="DL679" i="9"/>
  <c r="H536" i="9"/>
  <c r="Q170" i="9"/>
  <c r="S173" i="9"/>
  <c r="BV75" i="9"/>
  <c r="CR35" i="9"/>
  <c r="DN458" i="9"/>
  <c r="Q106" i="9"/>
  <c r="BV426" i="9"/>
  <c r="F111" i="9"/>
  <c r="DN576" i="9"/>
  <c r="BK171" i="9"/>
  <c r="H120" i="9"/>
  <c r="DL908" i="9"/>
  <c r="AZ99" i="9"/>
  <c r="CG119" i="9"/>
  <c r="DN839" i="9"/>
  <c r="AM143" i="9"/>
  <c r="DN338" i="9"/>
  <c r="S78" i="9"/>
  <c r="AO198" i="9"/>
  <c r="F545" i="9"/>
  <c r="DN501" i="9"/>
  <c r="CG49" i="9"/>
  <c r="DN460" i="9"/>
  <c r="F535" i="9"/>
  <c r="AX121" i="9"/>
  <c r="AO311" i="9"/>
  <c r="AM73" i="9"/>
  <c r="DN218" i="9"/>
  <c r="BI98" i="9"/>
  <c r="BI61" i="9"/>
  <c r="DL581" i="9"/>
  <c r="DL201" i="9"/>
  <c r="AZ66" i="9"/>
  <c r="DL154" i="9"/>
  <c r="BT71" i="9"/>
  <c r="F339" i="9"/>
  <c r="DN867" i="9"/>
  <c r="H367" i="9"/>
  <c r="F385" i="9"/>
  <c r="DN447" i="9"/>
  <c r="DA172" i="9"/>
  <c r="DC41" i="9"/>
  <c r="AM343" i="9"/>
  <c r="AO244" i="9"/>
  <c r="BK106" i="9"/>
  <c r="AM102" i="9"/>
  <c r="S134" i="9"/>
  <c r="AM329" i="9"/>
  <c r="Q197" i="9"/>
  <c r="H108" i="9"/>
  <c r="CG406" i="9"/>
  <c r="DL255" i="9"/>
  <c r="AO365" i="9"/>
  <c r="S185" i="9"/>
  <c r="CE72" i="9"/>
  <c r="BV366" i="9"/>
  <c r="DN566" i="9"/>
  <c r="AO160" i="9"/>
  <c r="Q193" i="9"/>
  <c r="H504" i="9"/>
  <c r="AX99" i="9"/>
  <c r="AM42" i="9"/>
  <c r="BT47" i="9"/>
  <c r="H595" i="9"/>
  <c r="H244" i="9"/>
  <c r="H93" i="9"/>
  <c r="DC186" i="9"/>
  <c r="AX52" i="9"/>
  <c r="F283" i="9"/>
  <c r="AM348" i="9"/>
  <c r="BT26" i="9"/>
  <c r="BT298" i="9"/>
  <c r="DL634" i="9"/>
  <c r="DL426" i="9"/>
  <c r="BV37" i="9"/>
  <c r="BI28" i="9"/>
  <c r="BV149" i="9"/>
  <c r="H613" i="9"/>
  <c r="F668" i="9"/>
  <c r="DC39" i="9"/>
  <c r="AO262" i="9"/>
  <c r="F395" i="9"/>
  <c r="BV58" i="9"/>
  <c r="DA123" i="9"/>
  <c r="S198" i="9"/>
  <c r="DA99" i="9"/>
  <c r="CR38" i="9"/>
  <c r="DC91" i="9"/>
  <c r="AM127" i="9"/>
  <c r="CE309" i="9"/>
  <c r="DC332" i="9"/>
  <c r="DA293" i="9"/>
  <c r="H555" i="9"/>
  <c r="CP113" i="9"/>
  <c r="DN69" i="9"/>
  <c r="DL482" i="9"/>
  <c r="DN577" i="9"/>
  <c r="CR210" i="9"/>
  <c r="DL772" i="9"/>
  <c r="DN66" i="9"/>
  <c r="CG412" i="9"/>
  <c r="CR195" i="9"/>
  <c r="BT201" i="9"/>
  <c r="DL361" i="9"/>
  <c r="BV200" i="9"/>
  <c r="AM248" i="9"/>
  <c r="DN562" i="9"/>
  <c r="DL302" i="9"/>
  <c r="AO346" i="9"/>
  <c r="DN41" i="9"/>
  <c r="BK173" i="9"/>
  <c r="DC132" i="9"/>
  <c r="AM203" i="9"/>
  <c r="AO297" i="9"/>
  <c r="CE259" i="9"/>
  <c r="CG338" i="9"/>
  <c r="DN164" i="9"/>
  <c r="DN875" i="9"/>
  <c r="BV375" i="9"/>
  <c r="CG427" i="9"/>
  <c r="CP95" i="9"/>
  <c r="DN600" i="9"/>
  <c r="F83" i="9"/>
  <c r="CE285" i="9"/>
  <c r="CP100" i="9"/>
  <c r="DN51" i="9"/>
  <c r="Q181" i="9"/>
  <c r="AZ157" i="9"/>
  <c r="BV329" i="9"/>
  <c r="F255" i="9"/>
  <c r="DN332" i="9"/>
  <c r="AO47" i="9"/>
  <c r="AZ112" i="9"/>
  <c r="DN487" i="9"/>
  <c r="CG45" i="9"/>
  <c r="BT283" i="9"/>
  <c r="H303" i="9"/>
  <c r="AZ114" i="9"/>
  <c r="F650" i="9"/>
  <c r="BV79" i="9"/>
  <c r="BT125" i="9"/>
  <c r="DA187" i="9"/>
  <c r="AM247" i="9"/>
  <c r="AZ179" i="9"/>
  <c r="CR148" i="9"/>
  <c r="AB67" i="9"/>
  <c r="Q84" i="9"/>
  <c r="AO344" i="9"/>
  <c r="H632" i="9"/>
  <c r="AO103" i="9"/>
  <c r="AB93" i="9"/>
  <c r="BK204" i="9"/>
  <c r="AO380" i="9"/>
  <c r="BV196" i="9"/>
  <c r="DN182" i="9"/>
  <c r="CR80" i="9"/>
  <c r="AO240" i="9"/>
  <c r="H588" i="9"/>
  <c r="DN738" i="9"/>
  <c r="DN228" i="9"/>
  <c r="BT224" i="9"/>
  <c r="BT245" i="9"/>
  <c r="F678" i="9"/>
  <c r="H423" i="9"/>
  <c r="DL363" i="9"/>
  <c r="AM220" i="9"/>
  <c r="DA294" i="9"/>
  <c r="AX138" i="9"/>
  <c r="H344" i="9"/>
  <c r="BV357" i="9"/>
  <c r="AM300" i="9"/>
  <c r="AZ127" i="9"/>
  <c r="F344" i="9"/>
  <c r="AX68" i="9"/>
  <c r="H394" i="9"/>
  <c r="H109" i="9"/>
  <c r="AM263" i="9"/>
  <c r="CG252" i="9"/>
  <c r="BV419" i="9"/>
  <c r="BI47" i="9"/>
  <c r="DN237" i="9"/>
  <c r="F217" i="9"/>
  <c r="CR53" i="9"/>
  <c r="AM320" i="9"/>
  <c r="H42" i="9"/>
  <c r="F392" i="9"/>
  <c r="AO168" i="9"/>
  <c r="BT441" i="9"/>
  <c r="CG41" i="9"/>
  <c r="AO180" i="9"/>
  <c r="BT383" i="9"/>
  <c r="AM228" i="9"/>
  <c r="H583" i="9"/>
  <c r="AO126" i="9"/>
  <c r="AB37" i="9"/>
  <c r="BT24" i="9"/>
  <c r="AZ105" i="9"/>
  <c r="AM96" i="9"/>
  <c r="DN704" i="9"/>
  <c r="H203" i="9"/>
  <c r="F676" i="9"/>
  <c r="BT391" i="9"/>
  <c r="Q28" i="9"/>
  <c r="S59" i="9"/>
  <c r="CE365" i="9"/>
  <c r="H505" i="9"/>
  <c r="BV43" i="9"/>
  <c r="CG224" i="9"/>
  <c r="DA206" i="9"/>
  <c r="BT187" i="9"/>
  <c r="DC337" i="9"/>
  <c r="AZ191" i="9"/>
  <c r="S76" i="9"/>
  <c r="CG376" i="9"/>
  <c r="AM195" i="9"/>
  <c r="DL221" i="9"/>
  <c r="AO352" i="9"/>
  <c r="CE204" i="9"/>
  <c r="BV397" i="9"/>
  <c r="BV169" i="9"/>
  <c r="DN150" i="9"/>
  <c r="AM52" i="9"/>
  <c r="H279" i="9"/>
  <c r="F398" i="9"/>
  <c r="AZ162" i="9"/>
  <c r="H616" i="9"/>
  <c r="DL579" i="9"/>
  <c r="DN24" i="9"/>
  <c r="AM182" i="9"/>
  <c r="AM124" i="9"/>
  <c r="DN821" i="9"/>
  <c r="AO330" i="9"/>
  <c r="S175" i="9"/>
  <c r="DN789" i="9"/>
  <c r="H658" i="9"/>
  <c r="DL658" i="9"/>
  <c r="DN490" i="9"/>
  <c r="DL161" i="9"/>
  <c r="H240" i="9"/>
  <c r="DL448" i="9"/>
  <c r="BI187" i="9"/>
  <c r="DL157" i="9"/>
  <c r="Q156" i="9"/>
  <c r="DN565" i="9"/>
  <c r="F174" i="9"/>
  <c r="AB54" i="9"/>
  <c r="CE122" i="9"/>
  <c r="AO340" i="9"/>
  <c r="AM306" i="9"/>
  <c r="CP212" i="9"/>
  <c r="H177" i="9"/>
  <c r="CE173" i="9"/>
  <c r="DA320" i="9"/>
  <c r="DL829" i="9"/>
  <c r="DN261" i="9"/>
  <c r="CG176" i="9"/>
  <c r="AO48" i="9"/>
  <c r="S191" i="9"/>
  <c r="BK119" i="9"/>
  <c r="CE211" i="9"/>
  <c r="DA100" i="9"/>
  <c r="F156" i="9"/>
  <c r="DN901" i="9"/>
  <c r="DC358" i="9"/>
  <c r="AO386" i="9"/>
  <c r="F27" i="9"/>
  <c r="F605" i="9"/>
  <c r="H499" i="9"/>
  <c r="CG104" i="9"/>
  <c r="H488" i="9"/>
  <c r="BK41" i="9"/>
  <c r="CG146" i="9"/>
  <c r="BK166" i="9"/>
  <c r="DN854" i="9"/>
  <c r="F55" i="9"/>
  <c r="CP193" i="9"/>
  <c r="AX132" i="9"/>
  <c r="AD41" i="9"/>
  <c r="DN717" i="9"/>
  <c r="DL356" i="9"/>
  <c r="BI159" i="9"/>
  <c r="CG391" i="9"/>
  <c r="H43" i="9"/>
  <c r="CE90" i="9"/>
  <c r="BV344" i="9"/>
  <c r="DN432" i="9"/>
  <c r="H327" i="9"/>
  <c r="F628" i="9"/>
  <c r="DN413" i="9"/>
  <c r="CE199" i="9"/>
  <c r="DA49" i="9"/>
  <c r="BI103" i="9"/>
  <c r="H170" i="9"/>
  <c r="CP161" i="9"/>
  <c r="H217" i="9"/>
  <c r="S94" i="9"/>
  <c r="DA178" i="9"/>
  <c r="F618" i="9"/>
  <c r="CR151" i="9"/>
  <c r="CG174" i="9"/>
  <c r="H150" i="9"/>
  <c r="AM273" i="9"/>
  <c r="F75" i="9"/>
  <c r="AM77" i="9"/>
  <c r="F115" i="9"/>
  <c r="F537" i="9"/>
  <c r="DL133" i="9"/>
  <c r="DL523" i="9"/>
  <c r="H124" i="9"/>
  <c r="BK157" i="9"/>
  <c r="F426" i="9"/>
  <c r="AX123" i="9"/>
  <c r="H171" i="9"/>
  <c r="CG234" i="9"/>
  <c r="H374" i="9"/>
  <c r="BK212" i="9"/>
  <c r="DL371" i="9"/>
  <c r="DN303" i="9"/>
  <c r="F401" i="9"/>
  <c r="AZ102" i="9"/>
  <c r="S103" i="9"/>
  <c r="F547" i="9"/>
  <c r="AO208" i="9"/>
  <c r="DA227" i="9"/>
  <c r="BT495" i="9"/>
  <c r="AM380" i="9"/>
  <c r="CE381" i="9"/>
  <c r="F125" i="9"/>
  <c r="S87" i="9"/>
  <c r="AX55" i="9"/>
  <c r="CE127" i="9"/>
  <c r="F433" i="9"/>
  <c r="DN161" i="9"/>
  <c r="F670" i="9"/>
  <c r="CG330" i="9"/>
  <c r="AM120" i="9"/>
  <c r="DA194" i="9"/>
  <c r="DN226" i="9"/>
  <c r="CG408" i="9"/>
  <c r="BI220" i="9"/>
  <c r="H191" i="9"/>
  <c r="AM243" i="9"/>
  <c r="H261" i="9"/>
  <c r="F62" i="9"/>
  <c r="CG51" i="9"/>
  <c r="AO391" i="9"/>
  <c r="F571" i="9"/>
  <c r="BK72" i="9"/>
  <c r="BI144" i="9"/>
  <c r="BT431" i="9"/>
  <c r="DN259" i="9"/>
  <c r="H131" i="9"/>
  <c r="H272" i="9"/>
  <c r="DN390" i="9"/>
  <c r="F276" i="9"/>
  <c r="AO298" i="9"/>
  <c r="S93" i="9"/>
  <c r="AX188" i="9"/>
  <c r="F34" i="9"/>
  <c r="F334" i="9"/>
  <c r="F335" i="9"/>
  <c r="CE27" i="9"/>
  <c r="F85" i="9"/>
  <c r="H214" i="9"/>
  <c r="DL891" i="9"/>
  <c r="CE383" i="9"/>
  <c r="DN283" i="9"/>
  <c r="CR83" i="9"/>
  <c r="BT455" i="9"/>
  <c r="DN271" i="9"/>
  <c r="CE189" i="9"/>
  <c r="DN301" i="9"/>
  <c r="DL460" i="9"/>
  <c r="CE149" i="9"/>
  <c r="BT340" i="9"/>
  <c r="DC285" i="9"/>
  <c r="CE317" i="9"/>
  <c r="BT479" i="9"/>
  <c r="BI135" i="9"/>
  <c r="DL742" i="9"/>
  <c r="DL631" i="9"/>
  <c r="CE260" i="9"/>
  <c r="BI87" i="9"/>
  <c r="CP190" i="9"/>
  <c r="BT43" i="9"/>
  <c r="CG181" i="9"/>
  <c r="CP59" i="9"/>
  <c r="BT132" i="9"/>
  <c r="Q82" i="9"/>
  <c r="BK114" i="9"/>
  <c r="AB45" i="9"/>
  <c r="AZ78" i="9"/>
  <c r="DL136" i="9"/>
  <c r="CE112" i="9"/>
  <c r="BV231" i="9"/>
  <c r="CR123" i="9"/>
  <c r="CR106" i="9"/>
  <c r="BK143" i="9"/>
  <c r="F581" i="9"/>
  <c r="DA156" i="9"/>
  <c r="BT354" i="9"/>
  <c r="S180" i="9"/>
  <c r="F187" i="9"/>
  <c r="S192" i="9"/>
  <c r="H107" i="9"/>
  <c r="H528" i="9"/>
  <c r="AO46" i="9"/>
  <c r="BI177" i="9"/>
  <c r="BV365" i="9"/>
  <c r="CE366" i="9"/>
  <c r="F95" i="9"/>
  <c r="F316" i="9"/>
  <c r="BI108" i="9"/>
  <c r="H175" i="9"/>
  <c r="S141" i="9"/>
  <c r="AM125" i="9"/>
  <c r="DL775" i="9"/>
  <c r="BK198" i="9"/>
  <c r="S70" i="9"/>
  <c r="AM172" i="9"/>
  <c r="AO270" i="9"/>
  <c r="CR171" i="9"/>
  <c r="CR22" i="9"/>
  <c r="BV241" i="9"/>
  <c r="S113" i="9"/>
  <c r="AD28" i="9"/>
  <c r="CP147" i="9"/>
  <c r="H323" i="9"/>
  <c r="CE350" i="9"/>
  <c r="BT356" i="9"/>
  <c r="F624" i="9"/>
  <c r="F562" i="9"/>
  <c r="H219" i="9"/>
  <c r="AM324" i="9"/>
  <c r="CG81" i="9"/>
  <c r="AM421" i="9"/>
  <c r="CG118" i="9"/>
  <c r="CG149" i="9"/>
  <c r="H565" i="9"/>
  <c r="F198" i="9"/>
  <c r="CE40" i="9"/>
  <c r="AB90" i="9"/>
  <c r="CE143" i="9"/>
  <c r="H193" i="9"/>
  <c r="F423" i="9"/>
  <c r="F655" i="9"/>
  <c r="DA83" i="9"/>
  <c r="AM156" i="9"/>
  <c r="H633" i="9"/>
  <c r="DL472" i="9"/>
  <c r="BT468" i="9"/>
  <c r="H567" i="9"/>
  <c r="F231" i="9"/>
  <c r="F541" i="9"/>
  <c r="DL613" i="9"/>
  <c r="BK55" i="9"/>
  <c r="DA81" i="9"/>
  <c r="AO141" i="9"/>
  <c r="BT234" i="9"/>
  <c r="BI86" i="9"/>
  <c r="S193" i="9"/>
  <c r="AM391" i="9"/>
  <c r="H190" i="9"/>
  <c r="AM22" i="9"/>
  <c r="AM393" i="9"/>
  <c r="DL88" i="9"/>
  <c r="CR154" i="9"/>
  <c r="Q150" i="9"/>
  <c r="DA254" i="9"/>
  <c r="BK111" i="9"/>
  <c r="F579" i="9"/>
  <c r="DA110" i="9"/>
  <c r="F105" i="9"/>
  <c r="H236" i="9"/>
  <c r="F23" i="9"/>
  <c r="DA134" i="9"/>
  <c r="CR75" i="9"/>
  <c r="AM360" i="9"/>
  <c r="CG231" i="9"/>
  <c r="BT156" i="9"/>
  <c r="F411" i="9"/>
  <c r="H96" i="9"/>
  <c r="DN902" i="9"/>
  <c r="F366" i="9"/>
  <c r="AZ44" i="9"/>
  <c r="AX66" i="9"/>
  <c r="DL712" i="9"/>
  <c r="CP61" i="9"/>
  <c r="DA105" i="9"/>
  <c r="BK125" i="9"/>
  <c r="F233" i="9"/>
  <c r="AO359" i="9"/>
  <c r="F157" i="9"/>
  <c r="AD95" i="9"/>
  <c r="F479" i="9"/>
  <c r="F66" i="9"/>
  <c r="DA116" i="9"/>
  <c r="BV371" i="9"/>
  <c r="AM425" i="9"/>
  <c r="DN526" i="9"/>
  <c r="AD86" i="9"/>
  <c r="Q211" i="9"/>
  <c r="AM330" i="9"/>
  <c r="DL300" i="9"/>
  <c r="DL382" i="9"/>
  <c r="DN786" i="9"/>
  <c r="CE222" i="9"/>
  <c r="DC352" i="9"/>
  <c r="BT136" i="9"/>
  <c r="DL412" i="9"/>
  <c r="BV90" i="9"/>
  <c r="DC107" i="9"/>
  <c r="AZ82" i="9"/>
  <c r="AM256" i="9"/>
  <c r="BV421" i="9"/>
  <c r="DA113" i="9"/>
  <c r="BI111" i="9"/>
  <c r="CE316" i="9"/>
  <c r="BT119" i="9"/>
  <c r="DA24" i="9"/>
  <c r="DL120" i="9"/>
  <c r="AM175" i="9"/>
  <c r="S161" i="9"/>
  <c r="CG255" i="9"/>
  <c r="CE419" i="9"/>
  <c r="AM116" i="9"/>
  <c r="AO338" i="9"/>
  <c r="AO224" i="9"/>
  <c r="DC314" i="9"/>
  <c r="H641" i="9"/>
  <c r="F189" i="9"/>
  <c r="S35" i="9"/>
  <c r="AZ93" i="9"/>
  <c r="AD34" i="9"/>
  <c r="DN787" i="9"/>
  <c r="AO154" i="9"/>
  <c r="AB47" i="9"/>
  <c r="CG223" i="9"/>
  <c r="Q65" i="9"/>
  <c r="CE282" i="9"/>
  <c r="H331" i="9"/>
  <c r="DL858" i="9"/>
  <c r="H334" i="9"/>
  <c r="H321" i="9"/>
  <c r="AD31" i="9"/>
  <c r="H282" i="9"/>
  <c r="CR46" i="9"/>
  <c r="F644" i="9"/>
  <c r="BV417" i="9"/>
  <c r="BV479" i="9"/>
  <c r="H448" i="9"/>
  <c r="AB83" i="9"/>
  <c r="H34" i="9"/>
  <c r="AO76" i="9"/>
  <c r="AM259" i="9"/>
  <c r="BI132" i="9"/>
  <c r="DC204" i="9"/>
  <c r="Q200" i="9"/>
  <c r="F22" i="9"/>
  <c r="BV193" i="9"/>
  <c r="CG368" i="9"/>
  <c r="Q24" i="9"/>
  <c r="DN693" i="9"/>
  <c r="BK116" i="9"/>
  <c r="DL743" i="9"/>
  <c r="CE310" i="9"/>
  <c r="BK158" i="9"/>
  <c r="F447" i="9"/>
  <c r="CR175" i="9"/>
  <c r="AZ168" i="9"/>
  <c r="AZ51" i="9"/>
  <c r="AM400" i="9"/>
  <c r="BT451" i="9"/>
  <c r="CE397" i="9"/>
  <c r="DL773" i="9"/>
  <c r="AO368" i="9"/>
  <c r="DN686" i="9"/>
  <c r="CR132" i="9"/>
  <c r="Q35" i="9"/>
  <c r="AX106" i="9"/>
  <c r="CG112" i="9"/>
  <c r="BT162" i="9"/>
  <c r="AM47" i="9"/>
  <c r="BV277" i="9"/>
  <c r="AZ39" i="9"/>
  <c r="BV114" i="9"/>
  <c r="F282" i="9"/>
  <c r="F49" i="9"/>
  <c r="S69" i="9"/>
  <c r="F456" i="9"/>
  <c r="BT81" i="9"/>
  <c r="F270" i="9"/>
  <c r="BK105" i="9"/>
  <c r="F182" i="9"/>
  <c r="BT293" i="9"/>
  <c r="BV101" i="9"/>
  <c r="AX25" i="9"/>
  <c r="F50" i="9"/>
  <c r="Q115" i="9"/>
  <c r="F528" i="9"/>
  <c r="H212" i="9"/>
  <c r="H480" i="9"/>
  <c r="AX22" i="9"/>
  <c r="H548" i="9"/>
  <c r="BI102" i="9"/>
  <c r="F468" i="9"/>
  <c r="H192" i="9"/>
  <c r="DL562" i="9"/>
  <c r="BT126" i="9"/>
  <c r="F179" i="9"/>
  <c r="BV389" i="9"/>
  <c r="F400" i="9"/>
  <c r="AM40" i="9"/>
  <c r="BT428" i="9"/>
  <c r="DL899" i="9"/>
  <c r="AO373" i="9"/>
  <c r="DN351" i="9"/>
  <c r="BT196" i="9"/>
  <c r="H559" i="9"/>
  <c r="AO376" i="9"/>
  <c r="S143" i="9"/>
  <c r="F377" i="9"/>
  <c r="H230" i="9"/>
  <c r="AZ40" i="9"/>
  <c r="H100" i="9"/>
  <c r="CR33" i="9"/>
  <c r="F38" i="9"/>
  <c r="H384" i="9"/>
  <c r="DC330" i="9"/>
  <c r="AD81" i="9"/>
  <c r="BK142" i="9"/>
  <c r="H54" i="9"/>
  <c r="F76" i="9"/>
  <c r="BK88" i="9"/>
  <c r="BT494" i="9"/>
  <c r="S216" i="9"/>
  <c r="H468" i="9"/>
  <c r="CP121" i="9"/>
  <c r="H578" i="9"/>
  <c r="F363" i="9"/>
  <c r="BT282" i="9"/>
  <c r="AB40" i="9"/>
  <c r="Q25" i="9"/>
  <c r="H605" i="9"/>
  <c r="AO257" i="9"/>
  <c r="BI171" i="9"/>
  <c r="S207" i="9"/>
  <c r="DN679" i="9"/>
  <c r="CG159" i="9"/>
  <c r="BV47" i="9"/>
  <c r="DN622" i="9"/>
  <c r="BI215" i="9"/>
  <c r="CG129" i="9"/>
  <c r="DL187" i="9"/>
  <c r="CP99" i="9"/>
  <c r="DL307" i="9"/>
  <c r="AM305" i="9"/>
  <c r="Q105" i="9"/>
  <c r="DC206" i="9"/>
  <c r="DL63" i="9"/>
  <c r="AZ103" i="9"/>
  <c r="CE359" i="9"/>
  <c r="CG258" i="9"/>
  <c r="AO243" i="9"/>
  <c r="CE203" i="9"/>
  <c r="CP179" i="9"/>
  <c r="F196" i="9"/>
  <c r="DL826" i="9"/>
  <c r="BK138" i="9"/>
  <c r="F80" i="9"/>
  <c r="DL84" i="9"/>
  <c r="AM313" i="9"/>
  <c r="DN639" i="9"/>
  <c r="AO317" i="9"/>
  <c r="AD25" i="9"/>
  <c r="DL587" i="9"/>
  <c r="BT469" i="9"/>
  <c r="DC114" i="9"/>
  <c r="AX114" i="9"/>
  <c r="BI126" i="9"/>
  <c r="CR40" i="9"/>
  <c r="BI106" i="9"/>
  <c r="AM44" i="9"/>
  <c r="BK174" i="9"/>
  <c r="BV317" i="9"/>
  <c r="AM153" i="9"/>
  <c r="F110" i="9"/>
  <c r="Q179" i="9"/>
  <c r="CE137" i="9"/>
  <c r="CP96" i="9"/>
  <c r="H550" i="9"/>
  <c r="H299" i="9"/>
  <c r="AZ142" i="9"/>
  <c r="AM394" i="9"/>
  <c r="S135" i="9"/>
  <c r="AO96" i="9"/>
  <c r="F476" i="9"/>
  <c r="BT198" i="9"/>
  <c r="AO326" i="9"/>
  <c r="AO24" i="9"/>
  <c r="AO135" i="9"/>
  <c r="AB87" i="9"/>
  <c r="AM309" i="9"/>
  <c r="S204" i="9"/>
  <c r="BT228" i="9"/>
  <c r="CE190" i="9"/>
  <c r="BV67" i="9"/>
  <c r="CR92" i="9"/>
  <c r="H341" i="9"/>
  <c r="BT89" i="9"/>
  <c r="DC180" i="9"/>
  <c r="DN97" i="9"/>
  <c r="CR193" i="9"/>
  <c r="Q48" i="9"/>
  <c r="BV266" i="9"/>
  <c r="F101" i="9"/>
  <c r="CR158" i="9"/>
  <c r="H221" i="9"/>
  <c r="DN890" i="9"/>
  <c r="H600" i="9"/>
  <c r="F653" i="9"/>
  <c r="S82" i="9"/>
  <c r="BV170" i="9"/>
  <c r="AO84" i="9"/>
  <c r="DL111" i="9"/>
  <c r="DL420" i="9"/>
  <c r="BI168" i="9"/>
  <c r="BV433" i="9"/>
  <c r="S53" i="9"/>
  <c r="AM386" i="9"/>
  <c r="F434" i="9"/>
  <c r="H382" i="9"/>
  <c r="BT148" i="9"/>
  <c r="Q49" i="9"/>
  <c r="H516" i="9"/>
  <c r="S195" i="9"/>
  <c r="BV142" i="9"/>
  <c r="AM385" i="9"/>
  <c r="BT481" i="9"/>
  <c r="F281" i="9"/>
  <c r="AO183" i="9"/>
  <c r="CP160" i="9"/>
  <c r="BV70" i="9"/>
  <c r="H422" i="9"/>
  <c r="AO92" i="9"/>
  <c r="DA199" i="9"/>
  <c r="AZ53" i="9"/>
  <c r="BK47" i="9"/>
  <c r="DN728" i="9"/>
  <c r="Q102" i="9"/>
  <c r="CG265" i="9"/>
  <c r="H49" i="9"/>
  <c r="H210" i="9"/>
  <c r="AX148" i="9"/>
  <c r="BK129" i="9"/>
  <c r="AO69" i="9"/>
  <c r="BV152" i="9"/>
  <c r="F290" i="9"/>
  <c r="AM327" i="9"/>
  <c r="AM38" i="9"/>
  <c r="DL112" i="9"/>
  <c r="BI136" i="9"/>
  <c r="BI39" i="9"/>
  <c r="AM115" i="9"/>
  <c r="AX41" i="9"/>
  <c r="CE253" i="9"/>
  <c r="BV327" i="9"/>
  <c r="DC353" i="9"/>
  <c r="S64" i="9"/>
  <c r="AB64" i="9"/>
  <c r="BV44" i="9"/>
  <c r="DN556" i="9"/>
  <c r="F209" i="9"/>
  <c r="H187" i="9"/>
  <c r="CG94" i="9"/>
  <c r="DN653" i="9"/>
  <c r="AO107" i="9"/>
  <c r="H603" i="9"/>
  <c r="AO252" i="9"/>
  <c r="AM397" i="9"/>
  <c r="F307" i="9"/>
  <c r="AD88" i="9"/>
  <c r="DN221" i="9"/>
  <c r="AD40" i="9"/>
  <c r="AO355" i="9"/>
  <c r="BV239" i="9"/>
  <c r="AX110" i="9"/>
  <c r="CR94" i="9"/>
  <c r="F349" i="9"/>
  <c r="H241" i="9"/>
  <c r="BK152" i="9"/>
  <c r="DN358" i="9"/>
  <c r="BT467" i="9"/>
  <c r="S28" i="9"/>
  <c r="AM218" i="9"/>
  <c r="CE246" i="9"/>
  <c r="DL59" i="9"/>
  <c r="DL857" i="9"/>
  <c r="DL53" i="9"/>
  <c r="DC140" i="9"/>
  <c r="CP149" i="9"/>
  <c r="CP57" i="9"/>
  <c r="DA302" i="9"/>
  <c r="DN509" i="9"/>
  <c r="DL671" i="9"/>
  <c r="CE108" i="9"/>
  <c r="CE235" i="9"/>
  <c r="DL757" i="9"/>
  <c r="CP138" i="9"/>
  <c r="CR216" i="9"/>
  <c r="CG212" i="9"/>
  <c r="AZ47" i="9"/>
  <c r="DC220" i="9"/>
  <c r="H380" i="9"/>
  <c r="AZ38" i="9"/>
  <c r="DN688" i="9"/>
  <c r="AX34" i="9"/>
  <c r="H207" i="9"/>
  <c r="S105" i="9"/>
  <c r="BK27" i="9"/>
  <c r="CG36" i="9"/>
  <c r="BT267" i="9"/>
  <c r="H71" i="9"/>
  <c r="CE373" i="9"/>
  <c r="AD99" i="9"/>
  <c r="F230" i="9"/>
  <c r="DN698" i="9"/>
  <c r="Q154" i="9"/>
  <c r="S130" i="9"/>
  <c r="F112" i="9"/>
  <c r="AM30" i="9"/>
  <c r="DN684" i="9"/>
  <c r="BK170" i="9"/>
  <c r="F158" i="9"/>
  <c r="H290" i="9"/>
  <c r="H518" i="9"/>
  <c r="CP185" i="9"/>
  <c r="BV133" i="9"/>
  <c r="H543" i="9"/>
  <c r="BT206" i="9"/>
  <c r="F657" i="9"/>
  <c r="DC167" i="9"/>
  <c r="AD69" i="9"/>
  <c r="CG317" i="9"/>
  <c r="H428" i="9"/>
  <c r="AB58" i="9"/>
  <c r="H361" i="9"/>
  <c r="CG379" i="9"/>
  <c r="BV183" i="9"/>
  <c r="DL542" i="9"/>
  <c r="BT390" i="9"/>
  <c r="CG182" i="9"/>
  <c r="DC281" i="9"/>
  <c r="AM357" i="9"/>
  <c r="DL798" i="9"/>
  <c r="BT29" i="9"/>
  <c r="BT297" i="9"/>
  <c r="DL318" i="9"/>
  <c r="AX165" i="9"/>
  <c r="BV30" i="9"/>
  <c r="BV163" i="9"/>
  <c r="AO82" i="9"/>
  <c r="Q173" i="9"/>
  <c r="BV180" i="9"/>
  <c r="BI203" i="9"/>
  <c r="S99" i="9"/>
  <c r="H213" i="9"/>
  <c r="S22" i="9"/>
  <c r="AB84" i="9"/>
  <c r="BI54" i="9"/>
  <c r="H119" i="9"/>
  <c r="AX147" i="9"/>
  <c r="H222" i="9"/>
  <c r="BV212" i="9"/>
  <c r="H410" i="9"/>
  <c r="DL357" i="9"/>
  <c r="F338" i="9"/>
  <c r="CE152" i="9"/>
  <c r="H562" i="9"/>
  <c r="S112" i="9"/>
  <c r="DL408" i="9"/>
  <c r="H328" i="9"/>
  <c r="AB42" i="9"/>
  <c r="H557" i="9"/>
  <c r="F636" i="9"/>
  <c r="DN173" i="9"/>
  <c r="CE181" i="9"/>
  <c r="DN712" i="9"/>
  <c r="H163" i="9"/>
  <c r="AB76" i="9"/>
  <c r="S38" i="9"/>
  <c r="AM49" i="9"/>
  <c r="AO214" i="9"/>
  <c r="BV53" i="9"/>
  <c r="H224" i="9"/>
  <c r="DN524" i="9"/>
  <c r="BV32" i="9"/>
  <c r="CP93" i="9"/>
  <c r="BK147" i="9"/>
  <c r="CG132" i="9"/>
  <c r="AX82" i="9"/>
  <c r="AO409" i="9"/>
  <c r="BT62" i="9"/>
  <c r="F379" i="9"/>
  <c r="AM285" i="9"/>
  <c r="BT285" i="9"/>
  <c r="AZ131" i="9"/>
  <c r="F519" i="9"/>
  <c r="CG292" i="9"/>
  <c r="H314" i="9"/>
  <c r="F306" i="9"/>
  <c r="BT294" i="9"/>
  <c r="F89" i="9"/>
  <c r="H315" i="9"/>
  <c r="H296" i="9"/>
  <c r="Q86" i="9"/>
  <c r="S201" i="9"/>
  <c r="AO383" i="9"/>
  <c r="CG110" i="9"/>
  <c r="CG358" i="9"/>
  <c r="S133" i="9"/>
  <c r="AZ160" i="9"/>
  <c r="BV178" i="9"/>
  <c r="BV301" i="9"/>
  <c r="F320" i="9"/>
  <c r="BI174" i="9"/>
  <c r="BV340" i="9"/>
  <c r="DL293" i="9"/>
  <c r="CG42" i="9"/>
  <c r="H309" i="9"/>
  <c r="Q152" i="9"/>
  <c r="AO232" i="9"/>
  <c r="DL424" i="9"/>
  <c r="H194" i="9"/>
  <c r="DC61" i="9"/>
  <c r="DL530" i="9"/>
  <c r="DL843" i="9"/>
  <c r="DL434" i="9"/>
  <c r="CP143" i="9"/>
  <c r="CP45" i="9"/>
  <c r="BV29" i="9"/>
  <c r="Q196" i="9"/>
  <c r="DC87" i="9"/>
  <c r="DN658" i="9"/>
  <c r="DN878" i="9"/>
  <c r="BV298" i="9"/>
  <c r="BI93" i="9"/>
  <c r="AZ106" i="9"/>
  <c r="CG206" i="9"/>
  <c r="BI223" i="9"/>
  <c r="CG373" i="9"/>
  <c r="AB23" i="9"/>
  <c r="Q208" i="9"/>
  <c r="CE89" i="9"/>
  <c r="BT249" i="9"/>
  <c r="DL40" i="9"/>
  <c r="F592" i="9"/>
  <c r="CR125" i="9"/>
  <c r="H135" i="9"/>
  <c r="DN371" i="9"/>
  <c r="H463" i="9"/>
  <c r="AM54" i="9"/>
  <c r="BV416" i="9"/>
  <c r="BT230" i="9"/>
  <c r="BT424" i="9"/>
  <c r="F388" i="9"/>
  <c r="H418" i="9"/>
  <c r="BV219" i="9"/>
  <c r="BI225" i="9"/>
  <c r="DN206" i="9"/>
  <c r="AO22" i="9"/>
  <c r="BI73" i="9"/>
  <c r="DN673" i="9"/>
  <c r="Q157" i="9"/>
  <c r="AB98" i="9"/>
  <c r="H395" i="9"/>
  <c r="DL425" i="9"/>
  <c r="S170" i="9"/>
  <c r="H198" i="9"/>
  <c r="F673" i="9"/>
  <c r="H411" i="9"/>
  <c r="S151" i="9"/>
  <c r="DA59" i="9"/>
  <c r="DN678" i="9"/>
  <c r="BV388" i="9"/>
  <c r="CG216" i="9"/>
  <c r="DC286" i="9"/>
  <c r="DL335" i="9"/>
  <c r="DC63" i="9"/>
  <c r="S117" i="9"/>
  <c r="AO303" i="9"/>
  <c r="AD50" i="9"/>
  <c r="BT412" i="9"/>
  <c r="AM422" i="9"/>
  <c r="H472" i="9"/>
  <c r="H478" i="9"/>
  <c r="AM224" i="9"/>
  <c r="Q174" i="9"/>
  <c r="DN33" i="9"/>
  <c r="CE367" i="9"/>
  <c r="BV190" i="9"/>
  <c r="BT307" i="9"/>
  <c r="AM405" i="9"/>
  <c r="CG362" i="9"/>
  <c r="AO73" i="9"/>
  <c r="AO266" i="9"/>
  <c r="AZ183" i="9"/>
  <c r="F611" i="9"/>
  <c r="DL717" i="9"/>
  <c r="BV138" i="9"/>
  <c r="H494" i="9"/>
  <c r="BV390" i="9"/>
  <c r="F223" i="9"/>
  <c r="AO332" i="9"/>
  <c r="BT88" i="9"/>
  <c r="BV457" i="9"/>
  <c r="DN178" i="9"/>
  <c r="AO277" i="9"/>
  <c r="H525" i="9"/>
  <c r="CE124" i="9"/>
  <c r="AM174" i="9"/>
  <c r="DL36" i="9"/>
  <c r="H485" i="9"/>
  <c r="AO68" i="9"/>
  <c r="AM290" i="9"/>
  <c r="BT105" i="9"/>
  <c r="DA127" i="9"/>
  <c r="H630" i="9"/>
  <c r="BI198" i="9"/>
  <c r="H85" i="9"/>
  <c r="H295" i="9"/>
  <c r="BV159" i="9"/>
  <c r="F394" i="9"/>
  <c r="CR31" i="9"/>
  <c r="H629" i="9"/>
  <c r="DL765" i="9"/>
  <c r="AD59" i="9"/>
  <c r="CR52" i="9"/>
  <c r="F437" i="9"/>
  <c r="AX156" i="9"/>
  <c r="Q195" i="9"/>
  <c r="F161" i="9"/>
  <c r="DL244" i="9"/>
  <c r="Q205" i="9"/>
  <c r="H671" i="9"/>
  <c r="H215" i="9"/>
  <c r="DC248" i="9"/>
  <c r="DL474" i="9"/>
  <c r="AM353" i="9"/>
  <c r="F102" i="9"/>
  <c r="F239" i="9"/>
  <c r="H373" i="9"/>
  <c r="H239" i="9"/>
  <c r="BK104" i="9"/>
  <c r="BT171" i="9"/>
  <c r="H160" i="9"/>
  <c r="DC94" i="9"/>
  <c r="BK131" i="9"/>
  <c r="DA312" i="9"/>
  <c r="AO328" i="9"/>
  <c r="F285" i="9"/>
  <c r="CP117" i="9"/>
  <c r="AM94" i="9"/>
  <c r="CG389" i="9"/>
  <c r="AZ129" i="9"/>
  <c r="BT191" i="9"/>
  <c r="F64" i="9"/>
  <c r="CE82" i="9"/>
  <c r="F362" i="9"/>
  <c r="F24" i="9"/>
  <c r="DL42" i="9"/>
  <c r="AO171" i="9"/>
  <c r="AZ117" i="9"/>
  <c r="DA107" i="9"/>
  <c r="BT188" i="9"/>
  <c r="BV312" i="9"/>
  <c r="F169" i="9"/>
  <c r="AM332" i="9"/>
  <c r="DL762" i="9"/>
  <c r="BI176" i="9"/>
  <c r="F356" i="9"/>
  <c r="AM311" i="9"/>
  <c r="F475" i="9"/>
  <c r="AO384" i="9"/>
  <c r="S196" i="9"/>
  <c r="F505" i="9"/>
  <c r="BI52" i="9"/>
  <c r="H535" i="9"/>
  <c r="BK112" i="9"/>
  <c r="AD91" i="9"/>
  <c r="F311" i="9"/>
  <c r="S203" i="9"/>
  <c r="AM374" i="9"/>
  <c r="F185" i="9"/>
  <c r="DL189" i="9"/>
  <c r="CE289" i="9"/>
  <c r="H637" i="9"/>
  <c r="Q64" i="9"/>
  <c r="AM64" i="9"/>
  <c r="AD44" i="9"/>
  <c r="S115" i="9"/>
  <c r="BT473" i="9"/>
  <c r="AO286" i="9"/>
  <c r="F643" i="9"/>
  <c r="F108" i="9"/>
  <c r="DN130" i="9"/>
  <c r="DC313" i="9"/>
  <c r="AB95" i="9"/>
  <c r="H623" i="9"/>
  <c r="AO307" i="9"/>
  <c r="BV349" i="9"/>
  <c r="AO292" i="9"/>
  <c r="DN473" i="9"/>
  <c r="H145" i="9"/>
  <c r="AM424" i="9"/>
  <c r="BV359" i="9"/>
  <c r="H337" i="9"/>
  <c r="DN93" i="9"/>
  <c r="BT496" i="9"/>
  <c r="Q130" i="9"/>
  <c r="BV343" i="9"/>
  <c r="H86" i="9"/>
  <c r="F63" i="9"/>
  <c r="DN817" i="9"/>
  <c r="AB69" i="9"/>
  <c r="DL512" i="9"/>
  <c r="AX115" i="9"/>
  <c r="BV305" i="9"/>
  <c r="CG95" i="9"/>
  <c r="AX117" i="9"/>
  <c r="BT399" i="9"/>
  <c r="BI151" i="9"/>
  <c r="BK52" i="9"/>
  <c r="Q88" i="9"/>
  <c r="CE227" i="9"/>
  <c r="BT485" i="9"/>
  <c r="Q191" i="9"/>
  <c r="H147" i="9"/>
  <c r="H574" i="9"/>
  <c r="CE103" i="9"/>
  <c r="H52" i="9"/>
  <c r="AM293" i="9"/>
  <c r="AX47" i="9"/>
  <c r="H118" i="9"/>
  <c r="F30" i="9"/>
  <c r="CE83" i="9"/>
  <c r="AM69" i="9"/>
  <c r="H36" i="9"/>
  <c r="BT314" i="9"/>
  <c r="H184" i="9"/>
  <c r="BV487" i="9"/>
  <c r="AX161" i="9"/>
  <c r="AO420" i="9"/>
  <c r="AX191" i="9"/>
  <c r="AM333" i="9"/>
  <c r="AD22" i="9"/>
  <c r="S54" i="9"/>
  <c r="BT374" i="9"/>
  <c r="DL887" i="9"/>
  <c r="H575" i="9"/>
  <c r="BK182" i="9"/>
  <c r="S25" i="9"/>
  <c r="CE338" i="9"/>
  <c r="H360" i="9"/>
  <c r="DC128" i="9"/>
  <c r="AB91" i="9"/>
  <c r="Q50" i="9"/>
  <c r="AX160" i="9"/>
  <c r="AO74" i="9"/>
  <c r="BT32" i="9"/>
  <c r="AZ139" i="9"/>
  <c r="F274" i="9"/>
  <c r="AM358" i="9"/>
  <c r="CG196" i="9"/>
  <c r="F637" i="9"/>
  <c r="BI172" i="9"/>
  <c r="F268" i="9"/>
  <c r="AZ172" i="9"/>
  <c r="BT462" i="9"/>
  <c r="DL539" i="9"/>
  <c r="F472" i="9"/>
  <c r="AX45" i="9"/>
  <c r="BV299" i="9"/>
  <c r="BT338" i="9"/>
  <c r="BK25" i="9"/>
  <c r="DL252" i="9"/>
  <c r="AM242" i="9"/>
  <c r="H114" i="9"/>
  <c r="BV202" i="9"/>
  <c r="CG154" i="9"/>
  <c r="AM140" i="9"/>
  <c r="F220" i="9"/>
  <c r="AM276" i="9"/>
  <c r="BT48" i="9"/>
  <c r="CE264" i="9"/>
  <c r="DL464" i="9"/>
  <c r="DN726" i="9"/>
  <c r="BT480" i="9"/>
  <c r="H307" i="9"/>
  <c r="AM372" i="9"/>
  <c r="H408" i="9"/>
  <c r="BT174" i="9"/>
  <c r="DN824" i="9"/>
  <c r="DN284" i="9"/>
  <c r="CG285" i="9"/>
  <c r="F373" i="9"/>
  <c r="BT138" i="9"/>
  <c r="AM55" i="9"/>
  <c r="DL439" i="9"/>
  <c r="Q39" i="9"/>
  <c r="AZ163" i="9"/>
  <c r="F417" i="9"/>
  <c r="AM98" i="9"/>
  <c r="AZ153" i="9"/>
  <c r="DL403" i="9"/>
  <c r="F299" i="9"/>
  <c r="AM288" i="9"/>
  <c r="F509" i="9"/>
  <c r="DL883" i="9"/>
  <c r="CG417" i="9"/>
  <c r="BT346" i="9"/>
  <c r="H529" i="9"/>
  <c r="H512" i="9"/>
  <c r="BV257" i="9"/>
  <c r="S109" i="9"/>
  <c r="F219" i="9"/>
  <c r="DA169" i="9"/>
  <c r="S123" i="9"/>
  <c r="AZ83" i="9"/>
  <c r="BV136" i="9"/>
  <c r="BK123" i="9"/>
  <c r="F418" i="9"/>
  <c r="H347" i="9"/>
  <c r="F68" i="9"/>
  <c r="BT268" i="9"/>
  <c r="BV492" i="9"/>
  <c r="F211" i="9"/>
  <c r="AD37" i="9"/>
  <c r="CE402" i="9"/>
  <c r="H654" i="9"/>
  <c r="BK203" i="9"/>
  <c r="DC162" i="9"/>
  <c r="BK179" i="9"/>
  <c r="DA318" i="9"/>
  <c r="Q172" i="9"/>
  <c r="DL611" i="9"/>
  <c r="S147" i="9"/>
  <c r="AX56" i="9"/>
  <c r="BI188" i="9"/>
  <c r="BV395" i="9"/>
  <c r="BT99" i="9"/>
  <c r="H226" i="9"/>
  <c r="AZ158" i="9"/>
  <c r="DL760" i="9"/>
  <c r="AB25" i="9"/>
  <c r="AZ81" i="9"/>
  <c r="F533" i="9"/>
  <c r="Q79" i="9"/>
  <c r="AZ133" i="9"/>
  <c r="AM287" i="9"/>
  <c r="H466" i="9"/>
  <c r="H200" i="9"/>
  <c r="AM41" i="9"/>
  <c r="F355" i="9"/>
  <c r="H308" i="9"/>
  <c r="DN146" i="9"/>
  <c r="AO184" i="9"/>
  <c r="BV459" i="9"/>
  <c r="F495" i="9"/>
  <c r="AM112" i="9"/>
  <c r="DA207" i="9"/>
  <c r="AM252" i="9"/>
  <c r="F45" i="9"/>
  <c r="S184" i="9"/>
  <c r="AO99" i="9"/>
  <c r="F407" i="9"/>
  <c r="BT396" i="9"/>
  <c r="CR124" i="9"/>
  <c r="H356" i="9"/>
  <c r="DL209" i="9"/>
  <c r="F576" i="9"/>
  <c r="CG326" i="9"/>
  <c r="F208" i="9"/>
  <c r="H635" i="9"/>
  <c r="BV263" i="9"/>
  <c r="BT449" i="9"/>
  <c r="Q58" i="9"/>
  <c r="H342" i="9"/>
  <c r="H339" i="9"/>
  <c r="H174" i="9"/>
  <c r="AO200" i="9"/>
  <c r="S160" i="9"/>
  <c r="F532" i="9"/>
  <c r="BT215" i="9"/>
  <c r="BV405" i="9"/>
  <c r="S138" i="9"/>
  <c r="H112" i="9"/>
  <c r="CP26" i="9"/>
  <c r="H159" i="9"/>
  <c r="CG163" i="9"/>
  <c r="AM117" i="9"/>
  <c r="BK67" i="9"/>
  <c r="Q136" i="9"/>
  <c r="F53" i="9"/>
  <c r="CG306" i="9"/>
  <c r="H169" i="9"/>
  <c r="F253" i="9"/>
  <c r="F461" i="9"/>
  <c r="S126" i="9"/>
  <c r="DN676" i="9"/>
  <c r="AX162" i="9"/>
  <c r="CG366" i="9"/>
  <c r="DN296" i="9"/>
  <c r="AO318" i="9"/>
  <c r="BV321" i="9"/>
  <c r="BV378" i="9"/>
  <c r="DA142" i="9"/>
  <c r="H284" i="9"/>
  <c r="BK103" i="9"/>
  <c r="DC263" i="9"/>
  <c r="CG357" i="9"/>
  <c r="BV465" i="9"/>
  <c r="BV274" i="9"/>
  <c r="AM198" i="9"/>
  <c r="DL99" i="9"/>
  <c r="BI152" i="9"/>
  <c r="CG40" i="9"/>
  <c r="CE344" i="9"/>
  <c r="H29" i="9"/>
  <c r="CG429" i="9"/>
  <c r="DC234" i="9"/>
  <c r="BI117" i="9"/>
  <c r="S165" i="9"/>
  <c r="F72" i="9"/>
  <c r="DL568" i="9"/>
  <c r="AO132" i="9"/>
  <c r="CR157" i="9"/>
  <c r="AX163" i="9"/>
  <c r="BT272" i="9"/>
  <c r="BV141" i="9"/>
  <c r="H399" i="9"/>
  <c r="F332" i="9"/>
  <c r="S155" i="9"/>
  <c r="DN478" i="9"/>
  <c r="CG396" i="9"/>
  <c r="BI213" i="9"/>
  <c r="DC104" i="9"/>
  <c r="Q57" i="9"/>
  <c r="Q109" i="9"/>
  <c r="AM158" i="9"/>
  <c r="BV73" i="9"/>
  <c r="DN753" i="9"/>
  <c r="DA350" i="9"/>
  <c r="DN707" i="9"/>
  <c r="AB82" i="9"/>
  <c r="AO217" i="9"/>
  <c r="S144" i="9"/>
  <c r="BV153" i="9"/>
  <c r="S145" i="9"/>
  <c r="F603" i="9"/>
  <c r="BV311" i="9"/>
  <c r="AO104" i="9"/>
  <c r="S84" i="9"/>
  <c r="BT184" i="9"/>
  <c r="DC243" i="9"/>
  <c r="F632" i="9"/>
  <c r="AM381" i="9"/>
  <c r="H551" i="9"/>
  <c r="BK95" i="9"/>
  <c r="CE96" i="9"/>
  <c r="BV290" i="9"/>
  <c r="AO295" i="9"/>
  <c r="AO213" i="9"/>
  <c r="BT231" i="9"/>
  <c r="DL404" i="9"/>
  <c r="AM197" i="9"/>
  <c r="CR115" i="9"/>
  <c r="F114" i="9"/>
  <c r="H498" i="9"/>
  <c r="BT160" i="9"/>
  <c r="AM159" i="9"/>
  <c r="S210" i="9"/>
  <c r="DN702" i="9"/>
  <c r="Q69" i="9"/>
  <c r="Q144" i="9"/>
  <c r="BI175" i="9"/>
  <c r="DN376" i="9"/>
  <c r="Q23" i="9"/>
  <c r="AM51" i="9"/>
  <c r="DL327" i="9"/>
  <c r="AB53" i="9"/>
  <c r="H646" i="9"/>
  <c r="CG281" i="9"/>
  <c r="BK99" i="9"/>
  <c r="BT373" i="9"/>
  <c r="BT371" i="9"/>
  <c r="BI30" i="9"/>
  <c r="S107" i="9"/>
  <c r="AX125" i="9"/>
  <c r="AM339" i="9"/>
  <c r="BT181" i="9"/>
  <c r="DN350" i="9"/>
  <c r="BV374" i="9"/>
  <c r="F61" i="9"/>
  <c r="F26" i="9"/>
  <c r="F162" i="9"/>
  <c r="AZ109" i="9"/>
  <c r="BV88" i="9"/>
  <c r="Q194" i="9"/>
  <c r="DC118" i="9"/>
  <c r="F51" i="9"/>
  <c r="DN151" i="9"/>
  <c r="DL288" i="9"/>
  <c r="Q126" i="9"/>
  <c r="BI50" i="9"/>
  <c r="H133" i="9"/>
  <c r="DA129" i="9"/>
  <c r="AO72" i="9"/>
  <c r="H539" i="9"/>
  <c r="DC111" i="9"/>
  <c r="F446" i="9"/>
  <c r="AZ65" i="9"/>
  <c r="BV102" i="9"/>
  <c r="AB80" i="9"/>
  <c r="AX36" i="9"/>
  <c r="H608" i="9"/>
  <c r="DL48" i="9"/>
  <c r="DL200" i="9"/>
  <c r="BV423" i="9"/>
  <c r="DL704" i="9"/>
  <c r="S73" i="9"/>
  <c r="CP81" i="9"/>
  <c r="DN608" i="9"/>
  <c r="BV119" i="9"/>
  <c r="AB27" i="9"/>
  <c r="CP156" i="9"/>
  <c r="BT302" i="9"/>
  <c r="BV225" i="9"/>
  <c r="F409" i="9"/>
  <c r="DC311" i="9"/>
  <c r="AM314" i="9"/>
  <c r="DC103" i="9"/>
  <c r="BK135" i="9"/>
  <c r="H634" i="9"/>
  <c r="DL274" i="9"/>
  <c r="F260" i="9"/>
  <c r="DN864" i="9"/>
  <c r="BT226" i="9"/>
  <c r="F493" i="9"/>
  <c r="S220" i="9"/>
  <c r="BI125" i="9"/>
  <c r="H526" i="9"/>
  <c r="F425" i="9"/>
  <c r="S44" i="9"/>
  <c r="DC202" i="9"/>
  <c r="BV145" i="9"/>
  <c r="CG188" i="9"/>
  <c r="DN871" i="9"/>
  <c r="CP209" i="9"/>
  <c r="H132" i="9"/>
  <c r="S29" i="9"/>
  <c r="BT291" i="9"/>
  <c r="CE66" i="9"/>
  <c r="AM377" i="9"/>
  <c r="DA144" i="9"/>
  <c r="F41" i="9"/>
  <c r="F292" i="9"/>
  <c r="S68" i="9"/>
  <c r="AO245" i="9"/>
  <c r="BV98" i="9"/>
  <c r="AX167" i="9"/>
  <c r="F263" i="9"/>
  <c r="AD78" i="9"/>
  <c r="DN402" i="9"/>
  <c r="BV360" i="9"/>
  <c r="H419" i="9"/>
  <c r="DN813" i="9"/>
  <c r="AO253" i="9"/>
  <c r="H599" i="9"/>
  <c r="AO405" i="9"/>
  <c r="AX102" i="9"/>
  <c r="AO313" i="9"/>
  <c r="Q151" i="9"/>
  <c r="AM196" i="9"/>
  <c r="F391" i="9"/>
  <c r="AO90" i="9"/>
  <c r="BI164" i="9"/>
  <c r="H385" i="9"/>
  <c r="AX77" i="9"/>
  <c r="AZ45" i="9"/>
  <c r="AO274" i="9"/>
  <c r="S116" i="9"/>
  <c r="CE116" i="9"/>
  <c r="AM232" i="9"/>
  <c r="AZ140" i="9"/>
  <c r="AM223" i="9"/>
  <c r="Q113" i="9"/>
  <c r="Q83" i="9"/>
  <c r="AO50" i="9"/>
  <c r="BT335" i="9"/>
  <c r="F240" i="9"/>
  <c r="AX24" i="9"/>
  <c r="H433" i="9"/>
  <c r="BT484" i="9"/>
  <c r="H667" i="9"/>
  <c r="CG363" i="9"/>
  <c r="DA226" i="9"/>
  <c r="H573" i="9"/>
  <c r="H298" i="9"/>
  <c r="H403" i="9"/>
  <c r="BV209" i="9"/>
  <c r="BV484" i="9"/>
  <c r="DN799" i="9"/>
  <c r="DA155" i="9"/>
  <c r="DN589" i="9"/>
  <c r="F455" i="9"/>
  <c r="BV118" i="9"/>
  <c r="F168" i="9"/>
  <c r="BT316" i="9"/>
  <c r="S168" i="9"/>
  <c r="H349" i="9"/>
  <c r="H152" i="9"/>
  <c r="F249" i="9"/>
  <c r="F403" i="9"/>
  <c r="AO182" i="9"/>
  <c r="H470" i="9"/>
  <c r="AO289" i="9"/>
  <c r="AZ149" i="9"/>
  <c r="CP148" i="9"/>
  <c r="DN125" i="9"/>
  <c r="AM366" i="9"/>
  <c r="F43" i="9"/>
  <c r="H123" i="9"/>
  <c r="BI105" i="9"/>
  <c r="AX87" i="9"/>
  <c r="H103" i="9"/>
  <c r="AO372" i="9"/>
  <c r="F656" i="9"/>
  <c r="F226" i="9"/>
  <c r="DL394" i="9"/>
  <c r="H514" i="9"/>
  <c r="AX119" i="9"/>
  <c r="S79" i="9"/>
  <c r="F402" i="9"/>
  <c r="H286" i="9"/>
  <c r="BV385" i="9"/>
  <c r="AX59" i="9"/>
  <c r="DC269" i="9"/>
  <c r="S119" i="9"/>
  <c r="DL739" i="9"/>
  <c r="H609" i="9"/>
  <c r="BT438" i="9"/>
  <c r="BT153" i="9"/>
  <c r="DN436" i="9"/>
  <c r="CR212" i="9"/>
  <c r="BV264" i="9"/>
  <c r="BV135" i="9"/>
  <c r="DL548" i="9"/>
  <c r="CG397" i="9"/>
  <c r="F245" i="9"/>
  <c r="AM409" i="9"/>
  <c r="H137" i="9"/>
  <c r="AO246" i="9"/>
  <c r="H91" i="9"/>
  <c r="H624" i="9"/>
  <c r="BT100" i="9"/>
  <c r="Q111" i="9"/>
  <c r="BV113" i="9"/>
  <c r="CE424" i="9"/>
  <c r="DL841" i="9"/>
  <c r="H185" i="9"/>
  <c r="S127" i="9"/>
  <c r="F199" i="9"/>
  <c r="H242" i="9"/>
  <c r="AX50" i="9"/>
  <c r="BV105" i="9"/>
  <c r="F617" i="9"/>
  <c r="F301" i="9"/>
  <c r="AO108" i="9"/>
  <c r="F193" i="9"/>
  <c r="AO118" i="9"/>
  <c r="F25" i="9"/>
  <c r="H311" i="9"/>
  <c r="DN72" i="9"/>
  <c r="BV99" i="9"/>
  <c r="S136" i="9"/>
  <c r="F435" i="9"/>
  <c r="Q101" i="9"/>
  <c r="DA251" i="9"/>
  <c r="BK221" i="9"/>
  <c r="BT151" i="9"/>
  <c r="BV203" i="9"/>
  <c r="AO322" i="9"/>
  <c r="DC78" i="9"/>
  <c r="BV139" i="9"/>
  <c r="AX42" i="9"/>
  <c r="F251" i="9"/>
  <c r="BK207" i="9"/>
  <c r="BI75" i="9"/>
  <c r="H585" i="9"/>
  <c r="S199" i="9"/>
  <c r="H627" i="9"/>
  <c r="F441" i="9"/>
  <c r="BK149" i="9"/>
  <c r="DN263" i="9"/>
  <c r="BV368" i="9"/>
  <c r="AZ144" i="9"/>
  <c r="AM207" i="9"/>
  <c r="BV103" i="9"/>
  <c r="DN101" i="9"/>
  <c r="DN496" i="9"/>
  <c r="BV238" i="9"/>
  <c r="AX63" i="9"/>
  <c r="CE218" i="9"/>
  <c r="F652" i="9"/>
  <c r="CE180" i="9"/>
  <c r="BT257" i="9"/>
  <c r="F73" i="9"/>
  <c r="CP194" i="9"/>
  <c r="AZ27" i="9"/>
  <c r="H257" i="9"/>
  <c r="BV367" i="9"/>
  <c r="H253" i="9"/>
  <c r="BT129" i="9"/>
  <c r="F297" i="9"/>
  <c r="H266" i="9"/>
  <c r="F87" i="9"/>
  <c r="BT239" i="9"/>
  <c r="AO285" i="9"/>
  <c r="DL164" i="9"/>
  <c r="S164" i="9"/>
  <c r="F65" i="9"/>
  <c r="CE262" i="9"/>
  <c r="H232" i="9"/>
  <c r="H674" i="9"/>
  <c r="BT312" i="9"/>
  <c r="DN527" i="9"/>
  <c r="Q147" i="9"/>
  <c r="AM149" i="9"/>
  <c r="F56" i="9"/>
  <c r="AM245" i="9"/>
  <c r="F235" i="9"/>
  <c r="DL812" i="9"/>
  <c r="F573" i="9"/>
  <c r="F78" i="9"/>
  <c r="BT152" i="9"/>
  <c r="H316" i="9"/>
  <c r="AM56" i="9"/>
  <c r="H275" i="9"/>
  <c r="F473" i="9"/>
  <c r="AZ110" i="9"/>
  <c r="BT497" i="9"/>
  <c r="BI96" i="9"/>
  <c r="CE128" i="9"/>
  <c r="DN737" i="9"/>
  <c r="AM111" i="9"/>
  <c r="CG310" i="9"/>
  <c r="H662" i="9"/>
  <c r="H619" i="9"/>
  <c r="AD29" i="9"/>
  <c r="H87" i="9"/>
  <c r="DN646" i="9"/>
  <c r="AO144" i="9"/>
  <c r="F390" i="9"/>
  <c r="AO333" i="9"/>
  <c r="F241" i="9"/>
  <c r="AO269" i="9"/>
  <c r="BK165" i="9"/>
  <c r="AO363" i="9"/>
  <c r="CG91" i="9"/>
  <c r="F634" i="9"/>
  <c r="H249" i="9"/>
  <c r="AZ184" i="9"/>
  <c r="H406" i="9"/>
  <c r="BT205" i="9"/>
  <c r="BV273" i="9"/>
  <c r="DL638" i="9"/>
  <c r="CR60" i="9"/>
  <c r="BT405" i="9"/>
  <c r="CG340" i="9"/>
  <c r="BT27" i="9"/>
  <c r="H143" i="9"/>
  <c r="CE171" i="9"/>
  <c r="BV400" i="9"/>
  <c r="F243" i="9"/>
  <c r="AO283" i="9"/>
  <c r="Q216" i="9"/>
  <c r="DN888" i="9"/>
  <c r="CE372" i="9"/>
  <c r="Q162" i="9"/>
  <c r="AO124" i="9"/>
  <c r="AM428" i="9"/>
  <c r="F120" i="9"/>
  <c r="DC25" i="9"/>
  <c r="DL614" i="9"/>
  <c r="CE160" i="9"/>
  <c r="BV144" i="9"/>
  <c r="BV370" i="9"/>
  <c r="AZ137" i="9"/>
  <c r="BT355" i="9"/>
  <c r="DN784" i="9"/>
  <c r="AZ188" i="9"/>
  <c r="BV259" i="9"/>
  <c r="BK64" i="9"/>
  <c r="H22" i="9"/>
  <c r="AO101" i="9"/>
  <c r="H369" i="9"/>
  <c r="S162" i="9"/>
  <c r="CE243" i="9"/>
  <c r="AB63" i="9"/>
  <c r="AM188" i="9"/>
  <c r="BV235" i="9"/>
  <c r="CG426" i="9"/>
  <c r="F438" i="9"/>
  <c r="DA209" i="9"/>
  <c r="F549" i="9"/>
  <c r="DN268" i="9"/>
  <c r="AO310" i="9"/>
  <c r="AZ24" i="9"/>
  <c r="BV422" i="9"/>
  <c r="BV441" i="9"/>
  <c r="DL475" i="9"/>
  <c r="CP64" i="9"/>
  <c r="AX39" i="9"/>
  <c r="Q62" i="9"/>
  <c r="BT426" i="9"/>
  <c r="DC336" i="9"/>
  <c r="BK121" i="9"/>
  <c r="F389" i="9"/>
  <c r="BT419" i="9"/>
  <c r="F194" i="9"/>
  <c r="AM84" i="9"/>
  <c r="BI209" i="9"/>
  <c r="F134" i="9"/>
  <c r="F137" i="9"/>
  <c r="BV27" i="9"/>
  <c r="AZ116" i="9"/>
  <c r="DL354" i="9"/>
  <c r="CR97" i="9"/>
  <c r="F234" i="9"/>
  <c r="H63" i="9"/>
  <c r="Q51" i="9"/>
  <c r="BK190" i="9"/>
  <c r="BV143" i="9"/>
  <c r="F141" i="9"/>
  <c r="AX152" i="9"/>
  <c r="BV210" i="9"/>
  <c r="DC341" i="9"/>
  <c r="H322" i="9"/>
  <c r="H310" i="9"/>
  <c r="AO77" i="9"/>
  <c r="H592" i="9"/>
  <c r="H665" i="9"/>
  <c r="F594" i="9"/>
  <c r="BI200" i="9"/>
  <c r="H99" i="9"/>
  <c r="F471" i="9"/>
  <c r="H237" i="9"/>
  <c r="BV65" i="9"/>
  <c r="F540" i="9"/>
  <c r="AB73" i="9"/>
  <c r="CE59" i="9"/>
  <c r="H580" i="9"/>
  <c r="S139" i="9"/>
  <c r="H164" i="9"/>
  <c r="F488" i="9"/>
  <c r="F259" i="9"/>
  <c r="AZ61" i="9"/>
  <c r="DC339" i="9"/>
  <c r="F279" i="9"/>
  <c r="F595" i="9"/>
  <c r="AO219" i="9"/>
  <c r="BT407" i="9"/>
  <c r="S150" i="9"/>
  <c r="DC170" i="9"/>
  <c r="BT131" i="9"/>
  <c r="AM164" i="9"/>
  <c r="AO62" i="9"/>
  <c r="AZ59" i="9"/>
  <c r="H270" i="9"/>
  <c r="AM184" i="9"/>
  <c r="H545" i="9"/>
  <c r="AM308" i="9"/>
  <c r="AX78" i="9"/>
  <c r="AO89" i="9"/>
  <c r="DN649" i="9"/>
  <c r="F214" i="9"/>
  <c r="AZ166" i="9"/>
  <c r="CG303" i="9"/>
  <c r="BK188" i="9"/>
  <c r="F494" i="9"/>
  <c r="AZ123" i="9"/>
  <c r="DN629" i="9"/>
  <c r="BV420" i="9"/>
  <c r="AM317" i="9"/>
  <c r="CP153" i="9"/>
  <c r="BT394" i="9"/>
  <c r="AX111" i="9"/>
  <c r="H508" i="9"/>
  <c r="Q192" i="9"/>
  <c r="DN523" i="9"/>
  <c r="S190" i="9"/>
  <c r="F289" i="9"/>
  <c r="DA85" i="9"/>
  <c r="F588" i="9"/>
  <c r="BV82" i="9"/>
  <c r="CG267" i="9"/>
  <c r="BV191" i="9"/>
  <c r="CR204" i="9"/>
  <c r="BT189" i="9"/>
  <c r="BI27" i="9"/>
  <c r="BV406" i="9"/>
  <c r="AO299" i="9"/>
  <c r="H211" i="9"/>
  <c r="BI80" i="9"/>
  <c r="BI147" i="9"/>
  <c r="DL777" i="9"/>
  <c r="F557" i="9"/>
  <c r="S111" i="9"/>
  <c r="CE200" i="9"/>
  <c r="F470" i="9"/>
  <c r="F88" i="9"/>
  <c r="DL79" i="9"/>
  <c r="AO327" i="9"/>
  <c r="CG99" i="9"/>
  <c r="AM146" i="9"/>
  <c r="AM27" i="9"/>
  <c r="H576" i="9"/>
  <c r="H414" i="9"/>
  <c r="F428" i="9"/>
  <c r="BT221" i="9"/>
  <c r="DA345" i="9"/>
  <c r="CG142" i="9"/>
  <c r="F413" i="9"/>
  <c r="S129" i="9"/>
  <c r="H493" i="9"/>
  <c r="BK184" i="9"/>
  <c r="BT207" i="9"/>
  <c r="F175" i="9"/>
  <c r="AM222" i="9"/>
  <c r="BT49" i="9"/>
  <c r="F147" i="9"/>
  <c r="DN517" i="9"/>
  <c r="BT368" i="9"/>
  <c r="F458" i="9"/>
  <c r="AM186" i="9"/>
  <c r="CE220" i="9"/>
  <c r="H146" i="9"/>
  <c r="DC360" i="9"/>
  <c r="F236" i="9"/>
  <c r="DN879" i="9"/>
  <c r="F360" i="9"/>
  <c r="CE164" i="9"/>
  <c r="F365" i="9"/>
  <c r="AZ97" i="9"/>
  <c r="BT465" i="9"/>
  <c r="BK42" i="9"/>
  <c r="BT25" i="9"/>
  <c r="AZ89" i="9"/>
  <c r="F150" i="9"/>
  <c r="AO422" i="9"/>
  <c r="H348" i="9"/>
  <c r="AO151" i="9"/>
  <c r="S102" i="9"/>
  <c r="AM427" i="9"/>
  <c r="BT279" i="9"/>
  <c r="DA265" i="9"/>
  <c r="F439" i="9"/>
  <c r="S23" i="9"/>
  <c r="H486" i="9"/>
  <c r="DL723" i="9"/>
  <c r="AM62" i="9"/>
  <c r="BT444" i="9"/>
  <c r="AO75" i="9"/>
  <c r="CG201" i="9"/>
  <c r="AO279" i="9"/>
  <c r="BK63" i="9"/>
  <c r="F408" i="9"/>
  <c r="H83" i="9"/>
  <c r="AZ58" i="9"/>
  <c r="BV387" i="9"/>
  <c r="CR23" i="9"/>
  <c r="H655" i="9"/>
  <c r="F464" i="9"/>
  <c r="F436" i="9"/>
  <c r="AO329" i="9"/>
  <c r="BI197" i="9"/>
  <c r="S163" i="9"/>
  <c r="AO95" i="9"/>
  <c r="BT372" i="9"/>
  <c r="AX179" i="9"/>
  <c r="BT292" i="9"/>
  <c r="H664" i="9"/>
  <c r="H94" i="9"/>
  <c r="H199" i="9"/>
  <c r="BT331" i="9"/>
  <c r="AX48" i="9"/>
  <c r="H610" i="9"/>
  <c r="AM362" i="9"/>
  <c r="BT95" i="9"/>
  <c r="F164" i="9"/>
  <c r="BV506" i="9"/>
  <c r="AZ37" i="9"/>
  <c r="H265" i="9"/>
  <c r="Q71" i="9"/>
  <c r="AB36" i="9"/>
  <c r="F29" i="9"/>
  <c r="H125" i="9"/>
  <c r="AM278" i="9"/>
  <c r="DL910" i="9"/>
  <c r="BT248" i="9"/>
  <c r="H407" i="9"/>
  <c r="AO336" i="9"/>
  <c r="AZ41" i="9"/>
  <c r="CP33" i="9"/>
  <c r="CG153" i="9"/>
  <c r="AD80" i="9"/>
  <c r="AM165" i="9"/>
  <c r="AZ50" i="9"/>
  <c r="AZ72" i="9"/>
  <c r="F487" i="9"/>
  <c r="AD52" i="9"/>
  <c r="AZ165" i="9"/>
  <c r="H25" i="9"/>
  <c r="AO415" i="9"/>
  <c r="F459" i="9"/>
  <c r="AM396" i="9"/>
  <c r="BV463" i="9"/>
  <c r="F452" i="9"/>
  <c r="AM162" i="9"/>
  <c r="CG350" i="9"/>
  <c r="BV428" i="9"/>
  <c r="BV353" i="9"/>
  <c r="F674" i="9"/>
  <c r="AO64" i="9"/>
  <c r="F420" i="9"/>
  <c r="H264" i="9"/>
  <c r="F166" i="9"/>
  <c r="F615" i="9"/>
  <c r="BT80" i="9"/>
  <c r="BT460" i="9"/>
  <c r="F449" i="9"/>
  <c r="BK177" i="9"/>
  <c r="AM335" i="9"/>
  <c r="H66" i="9"/>
  <c r="F103" i="9"/>
  <c r="AM354" i="9"/>
  <c r="F302" i="9"/>
  <c r="F608" i="9"/>
  <c r="DN112" i="9"/>
  <c r="AX131" i="9"/>
  <c r="F92" i="9"/>
  <c r="H228" i="9"/>
  <c r="BT366" i="9"/>
  <c r="S63" i="9"/>
  <c r="AX29" i="9"/>
  <c r="H568" i="9"/>
  <c r="AX137" i="9"/>
  <c r="F491" i="9"/>
  <c r="CP221" i="9"/>
  <c r="BI167" i="9"/>
  <c r="AO300" i="9"/>
  <c r="CG43" i="9"/>
  <c r="F490" i="9"/>
  <c r="Q155" i="9"/>
  <c r="H405" i="9"/>
  <c r="BK120" i="9"/>
  <c r="CR95" i="9"/>
  <c r="DL114" i="9"/>
  <c r="AM412" i="9"/>
  <c r="BI122" i="9"/>
  <c r="S56" i="9"/>
  <c r="BT117" i="9"/>
  <c r="H620" i="9"/>
  <c r="CG148" i="9"/>
  <c r="H41" i="9"/>
  <c r="CE158" i="9"/>
  <c r="BV315" i="9"/>
  <c r="DL285" i="9"/>
  <c r="CR168" i="9"/>
  <c r="AO27" i="9"/>
  <c r="F180" i="9"/>
  <c r="BV355" i="9"/>
  <c r="AM299" i="9"/>
  <c r="DL537" i="9"/>
  <c r="DN318" i="9"/>
  <c r="AB49" i="9"/>
  <c r="AM307" i="9"/>
  <c r="F313" i="9"/>
  <c r="AO175" i="9"/>
  <c r="AD57" i="9"/>
  <c r="BT253" i="9"/>
  <c r="Q42" i="9"/>
  <c r="F336" i="9"/>
  <c r="BI181" i="9"/>
  <c r="BK102" i="9"/>
  <c r="BK77" i="9"/>
  <c r="BI90" i="9"/>
  <c r="BK113" i="9"/>
  <c r="BV306" i="9"/>
  <c r="AZ120" i="9"/>
  <c r="DL769" i="9"/>
  <c r="H451" i="9"/>
  <c r="Q22" i="9"/>
  <c r="BK53" i="9"/>
  <c r="AM139" i="9"/>
  <c r="BI204" i="9"/>
  <c r="BV265" i="9"/>
  <c r="AX141" i="9"/>
  <c r="H581" i="9"/>
  <c r="AO26" i="9"/>
  <c r="AZ25" i="9"/>
  <c r="DA308" i="9"/>
  <c r="F480" i="9"/>
  <c r="H104" i="9"/>
  <c r="CE229" i="9"/>
  <c r="H566" i="9"/>
  <c r="CG204" i="9"/>
  <c r="H509" i="9"/>
  <c r="BV247" i="9"/>
  <c r="CE67" i="9"/>
  <c r="DN156" i="9"/>
  <c r="F46" i="9"/>
  <c r="DC52" i="9"/>
  <c r="H391" i="9"/>
  <c r="S42" i="9"/>
  <c r="Q131" i="9"/>
  <c r="F369" i="9"/>
  <c r="AO204" i="9"/>
  <c r="AX176" i="9"/>
  <c r="BV256" i="9"/>
  <c r="H55" i="9"/>
  <c r="F524" i="9"/>
  <c r="F207" i="9"/>
  <c r="S91" i="9"/>
  <c r="BI83" i="9"/>
  <c r="F492" i="9"/>
  <c r="F591" i="9"/>
  <c r="F213" i="9"/>
  <c r="H400" i="9"/>
  <c r="BK137" i="9"/>
  <c r="AX130" i="9"/>
  <c r="AM181" i="9"/>
  <c r="F59" i="9"/>
  <c r="Q166" i="9"/>
  <c r="BT464" i="9"/>
  <c r="CG225" i="9"/>
  <c r="DN644" i="9"/>
  <c r="F227" i="9"/>
  <c r="BV97" i="9"/>
  <c r="CE212" i="9"/>
  <c r="F177" i="9"/>
  <c r="AX107" i="9"/>
  <c r="AB31" i="9"/>
  <c r="DC208" i="9"/>
  <c r="AO361" i="9"/>
  <c r="CG128" i="9"/>
  <c r="DA252" i="9"/>
  <c r="F485" i="9"/>
  <c r="AM145" i="9"/>
  <c r="H475" i="9"/>
  <c r="F672" i="9"/>
  <c r="DA215" i="9"/>
  <c r="BI118" i="9"/>
  <c r="AM375" i="9"/>
  <c r="AO25" i="9"/>
  <c r="AX182" i="9"/>
  <c r="CG135" i="9"/>
  <c r="H313" i="9"/>
  <c r="DL604" i="9"/>
  <c r="H140" i="9"/>
  <c r="F93" i="9"/>
  <c r="H46" i="9"/>
  <c r="BK193" i="9"/>
  <c r="F415" i="9"/>
  <c r="AM154" i="9"/>
  <c r="H263" i="9"/>
  <c r="BI146" i="9"/>
  <c r="BK194" i="9"/>
  <c r="AO341" i="9"/>
  <c r="BT454" i="9"/>
  <c r="AO83" i="9"/>
  <c r="DA77" i="9"/>
  <c r="DC254" i="9"/>
  <c r="BT134" i="9"/>
  <c r="DL740" i="9"/>
  <c r="CE183" i="9"/>
  <c r="AB22" i="9"/>
  <c r="AO155" i="9"/>
  <c r="BT278" i="9"/>
  <c r="AX44" i="9"/>
  <c r="H258" i="9"/>
  <c r="F143" i="9"/>
  <c r="AO339" i="9"/>
  <c r="AZ71" i="9"/>
  <c r="CE389" i="9"/>
  <c r="BT429" i="9"/>
  <c r="AO393" i="9"/>
  <c r="DL793" i="9"/>
  <c r="H259" i="9"/>
  <c r="AB74" i="9"/>
  <c r="AM95" i="9"/>
  <c r="BT275" i="9"/>
  <c r="BI113" i="9"/>
  <c r="DC359" i="9"/>
  <c r="CR108" i="9"/>
  <c r="S206" i="9"/>
  <c r="DA165" i="9"/>
  <c r="DL517" i="9"/>
  <c r="AX109" i="9"/>
  <c r="H355" i="9"/>
  <c r="AO158" i="9"/>
  <c r="AM241" i="9"/>
  <c r="H660" i="9"/>
  <c r="F132" i="9"/>
  <c r="BV207" i="9"/>
  <c r="BI149" i="9"/>
  <c r="AX54" i="9"/>
  <c r="BV489" i="9"/>
  <c r="H158" i="9"/>
  <c r="AZ155" i="9"/>
  <c r="S179" i="9"/>
  <c r="F310" i="9"/>
  <c r="DA158" i="9"/>
  <c r="BI94" i="9"/>
  <c r="CG248" i="9"/>
  <c r="BV461" i="9"/>
  <c r="BK160" i="9"/>
  <c r="CP204" i="9"/>
  <c r="CE102" i="9"/>
  <c r="DL229" i="9"/>
  <c r="CE115" i="9"/>
  <c r="BI206" i="9"/>
  <c r="H326" i="9"/>
  <c r="AM351" i="9"/>
  <c r="Q67" i="9"/>
  <c r="H245" i="9"/>
  <c r="AM60" i="9"/>
  <c r="H449" i="9"/>
  <c r="H677" i="9"/>
  <c r="AX184" i="9"/>
  <c r="AM331" i="9"/>
  <c r="F191" i="9"/>
  <c r="BK202" i="9"/>
  <c r="CG237" i="9"/>
  <c r="BI82" i="9"/>
  <c r="H497" i="9"/>
  <c r="DN132" i="9"/>
  <c r="BI92" i="9"/>
  <c r="H678" i="9"/>
  <c r="AB68" i="9"/>
  <c r="CE290" i="9"/>
  <c r="AM269" i="9"/>
  <c r="BT304" i="9"/>
  <c r="F635" i="9"/>
  <c r="CP46" i="9"/>
  <c r="AM173" i="9"/>
  <c r="AZ98" i="9"/>
  <c r="F44" i="9"/>
  <c r="F569" i="9"/>
  <c r="CP47" i="9"/>
  <c r="CR101" i="9"/>
  <c r="BT379" i="9"/>
  <c r="BI128" i="9"/>
  <c r="CP135" i="9"/>
  <c r="AZ62" i="9"/>
  <c r="DA224" i="9"/>
  <c r="H540" i="9"/>
  <c r="AM234" i="9"/>
  <c r="CE119" i="9"/>
  <c r="H74" i="9"/>
  <c r="AM283" i="9"/>
  <c r="Q141" i="9"/>
  <c r="CG138" i="9"/>
  <c r="CE248" i="9"/>
  <c r="DN498" i="9"/>
  <c r="AM387" i="9"/>
  <c r="CG183" i="9"/>
  <c r="H197" i="9"/>
  <c r="AM212" i="9"/>
  <c r="DN29" i="9"/>
  <c r="AO251" i="9"/>
  <c r="AB78" i="9"/>
  <c r="AM166" i="9"/>
  <c r="AX185" i="9"/>
  <c r="H420" i="9"/>
  <c r="DC30" i="9"/>
  <c r="Q143" i="9"/>
  <c r="Q145" i="9"/>
  <c r="AX70" i="9"/>
  <c r="AO400" i="9"/>
  <c r="AM194" i="9"/>
  <c r="H530" i="9"/>
  <c r="F300" i="9"/>
  <c r="BI211" i="9"/>
  <c r="AZ135" i="9"/>
  <c r="F572" i="9"/>
  <c r="H445" i="9"/>
  <c r="AO29" i="9"/>
  <c r="BV268" i="9"/>
  <c r="BT380" i="9"/>
  <c r="H166" i="9"/>
  <c r="AO378" i="9"/>
  <c r="BT232" i="9"/>
  <c r="AM59" i="9"/>
  <c r="F138" i="9"/>
  <c r="AO117" i="9"/>
  <c r="Q178" i="9"/>
  <c r="CG57" i="9"/>
  <c r="F460" i="9"/>
  <c r="F596" i="9"/>
  <c r="BT168" i="9"/>
  <c r="F354" i="9"/>
  <c r="AM364" i="9"/>
  <c r="BI56" i="9"/>
  <c r="BI78" i="9"/>
  <c r="AZ46" i="9"/>
  <c r="AZ69" i="9"/>
  <c r="BK169" i="9"/>
  <c r="BV296" i="9"/>
  <c r="H598" i="9"/>
  <c r="AZ177" i="9"/>
  <c r="H37" i="9"/>
  <c r="F575" i="9"/>
  <c r="AM429" i="9"/>
  <c r="BT57" i="9"/>
  <c r="H601" i="9"/>
  <c r="F484" i="9"/>
  <c r="H157" i="9"/>
  <c r="H553" i="9"/>
  <c r="DL667" i="9"/>
  <c r="Q45" i="9"/>
  <c r="BV481" i="9"/>
  <c r="AO273" i="9"/>
  <c r="CE368" i="9"/>
  <c r="BV291" i="9"/>
  <c r="H186" i="9"/>
  <c r="BT324" i="9"/>
  <c r="CG261" i="9"/>
  <c r="H676" i="9"/>
  <c r="F550" i="9"/>
  <c r="F384" i="9"/>
  <c r="BK213" i="9"/>
  <c r="AM239" i="9"/>
  <c r="AO152" i="9"/>
  <c r="AX32" i="9"/>
  <c r="H353" i="9"/>
  <c r="AO167" i="9"/>
  <c r="F122" i="9"/>
  <c r="BT30" i="9"/>
  <c r="AO337" i="9"/>
  <c r="F58" i="9"/>
  <c r="F593" i="9"/>
  <c r="Q112" i="9"/>
  <c r="AZ84" i="9"/>
  <c r="AD82" i="9"/>
  <c r="DL450" i="9"/>
  <c r="AX181" i="9"/>
  <c r="S200" i="9"/>
  <c r="H657" i="9"/>
  <c r="H294" i="9"/>
  <c r="H122" i="9"/>
  <c r="BV229" i="9"/>
  <c r="AM361" i="9"/>
  <c r="BK58" i="9"/>
  <c r="CG388" i="9"/>
  <c r="AM82" i="9"/>
  <c r="BV323" i="9"/>
  <c r="BV477" i="9"/>
  <c r="BV289" i="9"/>
  <c r="BT39" i="9"/>
  <c r="H168" i="9"/>
  <c r="F200" i="9"/>
  <c r="BT118" i="9"/>
  <c r="H90" i="9"/>
  <c r="DA279" i="9"/>
  <c r="DA51" i="9"/>
  <c r="F206" i="9"/>
  <c r="BK224" i="9"/>
  <c r="F600" i="9"/>
  <c r="BK69" i="9"/>
  <c r="DL401" i="9"/>
  <c r="DN441" i="9"/>
  <c r="BV318" i="9"/>
  <c r="AO216" i="9"/>
  <c r="DN157" i="9"/>
  <c r="DL481" i="9"/>
  <c r="BI178" i="9"/>
  <c r="CE49" i="9"/>
  <c r="BK132" i="9"/>
  <c r="CG341" i="9"/>
  <c r="DA126" i="9"/>
  <c r="F109" i="9"/>
  <c r="DL294" i="9"/>
  <c r="BI32" i="9"/>
  <c r="CG275" i="9"/>
  <c r="AO110" i="9"/>
  <c r="H243" i="9"/>
  <c r="BT315" i="9"/>
  <c r="BI127" i="9"/>
  <c r="F184" i="9"/>
  <c r="BK220" i="9"/>
  <c r="H487" i="9"/>
  <c r="DA221" i="9"/>
  <c r="H631" i="9"/>
  <c r="BV57" i="9"/>
  <c r="H351" i="9"/>
  <c r="CE337" i="9"/>
  <c r="DL709" i="9"/>
  <c r="H513" i="9"/>
  <c r="AO417" i="9"/>
  <c r="DN699" i="9"/>
  <c r="BT320" i="9"/>
  <c r="DL533" i="9"/>
  <c r="H552" i="9"/>
  <c r="F577" i="9"/>
  <c r="H338" i="9"/>
  <c r="BV251" i="9"/>
  <c r="CE351" i="9"/>
  <c r="H416" i="9"/>
  <c r="H443" i="9"/>
  <c r="F530" i="9"/>
  <c r="DN307" i="9"/>
  <c r="AX157" i="9"/>
  <c r="CG243" i="9"/>
  <c r="AX166" i="9"/>
  <c r="CE277" i="9"/>
  <c r="F623" i="9"/>
  <c r="BV66" i="9"/>
  <c r="AM36" i="9"/>
  <c r="F620" i="9"/>
  <c r="F221" i="9"/>
  <c r="BK46" i="9"/>
  <c r="H277" i="9"/>
  <c r="H154" i="9"/>
  <c r="DA248" i="9"/>
  <c r="CG327" i="9"/>
  <c r="F326" i="9"/>
  <c r="AM244" i="9"/>
  <c r="BI154" i="9"/>
  <c r="DL107" i="9"/>
  <c r="F256" i="9"/>
  <c r="BT506" i="9"/>
  <c r="H495" i="9"/>
  <c r="DN417" i="9"/>
  <c r="AX31" i="9"/>
  <c r="CR63" i="9"/>
  <c r="DN727" i="9"/>
  <c r="CE418" i="9"/>
  <c r="Q61" i="9"/>
  <c r="H648" i="9"/>
  <c r="AM92" i="9"/>
  <c r="F181" i="9"/>
  <c r="AX187" i="9"/>
  <c r="F507" i="9"/>
  <c r="F133" i="9"/>
  <c r="AZ77" i="9"/>
  <c r="H208" i="9"/>
  <c r="BK96" i="9"/>
  <c r="BK81" i="9"/>
  <c r="H278" i="9"/>
  <c r="F633" i="9"/>
  <c r="DC153" i="9"/>
  <c r="AO294" i="9"/>
  <c r="H434" i="9"/>
  <c r="F82" i="9"/>
  <c r="H402" i="9"/>
  <c r="DN528" i="9"/>
  <c r="H47" i="9"/>
  <c r="H57" i="9"/>
  <c r="F325" i="9"/>
  <c r="BV129" i="9"/>
  <c r="DN885" i="9"/>
  <c r="Q53" i="9"/>
  <c r="Q218" i="9"/>
  <c r="AB77" i="9"/>
  <c r="AZ113" i="9"/>
  <c r="BK118" i="9"/>
  <c r="AO195" i="9"/>
  <c r="DL387" i="9"/>
  <c r="S120" i="9"/>
  <c r="S110" i="9"/>
  <c r="H89" i="9"/>
  <c r="H84" i="9"/>
  <c r="AM423" i="9"/>
  <c r="AO248" i="9"/>
  <c r="CG260" i="9"/>
  <c r="AO41" i="9"/>
  <c r="CG90" i="9"/>
  <c r="BT337" i="9"/>
  <c r="H437" i="9"/>
  <c r="S205" i="9"/>
  <c r="H297" i="9"/>
  <c r="H68" i="9"/>
  <c r="F529" i="9"/>
  <c r="H58" i="9"/>
  <c r="BT318" i="9"/>
  <c r="F288" i="9"/>
  <c r="CR131" i="9"/>
  <c r="DN131" i="9"/>
  <c r="F321" i="9"/>
  <c r="F104" i="9"/>
  <c r="BV269" i="9"/>
  <c r="H113" i="9"/>
  <c r="F642" i="9"/>
  <c r="BI69" i="9"/>
  <c r="DC223" i="9"/>
  <c r="CG356" i="9"/>
  <c r="H251" i="9"/>
  <c r="F345" i="9"/>
  <c r="F178" i="9"/>
  <c r="H409" i="9"/>
  <c r="CR190" i="9"/>
  <c r="AX118" i="9"/>
  <c r="F146" i="9"/>
  <c r="AM178" i="9"/>
  <c r="F205" i="9"/>
  <c r="Q100" i="9"/>
  <c r="H527" i="9"/>
  <c r="AZ36" i="9"/>
  <c r="H33" i="9"/>
  <c r="BV392" i="9"/>
  <c r="H102" i="9"/>
  <c r="BT295" i="9"/>
  <c r="AM31" i="9"/>
  <c r="CE100" i="9"/>
  <c r="DN689" i="9"/>
  <c r="BV199" i="9"/>
  <c r="BT220" i="9"/>
  <c r="Q32" i="9"/>
  <c r="H274" i="9"/>
  <c r="BT78" i="9"/>
  <c r="H151" i="9"/>
  <c r="BT476" i="9"/>
  <c r="AM325" i="9"/>
  <c r="Q68" i="9"/>
  <c r="F265" i="9"/>
  <c r="H520" i="9"/>
  <c r="CR122" i="9"/>
  <c r="F347" i="9"/>
  <c r="AO296" i="9"/>
  <c r="BT107" i="9"/>
  <c r="AM138" i="9"/>
  <c r="BT104" i="9"/>
  <c r="F534" i="9"/>
  <c r="AX74" i="9"/>
  <c r="BT246" i="9"/>
  <c r="S137" i="9"/>
  <c r="F97" i="9"/>
  <c r="AD89" i="9"/>
  <c r="AO239" i="9"/>
  <c r="BI53" i="9"/>
  <c r="CP188" i="9"/>
  <c r="CE45" i="9"/>
  <c r="H80" i="9"/>
  <c r="AD42" i="9"/>
  <c r="BK86" i="9"/>
  <c r="BT339" i="9"/>
  <c r="H564" i="9"/>
  <c r="CE409" i="9"/>
  <c r="BV87" i="9"/>
  <c r="H490" i="9"/>
  <c r="AM86" i="9"/>
  <c r="BV440" i="9"/>
  <c r="F481" i="9"/>
  <c r="CE206" i="9"/>
  <c r="BI140" i="9"/>
  <c r="H618" i="9"/>
  <c r="AM74" i="9"/>
  <c r="AM271" i="9"/>
  <c r="BV224" i="9"/>
  <c r="F539" i="9"/>
  <c r="DL360" i="9"/>
  <c r="F232" i="9"/>
  <c r="DL603" i="9"/>
  <c r="DC244" i="9"/>
  <c r="AM226" i="9"/>
  <c r="H675" i="9"/>
  <c r="Q55" i="9"/>
  <c r="BK28" i="9"/>
  <c r="AX164" i="9"/>
  <c r="F129" i="9"/>
  <c r="Q210" i="9"/>
  <c r="Q190" i="9"/>
  <c r="AM328" i="9"/>
  <c r="AZ92" i="9"/>
  <c r="AZ132" i="9"/>
  <c r="H305" i="9"/>
  <c r="AO186" i="9"/>
  <c r="AM200" i="9"/>
  <c r="DN743" i="9"/>
  <c r="H73" i="9"/>
  <c r="H571" i="9"/>
  <c r="BV458" i="9"/>
  <c r="BV493" i="9"/>
  <c r="H267" i="9"/>
  <c r="AZ31" i="9"/>
  <c r="AM83" i="9"/>
  <c r="BK43" i="9"/>
  <c r="DL675" i="9"/>
  <c r="AO369" i="9"/>
  <c r="CR73" i="9"/>
  <c r="DL484" i="9"/>
  <c r="DL768" i="9"/>
  <c r="BI210" i="9"/>
  <c r="CG268" i="9"/>
  <c r="DA89" i="9"/>
  <c r="AO362" i="9"/>
  <c r="AX27" i="9"/>
  <c r="BT367" i="9"/>
  <c r="DA35" i="9"/>
  <c r="AO331" i="9"/>
  <c r="S157" i="9"/>
  <c r="BV444" i="9"/>
  <c r="DL591" i="9"/>
  <c r="Q220" i="9"/>
  <c r="AM384" i="9"/>
  <c r="DL22" i="9"/>
  <c r="F201" i="9"/>
  <c r="AZ145" i="9"/>
  <c r="F284" i="9"/>
  <c r="DN73" i="9"/>
  <c r="F500" i="9"/>
  <c r="BT313" i="9"/>
  <c r="DN507" i="9"/>
  <c r="BT70" i="9"/>
  <c r="AO121" i="9"/>
  <c r="S60" i="9"/>
  <c r="H491" i="9"/>
  <c r="BT96" i="9"/>
  <c r="H248" i="9"/>
  <c r="AZ22" i="9"/>
  <c r="BV351" i="9"/>
  <c r="F340" i="9"/>
  <c r="S50" i="9"/>
  <c r="CR166" i="9"/>
  <c r="BT141" i="9"/>
  <c r="CE111" i="9"/>
  <c r="H128" i="9"/>
  <c r="BV396" i="9"/>
  <c r="CE69" i="9"/>
  <c r="BI114" i="9"/>
  <c r="CR78" i="9"/>
  <c r="DN388" i="9"/>
  <c r="H503" i="9"/>
  <c r="AO268" i="9"/>
  <c r="CG48" i="9"/>
  <c r="H383" i="9"/>
  <c r="F86" i="9"/>
  <c r="AO127" i="9"/>
  <c r="H364" i="9"/>
  <c r="F410" i="9"/>
  <c r="DN92" i="9"/>
  <c r="CG271" i="9"/>
  <c r="F589" i="9"/>
  <c r="F412" i="9"/>
  <c r="BV179" i="9"/>
  <c r="CE109" i="9"/>
  <c r="H500" i="9"/>
  <c r="BK108" i="9"/>
  <c r="S77" i="9"/>
  <c r="F315" i="9"/>
  <c r="AB92" i="9"/>
  <c r="F616" i="9"/>
  <c r="BK178" i="9"/>
  <c r="AZ33" i="9"/>
  <c r="BI141" i="9"/>
  <c r="F357" i="9"/>
  <c r="F510" i="9"/>
  <c r="CR206" i="9"/>
  <c r="F566" i="9"/>
  <c r="F79" i="9"/>
  <c r="DA250" i="9"/>
  <c r="H590" i="9"/>
  <c r="BV409" i="9"/>
  <c r="S167" i="9"/>
  <c r="BT55" i="9"/>
  <c r="S122" i="9"/>
  <c r="CE38" i="9"/>
  <c r="BV276" i="9"/>
  <c r="S88" i="9"/>
  <c r="AM187" i="9"/>
  <c r="BV157" i="9"/>
  <c r="AZ111" i="9"/>
  <c r="DL476" i="9"/>
  <c r="BI109" i="9"/>
  <c r="F648" i="9"/>
  <c r="F250" i="9"/>
  <c r="AM204" i="9"/>
  <c r="H413" i="9"/>
  <c r="F197" i="9"/>
  <c r="DN492" i="9"/>
  <c r="S85" i="9"/>
  <c r="AO425" i="9"/>
  <c r="S186" i="9"/>
  <c r="CP110" i="9"/>
  <c r="H209" i="9"/>
  <c r="F462" i="9"/>
  <c r="AB88" i="9"/>
  <c r="F513" i="9"/>
  <c r="F599" i="9"/>
  <c r="BV297" i="9"/>
  <c r="BK162" i="9"/>
  <c r="H412" i="9"/>
  <c r="CG230" i="9"/>
  <c r="F123" i="9"/>
  <c r="F429" i="9"/>
  <c r="DL223" i="9"/>
  <c r="H27" i="9"/>
  <c r="S51" i="9"/>
  <c r="AO78" i="9"/>
  <c r="F466" i="9"/>
  <c r="BV310" i="9"/>
  <c r="AM141" i="9"/>
  <c r="AZ167" i="9"/>
  <c r="F48" i="9"/>
  <c r="CE169" i="9"/>
  <c r="BK36" i="9"/>
  <c r="DA223" i="9"/>
  <c r="H148" i="9"/>
  <c r="H291" i="9"/>
  <c r="F127" i="9"/>
  <c r="BI29" i="9"/>
  <c r="BV376" i="9"/>
  <c r="Q188" i="9"/>
  <c r="CE278" i="9"/>
  <c r="AB96" i="9"/>
  <c r="DA145" i="9"/>
  <c r="CE429" i="9"/>
  <c r="H522" i="9"/>
  <c r="AO35" i="9"/>
  <c r="F527" i="9"/>
  <c r="AB57" i="9"/>
  <c r="S80" i="9"/>
  <c r="F246" i="9"/>
  <c r="AO421" i="9"/>
  <c r="Q207" i="9"/>
  <c r="CP83" i="9"/>
  <c r="F502" i="9"/>
  <c r="AM282" i="9"/>
  <c r="H312" i="9"/>
  <c r="BT200" i="9"/>
  <c r="BI222" i="9"/>
  <c r="F303" i="9"/>
  <c r="DN669" i="9"/>
  <c r="AO55" i="9"/>
  <c r="F229" i="9"/>
  <c r="DL722" i="9"/>
  <c r="Q117" i="9"/>
  <c r="AO321" i="9"/>
  <c r="H225" i="9"/>
  <c r="BT421" i="9"/>
  <c r="BT289" i="9"/>
  <c r="AM352" i="9"/>
  <c r="AZ88" i="9"/>
  <c r="H115" i="9"/>
  <c r="H577" i="9"/>
  <c r="H644" i="9"/>
  <c r="BV120" i="9"/>
  <c r="BT264" i="9"/>
  <c r="H454" i="9"/>
  <c r="AM105" i="9"/>
  <c r="H652" i="9"/>
  <c r="BT301" i="9"/>
  <c r="DL656" i="9"/>
  <c r="H231" i="9"/>
  <c r="S74" i="9"/>
  <c r="F144" i="9"/>
  <c r="F604" i="9"/>
  <c r="CG342" i="9"/>
  <c r="AZ67" i="9"/>
  <c r="F613" i="9"/>
  <c r="H79" i="9"/>
  <c r="AO228" i="9"/>
  <c r="F457" i="9"/>
  <c r="H329" i="9"/>
  <c r="S40" i="9"/>
  <c r="F370" i="9"/>
  <c r="H435" i="9"/>
  <c r="F113" i="9"/>
  <c r="H172" i="9"/>
  <c r="F153" i="9"/>
  <c r="H606" i="9"/>
  <c r="BV54" i="9"/>
  <c r="AM238" i="9"/>
  <c r="CP214" i="9"/>
  <c r="F215" i="9"/>
  <c r="BI219" i="9"/>
  <c r="H375" i="9"/>
  <c r="BT310" i="9"/>
  <c r="AO181" i="9"/>
  <c r="Q148" i="9"/>
  <c r="AO42" i="9"/>
  <c r="Q59" i="9"/>
  <c r="Q160" i="9"/>
  <c r="Q123" i="9"/>
  <c r="CE208" i="9"/>
  <c r="BT408" i="9"/>
  <c r="DN28" i="9"/>
  <c r="CE31" i="9"/>
  <c r="AO169" i="9"/>
  <c r="BI88" i="9"/>
  <c r="AM185" i="9"/>
  <c r="AX37" i="9"/>
  <c r="AM338" i="9"/>
  <c r="BV95" i="9"/>
  <c r="AB50" i="9"/>
  <c r="F416" i="9"/>
  <c r="AO241" i="9"/>
  <c r="AM201" i="9"/>
  <c r="DC207" i="9"/>
  <c r="F590" i="9"/>
  <c r="AO193" i="9"/>
  <c r="AM142" i="9"/>
  <c r="F640" i="9"/>
  <c r="CP183" i="9"/>
  <c r="AO407" i="9"/>
  <c r="CP163" i="9"/>
  <c r="Q43" i="9"/>
  <c r="H482" i="9"/>
  <c r="AM341" i="9"/>
  <c r="DN647" i="9"/>
  <c r="H144" i="9"/>
  <c r="DL705" i="9"/>
  <c r="DL774" i="9"/>
  <c r="F665" i="9"/>
  <c r="AM126" i="9"/>
  <c r="DL710" i="9"/>
  <c r="H51" i="9"/>
  <c r="BI196" i="9"/>
  <c r="BT274" i="9"/>
  <c r="AO128" i="9"/>
  <c r="DL905" i="9"/>
  <c r="BI185" i="9"/>
  <c r="H372" i="9"/>
  <c r="BI104" i="9"/>
  <c r="BI72" i="9"/>
  <c r="BK189" i="9"/>
  <c r="F658" i="9"/>
  <c r="H561" i="9"/>
  <c r="BI51" i="9"/>
  <c r="BT121" i="9"/>
  <c r="H569" i="9"/>
  <c r="S83" i="9"/>
  <c r="F353" i="9"/>
  <c r="BT487" i="9"/>
  <c r="DL549" i="9"/>
  <c r="AD92" i="9"/>
  <c r="BV116" i="9"/>
  <c r="AM157" i="9"/>
  <c r="AZ152" i="9"/>
  <c r="BI190" i="9"/>
  <c r="AO51" i="9"/>
  <c r="CG169" i="9"/>
  <c r="BV211" i="9"/>
  <c r="CE245" i="9"/>
  <c r="DL697" i="9"/>
  <c r="DL642" i="9"/>
  <c r="DL51" i="9"/>
  <c r="DA70" i="9"/>
  <c r="BI22" i="9"/>
  <c r="DL598" i="9"/>
  <c r="AO389" i="9"/>
  <c r="AO215" i="9"/>
  <c r="DL188" i="9"/>
  <c r="BI43" i="9"/>
  <c r="S158" i="9"/>
  <c r="F352" i="9"/>
  <c r="H379" i="9"/>
  <c r="DA101" i="9"/>
  <c r="BV260" i="9"/>
  <c r="H304" i="9"/>
  <c r="H515" i="9"/>
  <c r="BT273" i="9"/>
  <c r="CG287" i="9"/>
  <c r="CE335" i="9"/>
  <c r="DN403" i="9"/>
  <c r="AO357" i="9"/>
  <c r="H273" i="9"/>
  <c r="BK146" i="9"/>
  <c r="AZ181" i="9"/>
  <c r="DN814" i="9"/>
  <c r="F556" i="9"/>
  <c r="AO354" i="9"/>
  <c r="S189" i="9"/>
  <c r="BI227" i="9"/>
  <c r="F525" i="9"/>
  <c r="H196" i="9"/>
  <c r="BV381" i="9"/>
  <c r="F486" i="9"/>
  <c r="BT67" i="9"/>
  <c r="BK222" i="9"/>
  <c r="DC262" i="9"/>
  <c r="F517" i="9"/>
  <c r="AX96" i="9"/>
  <c r="CG311" i="9"/>
  <c r="DA115" i="9"/>
  <c r="BT385" i="9"/>
  <c r="CE110" i="9"/>
  <c r="DC316" i="9"/>
  <c r="F291" i="9"/>
  <c r="BV502" i="9"/>
  <c r="BV430" i="9"/>
  <c r="F638" i="9"/>
  <c r="CP103" i="9"/>
  <c r="S104" i="9"/>
  <c r="CG266" i="9"/>
  <c r="BT381" i="9"/>
  <c r="DL801" i="9"/>
  <c r="Q149" i="9"/>
  <c r="F496" i="9"/>
  <c r="BK139" i="9"/>
  <c r="S37" i="9"/>
  <c r="AD83" i="9"/>
  <c r="H126" i="9"/>
  <c r="BV22" i="9"/>
  <c r="H661" i="9"/>
  <c r="Q54" i="9"/>
  <c r="CE329" i="9"/>
  <c r="BV443" i="9"/>
  <c r="CE428" i="9"/>
  <c r="AM121" i="9"/>
  <c r="CR185" i="9"/>
  <c r="AO290" i="9"/>
  <c r="DA198" i="9"/>
  <c r="Q202" i="9"/>
  <c r="AO392" i="9"/>
  <c r="AM180" i="9"/>
  <c r="F287" i="9"/>
  <c r="F399" i="9"/>
  <c r="F295" i="9"/>
  <c r="Q139" i="9"/>
  <c r="DN645" i="9"/>
  <c r="H346" i="9"/>
  <c r="AB39" i="9"/>
  <c r="H247" i="9"/>
  <c r="CE217" i="9"/>
  <c r="CE74" i="9"/>
  <c r="DL270" i="9"/>
  <c r="BK205" i="9"/>
  <c r="CG383" i="9"/>
  <c r="S156" i="9"/>
  <c r="H643" i="9"/>
  <c r="F261" i="9"/>
  <c r="AB62" i="9"/>
  <c r="F538" i="9"/>
  <c r="BT344" i="9"/>
  <c r="F375" i="9"/>
  <c r="BT349" i="9"/>
  <c r="H673" i="9"/>
  <c r="BK70" i="9"/>
  <c r="H549" i="9"/>
  <c r="F254" i="9"/>
  <c r="F271" i="9"/>
  <c r="DL269" i="9"/>
  <c r="H670" i="9"/>
  <c r="BT235" i="9"/>
  <c r="AZ119" i="9"/>
  <c r="H464" i="9"/>
  <c r="CE47" i="9"/>
  <c r="DA200" i="9"/>
  <c r="BV346" i="9"/>
  <c r="AM88" i="9"/>
  <c r="F558" i="9"/>
  <c r="H387" i="9"/>
  <c r="AO222" i="9"/>
  <c r="F381" i="9"/>
  <c r="CR116" i="9"/>
  <c r="CE252" i="9"/>
  <c r="AB28" i="9"/>
  <c r="DC59" i="9"/>
  <c r="H473" i="9"/>
  <c r="AO120" i="9"/>
  <c r="H320" i="9"/>
  <c r="BV220" i="9"/>
  <c r="AO414" i="9"/>
  <c r="BK218" i="9"/>
  <c r="DA40" i="9"/>
  <c r="AO394" i="9"/>
  <c r="AB89" i="9"/>
  <c r="AX127" i="9"/>
  <c r="CE314" i="9"/>
  <c r="AZ94" i="9"/>
  <c r="F531" i="9"/>
  <c r="CE53" i="9"/>
  <c r="BT370" i="9"/>
  <c r="AO56" i="9"/>
  <c r="H354" i="9"/>
  <c r="F296" i="9"/>
  <c r="AM304" i="9"/>
  <c r="BK89" i="9"/>
  <c r="BK136" i="9"/>
  <c r="DN849" i="9"/>
  <c r="AB72" i="9"/>
  <c r="BK37" i="9"/>
  <c r="BT425" i="9"/>
  <c r="H477" i="9"/>
  <c r="CP92" i="9"/>
  <c r="S215" i="9"/>
  <c r="F414" i="9"/>
  <c r="Q36" i="9"/>
  <c r="AM376" i="9"/>
  <c r="AO88" i="9"/>
  <c r="AM133" i="9"/>
  <c r="AX170" i="9"/>
  <c r="H343" i="9"/>
  <c r="BI38" i="9"/>
  <c r="BI62" i="9"/>
  <c r="AZ80" i="9"/>
  <c r="BT461" i="9"/>
  <c r="AO221" i="9"/>
  <c r="AB56" i="9"/>
  <c r="DL406" i="9"/>
  <c r="CR82" i="9"/>
  <c r="BI119" i="9"/>
  <c r="BV467" i="9"/>
  <c r="DL155" i="9"/>
  <c r="CE161" i="9"/>
  <c r="AO315" i="9"/>
  <c r="F667" i="9"/>
  <c r="F554" i="9"/>
  <c r="H70" i="9"/>
  <c r="CG71" i="9"/>
  <c r="H136" i="9"/>
  <c r="F317" i="9"/>
  <c r="BI41" i="9"/>
  <c r="DN425" i="9"/>
  <c r="AB29" i="9"/>
  <c r="AO264" i="9"/>
  <c r="F248" i="9"/>
  <c r="DA201" i="9"/>
  <c r="DL881" i="9"/>
  <c r="DN723" i="9"/>
  <c r="H597" i="9"/>
  <c r="BV36" i="9"/>
  <c r="BV283" i="9"/>
  <c r="AM261" i="9"/>
  <c r="BI195" i="9"/>
  <c r="CG414" i="9"/>
  <c r="AD36" i="9"/>
  <c r="BV33" i="9"/>
  <c r="DA203" i="9"/>
  <c r="BT251" i="9"/>
  <c r="AD48" i="9"/>
  <c r="CG232" i="9"/>
  <c r="S24" i="9"/>
  <c r="AO130" i="9"/>
  <c r="DN337" i="9"/>
  <c r="AZ70" i="9"/>
  <c r="H155" i="9"/>
  <c r="H591" i="9"/>
  <c r="BI157" i="9"/>
  <c r="CG428" i="9"/>
  <c r="BI31" i="9"/>
  <c r="CR64" i="9"/>
  <c r="DN138" i="9"/>
  <c r="BV132" i="9"/>
  <c r="BT61" i="9"/>
  <c r="AX67" i="9"/>
  <c r="AM202" i="9"/>
  <c r="H350" i="9"/>
  <c r="BK59" i="9"/>
  <c r="CG96" i="9"/>
  <c r="F90" i="9"/>
  <c r="F622" i="9"/>
  <c r="S26" i="9"/>
  <c r="DN238" i="9"/>
  <c r="F54" i="9"/>
  <c r="AZ136" i="9"/>
  <c r="DC126" i="9"/>
  <c r="H444" i="9"/>
  <c r="F578" i="9"/>
  <c r="DL466" i="9"/>
  <c r="BV391" i="9"/>
  <c r="BV50" i="9"/>
  <c r="H77" i="9"/>
  <c r="F552" i="9"/>
  <c r="BV383" i="9"/>
  <c r="DC26" i="9"/>
  <c r="F380" i="9"/>
  <c r="AO36" i="9"/>
  <c r="H483" i="9"/>
  <c r="Q167" i="9"/>
  <c r="BK98" i="9"/>
  <c r="AO291" i="9"/>
  <c r="AO428" i="9"/>
  <c r="DN267" i="9"/>
  <c r="F663" i="9"/>
  <c r="H173" i="9"/>
  <c r="F396" i="9"/>
  <c r="H142" i="9"/>
  <c r="F42" i="9"/>
  <c r="F450" i="9"/>
  <c r="BT103" i="9"/>
  <c r="DN177" i="9"/>
  <c r="Q137" i="9"/>
  <c r="CG228" i="9"/>
  <c r="H141" i="9"/>
  <c r="AO113" i="9"/>
  <c r="CR76" i="9"/>
  <c r="S154" i="9"/>
  <c r="F421" i="9"/>
  <c r="H457" i="9"/>
  <c r="AO358" i="9"/>
  <c r="H359" i="9"/>
  <c r="BV34" i="9"/>
  <c r="CE353" i="9"/>
  <c r="AO236" i="9"/>
  <c r="BI142" i="9"/>
  <c r="H216" i="9"/>
  <c r="H40" i="9"/>
  <c r="BT276" i="9"/>
  <c r="AM43" i="9"/>
  <c r="DC175" i="9"/>
  <c r="BV195" i="9"/>
  <c r="AZ95" i="9"/>
  <c r="AO58" i="9"/>
  <c r="F171" i="9"/>
  <c r="H35" i="9"/>
  <c r="AO280" i="9"/>
  <c r="AM286" i="9"/>
  <c r="H255" i="9"/>
  <c r="F386" i="9"/>
  <c r="AX26" i="9"/>
  <c r="AB94" i="9"/>
  <c r="AX142" i="9"/>
  <c r="AZ35" i="9"/>
  <c r="F116" i="9"/>
  <c r="H276" i="9"/>
  <c r="H201" i="9"/>
  <c r="DN819" i="9"/>
  <c r="AO185" i="9"/>
  <c r="F314" i="9"/>
  <c r="AO209" i="9"/>
  <c r="Q29" i="9"/>
  <c r="F625" i="9"/>
  <c r="S181" i="9"/>
  <c r="AO324" i="9"/>
  <c r="H474" i="9"/>
  <c r="AZ30" i="9"/>
  <c r="H672" i="9"/>
  <c r="H546" i="9"/>
  <c r="AX153" i="9"/>
  <c r="AM169" i="9"/>
  <c r="DA360" i="9"/>
  <c r="S132" i="9"/>
  <c r="BV214" i="9"/>
  <c r="Q135" i="9"/>
  <c r="BT505" i="9"/>
  <c r="F252" i="9"/>
  <c r="BK65" i="9"/>
  <c r="DL735" i="9"/>
  <c r="F520" i="9"/>
  <c r="AX49" i="9"/>
  <c r="AO188" i="9"/>
  <c r="DN250" i="9"/>
  <c r="H533" i="9"/>
  <c r="AO316" i="9"/>
  <c r="AO250" i="9"/>
  <c r="F467" i="9"/>
  <c r="BV404" i="9"/>
  <c r="H262" i="9"/>
  <c r="F216" i="9"/>
  <c r="H352" i="9"/>
  <c r="H455" i="9"/>
  <c r="H668" i="9"/>
  <c r="H283" i="9"/>
  <c r="AM210" i="9"/>
  <c r="DN381" i="9"/>
  <c r="F378" i="9"/>
  <c r="AX61" i="9"/>
  <c r="Q161" i="9"/>
  <c r="AO161" i="9"/>
  <c r="BI208" i="9"/>
  <c r="DL461" i="9"/>
  <c r="CG264" i="9"/>
  <c r="BK225" i="9"/>
  <c r="Q146" i="9"/>
  <c r="F135" i="9"/>
  <c r="BT76" i="9"/>
  <c r="BT483" i="9"/>
  <c r="Q142" i="9"/>
  <c r="H292" i="9"/>
  <c r="DL368" i="9"/>
  <c r="H653" i="9"/>
  <c r="AB65" i="9"/>
  <c r="AZ150" i="9"/>
  <c r="H246" i="9"/>
  <c r="Q201" i="9"/>
  <c r="AM70" i="9"/>
  <c r="AX124" i="9"/>
  <c r="BT144" i="9"/>
  <c r="H442" i="9"/>
  <c r="F183" i="9"/>
  <c r="BT498" i="9"/>
  <c r="AM33" i="9"/>
  <c r="H450" i="9"/>
  <c r="AM312" i="9"/>
  <c r="H362" i="9"/>
  <c r="BI115" i="9"/>
  <c r="AX40" i="9"/>
  <c r="AB34" i="9"/>
  <c r="Q184" i="9"/>
  <c r="DA208" i="9"/>
  <c r="Q212" i="9"/>
  <c r="CE382" i="9"/>
  <c r="BI129" i="9"/>
  <c r="CE390" i="9"/>
  <c r="BV363" i="9"/>
  <c r="DC148" i="9"/>
  <c r="F543" i="9"/>
  <c r="H570" i="9"/>
  <c r="CG68" i="9"/>
  <c r="BV255" i="9"/>
  <c r="DN22" i="9"/>
  <c r="AZ126" i="9"/>
  <c r="BV455" i="9"/>
  <c r="DN329" i="9"/>
  <c r="F266" i="9"/>
  <c r="AM167" i="9"/>
  <c r="F364" i="9"/>
  <c r="H256" i="9"/>
  <c r="F503" i="9"/>
  <c r="DC54" i="9"/>
  <c r="Q187" i="9"/>
  <c r="F431" i="9"/>
  <c r="S128" i="9"/>
  <c r="DC67" i="9"/>
  <c r="BK75" i="9"/>
  <c r="AM58" i="9"/>
  <c r="CE167" i="9"/>
  <c r="H460" i="9"/>
  <c r="DC213" i="9"/>
  <c r="H206" i="9"/>
  <c r="H651" i="9"/>
  <c r="CE332" i="9"/>
  <c r="AM26" i="9"/>
  <c r="AO122" i="9"/>
  <c r="AO227" i="9"/>
  <c r="AX65" i="9"/>
  <c r="DC227" i="9"/>
  <c r="BI161" i="9"/>
  <c r="Q26" i="9"/>
  <c r="AM147" i="9"/>
  <c r="BK141" i="9"/>
  <c r="BT237" i="9"/>
  <c r="DA247" i="9"/>
  <c r="AM75" i="9"/>
  <c r="CG83" i="9"/>
  <c r="AO343" i="9"/>
  <c r="CG111" i="9"/>
  <c r="F36" i="9"/>
  <c r="H178" i="9"/>
  <c r="H50" i="9"/>
  <c r="H502" i="9"/>
  <c r="H188" i="9"/>
  <c r="F280" i="9"/>
  <c r="BI77" i="9"/>
  <c r="BK215" i="9"/>
  <c r="AO100" i="9"/>
  <c r="DA132" i="9"/>
  <c r="H180" i="9"/>
  <c r="BV341" i="9"/>
  <c r="DC279" i="9"/>
  <c r="BK197" i="9"/>
  <c r="F382" i="9"/>
  <c r="BV382" i="9"/>
  <c r="H461" i="9"/>
  <c r="AO37" i="9"/>
  <c r="BT23" i="9"/>
  <c r="AD71" i="9"/>
  <c r="AO187" i="9"/>
  <c r="BT470" i="9"/>
  <c r="S152" i="9"/>
  <c r="CP140" i="9"/>
  <c r="H139" i="9"/>
  <c r="S32" i="9"/>
  <c r="BI55" i="9"/>
  <c r="F521" i="9"/>
  <c r="BT157" i="9"/>
  <c r="AO259" i="9"/>
  <c r="AO32" i="9"/>
  <c r="BV485" i="9"/>
  <c r="BI150" i="9"/>
  <c r="BI133" i="9"/>
  <c r="DC163" i="9"/>
  <c r="H238" i="9"/>
  <c r="BK74" i="9"/>
  <c r="CG390" i="9"/>
  <c r="CE306" i="9"/>
  <c r="F203" i="9"/>
  <c r="BI79" i="9"/>
  <c r="AX60" i="9"/>
  <c r="S67" i="9"/>
  <c r="F163" i="9"/>
  <c r="BI165" i="9"/>
  <c r="CE22" i="9"/>
  <c r="AO356" i="9"/>
  <c r="AB85" i="9"/>
  <c r="AX144" i="9"/>
  <c r="DN213" i="9"/>
  <c r="DL724" i="9"/>
  <c r="BK33" i="9"/>
  <c r="AX120" i="9"/>
  <c r="CE216" i="9"/>
  <c r="Q133" i="9"/>
  <c r="F649" i="9"/>
  <c r="AM219" i="9"/>
  <c r="AX76" i="9"/>
  <c r="H92" i="9"/>
  <c r="AZ187" i="9"/>
  <c r="AO387" i="9"/>
  <c r="F445" i="9"/>
  <c r="DN243" i="9"/>
  <c r="BT79" i="9"/>
  <c r="AB60" i="9"/>
  <c r="DN539" i="9"/>
  <c r="AM254" i="9"/>
  <c r="AX33" i="9"/>
  <c r="DA267" i="9"/>
  <c r="CE404" i="9"/>
  <c r="Q31" i="9"/>
  <c r="AO418" i="9"/>
  <c r="DL391" i="9"/>
  <c r="AO34" i="9"/>
  <c r="H65" i="9"/>
  <c r="CG220" i="9"/>
  <c r="F448" i="9"/>
  <c r="F139" i="9"/>
  <c r="H628" i="9"/>
  <c r="AZ43" i="9"/>
  <c r="AO176" i="9"/>
  <c r="CE375" i="9"/>
  <c r="H626" i="9"/>
  <c r="H501" i="9"/>
  <c r="AD47" i="9"/>
  <c r="BK101" i="9"/>
  <c r="BT146" i="9"/>
  <c r="BV77" i="9"/>
  <c r="BI143" i="9"/>
  <c r="AO319" i="9"/>
  <c r="AB48" i="9"/>
  <c r="BT33" i="9"/>
  <c r="CE301" i="9"/>
  <c r="AO323" i="9"/>
  <c r="Q74" i="9"/>
  <c r="AO427" i="9"/>
  <c r="S146" i="9"/>
  <c r="AM136" i="9"/>
  <c r="AO123" i="9"/>
  <c r="DL794" i="9"/>
  <c r="F60" i="9"/>
  <c r="AX108" i="9"/>
  <c r="BI67" i="9"/>
  <c r="H179" i="9"/>
  <c r="H622" i="9"/>
  <c r="H319" i="9"/>
  <c r="S124" i="9"/>
  <c r="H421" i="9"/>
  <c r="BI35" i="9"/>
  <c r="AB32" i="9"/>
  <c r="F94" i="9"/>
  <c r="AO45" i="9"/>
  <c r="AO413" i="9"/>
  <c r="AX133" i="9"/>
  <c r="BT423" i="9"/>
  <c r="H366" i="9"/>
  <c r="F176" i="9"/>
  <c r="AO199" i="9"/>
  <c r="BK57" i="9"/>
  <c r="BT440" i="9"/>
  <c r="CG50" i="9"/>
  <c r="F136" i="9"/>
  <c r="CG405" i="9"/>
  <c r="H59" i="9"/>
  <c r="H335" i="9"/>
  <c r="F33" i="9"/>
  <c r="BT439" i="9"/>
  <c r="AO28" i="9"/>
  <c r="DL610" i="9"/>
  <c r="F629" i="9"/>
  <c r="DL764" i="9"/>
  <c r="H640" i="9"/>
  <c r="F580" i="9"/>
  <c r="F128" i="9"/>
  <c r="CR67" i="9"/>
  <c r="H596" i="9"/>
  <c r="S118" i="9"/>
  <c r="F190" i="9"/>
  <c r="CG125" i="9"/>
  <c r="BK206" i="9"/>
  <c r="AD96" i="9"/>
  <c r="F542" i="9"/>
  <c r="H252" i="9"/>
  <c r="H301" i="9"/>
  <c r="BT68" i="9"/>
  <c r="BT227" i="9"/>
  <c r="S75" i="9"/>
  <c r="AO249" i="9"/>
  <c r="F506" i="9"/>
  <c r="AO194" i="9"/>
  <c r="CG313" i="9"/>
  <c r="S30" i="9"/>
  <c r="H183" i="9"/>
  <c r="F337" i="9"/>
  <c r="AO191" i="9"/>
  <c r="AX73" i="9"/>
  <c r="AO345" i="9"/>
  <c r="CE258" i="9"/>
  <c r="DN788" i="9"/>
  <c r="AO272" i="9"/>
  <c r="H377" i="9"/>
  <c r="AO275" i="9"/>
  <c r="DN770" i="9"/>
  <c r="Q76" i="9"/>
  <c r="F522" i="9"/>
  <c r="AM310" i="9"/>
  <c r="H64" i="9"/>
  <c r="S171" i="9"/>
  <c r="CG88" i="9"/>
  <c r="F121" i="9"/>
  <c r="F152" i="9"/>
  <c r="AO374" i="9"/>
  <c r="DC48" i="9"/>
  <c r="BV466" i="9"/>
  <c r="AM80" i="9"/>
  <c r="AD74" i="9"/>
  <c r="BI193" i="9"/>
  <c r="CG346" i="9"/>
  <c r="DN85" i="9"/>
  <c r="S197" i="9"/>
  <c r="DL287" i="9"/>
  <c r="Q40" i="9"/>
  <c r="F454" i="9"/>
  <c r="DC195" i="9"/>
  <c r="DL713" i="9"/>
  <c r="F626" i="9"/>
  <c r="BT296" i="9"/>
  <c r="F597" i="9"/>
  <c r="F564" i="9"/>
  <c r="DN294" i="9"/>
  <c r="BV379" i="9"/>
  <c r="AM398" i="9"/>
  <c r="BT353" i="9"/>
  <c r="DN400" i="9"/>
  <c r="H602" i="9"/>
  <c r="AO97" i="9"/>
  <c r="AM63" i="9"/>
  <c r="AO131" i="9"/>
  <c r="S142" i="9"/>
  <c r="BV128" i="9"/>
  <c r="H268" i="9"/>
  <c r="AX103" i="9"/>
  <c r="S187" i="9"/>
  <c r="AO287" i="9"/>
  <c r="AX146" i="9"/>
  <c r="BT195" i="9"/>
  <c r="DL567" i="9"/>
  <c r="H453" i="9"/>
  <c r="H427" i="9"/>
  <c r="BK153" i="9"/>
  <c r="F100" i="9"/>
  <c r="F84" i="9"/>
  <c r="BK145" i="9"/>
  <c r="DC291" i="9"/>
  <c r="DL721" i="9"/>
  <c r="BK26" i="9"/>
  <c r="AB30" i="9"/>
  <c r="H560" i="9"/>
  <c r="H534" i="9"/>
  <c r="S66" i="9"/>
  <c r="S169" i="9"/>
  <c r="F327" i="9"/>
  <c r="F186" i="9"/>
  <c r="AM66" i="9"/>
  <c r="Q153" i="9"/>
  <c r="F262" i="9"/>
  <c r="AM382" i="9"/>
  <c r="F71" i="9"/>
  <c r="BK159" i="9"/>
  <c r="BK175" i="9"/>
  <c r="F212" i="9"/>
  <c r="AX135" i="9"/>
  <c r="Q175" i="9"/>
  <c r="F574" i="9"/>
  <c r="H582" i="9"/>
  <c r="AM50" i="9"/>
  <c r="H415" i="9"/>
  <c r="AM277" i="9"/>
  <c r="AZ76" i="9"/>
  <c r="AO408" i="9"/>
  <c r="BI186" i="9"/>
  <c r="CE238" i="9"/>
  <c r="BV184" i="9"/>
  <c r="BI145" i="9"/>
  <c r="AO364" i="9"/>
  <c r="F154" i="9"/>
  <c r="S86" i="9"/>
  <c r="BV499" i="9"/>
  <c r="BV352" i="9"/>
  <c r="H233" i="9"/>
  <c r="H167" i="9"/>
  <c r="DA41" i="9"/>
  <c r="CG123" i="9"/>
  <c r="AO379" i="9"/>
  <c r="H288" i="9"/>
  <c r="AZ26" i="9"/>
  <c r="H679" i="9"/>
  <c r="H189" i="9"/>
  <c r="DC210" i="9"/>
  <c r="AX23" i="9"/>
  <c r="BI34" i="9"/>
  <c r="DN297" i="9"/>
  <c r="BK93" i="9"/>
  <c r="BT402" i="9"/>
  <c r="F383" i="9"/>
  <c r="DA151" i="9"/>
  <c r="S148" i="9"/>
  <c r="DL708" i="9"/>
  <c r="H531" i="9"/>
  <c r="F567" i="9"/>
  <c r="DL280" i="9"/>
  <c r="F453" i="9"/>
  <c r="Q87" i="9"/>
  <c r="BV267" i="9"/>
  <c r="BI191" i="9"/>
  <c r="DL127" i="9"/>
  <c r="AO133" i="9"/>
  <c r="CG332" i="9"/>
  <c r="H340" i="9"/>
  <c r="F551" i="9"/>
  <c r="DN152" i="9"/>
  <c r="DL516" i="9"/>
  <c r="AM406" i="9"/>
  <c r="BV307" i="9"/>
  <c r="AB97" i="9"/>
  <c r="F548" i="9"/>
  <c r="BV380" i="9"/>
  <c r="CR120" i="9"/>
  <c r="BT308" i="9"/>
  <c r="H72" i="9"/>
  <c r="H81" i="9"/>
  <c r="BV373" i="9"/>
  <c r="DA140" i="9"/>
  <c r="AD98" i="9"/>
  <c r="DN762" i="9"/>
  <c r="BV320" i="9"/>
  <c r="AO40" i="9"/>
  <c r="H254" i="9"/>
  <c r="DA304" i="9"/>
  <c r="DN302" i="9"/>
  <c r="DL224" i="9"/>
  <c r="CR59" i="9"/>
  <c r="BV127" i="9"/>
  <c r="DC354" i="9"/>
  <c r="H404" i="9"/>
  <c r="BT101" i="9"/>
  <c r="S188" i="9"/>
  <c r="F631" i="9"/>
  <c r="DA244" i="9"/>
  <c r="AZ100" i="9"/>
  <c r="BT493" i="9"/>
  <c r="F258" i="9"/>
  <c r="BK117" i="9"/>
  <c r="CG305" i="9"/>
  <c r="AO61" i="9"/>
  <c r="BV140" i="9"/>
  <c r="H489" i="9"/>
  <c r="H116" i="9"/>
  <c r="H586" i="9"/>
  <c r="Q189" i="9"/>
  <c r="CG139" i="9"/>
  <c r="DC150" i="9"/>
  <c r="AM403" i="9"/>
  <c r="F192" i="9"/>
  <c r="AM367" i="9"/>
  <c r="CG58" i="9"/>
  <c r="AO172" i="9"/>
  <c r="CP173" i="9"/>
  <c r="AO401" i="9"/>
  <c r="AO423" i="9"/>
  <c r="H61" i="9"/>
  <c r="CE232" i="9"/>
  <c r="BT392" i="9"/>
  <c r="F359" i="9"/>
  <c r="CG30" i="9"/>
  <c r="BV319" i="9"/>
  <c r="CP210" i="9"/>
  <c r="AM100" i="9"/>
  <c r="H532" i="9"/>
  <c r="BI180" i="9"/>
  <c r="H424" i="9"/>
  <c r="CR179" i="9"/>
  <c r="Q165" i="9"/>
  <c r="BV215" i="9"/>
  <c r="F612" i="9"/>
  <c r="DA128" i="9"/>
  <c r="S34" i="9"/>
  <c r="DN470" i="9"/>
  <c r="BT350" i="9"/>
  <c r="H88" i="9"/>
  <c r="DC33" i="9"/>
  <c r="BV418" i="9"/>
  <c r="CG286" i="9"/>
  <c r="AO98" i="9"/>
  <c r="DC145" i="9"/>
  <c r="F511" i="9"/>
  <c r="H250" i="9"/>
  <c r="AO111" i="9"/>
  <c r="CE324" i="9"/>
  <c r="AZ63" i="9"/>
  <c r="Q93" i="9"/>
  <c r="CP124" i="9"/>
  <c r="H511" i="9"/>
  <c r="DL321" i="9"/>
  <c r="DC77" i="9"/>
  <c r="BT46" i="9"/>
  <c r="CG407" i="9"/>
  <c r="F372" i="9"/>
  <c r="F244" i="9"/>
  <c r="BT211" i="9"/>
  <c r="AM379" i="9"/>
  <c r="CG411" i="9"/>
  <c r="CE146" i="9"/>
  <c r="F225" i="9"/>
  <c r="AZ42" i="9"/>
  <c r="BI44" i="9"/>
  <c r="H438" i="9"/>
  <c r="H156" i="9"/>
  <c r="AO304" i="9"/>
  <c r="F47" i="9"/>
  <c r="DN333" i="9"/>
  <c r="AO205" i="9"/>
  <c r="F148" i="9"/>
  <c r="F341" i="9"/>
  <c r="BT91" i="9"/>
  <c r="AX62" i="9"/>
  <c r="CE303" i="9"/>
  <c r="DN909" i="9"/>
  <c r="AM193" i="9"/>
  <c r="BV230" i="9"/>
  <c r="AO85" i="9"/>
  <c r="AO119" i="9"/>
  <c r="S149" i="9"/>
  <c r="AM315" i="9"/>
  <c r="AM155" i="9"/>
  <c r="AM233" i="9"/>
  <c r="CG161" i="9"/>
  <c r="DL135" i="9"/>
  <c r="BT261" i="9"/>
  <c r="AM270" i="9"/>
  <c r="AO52" i="9"/>
  <c r="AM345" i="9"/>
  <c r="BT416" i="9"/>
  <c r="AZ34" i="9"/>
  <c r="BK84" i="9"/>
  <c r="AZ73" i="9"/>
  <c r="AD38" i="9"/>
  <c r="BI107" i="9"/>
  <c r="Q158" i="9"/>
  <c r="AO106" i="9"/>
  <c r="DN444" i="9"/>
  <c r="AZ85" i="9"/>
  <c r="S46" i="9"/>
  <c r="DL661" i="9"/>
  <c r="H636" i="9"/>
  <c r="DN37" i="9"/>
  <c r="H281" i="9"/>
  <c r="BT448" i="9"/>
  <c r="S125" i="9"/>
  <c r="AM171" i="9"/>
  <c r="BI148" i="9"/>
  <c r="AO410" i="9"/>
  <c r="AX72" i="9"/>
  <c r="BV504" i="9"/>
  <c r="AX183" i="9"/>
  <c r="DL827" i="9"/>
  <c r="AO371" i="9"/>
  <c r="BT186" i="9"/>
  <c r="F318" i="9"/>
  <c r="BI153" i="9"/>
  <c r="H611" i="9"/>
  <c r="DL596" i="9"/>
  <c r="F117" i="9"/>
  <c r="H388" i="9"/>
  <c r="BK163" i="9"/>
  <c r="H517" i="9"/>
  <c r="F427" i="9"/>
  <c r="F131" i="9"/>
  <c r="AM236" i="9"/>
  <c r="AB26" i="9"/>
  <c r="S214" i="9"/>
  <c r="BV335" i="9"/>
  <c r="AO159" i="9"/>
  <c r="AM365" i="9"/>
  <c r="AM334" i="9"/>
  <c r="DA175" i="9"/>
  <c r="AM410" i="9"/>
  <c r="AO416" i="9"/>
  <c r="F32" i="9"/>
  <c r="CP170" i="9"/>
  <c r="F99" i="9"/>
  <c r="BT178" i="9"/>
  <c r="DN147" i="9"/>
  <c r="CE281" i="9"/>
  <c r="F609" i="9"/>
  <c r="F160" i="9"/>
  <c r="BT63" i="9"/>
  <c r="DN785" i="9"/>
  <c r="AZ57" i="9"/>
  <c r="CE101" i="9"/>
  <c r="BV452" i="9"/>
  <c r="H521" i="9"/>
  <c r="H425" i="9"/>
  <c r="F222" i="9"/>
  <c r="H32" i="9"/>
  <c r="AO223" i="9"/>
  <c r="DN869" i="9"/>
  <c r="H285" i="9"/>
  <c r="F269" i="9"/>
  <c r="AO334" i="9"/>
  <c r="BT66" i="9"/>
  <c r="AX100" i="9"/>
  <c r="F621" i="9"/>
  <c r="H176" i="9"/>
  <c r="AO220" i="9"/>
  <c r="AM78" i="9"/>
  <c r="BK73" i="9"/>
  <c r="DN757" i="9"/>
  <c r="CR61" i="9"/>
  <c r="BT72" i="9"/>
  <c r="H612" i="9"/>
  <c r="F587" i="9"/>
  <c r="BT122" i="9"/>
  <c r="BK44" i="9"/>
  <c r="CG215" i="9"/>
  <c r="BV91" i="9"/>
  <c r="AO267" i="9"/>
  <c r="H456" i="9"/>
  <c r="DC60" i="9"/>
  <c r="BK183" i="9"/>
  <c r="AX129" i="9"/>
  <c r="BT185" i="9"/>
  <c r="CG39" i="9"/>
  <c r="AM189" i="9"/>
  <c r="F619" i="9"/>
  <c r="AO238" i="9"/>
  <c r="H593" i="9"/>
  <c r="BI57" i="9"/>
  <c r="Q177" i="9"/>
  <c r="S48" i="9"/>
  <c r="AM346" i="9"/>
  <c r="F304" i="9"/>
  <c r="AM378" i="9"/>
  <c r="BT347" i="9"/>
  <c r="BV167" i="9"/>
  <c r="H638" i="9"/>
  <c r="AO348" i="9"/>
  <c r="DN892" i="9"/>
  <c r="DN431" i="9"/>
  <c r="Q213" i="9"/>
  <c r="Q118" i="9"/>
  <c r="AX145" i="9"/>
  <c r="AO234" i="9"/>
  <c r="AO30" i="9"/>
  <c r="DL457" i="9"/>
  <c r="S217" i="9"/>
  <c r="S121" i="9"/>
  <c r="AM215" i="9"/>
  <c r="H479" i="9"/>
  <c r="BT219" i="9"/>
  <c r="AM292" i="9"/>
  <c r="BI59" i="9"/>
  <c r="BV60" i="9"/>
  <c r="AO235" i="9"/>
  <c r="AO137" i="9"/>
  <c r="CR45" i="9"/>
  <c r="DL105" i="9"/>
  <c r="AM150" i="9"/>
  <c r="AZ55" i="9"/>
  <c r="H371" i="9"/>
  <c r="F669" i="9"/>
  <c r="F444" i="9"/>
  <c r="BT28" i="9"/>
  <c r="AM148" i="9"/>
  <c r="AO367" i="9"/>
  <c r="F477" i="9"/>
  <c r="F210" i="9"/>
  <c r="H496" i="9"/>
  <c r="BK87" i="9"/>
  <c r="H26" i="9"/>
  <c r="AM119" i="9"/>
  <c r="DN882" i="9"/>
  <c r="BV451" i="9"/>
  <c r="F526" i="9"/>
  <c r="BV474" i="9"/>
  <c r="F654" i="9"/>
  <c r="CE378" i="9"/>
  <c r="AO218" i="9"/>
  <c r="AM390" i="9"/>
  <c r="DN571" i="9"/>
  <c r="AO166" i="9"/>
  <c r="AO91" i="9"/>
  <c r="H56" i="9"/>
  <c r="H447" i="9"/>
  <c r="AM211" i="9"/>
  <c r="DL428" i="9"/>
  <c r="AO403" i="9"/>
  <c r="S211" i="9"/>
  <c r="CE133" i="9"/>
  <c r="F515" i="9"/>
  <c r="AO377" i="9"/>
  <c r="F489" i="9"/>
  <c r="H439" i="9"/>
  <c r="BV331" i="9"/>
  <c r="BV137" i="9"/>
  <c r="DN446" i="9"/>
  <c r="H318" i="9"/>
  <c r="BK185" i="9"/>
  <c r="CE267" i="9"/>
  <c r="DC188" i="9"/>
  <c r="Q46" i="9"/>
  <c r="BT203" i="9"/>
  <c r="BV96" i="9"/>
  <c r="BV356" i="9"/>
  <c r="CR165" i="9"/>
  <c r="BT369" i="9"/>
  <c r="AX97" i="9"/>
  <c r="CG297" i="9"/>
  <c r="AO145" i="9"/>
  <c r="F195" i="9"/>
  <c r="CE339" i="9"/>
  <c r="H38" i="9"/>
  <c r="BV228" i="9"/>
  <c r="H587" i="9"/>
  <c r="CE105" i="9"/>
  <c r="F218" i="9"/>
  <c r="AM237" i="9"/>
  <c r="H260" i="9"/>
  <c r="DN340" i="9"/>
  <c r="F368" i="9"/>
  <c r="F237" i="9"/>
  <c r="H542" i="9"/>
  <c r="F40" i="9"/>
  <c r="BV446" i="9"/>
  <c r="F247" i="9"/>
  <c r="H363" i="9"/>
  <c r="H476" i="9"/>
  <c r="H537" i="9"/>
  <c r="BT113" i="9"/>
  <c r="AD65" i="9"/>
  <c r="BT377" i="9"/>
  <c r="H469" i="9"/>
  <c r="AM413" i="9"/>
  <c r="H44" i="9"/>
  <c r="S177" i="9"/>
  <c r="F98" i="9"/>
  <c r="DA122" i="9"/>
  <c r="CR169" i="9"/>
  <c r="F343" i="9"/>
  <c r="F560" i="9"/>
  <c r="CR219" i="9"/>
  <c r="H229" i="9"/>
  <c r="BK124" i="9"/>
  <c r="H162" i="9"/>
  <c r="CR91" i="9"/>
  <c r="F188" i="9"/>
  <c r="BV23" i="9"/>
  <c r="AO406" i="9"/>
  <c r="AZ68" i="9"/>
  <c r="F70" i="9"/>
  <c r="S140" i="9"/>
  <c r="AM255" i="9"/>
  <c r="AZ115" i="9"/>
  <c r="AM128" i="9"/>
  <c r="AX155" i="9"/>
  <c r="F430" i="9"/>
  <c r="AM297" i="9"/>
  <c r="S92" i="9"/>
  <c r="F333" i="9"/>
  <c r="F348" i="9"/>
  <c r="AM249" i="9"/>
  <c r="AM90" i="9"/>
  <c r="F561" i="9"/>
  <c r="CG60" i="9"/>
  <c r="AX86" i="9"/>
  <c r="CE213" i="9"/>
  <c r="H101" i="9"/>
  <c r="H97" i="9"/>
  <c r="AM301" i="9"/>
  <c r="BI189" i="9"/>
  <c r="AO385" i="9"/>
  <c r="AM359" i="9"/>
  <c r="F322" i="9"/>
  <c r="CG130" i="9"/>
  <c r="DL776" i="9"/>
  <c r="AX51" i="9"/>
  <c r="AO49" i="9"/>
  <c r="BT395" i="9"/>
  <c r="BV244" i="9"/>
  <c r="AM420" i="9"/>
  <c r="F308" i="9"/>
  <c r="DL564" i="9"/>
  <c r="F35" i="9"/>
  <c r="H53" i="9"/>
  <c r="AB51" i="9"/>
  <c r="BK201" i="9"/>
  <c r="AZ156" i="9"/>
  <c r="S41" i="9"/>
  <c r="AX94" i="9"/>
  <c r="Q132" i="9"/>
  <c r="BT491" i="9"/>
  <c r="BT149" i="9"/>
  <c r="AD85" i="9"/>
  <c r="F272" i="9"/>
  <c r="F671" i="9"/>
  <c r="AO247" i="9"/>
  <c r="F376" i="9"/>
  <c r="BV188" i="9"/>
  <c r="F324" i="9"/>
  <c r="AO301" i="9"/>
  <c r="AX172" i="9"/>
  <c r="S52" i="9"/>
  <c r="F565" i="9"/>
  <c r="Q119" i="9"/>
  <c r="F39" i="9"/>
  <c r="BK214" i="9"/>
  <c r="Q52" i="9"/>
  <c r="AO288" i="9"/>
  <c r="H333" i="9"/>
  <c r="H287" i="9"/>
  <c r="BK115" i="9"/>
  <c r="F544" i="9"/>
  <c r="BV497" i="9"/>
  <c r="S178" i="9"/>
  <c r="CE197" i="9"/>
  <c r="AO233" i="9"/>
  <c r="F582" i="9"/>
  <c r="S62" i="9"/>
  <c r="AX116" i="9"/>
  <c r="S61" i="9"/>
  <c r="DN804" i="9"/>
  <c r="BV63" i="9"/>
  <c r="DC266" i="9"/>
  <c r="AO203" i="9"/>
  <c r="BI42" i="9"/>
  <c r="AM418" i="9"/>
  <c r="F440" i="9"/>
  <c r="F124" i="9"/>
  <c r="AO87" i="9"/>
  <c r="BK50" i="9"/>
  <c r="H105" i="9"/>
  <c r="F585" i="9"/>
  <c r="AM336" i="9"/>
  <c r="H182" i="9"/>
  <c r="AO312" i="9"/>
  <c r="F358" i="9"/>
  <c r="BV473" i="9"/>
  <c r="BV482" i="9"/>
  <c r="DC259" i="9"/>
  <c r="DA87" i="9"/>
  <c r="BT269" i="9"/>
  <c r="CG233" i="9"/>
  <c r="BT417" i="9"/>
  <c r="F465" i="9"/>
  <c r="BT83" i="9"/>
  <c r="BT240" i="9"/>
  <c r="F442" i="9"/>
  <c r="BK49" i="9"/>
  <c r="BI65" i="9"/>
  <c r="CG156" i="9"/>
  <c r="F568" i="9"/>
  <c r="F498" i="9"/>
  <c r="H134" i="9"/>
  <c r="BV393" i="9"/>
  <c r="AO31" i="9"/>
  <c r="DC318" i="9"/>
  <c r="H130" i="9"/>
  <c r="H370" i="9"/>
  <c r="AX169" i="9"/>
  <c r="CE370" i="9"/>
  <c r="F331" i="9"/>
  <c r="H45" i="9"/>
  <c r="BK34" i="9"/>
  <c r="BV471" i="9"/>
  <c r="CE408" i="9"/>
  <c r="BV302" i="9"/>
  <c r="AD79" i="9"/>
  <c r="AO353" i="9"/>
  <c r="H165" i="9"/>
  <c r="F555" i="9"/>
  <c r="AO138" i="9"/>
  <c r="CE261" i="9"/>
  <c r="AM373" i="9"/>
  <c r="AB52" i="9"/>
  <c r="H604" i="9"/>
  <c r="S55" i="9"/>
  <c r="BI183" i="9"/>
  <c r="BT418" i="9"/>
  <c r="AX71" i="9"/>
  <c r="BI33" i="9"/>
  <c r="S39" i="9"/>
  <c r="H452" i="9"/>
  <c r="H396" i="9"/>
  <c r="H647" i="9"/>
  <c r="BT158" i="9"/>
  <c r="AM108" i="9"/>
  <c r="F257" i="9"/>
  <c r="Q56" i="9"/>
  <c r="AO162" i="9"/>
  <c r="F106" i="9"/>
  <c r="DA305" i="9"/>
  <c r="H227" i="9"/>
  <c r="F96" i="9"/>
  <c r="BT378" i="9"/>
  <c r="AM191" i="9"/>
  <c r="Q66" i="9"/>
  <c r="DN217" i="9"/>
  <c r="H24" i="9"/>
  <c r="CG97" i="9"/>
  <c r="F312" i="9"/>
  <c r="AM190" i="9"/>
  <c r="AO258" i="9"/>
  <c r="AO370" i="9"/>
  <c r="Q98" i="9"/>
  <c r="AM402" i="9"/>
  <c r="CG372" i="9"/>
  <c r="BK92" i="9"/>
  <c r="AD54" i="9"/>
  <c r="DN750" i="9"/>
  <c r="AO174" i="9"/>
  <c r="H306" i="9"/>
  <c r="AM34" i="9"/>
  <c r="H544" i="9"/>
  <c r="AM137" i="9"/>
  <c r="AM258" i="9"/>
  <c r="DN479" i="9"/>
  <c r="CG137" i="9"/>
  <c r="Q129" i="9"/>
  <c r="AM97" i="9"/>
  <c r="H60" i="9"/>
  <c r="BT52" i="9"/>
  <c r="DC89" i="9"/>
  <c r="AO163" i="9"/>
  <c r="F553" i="9"/>
  <c r="S95" i="9"/>
  <c r="AZ48" i="9"/>
  <c r="CE283" i="9"/>
  <c r="AX113" i="9"/>
  <c r="F651" i="9"/>
  <c r="CE426" i="9"/>
  <c r="CR137" i="9"/>
  <c r="DC84" i="9"/>
  <c r="CE315" i="9"/>
  <c r="H161" i="9"/>
  <c r="CE300" i="9"/>
  <c r="AO190" i="9"/>
  <c r="F586" i="9"/>
  <c r="BK32" i="9"/>
  <c r="AO149" i="9"/>
  <c r="DN229" i="9"/>
  <c r="CR93" i="9"/>
  <c r="BV505" i="9"/>
  <c r="BV205" i="9"/>
  <c r="F323" i="9"/>
  <c r="AX90" i="9"/>
  <c r="F351" i="9"/>
  <c r="CR191" i="9"/>
  <c r="DA319" i="9"/>
  <c r="H584" i="9"/>
  <c r="BK97" i="9"/>
  <c r="AB38" i="9"/>
  <c r="AM426" i="9"/>
  <c r="H149" i="9"/>
  <c r="AO179" i="9"/>
  <c r="H28" i="9"/>
  <c r="F294" i="9"/>
  <c r="H431" i="9"/>
  <c r="CG69" i="9"/>
  <c r="DC349" i="9"/>
  <c r="F298" i="9"/>
  <c r="CG296" i="9"/>
  <c r="BT376" i="9"/>
  <c r="BV503" i="9"/>
  <c r="F202" i="9"/>
  <c r="AM161" i="9"/>
  <c r="H579" i="9"/>
  <c r="DC50" i="9"/>
  <c r="BT218" i="9"/>
  <c r="AD87" i="9"/>
  <c r="CE193" i="9"/>
  <c r="DL140" i="9"/>
  <c r="DC247" i="9"/>
  <c r="DA30" i="9"/>
  <c r="BT165" i="9"/>
  <c r="Q90" i="9"/>
  <c r="S45" i="9"/>
  <c r="AZ52" i="9"/>
  <c r="BK110" i="9"/>
  <c r="DL168" i="9"/>
  <c r="H458" i="9"/>
  <c r="AX35" i="9"/>
  <c r="Q219" i="9"/>
  <c r="AO142" i="9"/>
  <c r="BT34" i="9"/>
  <c r="DA359" i="9"/>
  <c r="AM217" i="9"/>
  <c r="BT108" i="9"/>
  <c r="F155" i="9"/>
  <c r="BI137" i="9"/>
  <c r="H507" i="9"/>
  <c r="DL565" i="9"/>
  <c r="FA6" i="9" l="1"/>
  <c r="U63" i="12"/>
  <c r="U162" i="12"/>
  <c r="U13" i="12"/>
  <c r="U118" i="12"/>
  <c r="U51" i="12"/>
  <c r="U35" i="12"/>
  <c r="U141" i="12"/>
  <c r="U87" i="12"/>
  <c r="U89" i="12"/>
  <c r="U122" i="12"/>
  <c r="U67" i="12"/>
  <c r="U145" i="12"/>
  <c r="U22" i="12"/>
  <c r="U110" i="12"/>
  <c r="U125" i="12"/>
  <c r="U86" i="12"/>
  <c r="U151" i="12"/>
  <c r="U111" i="12"/>
  <c r="U134" i="12"/>
  <c r="U50" i="12"/>
  <c r="U41" i="12"/>
  <c r="U71" i="12"/>
  <c r="U39" i="12"/>
  <c r="U168" i="12"/>
  <c r="U40" i="12"/>
  <c r="U73" i="12"/>
  <c r="U112" i="12"/>
  <c r="U133" i="12"/>
  <c r="U158" i="12"/>
  <c r="U152" i="12"/>
  <c r="U70" i="12"/>
  <c r="U129" i="12"/>
  <c r="U38" i="12"/>
  <c r="U95" i="12"/>
  <c r="U53" i="12"/>
  <c r="U117" i="12"/>
  <c r="U68" i="12"/>
  <c r="U139" i="12"/>
  <c r="U56" i="12"/>
  <c r="U32" i="12"/>
  <c r="U104" i="12"/>
  <c r="U44" i="12"/>
  <c r="U43" i="12"/>
  <c r="U101" i="12"/>
  <c r="U64" i="12"/>
  <c r="U93" i="12"/>
  <c r="U19" i="12"/>
  <c r="U20" i="12"/>
  <c r="U28" i="12"/>
  <c r="U92" i="12"/>
  <c r="U80" i="12"/>
  <c r="U66" i="12"/>
  <c r="U116" i="12"/>
  <c r="U23" i="12"/>
  <c r="U61" i="12"/>
  <c r="U155" i="12"/>
  <c r="U103" i="12"/>
  <c r="U115" i="12"/>
  <c r="U84" i="12"/>
  <c r="U108" i="12"/>
  <c r="U137" i="12"/>
  <c r="U91" i="12"/>
  <c r="U49" i="12"/>
  <c r="U105" i="12"/>
  <c r="U96" i="12"/>
  <c r="U36" i="12"/>
  <c r="U140" i="12"/>
  <c r="U121" i="12"/>
  <c r="U85" i="12"/>
  <c r="U12" i="12"/>
  <c r="U24" i="12"/>
  <c r="U136" i="12"/>
  <c r="U128" i="12"/>
  <c r="U167" i="12"/>
  <c r="U48" i="12"/>
  <c r="U69" i="12"/>
  <c r="U132" i="12"/>
  <c r="U33" i="12"/>
  <c r="U79" i="12"/>
  <c r="U119" i="12"/>
  <c r="U148" i="12"/>
  <c r="U21" i="12"/>
  <c r="U42" i="12"/>
  <c r="U120" i="12"/>
  <c r="U18" i="12"/>
  <c r="U135" i="12"/>
  <c r="U165" i="12"/>
  <c r="U31" i="12"/>
  <c r="U150" i="12"/>
  <c r="U76" i="12"/>
  <c r="U27" i="12"/>
  <c r="U16" i="12"/>
  <c r="U55" i="12"/>
  <c r="U37" i="12"/>
  <c r="U90" i="12"/>
  <c r="U157" i="12"/>
  <c r="U107" i="12"/>
  <c r="U163" i="12"/>
  <c r="U17" i="12"/>
  <c r="U160" i="12"/>
  <c r="U78" i="12"/>
  <c r="U127" i="12"/>
  <c r="U30" i="12"/>
  <c r="U29" i="12"/>
  <c r="U123" i="12"/>
  <c r="U77" i="12"/>
  <c r="U100" i="12"/>
  <c r="U169" i="12"/>
  <c r="U60" i="12"/>
  <c r="U114" i="12"/>
  <c r="U72" i="12"/>
  <c r="U144" i="12"/>
  <c r="U59" i="12"/>
  <c r="U45" i="12"/>
  <c r="U156" i="12"/>
  <c r="U166" i="12"/>
  <c r="U75" i="12"/>
  <c r="U130" i="12"/>
  <c r="U14" i="12"/>
  <c r="U161" i="12"/>
  <c r="U154" i="12"/>
  <c r="U15" i="12"/>
  <c r="U58" i="12"/>
  <c r="U52" i="12"/>
  <c r="G556" i="9"/>
  <c r="G163" i="9"/>
  <c r="AY91" i="9"/>
  <c r="G511" i="9"/>
  <c r="AN375" i="9"/>
  <c r="G378" i="9"/>
  <c r="G554" i="9"/>
  <c r="G466" i="9"/>
  <c r="G586" i="9"/>
  <c r="G178" i="9"/>
  <c r="G256" i="9"/>
  <c r="G472" i="9"/>
  <c r="G473" i="9"/>
  <c r="G183" i="9"/>
  <c r="G306" i="9"/>
  <c r="R79" i="9"/>
  <c r="AC63" i="9"/>
  <c r="AN88" i="9"/>
  <c r="AN22" i="9"/>
  <c r="AY56" i="9"/>
  <c r="BU444" i="9"/>
  <c r="BU320" i="9"/>
  <c r="G251" i="9"/>
  <c r="G567" i="9"/>
  <c r="G570" i="9"/>
  <c r="G213" i="9"/>
  <c r="G224" i="9"/>
  <c r="G395" i="9"/>
  <c r="R101" i="9"/>
  <c r="R166" i="9"/>
  <c r="AN83" i="9"/>
  <c r="AN291" i="9"/>
  <c r="AY29" i="9"/>
  <c r="BJ161" i="9"/>
  <c r="BU96" i="9"/>
  <c r="BU351" i="9"/>
  <c r="G424" i="9"/>
  <c r="R102" i="9"/>
  <c r="AN145" i="9"/>
  <c r="G188" i="9"/>
  <c r="G637" i="9"/>
  <c r="G152" i="9"/>
  <c r="BJ212" i="9"/>
  <c r="G164" i="9"/>
  <c r="G503" i="9"/>
  <c r="G232" i="9"/>
  <c r="G485" i="9"/>
  <c r="G668" i="9"/>
  <c r="G428" i="9"/>
  <c r="G106" i="9"/>
  <c r="G235" i="9"/>
  <c r="G33" i="9"/>
  <c r="R62" i="9"/>
  <c r="AC84" i="9"/>
  <c r="AN426" i="9"/>
  <c r="AN377" i="9"/>
  <c r="AN237" i="9"/>
  <c r="CF370" i="9"/>
  <c r="G144" i="9"/>
  <c r="G507" i="9"/>
  <c r="G601" i="9"/>
  <c r="G76" i="9"/>
  <c r="G426" i="9"/>
  <c r="G196" i="9"/>
  <c r="G292" i="9"/>
  <c r="G30" i="9"/>
  <c r="R58" i="9"/>
  <c r="R109" i="9"/>
  <c r="AC90" i="9"/>
  <c r="AN331" i="9"/>
  <c r="AN424" i="9"/>
  <c r="BU280" i="9"/>
  <c r="CF116" i="9"/>
  <c r="G246" i="9"/>
  <c r="G569" i="9"/>
  <c r="AN311" i="9"/>
  <c r="AY43" i="9"/>
  <c r="G120" i="9"/>
  <c r="G509" i="9"/>
  <c r="G597" i="9"/>
  <c r="G69" i="9"/>
  <c r="G60" i="9"/>
  <c r="G100" i="9"/>
  <c r="G541" i="9"/>
  <c r="G250" i="9"/>
  <c r="R197" i="9"/>
  <c r="AN134" i="9"/>
  <c r="AY57" i="9"/>
  <c r="G576" i="9"/>
  <c r="G374" i="9"/>
  <c r="G488" i="9"/>
  <c r="G649" i="9"/>
  <c r="G581" i="9"/>
  <c r="G545" i="9"/>
  <c r="G462" i="9"/>
  <c r="R190" i="9"/>
  <c r="AN367" i="9"/>
  <c r="BJ180" i="9"/>
  <c r="G540" i="9"/>
  <c r="R210" i="9"/>
  <c r="AC22" i="9"/>
  <c r="G357" i="9"/>
  <c r="G65" i="9"/>
  <c r="R165" i="9"/>
  <c r="G295" i="9"/>
  <c r="G51" i="9"/>
  <c r="AN207" i="9"/>
  <c r="AY145" i="9"/>
  <c r="BJ118" i="9"/>
  <c r="CQ163" i="9"/>
  <c r="G231" i="9"/>
  <c r="G553" i="9"/>
  <c r="G116" i="9"/>
  <c r="G138" i="9"/>
  <c r="G467" i="9"/>
  <c r="G216" i="9"/>
  <c r="R68" i="9"/>
  <c r="AN77" i="9"/>
  <c r="BJ222" i="9"/>
  <c r="CQ195" i="9"/>
  <c r="G129" i="9"/>
  <c r="G500" i="9"/>
  <c r="G664" i="9"/>
  <c r="G265" i="9"/>
  <c r="G105" i="9"/>
  <c r="G128" i="9"/>
  <c r="G461" i="9"/>
  <c r="R188" i="9"/>
  <c r="R66" i="9"/>
  <c r="AN379" i="9"/>
  <c r="AN364" i="9"/>
  <c r="AN181" i="9"/>
  <c r="BU32" i="9"/>
  <c r="BU240" i="9"/>
  <c r="DB41" i="9"/>
  <c r="G644" i="9"/>
  <c r="G615" i="9"/>
  <c r="AN397" i="9"/>
  <c r="BJ145" i="9"/>
  <c r="G382" i="9"/>
  <c r="R114" i="9"/>
  <c r="G653" i="9"/>
  <c r="G247" i="9"/>
  <c r="R186" i="9"/>
  <c r="AN321" i="9"/>
  <c r="BU493" i="9"/>
  <c r="G322" i="9"/>
  <c r="G310" i="9"/>
  <c r="R218" i="9"/>
  <c r="AN173" i="9"/>
  <c r="AY101" i="9"/>
  <c r="G261" i="9"/>
  <c r="G388" i="9"/>
  <c r="G477" i="9"/>
  <c r="G97" i="9"/>
  <c r="G230" i="9"/>
  <c r="G328" i="9"/>
  <c r="R200" i="9"/>
  <c r="AC49" i="9"/>
  <c r="AN204" i="9"/>
  <c r="AN98" i="9"/>
  <c r="BU460" i="9"/>
  <c r="DB247" i="9"/>
  <c r="AY172" i="9"/>
  <c r="BJ192" i="9"/>
  <c r="BJ148" i="9"/>
  <c r="BU79" i="9"/>
  <c r="G534" i="9"/>
  <c r="G626" i="9"/>
  <c r="G215" i="9"/>
  <c r="AN330" i="9"/>
  <c r="BJ207" i="9"/>
  <c r="BU453" i="9"/>
  <c r="G294" i="9"/>
  <c r="G579" i="9"/>
  <c r="G578" i="9"/>
  <c r="G86" i="9"/>
  <c r="G490" i="9"/>
  <c r="G223" i="9"/>
  <c r="G199" i="9"/>
  <c r="G399" i="9"/>
  <c r="R137" i="9"/>
  <c r="R45" i="9"/>
  <c r="R194" i="9"/>
  <c r="R182" i="9"/>
  <c r="R33" i="9"/>
  <c r="R199" i="9"/>
  <c r="AC97" i="9"/>
  <c r="AC43" i="9"/>
  <c r="AN75" i="9"/>
  <c r="AN104" i="9"/>
  <c r="AN193" i="9"/>
  <c r="AN66" i="9"/>
  <c r="AN341" i="9"/>
  <c r="AN245" i="9"/>
  <c r="AN412" i="9"/>
  <c r="AN283" i="9"/>
  <c r="AN38" i="9"/>
  <c r="AY155" i="9"/>
  <c r="AY188" i="9"/>
  <c r="AY181" i="9"/>
  <c r="AY90" i="9"/>
  <c r="BJ94" i="9"/>
  <c r="BJ181" i="9"/>
  <c r="BJ186" i="9"/>
  <c r="BJ114" i="9"/>
  <c r="BU131" i="9"/>
  <c r="BU315" i="9"/>
  <c r="BU469" i="9"/>
  <c r="BU294" i="9"/>
  <c r="BU80" i="9"/>
  <c r="BU390" i="9"/>
  <c r="CF143" i="9"/>
  <c r="CF426" i="9"/>
  <c r="CF158" i="9"/>
  <c r="AC68" i="9"/>
  <c r="AY86" i="9"/>
  <c r="BU413" i="9"/>
  <c r="BU299" i="9"/>
  <c r="BU87" i="9"/>
  <c r="CF59" i="9"/>
  <c r="G574" i="9"/>
  <c r="G174" i="9"/>
  <c r="G436" i="9"/>
  <c r="G468" i="9"/>
  <c r="R212" i="9"/>
  <c r="AC87" i="9"/>
  <c r="AY185" i="9"/>
  <c r="G217" i="9"/>
  <c r="G156" i="9"/>
  <c r="G171" i="9"/>
  <c r="G291" i="9"/>
  <c r="G140" i="9"/>
  <c r="G207" i="9"/>
  <c r="G308" i="9"/>
  <c r="G277" i="9"/>
  <c r="G381" i="9"/>
  <c r="G598" i="9"/>
  <c r="AN159" i="9"/>
  <c r="AN361" i="9"/>
  <c r="AN220" i="9"/>
  <c r="AY106" i="9"/>
  <c r="BJ172" i="9"/>
  <c r="BU239" i="9"/>
  <c r="DB251" i="9"/>
  <c r="G293" i="9"/>
  <c r="G90" i="9"/>
  <c r="G187" i="9"/>
  <c r="G398" i="9"/>
  <c r="G22" i="9"/>
  <c r="G636" i="9"/>
  <c r="G368" i="9"/>
  <c r="G617" i="9"/>
  <c r="G613" i="9"/>
  <c r="R42" i="9"/>
  <c r="R187" i="9"/>
  <c r="AN376" i="9"/>
  <c r="AN175" i="9"/>
  <c r="AN258" i="9"/>
  <c r="AY180" i="9"/>
  <c r="BJ189" i="9"/>
  <c r="BU279" i="9"/>
  <c r="BU348" i="9"/>
  <c r="BU103" i="9"/>
  <c r="BU148" i="9"/>
  <c r="BU285" i="9"/>
  <c r="BU232" i="9"/>
  <c r="CF27" i="9"/>
  <c r="G455" i="9"/>
  <c r="G336" i="9"/>
  <c r="G543" i="9"/>
  <c r="G70" i="9"/>
  <c r="G385" i="9"/>
  <c r="G315" i="9"/>
  <c r="G425" i="9"/>
  <c r="G115" i="9"/>
  <c r="G591" i="9"/>
  <c r="G93" i="9"/>
  <c r="G456" i="9"/>
  <c r="G209" i="9"/>
  <c r="G366" i="9"/>
  <c r="G383" i="9"/>
  <c r="G542" i="9"/>
  <c r="G333" i="9"/>
  <c r="G339" i="9"/>
  <c r="G367" i="9"/>
  <c r="G44" i="9"/>
  <c r="G667" i="9"/>
  <c r="G197" i="9"/>
  <c r="G203" i="9"/>
  <c r="G148" i="9"/>
  <c r="G205" i="9"/>
  <c r="G538" i="9"/>
  <c r="G73" i="9"/>
  <c r="G149" i="9"/>
  <c r="G311" i="9"/>
  <c r="G48" i="9"/>
  <c r="G127" i="9"/>
  <c r="G595" i="9"/>
  <c r="G393" i="9"/>
  <c r="G555" i="9"/>
  <c r="G286" i="9"/>
  <c r="R103" i="9"/>
  <c r="R111" i="9"/>
  <c r="R164" i="9"/>
  <c r="R136" i="9"/>
  <c r="R144" i="9"/>
  <c r="AC88" i="9"/>
  <c r="AC47" i="9"/>
  <c r="AC27" i="9"/>
  <c r="AN398" i="9"/>
  <c r="AN325" i="9"/>
  <c r="AN41" i="9"/>
  <c r="AN71" i="9"/>
  <c r="AN144" i="9"/>
  <c r="AN36" i="9"/>
  <c r="AN169" i="9"/>
  <c r="AN198" i="9"/>
  <c r="AN413" i="9"/>
  <c r="AN410" i="9"/>
  <c r="AN270" i="9"/>
  <c r="AN371" i="9"/>
  <c r="AN259" i="9"/>
  <c r="AN120" i="9"/>
  <c r="AY48" i="9"/>
  <c r="AY45" i="9"/>
  <c r="AY142" i="9"/>
  <c r="AY157" i="9"/>
  <c r="AY170" i="9"/>
  <c r="BJ32" i="9"/>
  <c r="BJ208" i="9"/>
  <c r="BJ35" i="9"/>
  <c r="BU346" i="9"/>
  <c r="BU278" i="9"/>
  <c r="BU76" i="9"/>
  <c r="BU91" i="9"/>
  <c r="BU377" i="9"/>
  <c r="BU283" i="9"/>
  <c r="DB99" i="9"/>
  <c r="AN55" i="9"/>
  <c r="BJ136" i="9"/>
  <c r="BJ153" i="9"/>
  <c r="CF324" i="9"/>
  <c r="G227" i="9"/>
  <c r="G23" i="9"/>
  <c r="G189" i="9"/>
  <c r="G447" i="9"/>
  <c r="G654" i="9"/>
  <c r="G417" i="9"/>
  <c r="G92" i="9"/>
  <c r="G608" i="9"/>
  <c r="AC37" i="9"/>
  <c r="AY119" i="9"/>
  <c r="BJ198" i="9"/>
  <c r="BU66" i="9"/>
  <c r="CF232" i="9"/>
  <c r="G289" i="9"/>
  <c r="G621" i="9"/>
  <c r="G343" i="9"/>
  <c r="G249" i="9"/>
  <c r="G236" i="9"/>
  <c r="G622" i="9"/>
  <c r="G210" i="9"/>
  <c r="G592" i="9"/>
  <c r="G506" i="9"/>
  <c r="G200" i="9"/>
  <c r="G355" i="9"/>
  <c r="G35" i="9"/>
  <c r="G427" i="9"/>
  <c r="G274" i="9"/>
  <c r="G411" i="9"/>
  <c r="G137" i="9"/>
  <c r="G107" i="9"/>
  <c r="R121" i="9"/>
  <c r="AC26" i="9"/>
  <c r="AN163" i="9"/>
  <c r="AN69" i="9"/>
  <c r="AN218" i="9"/>
  <c r="BJ69" i="9"/>
  <c r="BU396" i="9"/>
  <c r="CF422" i="9"/>
  <c r="G168" i="9"/>
  <c r="G344" i="9"/>
  <c r="G363" i="9"/>
  <c r="G222" i="9"/>
  <c r="G331" i="9"/>
  <c r="G518" i="9"/>
  <c r="R47" i="9"/>
  <c r="G525" i="9"/>
  <c r="G430" i="9"/>
  <c r="G580" i="9"/>
  <c r="G50" i="9"/>
  <c r="G201" i="9"/>
  <c r="G647" i="9"/>
  <c r="G122" i="9"/>
  <c r="G63" i="9"/>
  <c r="R193" i="9"/>
  <c r="AC92" i="9"/>
  <c r="AN43" i="9"/>
  <c r="AN269" i="9"/>
  <c r="AN122" i="9"/>
  <c r="AN115" i="9"/>
  <c r="AN161" i="9"/>
  <c r="AN151" i="9"/>
  <c r="AN119" i="9"/>
  <c r="AN386" i="9"/>
  <c r="AN336" i="9"/>
  <c r="AN250" i="9"/>
  <c r="AY124" i="9"/>
  <c r="AY120" i="9"/>
  <c r="AY166" i="9"/>
  <c r="AY149" i="9"/>
  <c r="BJ223" i="9"/>
  <c r="BJ42" i="9"/>
  <c r="BJ143" i="9"/>
  <c r="BJ88" i="9"/>
  <c r="BJ197" i="9"/>
  <c r="BU350" i="9"/>
  <c r="BU335" i="9"/>
  <c r="BU253" i="9"/>
  <c r="BU391" i="9"/>
  <c r="BU483" i="9"/>
  <c r="BU461" i="9"/>
  <c r="CF115" i="9"/>
  <c r="CF124" i="9"/>
  <c r="CQ188" i="9"/>
  <c r="AN117" i="9"/>
  <c r="AN200" i="9"/>
  <c r="BJ65" i="9"/>
  <c r="G62" i="9"/>
  <c r="G513" i="9"/>
  <c r="G268" i="9"/>
  <c r="G61" i="9"/>
  <c r="AC24" i="9"/>
  <c r="AN70" i="9"/>
  <c r="AN357" i="9"/>
  <c r="BJ206" i="9"/>
  <c r="G445" i="9"/>
  <c r="G605" i="9"/>
  <c r="G83" i="9"/>
  <c r="G529" i="9"/>
  <c r="G536" i="9"/>
  <c r="R175" i="9"/>
  <c r="AN97" i="9"/>
  <c r="BJ96" i="9"/>
  <c r="BU407" i="9"/>
  <c r="G358" i="9"/>
  <c r="G113" i="9"/>
  <c r="G401" i="9"/>
  <c r="G319" i="9"/>
  <c r="G593" i="9"/>
  <c r="G78" i="9"/>
  <c r="G416" i="9"/>
  <c r="G454" i="9"/>
  <c r="AC53" i="9"/>
  <c r="AC91" i="9"/>
  <c r="AN387" i="9"/>
  <c r="AN133" i="9"/>
  <c r="AN64" i="9"/>
  <c r="BJ149" i="9"/>
  <c r="G631" i="9"/>
  <c r="G39" i="9"/>
  <c r="G481" i="9"/>
  <c r="G147" i="9"/>
  <c r="G609" i="9"/>
  <c r="G192" i="9"/>
  <c r="G610" i="9"/>
  <c r="G535" i="9"/>
  <c r="G27" i="9"/>
  <c r="G438" i="9"/>
  <c r="G599" i="9"/>
  <c r="G46" i="9"/>
  <c r="G352" i="9"/>
  <c r="G89" i="9"/>
  <c r="R217" i="9"/>
  <c r="AC62" i="9"/>
  <c r="G150" i="9"/>
  <c r="G442" i="9"/>
  <c r="G185" i="9"/>
  <c r="G38" i="9"/>
  <c r="G272" i="9"/>
  <c r="G285" i="9"/>
  <c r="G452" i="9"/>
  <c r="G55" i="9"/>
  <c r="G479" i="9"/>
  <c r="G270" i="9"/>
  <c r="G304" i="9"/>
  <c r="G435" i="9"/>
  <c r="G173" i="9"/>
  <c r="G648" i="9"/>
  <c r="G41" i="9"/>
  <c r="G296" i="9"/>
  <c r="G526" i="9"/>
  <c r="G384" i="9"/>
  <c r="G458" i="9"/>
  <c r="G194" i="9"/>
  <c r="G302" i="9"/>
  <c r="G135" i="9"/>
  <c r="G43" i="9"/>
  <c r="G276" i="9"/>
  <c r="G470" i="9"/>
  <c r="G143" i="9"/>
  <c r="G431" i="9"/>
  <c r="G386" i="9"/>
  <c r="G321" i="9"/>
  <c r="G588" i="9"/>
  <c r="G464" i="9"/>
  <c r="G309" i="9"/>
  <c r="G434" i="9"/>
  <c r="R115" i="9"/>
  <c r="R53" i="9"/>
  <c r="R134" i="9"/>
  <c r="R202" i="9"/>
  <c r="AC85" i="9"/>
  <c r="AC67" i="9"/>
  <c r="AN239" i="9"/>
  <c r="AN328" i="9"/>
  <c r="AN185" i="9"/>
  <c r="AN315" i="9"/>
  <c r="AN95" i="9"/>
  <c r="AN309" i="9"/>
  <c r="AN409" i="9"/>
  <c r="AN292" i="9"/>
  <c r="AN329" i="9"/>
  <c r="AN112" i="9"/>
  <c r="AY148" i="9"/>
  <c r="AY52" i="9"/>
  <c r="AY163" i="9"/>
  <c r="AY61" i="9"/>
  <c r="AY22" i="9"/>
  <c r="AY54" i="9"/>
  <c r="BJ25" i="9"/>
  <c r="BJ127" i="9"/>
  <c r="BJ152" i="9"/>
  <c r="BJ125" i="9"/>
  <c r="BJ44" i="9"/>
  <c r="BU215" i="9"/>
  <c r="BU506" i="9"/>
  <c r="BU282" i="9"/>
  <c r="BU375" i="9"/>
  <c r="BU73" i="9"/>
  <c r="CF218" i="9"/>
  <c r="CF216" i="9"/>
  <c r="DB115" i="9"/>
  <c r="AN172" i="9"/>
  <c r="AY167" i="9"/>
  <c r="G108" i="9"/>
  <c r="G347" i="9"/>
  <c r="G284" i="9"/>
  <c r="R146" i="9"/>
  <c r="R65" i="9"/>
  <c r="AN26" i="9"/>
  <c r="AN187" i="9"/>
  <c r="BJ185" i="9"/>
  <c r="BU235" i="9"/>
  <c r="G566" i="9"/>
  <c r="G141" i="9"/>
  <c r="G281" i="9"/>
  <c r="G604" i="9"/>
  <c r="G263" i="9"/>
  <c r="G287" i="9"/>
  <c r="G103" i="9"/>
  <c r="G313" i="9"/>
  <c r="G611" i="9"/>
  <c r="G190" i="9"/>
  <c r="G583" i="9"/>
  <c r="G85" i="9"/>
  <c r="G25" i="9"/>
  <c r="R167" i="9"/>
  <c r="AC36" i="9"/>
  <c r="AN49" i="9"/>
  <c r="AY87" i="9"/>
  <c r="AY187" i="9"/>
  <c r="AY183" i="9"/>
  <c r="BJ77" i="9"/>
  <c r="BU383" i="9"/>
  <c r="CF332" i="9"/>
  <c r="G95" i="9"/>
  <c r="G475" i="9"/>
  <c r="G225" i="9"/>
  <c r="G663" i="9"/>
  <c r="G269" i="9"/>
  <c r="G193" i="9"/>
  <c r="G421" i="9"/>
  <c r="R127" i="9"/>
  <c r="AC45" i="9"/>
  <c r="AN126" i="9"/>
  <c r="AN317" i="9"/>
  <c r="AN107" i="9"/>
  <c r="AN390" i="9"/>
  <c r="AN27" i="9"/>
  <c r="AY70" i="9"/>
  <c r="AY89" i="9"/>
  <c r="G632" i="9"/>
  <c r="G314" i="9"/>
  <c r="G318" i="9"/>
  <c r="G539" i="9"/>
  <c r="G348" i="9"/>
  <c r="G408" i="9"/>
  <c r="R36" i="9"/>
  <c r="R39" i="9"/>
  <c r="G492" i="9"/>
  <c r="G528" i="9"/>
  <c r="G501" i="9"/>
  <c r="G349" i="9"/>
  <c r="G327" i="9"/>
  <c r="G590" i="9"/>
  <c r="G45" i="9"/>
  <c r="G257" i="9"/>
  <c r="G530" i="9"/>
  <c r="G459" i="9"/>
  <c r="G29" i="9"/>
  <c r="G252" i="9"/>
  <c r="G498" i="9"/>
  <c r="G153" i="9"/>
  <c r="G300" i="9"/>
  <c r="G391" i="9"/>
  <c r="G372" i="9"/>
  <c r="G527" i="9"/>
  <c r="G88" i="9"/>
  <c r="G450" i="9"/>
  <c r="G577" i="9"/>
  <c r="G623" i="9"/>
  <c r="G376" i="9"/>
  <c r="G290" i="9"/>
  <c r="G245" i="9"/>
  <c r="G476" i="9"/>
  <c r="G628" i="9"/>
  <c r="G58" i="9"/>
  <c r="G264" i="9"/>
  <c r="G412" i="9"/>
  <c r="G532" i="9"/>
  <c r="R30" i="9"/>
  <c r="R90" i="9"/>
  <c r="R51" i="9"/>
  <c r="R67" i="9"/>
  <c r="AC41" i="9"/>
  <c r="AC99" i="9"/>
  <c r="AN405" i="9"/>
  <c r="AN216" i="9"/>
  <c r="AN154" i="9"/>
  <c r="AN164" i="9"/>
  <c r="AN33" i="9"/>
  <c r="AN228" i="9"/>
  <c r="AN44" i="9"/>
  <c r="AN106" i="9"/>
  <c r="AN190" i="9"/>
  <c r="AY153" i="9"/>
  <c r="AY85" i="9"/>
  <c r="AY191" i="9"/>
  <c r="AY161" i="9"/>
  <c r="BJ115" i="9"/>
  <c r="BJ123" i="9"/>
  <c r="BU234" i="9"/>
  <c r="BU268" i="9"/>
  <c r="BU70" i="9"/>
  <c r="BU289" i="9"/>
  <c r="CF109" i="9"/>
  <c r="CF55" i="9"/>
  <c r="DM656" i="9"/>
  <c r="AN232" i="9"/>
  <c r="AN79" i="9"/>
  <c r="AN34" i="9"/>
  <c r="AN59" i="9"/>
  <c r="AN176" i="9"/>
  <c r="AN382" i="9"/>
  <c r="CQ61" i="9"/>
  <c r="G170" i="9"/>
  <c r="G630" i="9"/>
  <c r="G323" i="9"/>
  <c r="G389" i="9"/>
  <c r="G157" i="9"/>
  <c r="G31" i="9"/>
  <c r="R88" i="9"/>
  <c r="R119" i="9"/>
  <c r="AN372" i="9"/>
  <c r="AN184" i="9"/>
  <c r="AN125" i="9"/>
  <c r="AN351" i="9"/>
  <c r="AY184" i="9"/>
  <c r="BU34" i="9"/>
  <c r="BU132" i="9"/>
  <c r="G158" i="9"/>
  <c r="G337" i="9"/>
  <c r="G226" i="9"/>
  <c r="G678" i="9"/>
  <c r="G136" i="9"/>
  <c r="G280" i="9"/>
  <c r="G392" i="9"/>
  <c r="G161" i="9"/>
  <c r="G326" i="9"/>
  <c r="G451" i="9"/>
  <c r="G214" i="9"/>
  <c r="R44" i="9"/>
  <c r="AN30" i="9"/>
  <c r="AN255" i="9"/>
  <c r="AN150" i="9"/>
  <c r="AN31" i="9"/>
  <c r="AY41" i="9"/>
  <c r="AY32" i="9"/>
  <c r="BJ141" i="9"/>
  <c r="BU454" i="9"/>
  <c r="BU370" i="9"/>
  <c r="G495" i="9"/>
  <c r="G233" i="9"/>
  <c r="G228" i="9"/>
  <c r="G484" i="9"/>
  <c r="G134" i="9"/>
  <c r="G547" i="9"/>
  <c r="AC40" i="9"/>
  <c r="AN287" i="9"/>
  <c r="AN157" i="9"/>
  <c r="AY64" i="9"/>
  <c r="AY44" i="9"/>
  <c r="BU257" i="9"/>
  <c r="G550" i="9"/>
  <c r="G364" i="9"/>
  <c r="G32" i="9"/>
  <c r="G262" i="9"/>
  <c r="G26" i="9"/>
  <c r="G47" i="9"/>
  <c r="G437" i="9"/>
  <c r="G546" i="9"/>
  <c r="G111" i="9"/>
  <c r="G414" i="9"/>
  <c r="G297" i="9"/>
  <c r="G42" i="9"/>
  <c r="G359" i="9"/>
  <c r="G671" i="9"/>
  <c r="G219" i="9"/>
  <c r="G562" i="9"/>
  <c r="G211" i="9"/>
  <c r="G28" i="9"/>
  <c r="G324" i="9"/>
  <c r="G400" i="9"/>
  <c r="G98" i="9"/>
  <c r="G155" i="9"/>
  <c r="G589" i="9"/>
  <c r="G208" i="9"/>
  <c r="G114" i="9"/>
  <c r="G373" i="9"/>
  <c r="G533" i="9"/>
  <c r="G176" i="9"/>
  <c r="G369" i="9"/>
  <c r="G79" i="9"/>
  <c r="G167" i="9"/>
  <c r="G616" i="9"/>
  <c r="G191" i="9"/>
  <c r="G625" i="9"/>
  <c r="G521" i="9"/>
  <c r="G429" i="9"/>
  <c r="R27" i="9"/>
  <c r="R32" i="9"/>
  <c r="R26" i="9"/>
  <c r="R118" i="9"/>
  <c r="R50" i="9"/>
  <c r="R145" i="9"/>
  <c r="AC52" i="9"/>
  <c r="AC80" i="9"/>
  <c r="AC72" i="9"/>
  <c r="AN234" i="9"/>
  <c r="AN293" i="9"/>
  <c r="AN158" i="9"/>
  <c r="AN174" i="9"/>
  <c r="AN319" i="9"/>
  <c r="AN143" i="9"/>
  <c r="AN223" i="9"/>
  <c r="AN78" i="9"/>
  <c r="AN277" i="9"/>
  <c r="AN74" i="9"/>
  <c r="AY164" i="9"/>
  <c r="AY76" i="9"/>
  <c r="AY62" i="9"/>
  <c r="AY160" i="9"/>
  <c r="BJ108" i="9"/>
  <c r="BJ146" i="9"/>
  <c r="BJ140" i="9"/>
  <c r="BJ82" i="9"/>
  <c r="BJ105" i="9"/>
  <c r="BJ190" i="9"/>
  <c r="BU476" i="9"/>
  <c r="BU251" i="9"/>
  <c r="BU339" i="9"/>
  <c r="BU324" i="9"/>
  <c r="CF309" i="9"/>
  <c r="G602" i="9"/>
  <c r="G531" i="9"/>
  <c r="G181" i="9"/>
  <c r="G346" i="9"/>
  <c r="G520" i="9"/>
  <c r="G186" i="9"/>
  <c r="G380" i="9"/>
  <c r="G84" i="9"/>
  <c r="G652" i="9"/>
  <c r="G390" i="9"/>
  <c r="G160" i="9"/>
  <c r="G104" i="9"/>
  <c r="G418" i="9"/>
  <c r="G394" i="9"/>
  <c r="G487" i="9"/>
  <c r="G514" i="9"/>
  <c r="G325" i="9"/>
  <c r="G561" i="9"/>
  <c r="G524" i="9"/>
  <c r="G515" i="9"/>
  <c r="G312" i="9"/>
  <c r="G677" i="9"/>
  <c r="G254" i="9"/>
  <c r="G480" i="9"/>
  <c r="G54" i="9"/>
  <c r="G670" i="9"/>
  <c r="G112" i="9"/>
  <c r="G260" i="9"/>
  <c r="G585" i="9"/>
  <c r="G568" i="9"/>
  <c r="G345" i="9"/>
  <c r="G87" i="9"/>
  <c r="G360" i="9"/>
  <c r="G517" i="9"/>
  <c r="G465" i="9"/>
  <c r="G612" i="9"/>
  <c r="G64" i="9"/>
  <c r="G34" i="9"/>
  <c r="G629" i="9"/>
  <c r="G557" i="9"/>
  <c r="G172" i="9"/>
  <c r="G180" i="9"/>
  <c r="G56" i="9"/>
  <c r="R112" i="9"/>
  <c r="R72" i="9"/>
  <c r="R168" i="9"/>
  <c r="R208" i="9"/>
  <c r="R31" i="9"/>
  <c r="R170" i="9"/>
  <c r="R173" i="9"/>
  <c r="R82" i="9"/>
  <c r="R160" i="9"/>
  <c r="AC44" i="9"/>
  <c r="AC65" i="9"/>
  <c r="AC96" i="9"/>
  <c r="AC74" i="9"/>
  <c r="AN211" i="9"/>
  <c r="AN276" i="9"/>
  <c r="AN290" i="9"/>
  <c r="AN42" i="9"/>
  <c r="AN326" i="9"/>
  <c r="AN111" i="9"/>
  <c r="AN153" i="9"/>
  <c r="AN373" i="9"/>
  <c r="AN213" i="9"/>
  <c r="AN137" i="9"/>
  <c r="AN352" i="9"/>
  <c r="AN113" i="9"/>
  <c r="AN162" i="9"/>
  <c r="AN128" i="9"/>
  <c r="AN243" i="9"/>
  <c r="AY111" i="9"/>
  <c r="AY117" i="9"/>
  <c r="AY65" i="9"/>
  <c r="AY182" i="9"/>
  <c r="AY96" i="9"/>
  <c r="AY92" i="9"/>
  <c r="AY137" i="9"/>
  <c r="AY60" i="9"/>
  <c r="AY186" i="9"/>
  <c r="AY109" i="9"/>
  <c r="BJ213" i="9"/>
  <c r="BJ191" i="9"/>
  <c r="BJ87" i="9"/>
  <c r="BJ129" i="9"/>
  <c r="BJ217" i="9"/>
  <c r="BJ183" i="9"/>
  <c r="BJ142" i="9"/>
  <c r="BJ175" i="9"/>
  <c r="BJ98" i="9"/>
  <c r="BU302" i="9"/>
  <c r="BU385" i="9"/>
  <c r="BU484" i="9"/>
  <c r="BU421" i="9"/>
  <c r="BU149" i="9"/>
  <c r="BU371" i="9"/>
  <c r="BU138" i="9"/>
  <c r="BU200" i="9"/>
  <c r="BU207" i="9"/>
  <c r="BU117" i="9"/>
  <c r="CF110" i="9"/>
  <c r="CF197" i="9"/>
  <c r="CF67" i="9"/>
  <c r="CF206" i="9"/>
  <c r="DB223" i="9"/>
  <c r="DB244" i="9"/>
  <c r="BJ176" i="9"/>
  <c r="BJ74" i="9"/>
  <c r="BJ225" i="9"/>
  <c r="BU458" i="9"/>
  <c r="BU473" i="9"/>
  <c r="BU187" i="9"/>
  <c r="CF389" i="9"/>
  <c r="DB319" i="9"/>
  <c r="DM785" i="9"/>
  <c r="G676" i="9"/>
  <c r="G551" i="9"/>
  <c r="G96" i="9"/>
  <c r="G646" i="9"/>
  <c r="G338" i="9"/>
  <c r="G169" i="9"/>
  <c r="G259" i="9"/>
  <c r="G559" i="9"/>
  <c r="G402" i="9"/>
  <c r="G165" i="9"/>
  <c r="G82" i="9"/>
  <c r="G278" i="9"/>
  <c r="G253" i="9"/>
  <c r="G409" i="9"/>
  <c r="G659" i="9"/>
  <c r="G238" i="9"/>
  <c r="G255" i="9"/>
  <c r="G244" i="9"/>
  <c r="G571" i="9"/>
  <c r="G614" i="9"/>
  <c r="G502" i="9"/>
  <c r="G638" i="9"/>
  <c r="G240" i="9"/>
  <c r="G618" i="9"/>
  <c r="G353" i="9"/>
  <c r="G505" i="9"/>
  <c r="G512" i="9"/>
  <c r="G645" i="9"/>
  <c r="G439" i="9"/>
  <c r="G460" i="9"/>
  <c r="G642" i="9"/>
  <c r="G80" i="9"/>
  <c r="G573" i="9"/>
  <c r="G124" i="9"/>
  <c r="G361" i="9"/>
  <c r="G131" i="9"/>
  <c r="G544" i="9"/>
  <c r="G212" i="9"/>
  <c r="G305" i="9"/>
  <c r="G202" i="9"/>
  <c r="G504" i="9"/>
  <c r="G175" i="9"/>
  <c r="G406" i="9"/>
  <c r="G279" i="9"/>
  <c r="G317" i="9"/>
  <c r="G522" i="9"/>
  <c r="G154" i="9"/>
  <c r="G283" i="9"/>
  <c r="G362" i="9"/>
  <c r="G415" i="9"/>
  <c r="G474" i="9"/>
  <c r="G288" i="9"/>
  <c r="G177" i="9"/>
  <c r="G121" i="9"/>
  <c r="G334" i="9"/>
  <c r="G494" i="9"/>
  <c r="R56" i="9"/>
  <c r="R151" i="9"/>
  <c r="R161" i="9"/>
  <c r="R191" i="9"/>
  <c r="R141" i="9"/>
  <c r="R55" i="9"/>
  <c r="R205" i="9"/>
  <c r="R87" i="9"/>
  <c r="R142" i="9"/>
  <c r="AC95" i="9"/>
  <c r="AC54" i="9"/>
  <c r="AC23" i="9"/>
  <c r="AN359" i="9"/>
  <c r="AN339" i="9"/>
  <c r="AN235" i="9"/>
  <c r="AN136" i="9"/>
  <c r="AN116" i="9"/>
  <c r="AN100" i="9"/>
  <c r="AN24" i="9"/>
  <c r="AN313" i="9"/>
  <c r="AN275" i="9"/>
  <c r="AN208" i="9"/>
  <c r="AN260" i="9"/>
  <c r="AN52" i="9"/>
  <c r="AN82" i="9"/>
  <c r="AN280" i="9"/>
  <c r="AN205" i="9"/>
  <c r="AN267" i="9"/>
  <c r="AN385" i="9"/>
  <c r="AN96" i="9"/>
  <c r="AN310" i="9"/>
  <c r="AN84" i="9"/>
  <c r="AY140" i="9"/>
  <c r="AY179" i="9"/>
  <c r="AY27" i="9"/>
  <c r="AY189" i="9"/>
  <c r="AY23" i="9"/>
  <c r="AY144" i="9"/>
  <c r="AY94" i="9"/>
  <c r="BJ216" i="9"/>
  <c r="BJ70" i="9"/>
  <c r="BJ110" i="9"/>
  <c r="BJ199" i="9"/>
  <c r="BJ200" i="9"/>
  <c r="BJ195" i="9"/>
  <c r="BJ93" i="9"/>
  <c r="BJ203" i="9"/>
  <c r="BU121" i="9"/>
  <c r="BU494" i="9"/>
  <c r="BU368" i="9"/>
  <c r="BU170" i="9"/>
  <c r="BU33" i="9"/>
  <c r="BU25" i="9"/>
  <c r="BU181" i="9"/>
  <c r="BU405" i="9"/>
  <c r="BU372" i="9"/>
  <c r="BU144" i="9"/>
  <c r="CF200" i="9"/>
  <c r="CF84" i="9"/>
  <c r="CF100" i="9"/>
  <c r="CF111" i="9"/>
  <c r="CF119" i="9"/>
  <c r="CQ210" i="9"/>
  <c r="DB345" i="9"/>
  <c r="DB309" i="9"/>
  <c r="DM705" i="9"/>
  <c r="BJ53" i="9"/>
  <c r="BJ75" i="9"/>
  <c r="BU211" i="9"/>
  <c r="BU26" i="9"/>
  <c r="BU353" i="9"/>
  <c r="BU331" i="9"/>
  <c r="BU304" i="9"/>
  <c r="BU141" i="9"/>
  <c r="BU156" i="9"/>
  <c r="BU366" i="9"/>
  <c r="CF193" i="9"/>
  <c r="CF329" i="9"/>
  <c r="CF229" i="9"/>
  <c r="CQ175" i="9"/>
  <c r="DM858" i="9"/>
  <c r="G584" i="9"/>
  <c r="G282" i="9"/>
  <c r="G117" i="9"/>
  <c r="G221" i="9"/>
  <c r="G496" i="9"/>
  <c r="G523" i="9"/>
  <c r="G397" i="9"/>
  <c r="G330" i="9"/>
  <c r="G370" i="9"/>
  <c r="G356" i="9"/>
  <c r="G423" i="9"/>
  <c r="G162" i="9"/>
  <c r="G672" i="9"/>
  <c r="G66" i="9"/>
  <c r="G440" i="9"/>
  <c r="G332" i="9"/>
  <c r="G449" i="9"/>
  <c r="G575" i="9"/>
  <c r="G99" i="9"/>
  <c r="G634" i="9"/>
  <c r="G72" i="9"/>
  <c r="G139" i="9"/>
  <c r="G432" i="9"/>
  <c r="G387" i="9"/>
  <c r="G404" i="9"/>
  <c r="G600" i="9"/>
  <c r="G548" i="9"/>
  <c r="G119" i="9"/>
  <c r="G267" i="9"/>
  <c r="G123" i="9"/>
  <c r="G497" i="9"/>
  <c r="G656" i="9"/>
  <c r="G482" i="9"/>
  <c r="G248" i="9"/>
  <c r="G67" i="9"/>
  <c r="G36" i="9"/>
  <c r="G639" i="9"/>
  <c r="G340" i="9"/>
  <c r="G596" i="9"/>
  <c r="G329" i="9"/>
  <c r="G650" i="9"/>
  <c r="G109" i="9"/>
  <c r="G75" i="9"/>
  <c r="G298" i="9"/>
  <c r="G641" i="9"/>
  <c r="G441" i="9"/>
  <c r="G204" i="9"/>
  <c r="G564" i="9"/>
  <c r="G220" i="9"/>
  <c r="R48" i="9"/>
  <c r="R184" i="9"/>
  <c r="R38" i="9"/>
  <c r="R129" i="9"/>
  <c r="R80" i="9"/>
  <c r="R162" i="9"/>
  <c r="R35" i="9"/>
  <c r="R189" i="9"/>
  <c r="R94" i="9"/>
  <c r="AC42" i="9"/>
  <c r="AC61" i="9"/>
  <c r="AC29" i="9"/>
  <c r="AC39" i="9"/>
  <c r="AC98" i="9"/>
  <c r="AN414" i="9"/>
  <c r="AN152" i="9"/>
  <c r="AN320" i="9"/>
  <c r="AN365" i="9"/>
  <c r="AN99" i="9"/>
  <c r="AN312" i="9"/>
  <c r="AN400" i="9"/>
  <c r="AN381" i="9"/>
  <c r="AN46" i="9"/>
  <c r="AN399" i="9"/>
  <c r="AN419" i="9"/>
  <c r="AN304" i="9"/>
  <c r="AN421" i="9"/>
  <c r="AN188" i="9"/>
  <c r="AN247" i="9"/>
  <c r="AN273" i="9"/>
  <c r="AN23" i="9"/>
  <c r="AY173" i="9"/>
  <c r="AY162" i="9"/>
  <c r="AY100" i="9"/>
  <c r="AY139" i="9"/>
  <c r="AY118" i="9"/>
  <c r="AY81" i="9"/>
  <c r="BJ158" i="9"/>
  <c r="BJ51" i="9"/>
  <c r="BJ154" i="9"/>
  <c r="BJ57" i="9"/>
  <c r="BJ147" i="9"/>
  <c r="BJ64" i="9"/>
  <c r="BJ169" i="9"/>
  <c r="BJ182" i="9"/>
  <c r="BJ201" i="9"/>
  <c r="BU340" i="9"/>
  <c r="BU46" i="9"/>
  <c r="BU381" i="9"/>
  <c r="BU459" i="9"/>
  <c r="BU438" i="9"/>
  <c r="BU23" i="9"/>
  <c r="BU412" i="9"/>
  <c r="BU295" i="9"/>
  <c r="BU100" i="9"/>
  <c r="BU276" i="9"/>
  <c r="CF101" i="9"/>
  <c r="CF338" i="9"/>
  <c r="CF104" i="9"/>
  <c r="CF344" i="9"/>
  <c r="CF89" i="9"/>
  <c r="CQ160" i="9"/>
  <c r="DB140" i="9"/>
  <c r="DM598" i="9"/>
  <c r="BU481" i="9"/>
  <c r="BU449" i="9"/>
  <c r="G299" i="9"/>
  <c r="G679" i="9"/>
  <c r="G239" i="9"/>
  <c r="G469" i="9"/>
  <c r="G145" i="9"/>
  <c r="G351" i="9"/>
  <c r="G633" i="9"/>
  <c r="G151" i="9"/>
  <c r="G651" i="9"/>
  <c r="G665" i="9"/>
  <c r="G433" i="9"/>
  <c r="G241" i="9"/>
  <c r="G486" i="9"/>
  <c r="G410" i="9"/>
  <c r="G91" i="9"/>
  <c r="G565" i="9"/>
  <c r="G335" i="9"/>
  <c r="G133" i="9"/>
  <c r="G179" i="9"/>
  <c r="G549" i="9"/>
  <c r="G184" i="9"/>
  <c r="G478" i="9"/>
  <c r="G237" i="9"/>
  <c r="G537" i="9"/>
  <c r="G594" i="9"/>
  <c r="G229" i="9"/>
  <c r="G491" i="9"/>
  <c r="G457" i="9"/>
  <c r="G125" i="9"/>
  <c r="G94" i="9"/>
  <c r="G266" i="9"/>
  <c r="G316" i="9"/>
  <c r="G635" i="9"/>
  <c r="G669" i="9"/>
  <c r="G68" i="9"/>
  <c r="G37" i="9"/>
  <c r="G234" i="9"/>
  <c r="G620" i="9"/>
  <c r="G558" i="9"/>
  <c r="G375" i="9"/>
  <c r="G132" i="9"/>
  <c r="G377" i="9"/>
  <c r="G660" i="9"/>
  <c r="G563" i="9"/>
  <c r="G258" i="9"/>
  <c r="R46" i="9"/>
  <c r="R28" i="9"/>
  <c r="R86" i="9"/>
  <c r="R110" i="9"/>
  <c r="R128" i="9"/>
  <c r="R113" i="9"/>
  <c r="R57" i="9"/>
  <c r="R153" i="9"/>
  <c r="R147" i="9"/>
  <c r="R138" i="9"/>
  <c r="AN62" i="9"/>
  <c r="AN201" i="9"/>
  <c r="AN363" i="9"/>
  <c r="AN263" i="9"/>
  <c r="AN149" i="9"/>
  <c r="AN86" i="9"/>
  <c r="AN318" i="9"/>
  <c r="AN427" i="9"/>
  <c r="AN295" i="9"/>
  <c r="AN285" i="9"/>
  <c r="AN289" i="9"/>
  <c r="AN394" i="9"/>
  <c r="AN155" i="9"/>
  <c r="AN301" i="9"/>
  <c r="AN121" i="9"/>
  <c r="AN358" i="9"/>
  <c r="AN407" i="9"/>
  <c r="AN307" i="9"/>
  <c r="AN353" i="9"/>
  <c r="AY169" i="9"/>
  <c r="AY131" i="9"/>
  <c r="AY126" i="9"/>
  <c r="AY147" i="9"/>
  <c r="AY93" i="9"/>
  <c r="AY63" i="9"/>
  <c r="AY102" i="9"/>
  <c r="BJ30" i="9"/>
  <c r="BJ39" i="9"/>
  <c r="BJ60" i="9"/>
  <c r="BJ62" i="9"/>
  <c r="BJ97" i="9"/>
  <c r="BJ80" i="9"/>
  <c r="BJ40" i="9"/>
  <c r="BU196" i="9"/>
  <c r="BU247" i="9"/>
  <c r="BU328" i="9"/>
  <c r="BU296" i="9"/>
  <c r="BU439" i="9"/>
  <c r="BU134" i="9"/>
  <c r="BU30" i="9"/>
  <c r="CF256" i="9"/>
  <c r="CF217" i="9"/>
  <c r="CF41" i="9"/>
  <c r="CF337" i="9"/>
  <c r="CQ106" i="9"/>
  <c r="CQ194" i="9"/>
  <c r="DM733" i="9"/>
  <c r="BU468" i="9"/>
  <c r="BU378" i="9"/>
  <c r="BU254" i="9"/>
  <c r="BU118" i="9"/>
  <c r="CF57" i="9"/>
  <c r="CF351" i="9"/>
  <c r="CF103" i="9"/>
  <c r="CF418" i="9"/>
  <c r="CF22" i="9"/>
  <c r="CF36" i="9"/>
  <c r="CF220" i="9"/>
  <c r="CQ26" i="9"/>
  <c r="DB224" i="9"/>
  <c r="DB200" i="9"/>
  <c r="DM551" i="9"/>
  <c r="BJ78" i="9"/>
  <c r="BJ164" i="9"/>
  <c r="BJ219" i="9"/>
  <c r="BJ52" i="9"/>
  <c r="BJ168" i="9"/>
  <c r="BU338" i="9"/>
  <c r="BU198" i="9"/>
  <c r="BU167" i="9"/>
  <c r="BU101" i="9"/>
  <c r="G49" i="9"/>
  <c r="G159" i="9"/>
  <c r="G101" i="9"/>
  <c r="G354" i="9"/>
  <c r="G198" i="9"/>
  <c r="G655" i="9"/>
  <c r="G673" i="9"/>
  <c r="G448" i="9"/>
  <c r="G102" i="9"/>
  <c r="G182" i="9"/>
  <c r="G130" i="9"/>
  <c r="G508" i="9"/>
  <c r="G413" i="9"/>
  <c r="G303" i="9"/>
  <c r="G271" i="9"/>
  <c r="G662" i="9"/>
  <c r="G463" i="9"/>
  <c r="G166" i="9"/>
  <c r="G77" i="9"/>
  <c r="G657" i="9"/>
  <c r="G627" i="9"/>
  <c r="G420" i="9"/>
  <c r="G126" i="9"/>
  <c r="G243" i="9"/>
  <c r="G658" i="9"/>
  <c r="G275" i="9"/>
  <c r="G301" i="9"/>
  <c r="G674" i="9"/>
  <c r="G619" i="9"/>
  <c r="G552" i="9"/>
  <c r="G489" i="9"/>
  <c r="G110" i="9"/>
  <c r="G419" i="9"/>
  <c r="G493" i="9"/>
  <c r="G118" i="9"/>
  <c r="G607" i="9"/>
  <c r="G59" i="9"/>
  <c r="G572" i="9"/>
  <c r="G350" i="9"/>
  <c r="G560" i="9"/>
  <c r="G666" i="9"/>
  <c r="G407" i="9"/>
  <c r="G453" i="9"/>
  <c r="G342" i="9"/>
  <c r="G422" i="9"/>
  <c r="G379" i="9"/>
  <c r="G471" i="9"/>
  <c r="G195" i="9"/>
  <c r="G40" i="9"/>
  <c r="G624" i="9"/>
  <c r="G587" i="9"/>
  <c r="R159" i="9"/>
  <c r="R117" i="9"/>
  <c r="R171" i="9"/>
  <c r="R84" i="9"/>
  <c r="R43" i="9"/>
  <c r="R209" i="9"/>
  <c r="R204" i="9"/>
  <c r="AC94" i="9"/>
  <c r="AC48" i="9"/>
  <c r="AC82" i="9"/>
  <c r="AC60" i="9"/>
  <c r="AN217" i="9"/>
  <c r="AN233" i="9"/>
  <c r="AN123" i="9"/>
  <c r="AN186" i="9"/>
  <c r="AN180" i="9"/>
  <c r="AN360" i="9"/>
  <c r="AN362" i="9"/>
  <c r="AN195" i="9"/>
  <c r="AN300" i="9"/>
  <c r="AN271" i="9"/>
  <c r="AN422" i="9"/>
  <c r="AN337" i="9"/>
  <c r="AN127" i="9"/>
  <c r="AN282" i="9"/>
  <c r="AN288" i="9"/>
  <c r="AN354" i="9"/>
  <c r="AN40" i="9"/>
  <c r="AN114" i="9"/>
  <c r="AN284" i="9"/>
  <c r="AN403" i="9"/>
  <c r="AN196" i="9"/>
  <c r="AN73" i="9"/>
  <c r="AY82" i="9"/>
  <c r="AY79" i="9"/>
  <c r="AY34" i="9"/>
  <c r="AY26" i="9"/>
  <c r="AY127" i="9"/>
  <c r="BJ215" i="9"/>
  <c r="BJ121" i="9"/>
  <c r="BJ72" i="9"/>
  <c r="BJ86" i="9"/>
  <c r="BJ137" i="9"/>
  <c r="BJ71" i="9"/>
  <c r="BJ91" i="9"/>
  <c r="BJ214" i="9"/>
  <c r="BU482" i="9"/>
  <c r="BU205" i="9"/>
  <c r="BU387" i="9"/>
  <c r="BU319" i="9"/>
  <c r="BU470" i="9"/>
  <c r="BU274" i="9"/>
  <c r="BU292" i="9"/>
  <c r="CF102" i="9"/>
  <c r="CF424" i="9"/>
  <c r="CQ33" i="9"/>
  <c r="DB255" i="9"/>
  <c r="DB156" i="9"/>
  <c r="DM164" i="9"/>
  <c r="G365" i="9"/>
  <c r="G405" i="9"/>
  <c r="G307" i="9"/>
  <c r="R64" i="9"/>
  <c r="R49" i="9"/>
  <c r="R207" i="9"/>
  <c r="R163" i="9"/>
  <c r="R97" i="9"/>
  <c r="R150" i="9"/>
  <c r="R203" i="9"/>
  <c r="R220" i="9"/>
  <c r="R92" i="9"/>
  <c r="R154" i="9"/>
  <c r="R149" i="9"/>
  <c r="R105" i="9"/>
  <c r="R198" i="9"/>
  <c r="R75" i="9"/>
  <c r="R122" i="9"/>
  <c r="R148" i="9"/>
  <c r="R71" i="9"/>
  <c r="R54" i="9"/>
  <c r="R185" i="9"/>
  <c r="AC79" i="9"/>
  <c r="AC93" i="9"/>
  <c r="AC33" i="9"/>
  <c r="AC38" i="9"/>
  <c r="AC31" i="9"/>
  <c r="AC46" i="9"/>
  <c r="AC55" i="9"/>
  <c r="AN380" i="9"/>
  <c r="AN141" i="9"/>
  <c r="AN92" i="9"/>
  <c r="AN215" i="9"/>
  <c r="AN406" i="9"/>
  <c r="AN56" i="9"/>
  <c r="AN138" i="9"/>
  <c r="AN168" i="9"/>
  <c r="AN417" i="9"/>
  <c r="AN402" i="9"/>
  <c r="AN324" i="9"/>
  <c r="AN378" i="9"/>
  <c r="AN423" i="9"/>
  <c r="AN302" i="9"/>
  <c r="AN90" i="9"/>
  <c r="AN333" i="9"/>
  <c r="AN384" i="9"/>
  <c r="AN147" i="9"/>
  <c r="AN251" i="9"/>
  <c r="AN171" i="9"/>
  <c r="AN231" i="9"/>
  <c r="AN244" i="9"/>
  <c r="AN102" i="9"/>
  <c r="AN37" i="9"/>
  <c r="AN418" i="9"/>
  <c r="AN274" i="9"/>
  <c r="AN203" i="9"/>
  <c r="AN219" i="9"/>
  <c r="AN87" i="9"/>
  <c r="AN51" i="9"/>
  <c r="AN236" i="9"/>
  <c r="AN346" i="9"/>
  <c r="AN347" i="9"/>
  <c r="AN160" i="9"/>
  <c r="AN194" i="9"/>
  <c r="AN130" i="9"/>
  <c r="AN214" i="9"/>
  <c r="AN209" i="9"/>
  <c r="AY103" i="9"/>
  <c r="AY99" i="9"/>
  <c r="AY72" i="9"/>
  <c r="AY121" i="9"/>
  <c r="AY50" i="9"/>
  <c r="AY38" i="9"/>
  <c r="AY67" i="9"/>
  <c r="AY132" i="9"/>
  <c r="AY112" i="9"/>
  <c r="AY138" i="9"/>
  <c r="AY110" i="9"/>
  <c r="AY39" i="9"/>
  <c r="AY84" i="9"/>
  <c r="AY47" i="9"/>
  <c r="BJ224" i="9"/>
  <c r="BJ101" i="9"/>
  <c r="BJ173" i="9"/>
  <c r="BJ205" i="9"/>
  <c r="BJ55" i="9"/>
  <c r="BJ184" i="9"/>
  <c r="BJ128" i="9"/>
  <c r="BJ163" i="9"/>
  <c r="BJ100" i="9"/>
  <c r="BJ132" i="9"/>
  <c r="BJ54" i="9"/>
  <c r="BJ41" i="9"/>
  <c r="BJ112" i="9"/>
  <c r="BU95" i="9"/>
  <c r="BU354" i="9"/>
  <c r="BU78" i="9"/>
  <c r="BU171" i="9"/>
  <c r="BU104" i="9"/>
  <c r="BU495" i="9"/>
  <c r="BU418" i="9"/>
  <c r="BU206" i="9"/>
  <c r="BU448" i="9"/>
  <c r="BU106" i="9"/>
  <c r="BU427" i="9"/>
  <c r="BU275" i="9"/>
  <c r="BU233" i="9"/>
  <c r="BU126" i="9"/>
  <c r="BU384" i="9"/>
  <c r="BU408" i="9"/>
  <c r="BU308" i="9"/>
  <c r="BU398" i="9"/>
  <c r="BU355" i="9"/>
  <c r="CF239" i="9"/>
  <c r="CF429" i="9"/>
  <c r="CF328" i="9"/>
  <c r="CF144" i="9"/>
  <c r="CF280" i="9"/>
  <c r="CF95" i="9"/>
  <c r="CQ148" i="9"/>
  <c r="CQ35" i="9"/>
  <c r="DB126" i="9"/>
  <c r="DB172" i="9"/>
  <c r="DB178" i="9"/>
  <c r="DB359" i="9"/>
  <c r="DM274" i="9"/>
  <c r="DM387" i="9"/>
  <c r="AN109" i="9"/>
  <c r="AN189" i="9"/>
  <c r="AN35" i="9"/>
  <c r="AN348" i="9"/>
  <c r="AN212" i="9"/>
  <c r="AN227" i="9"/>
  <c r="AN206" i="9"/>
  <c r="AN411" i="9"/>
  <c r="AN299" i="9"/>
  <c r="AN415" i="9"/>
  <c r="AN392" i="9"/>
  <c r="AN167" i="9"/>
  <c r="AY49" i="9"/>
  <c r="AY71" i="9"/>
  <c r="AY136" i="9"/>
  <c r="AY130" i="9"/>
  <c r="AY141" i="9"/>
  <c r="AY78" i="9"/>
  <c r="AY134" i="9"/>
  <c r="AY113" i="9"/>
  <c r="AY104" i="9"/>
  <c r="AY178" i="9"/>
  <c r="AY66" i="9"/>
  <c r="AY33" i="9"/>
  <c r="AY59" i="9"/>
  <c r="AY97" i="9"/>
  <c r="AY129" i="9"/>
  <c r="AY107" i="9"/>
  <c r="BJ119" i="9"/>
  <c r="BJ73" i="9"/>
  <c r="BJ150" i="9"/>
  <c r="BJ29" i="9"/>
  <c r="BJ171" i="9"/>
  <c r="BJ58" i="9"/>
  <c r="BJ135" i="9"/>
  <c r="BJ157" i="9"/>
  <c r="BJ111" i="9"/>
  <c r="BJ166" i="9"/>
  <c r="BJ33" i="9"/>
  <c r="BJ165" i="9"/>
  <c r="BJ204" i="9"/>
  <c r="BJ167" i="9"/>
  <c r="BJ34" i="9"/>
  <c r="BJ28" i="9"/>
  <c r="BJ159" i="9"/>
  <c r="BJ218" i="9"/>
  <c r="BU67" i="9"/>
  <c r="BU69" i="9"/>
  <c r="BU311" i="9"/>
  <c r="BU145" i="9"/>
  <c r="BU499" i="9"/>
  <c r="BU297" i="9"/>
  <c r="BU27" i="9"/>
  <c r="BU71" i="9"/>
  <c r="BU376" i="9"/>
  <c r="BU291" i="9"/>
  <c r="BU298" i="9"/>
  <c r="BU284" i="9"/>
  <c r="BU356" i="9"/>
  <c r="BU318" i="9"/>
  <c r="BU229" i="9"/>
  <c r="BU316" i="9"/>
  <c r="BU369" i="9"/>
  <c r="BU151" i="9"/>
  <c r="CF129" i="9"/>
  <c r="CF45" i="9"/>
  <c r="CF34" i="9"/>
  <c r="CF339" i="9"/>
  <c r="CF364" i="9"/>
  <c r="CF182" i="9"/>
  <c r="CQ97" i="9"/>
  <c r="DB113" i="9"/>
  <c r="DM244" i="9"/>
  <c r="G606" i="9"/>
  <c r="G206" i="9"/>
  <c r="G519" i="9"/>
  <c r="G444" i="9"/>
  <c r="G661" i="9"/>
  <c r="G52" i="9"/>
  <c r="R52" i="9"/>
  <c r="R60" i="9"/>
  <c r="R133" i="9"/>
  <c r="R130" i="9"/>
  <c r="R152" i="9"/>
  <c r="R155" i="9"/>
  <c r="R132" i="9"/>
  <c r="R95" i="9"/>
  <c r="R219" i="9"/>
  <c r="R180" i="9"/>
  <c r="R195" i="9"/>
  <c r="R40" i="9"/>
  <c r="R91" i="9"/>
  <c r="R100" i="9"/>
  <c r="R25" i="9"/>
  <c r="R139" i="9"/>
  <c r="R211" i="9"/>
  <c r="R99" i="9"/>
  <c r="R108" i="9"/>
  <c r="AC30" i="9"/>
  <c r="AC66" i="9"/>
  <c r="AC50" i="9"/>
  <c r="AC57" i="9"/>
  <c r="AC32" i="9"/>
  <c r="AN191" i="9"/>
  <c r="AN72" i="9"/>
  <c r="AN343" i="9"/>
  <c r="AN355" i="9"/>
  <c r="AN142" i="9"/>
  <c r="AN254" i="9"/>
  <c r="AN305" i="9"/>
  <c r="AN165" i="9"/>
  <c r="AN132" i="9"/>
  <c r="AN240" i="9"/>
  <c r="AN396" i="9"/>
  <c r="AN197" i="9"/>
  <c r="AN383" i="9"/>
  <c r="AN408" i="9"/>
  <c r="AN368" i="9"/>
  <c r="AN76" i="9"/>
  <c r="AN370" i="9"/>
  <c r="AN63" i="9"/>
  <c r="AN156" i="9"/>
  <c r="AN93" i="9"/>
  <c r="AN297" i="9"/>
  <c r="AN25" i="9"/>
  <c r="AN67" i="9"/>
  <c r="AN281" i="9"/>
  <c r="AN335" i="9"/>
  <c r="AN246" i="9"/>
  <c r="AN257" i="9"/>
  <c r="AN177" i="9"/>
  <c r="AN91" i="9"/>
  <c r="AN54" i="9"/>
  <c r="AN105" i="9"/>
  <c r="AN306" i="9"/>
  <c r="AN256" i="9"/>
  <c r="AY37" i="9"/>
  <c r="AY174" i="9"/>
  <c r="AY58" i="9"/>
  <c r="AY80" i="9"/>
  <c r="AY123" i="9"/>
  <c r="AY152" i="9"/>
  <c r="AY116" i="9"/>
  <c r="AY36" i="9"/>
  <c r="AY114" i="9"/>
  <c r="AY55" i="9"/>
  <c r="AY77" i="9"/>
  <c r="AY74" i="9"/>
  <c r="AY108" i="9"/>
  <c r="AY151" i="9"/>
  <c r="BJ144" i="9"/>
  <c r="BJ95" i="9"/>
  <c r="BJ76" i="9"/>
  <c r="BJ174" i="9"/>
  <c r="BJ187" i="9"/>
  <c r="BJ48" i="9"/>
  <c r="BJ67" i="9"/>
  <c r="BJ37" i="9"/>
  <c r="BJ202" i="9"/>
  <c r="BJ179" i="9"/>
  <c r="BJ102" i="9"/>
  <c r="BJ38" i="9"/>
  <c r="BJ188" i="9"/>
  <c r="BJ156" i="9"/>
  <c r="BJ117" i="9"/>
  <c r="BU92" i="9"/>
  <c r="BU77" i="9"/>
  <c r="BU488" i="9"/>
  <c r="BU479" i="9"/>
  <c r="BU426" i="9"/>
  <c r="BU480" i="9"/>
  <c r="BU186" i="9"/>
  <c r="BU113" i="9"/>
  <c r="BU258" i="9"/>
  <c r="BU24" i="9"/>
  <c r="BU501" i="9"/>
  <c r="BU68" i="9"/>
  <c r="BU428" i="9"/>
  <c r="BU245" i="9"/>
  <c r="BU224" i="9"/>
  <c r="BU395" i="9"/>
  <c r="BU56" i="9"/>
  <c r="BU313" i="9"/>
  <c r="BU323" i="9"/>
  <c r="BU208" i="9"/>
  <c r="CF117" i="9"/>
  <c r="CF205" i="9"/>
  <c r="CF238" i="9"/>
  <c r="CQ221" i="9"/>
  <c r="DB167" i="9"/>
  <c r="DB128" i="9"/>
  <c r="DM745" i="9"/>
  <c r="G516" i="9"/>
  <c r="G146" i="9"/>
  <c r="G403" i="9"/>
  <c r="G81" i="9"/>
  <c r="G57" i="9"/>
  <c r="G371" i="9"/>
  <c r="G446" i="9"/>
  <c r="G603" i="9"/>
  <c r="G242" i="9"/>
  <c r="G24" i="9"/>
  <c r="G443" i="9"/>
  <c r="G74" i="9"/>
  <c r="G510" i="9"/>
  <c r="R169" i="9"/>
  <c r="R179" i="9"/>
  <c r="R59" i="9"/>
  <c r="R201" i="9"/>
  <c r="R140" i="9"/>
  <c r="R96" i="9"/>
  <c r="R196" i="9"/>
  <c r="R131" i="9"/>
  <c r="R181" i="9"/>
  <c r="R89" i="9"/>
  <c r="R178" i="9"/>
  <c r="R172" i="9"/>
  <c r="R176" i="9"/>
  <c r="R143" i="9"/>
  <c r="R126" i="9"/>
  <c r="R157" i="9"/>
  <c r="R83" i="9"/>
  <c r="R29" i="9"/>
  <c r="R158" i="9"/>
  <c r="R106" i="9"/>
  <c r="AC51" i="9"/>
  <c r="AC73" i="9"/>
  <c r="AC28" i="9"/>
  <c r="AC64" i="9"/>
  <c r="AC86" i="9"/>
  <c r="AC75" i="9"/>
  <c r="AN110" i="9"/>
  <c r="AN57" i="9"/>
  <c r="AN338" i="9"/>
  <c r="AN323" i="9"/>
  <c r="AN238" i="9"/>
  <c r="AN369" i="9"/>
  <c r="AN345" i="9"/>
  <c r="AN401" i="9"/>
  <c r="AN334" i="9"/>
  <c r="AN48" i="9"/>
  <c r="AN178" i="9"/>
  <c r="AN146" i="9"/>
  <c r="AN222" i="9"/>
  <c r="AN192" i="9"/>
  <c r="AN404" i="9"/>
  <c r="AN210" i="9"/>
  <c r="AN252" i="9"/>
  <c r="AN58" i="9"/>
  <c r="AN226" i="9"/>
  <c r="AN89" i="9"/>
  <c r="AN53" i="9"/>
  <c r="AN278" i="9"/>
  <c r="AN391" i="9"/>
  <c r="AN249" i="9"/>
  <c r="AN395" i="9"/>
  <c r="AN39" i="9"/>
  <c r="AN253" i="9"/>
  <c r="AN429" i="9"/>
  <c r="AN229" i="9"/>
  <c r="AN349" i="9"/>
  <c r="AN65" i="9"/>
  <c r="AY133" i="9"/>
  <c r="AY83" i="9"/>
  <c r="AY115" i="9"/>
  <c r="AY25" i="9"/>
  <c r="AY35" i="9"/>
  <c r="AY125" i="9"/>
  <c r="AY168" i="9"/>
  <c r="AY171" i="9"/>
  <c r="AY88" i="9"/>
  <c r="AY53" i="9"/>
  <c r="AY143" i="9"/>
  <c r="AY30" i="9"/>
  <c r="AY150" i="9"/>
  <c r="BJ151" i="9"/>
  <c r="BJ139" i="9"/>
  <c r="BJ61" i="9"/>
  <c r="BJ170" i="9"/>
  <c r="BJ120" i="9"/>
  <c r="BJ126" i="9"/>
  <c r="BJ50" i="9"/>
  <c r="BJ22" i="9"/>
  <c r="BJ23" i="9"/>
  <c r="BJ45" i="9"/>
  <c r="BJ138" i="9"/>
  <c r="BJ36" i="9"/>
  <c r="BJ107" i="9"/>
  <c r="BJ49" i="9"/>
  <c r="BJ211" i="9"/>
  <c r="BJ85" i="9"/>
  <c r="BJ83" i="9"/>
  <c r="BJ90" i="9"/>
  <c r="BU184" i="9"/>
  <c r="BU403" i="9"/>
  <c r="BU502" i="9"/>
  <c r="BU422" i="9"/>
  <c r="BU386" i="9"/>
  <c r="BU86" i="9"/>
  <c r="BU263" i="9"/>
  <c r="BU451" i="9"/>
  <c r="BU322" i="9"/>
  <c r="BU221" i="9"/>
  <c r="BU227" i="9"/>
  <c r="BU293" i="9"/>
  <c r="BU343" i="9"/>
  <c r="BU261" i="9"/>
  <c r="BU497" i="9"/>
  <c r="BU223" i="9"/>
  <c r="BU345" i="9"/>
  <c r="BU63" i="9"/>
  <c r="CF353" i="9"/>
  <c r="CF406" i="9"/>
  <c r="CF365" i="9"/>
  <c r="CF253" i="9"/>
  <c r="CQ110" i="9"/>
  <c r="CQ53" i="9"/>
  <c r="CQ171" i="9"/>
  <c r="DB120" i="9"/>
  <c r="DB148" i="9"/>
  <c r="DM640" i="9"/>
  <c r="G675" i="9"/>
  <c r="G582" i="9"/>
  <c r="G643" i="9"/>
  <c r="G320" i="9"/>
  <c r="G499" i="9"/>
  <c r="G218" i="9"/>
  <c r="R124" i="9"/>
  <c r="R104" i="9"/>
  <c r="R93" i="9"/>
  <c r="R215" i="9"/>
  <c r="R81" i="9"/>
  <c r="R206" i="9"/>
  <c r="R183" i="9"/>
  <c r="R24" i="9"/>
  <c r="R192" i="9"/>
  <c r="R174" i="9"/>
  <c r="R37" i="9"/>
  <c r="R135" i="9"/>
  <c r="R123" i="9"/>
  <c r="R98" i="9"/>
  <c r="R76" i="9"/>
  <c r="R156" i="9"/>
  <c r="R22" i="9"/>
  <c r="R41" i="9"/>
  <c r="R69" i="9"/>
  <c r="R70" i="9"/>
  <c r="AC71" i="9"/>
  <c r="AC59" i="9"/>
  <c r="AC58" i="9"/>
  <c r="AC35" i="9"/>
  <c r="AC34" i="9"/>
  <c r="AC76" i="9"/>
  <c r="AC78" i="9"/>
  <c r="AN94" i="9"/>
  <c r="AN139" i="9"/>
  <c r="AN279" i="9"/>
  <c r="AN420" i="9"/>
  <c r="AN81" i="9"/>
  <c r="AN135" i="9"/>
  <c r="AN350" i="9"/>
  <c r="AN296" i="9"/>
  <c r="AN148" i="9"/>
  <c r="AN265" i="9"/>
  <c r="AN170" i="9"/>
  <c r="AN131" i="9"/>
  <c r="AN221" i="9"/>
  <c r="AN327" i="9"/>
  <c r="AN268" i="9"/>
  <c r="AN68" i="9"/>
  <c r="AN199" i="9"/>
  <c r="AN182" i="9"/>
  <c r="AN266" i="9"/>
  <c r="AN294" i="9"/>
  <c r="AN340" i="9"/>
  <c r="AN316" i="9"/>
  <c r="AN272" i="9"/>
  <c r="AN322" i="9"/>
  <c r="AN61" i="9"/>
  <c r="AN108" i="9"/>
  <c r="AN393" i="9"/>
  <c r="AN374" i="9"/>
  <c r="AN129" i="9"/>
  <c r="AN85" i="9"/>
  <c r="AN356" i="9"/>
  <c r="AN101" i="9"/>
  <c r="AN303" i="9"/>
  <c r="AY42" i="9"/>
  <c r="AY46" i="9"/>
  <c r="AY24" i="9"/>
  <c r="AY122" i="9"/>
  <c r="AY158" i="9"/>
  <c r="AY31" i="9"/>
  <c r="AY75" i="9"/>
  <c r="AY128" i="9"/>
  <c r="AY69" i="9"/>
  <c r="AY135" i="9"/>
  <c r="AY165" i="9"/>
  <c r="AY73" i="9"/>
  <c r="AY156" i="9"/>
  <c r="BJ155" i="9"/>
  <c r="BJ66" i="9"/>
  <c r="BJ134" i="9"/>
  <c r="BJ92" i="9"/>
  <c r="BJ221" i="9"/>
  <c r="BJ193" i="9"/>
  <c r="BJ113" i="9"/>
  <c r="BJ124" i="9"/>
  <c r="BJ81" i="9"/>
  <c r="BJ133" i="9"/>
  <c r="BJ196" i="9"/>
  <c r="BJ63" i="9"/>
  <c r="BJ194" i="9"/>
  <c r="BJ162" i="9"/>
  <c r="BJ27" i="9"/>
  <c r="BJ43" i="9"/>
  <c r="BJ46" i="9"/>
  <c r="BU182" i="9"/>
  <c r="BU419" i="9"/>
  <c r="BU330" i="9"/>
  <c r="BU336" i="9"/>
  <c r="BU402" i="9"/>
  <c r="BU307" i="9"/>
  <c r="BU201" i="9"/>
  <c r="BU129" i="9"/>
  <c r="BU489" i="9"/>
  <c r="BU321" i="9"/>
  <c r="BU185" i="9"/>
  <c r="BU290" i="9"/>
  <c r="BU65" i="9"/>
  <c r="BU462" i="9"/>
  <c r="BU212" i="9"/>
  <c r="BU450" i="9"/>
  <c r="BU105" i="9"/>
  <c r="BU158" i="9"/>
  <c r="BU107" i="9"/>
  <c r="BU55" i="9"/>
  <c r="BU108" i="9"/>
  <c r="CF122" i="9"/>
  <c r="CF381" i="9"/>
  <c r="CF46" i="9"/>
  <c r="CF287" i="9"/>
  <c r="CF270" i="9"/>
  <c r="CF176" i="9"/>
  <c r="CQ50" i="9"/>
  <c r="CQ198" i="9"/>
  <c r="DB215" i="9"/>
  <c r="DM909" i="9"/>
  <c r="DM323" i="9"/>
  <c r="G142" i="9"/>
  <c r="G396" i="9"/>
  <c r="G273" i="9"/>
  <c r="G53" i="9"/>
  <c r="G640" i="9"/>
  <c r="G341" i="9"/>
  <c r="G71" i="9"/>
  <c r="G483" i="9"/>
  <c r="R116" i="9"/>
  <c r="R78" i="9"/>
  <c r="R216" i="9"/>
  <c r="R177" i="9"/>
  <c r="R85" i="9"/>
  <c r="R213" i="9"/>
  <c r="R125" i="9"/>
  <c r="R214" i="9"/>
  <c r="R74" i="9"/>
  <c r="R61" i="9"/>
  <c r="R120" i="9"/>
  <c r="R73" i="9"/>
  <c r="R63" i="9"/>
  <c r="R107" i="9"/>
  <c r="R34" i="9"/>
  <c r="R77" i="9"/>
  <c r="R23" i="9"/>
  <c r="AC81" i="9"/>
  <c r="AC56" i="9"/>
  <c r="AC69" i="9"/>
  <c r="AC25" i="9"/>
  <c r="AC70" i="9"/>
  <c r="AC83" i="9"/>
  <c r="AC89" i="9"/>
  <c r="AC77" i="9"/>
  <c r="AN261" i="9"/>
  <c r="AN28" i="9"/>
  <c r="AN225" i="9"/>
  <c r="AN242" i="9"/>
  <c r="AN183" i="9"/>
  <c r="AN224" i="9"/>
  <c r="AN248" i="9"/>
  <c r="AN416" i="9"/>
  <c r="AN118" i="9"/>
  <c r="AN50" i="9"/>
  <c r="AN179" i="9"/>
  <c r="AN428" i="9"/>
  <c r="AN264" i="9"/>
  <c r="AN286" i="9"/>
  <c r="AN166" i="9"/>
  <c r="AN60" i="9"/>
  <c r="AN103" i="9"/>
  <c r="AN29" i="9"/>
  <c r="AN389" i="9"/>
  <c r="AN230" i="9"/>
  <c r="AN344" i="9"/>
  <c r="AN332" i="9"/>
  <c r="AN45" i="9"/>
  <c r="AN202" i="9"/>
  <c r="AN314" i="9"/>
  <c r="AN47" i="9"/>
  <c r="AN425" i="9"/>
  <c r="AN262" i="9"/>
  <c r="AN388" i="9"/>
  <c r="AN366" i="9"/>
  <c r="AN308" i="9"/>
  <c r="AN32" i="9"/>
  <c r="AN124" i="9"/>
  <c r="AN80" i="9"/>
  <c r="AN140" i="9"/>
  <c r="AN342" i="9"/>
  <c r="AN241" i="9"/>
  <c r="AN298" i="9"/>
  <c r="AY40" i="9"/>
  <c r="AY68" i="9"/>
  <c r="AY159" i="9"/>
  <c r="AY175" i="9"/>
  <c r="AY105" i="9"/>
  <c r="AY95" i="9"/>
  <c r="AY176" i="9"/>
  <c r="AY177" i="9"/>
  <c r="AY28" i="9"/>
  <c r="AY154" i="9"/>
  <c r="AY190" i="9"/>
  <c r="AY146" i="9"/>
  <c r="AY51" i="9"/>
  <c r="AY98" i="9"/>
  <c r="BJ103" i="9"/>
  <c r="BJ99" i="9"/>
  <c r="BJ31" i="9"/>
  <c r="BJ26" i="9"/>
  <c r="BJ178" i="9"/>
  <c r="BJ209" i="9"/>
  <c r="BJ106" i="9"/>
  <c r="BJ122" i="9"/>
  <c r="BJ109" i="9"/>
  <c r="BJ104" i="9"/>
  <c r="BJ220" i="9"/>
  <c r="BJ210" i="9"/>
  <c r="BJ160" i="9"/>
  <c r="BJ56" i="9"/>
  <c r="BJ130" i="9"/>
  <c r="BJ59" i="9"/>
  <c r="BU31" i="9"/>
  <c r="BU400" i="9"/>
  <c r="BU431" i="9"/>
  <c r="BU161" i="9"/>
  <c r="BU160" i="9"/>
  <c r="BU349" i="9"/>
  <c r="BU305" i="9"/>
  <c r="BU467" i="9"/>
  <c r="BU265" i="9"/>
  <c r="BU219" i="9"/>
  <c r="BU399" i="9"/>
  <c r="BU157" i="9"/>
  <c r="BU401" i="9"/>
  <c r="BU193" i="9"/>
  <c r="BU303" i="9"/>
  <c r="BU127" i="9"/>
  <c r="BU237" i="9"/>
  <c r="BU83" i="9"/>
  <c r="BU53" i="9"/>
  <c r="BU393" i="9"/>
  <c r="CF81" i="9"/>
  <c r="CF404" i="9"/>
  <c r="CF255" i="9"/>
  <c r="CF285" i="9"/>
  <c r="CF300" i="9"/>
  <c r="CF86" i="9"/>
  <c r="CQ140" i="9"/>
  <c r="CQ153" i="9"/>
  <c r="CQ136" i="9"/>
  <c r="DM817" i="9"/>
  <c r="DM162" i="9"/>
  <c r="DM177" i="9"/>
  <c r="DM455" i="9"/>
  <c r="BU49" i="9"/>
  <c r="BU242" i="9"/>
  <c r="BU271" i="9"/>
  <c r="BU310" i="9"/>
  <c r="BU199" i="9"/>
  <c r="BU301" i="9"/>
  <c r="BU39" i="9"/>
  <c r="BU203" i="9"/>
  <c r="BU498" i="9"/>
  <c r="BU74" i="9"/>
  <c r="BU128" i="9"/>
  <c r="BU314" i="9"/>
  <c r="BU214" i="9"/>
  <c r="BU54" i="9"/>
  <c r="BU162" i="9"/>
  <c r="BU94" i="9"/>
  <c r="BU202" i="9"/>
  <c r="BU500" i="9"/>
  <c r="BU225" i="9"/>
  <c r="BU28" i="9"/>
  <c r="BU197" i="9"/>
  <c r="BU195" i="9"/>
  <c r="BU471" i="9"/>
  <c r="BU204" i="9"/>
  <c r="BU57" i="9"/>
  <c r="BU97" i="9"/>
  <c r="BU420" i="9"/>
  <c r="BU352" i="9"/>
  <c r="BU286" i="9"/>
  <c r="BU137" i="9"/>
  <c r="BU357" i="9"/>
  <c r="BU44" i="9"/>
  <c r="CF261" i="9"/>
  <c r="CF198" i="9"/>
  <c r="CF350" i="9"/>
  <c r="CF390" i="9"/>
  <c r="CF385" i="9"/>
  <c r="CF169" i="9"/>
  <c r="CF87" i="9"/>
  <c r="CF386" i="9"/>
  <c r="CF161" i="9"/>
  <c r="CF99" i="9"/>
  <c r="CF189" i="9"/>
  <c r="CF340" i="9"/>
  <c r="CQ174" i="9"/>
  <c r="CQ199" i="9"/>
  <c r="CQ101" i="9"/>
  <c r="CQ93" i="9"/>
  <c r="DB40" i="9"/>
  <c r="DB89" i="9"/>
  <c r="DM840" i="9"/>
  <c r="DM321" i="9"/>
  <c r="DM537" i="9"/>
  <c r="DM627" i="9"/>
  <c r="BJ47" i="9"/>
  <c r="BJ131" i="9"/>
  <c r="BJ24" i="9"/>
  <c r="BJ68" i="9"/>
  <c r="BJ226" i="9"/>
  <c r="BJ79" i="9"/>
  <c r="BU43" i="9"/>
  <c r="BU119" i="9"/>
  <c r="BU179" i="9"/>
  <c r="BU159" i="9"/>
  <c r="BU147" i="9"/>
  <c r="BU90" i="9"/>
  <c r="BU62" i="9"/>
  <c r="BU416" i="9"/>
  <c r="BU269" i="9"/>
  <c r="BU306" i="9"/>
  <c r="BU59" i="9"/>
  <c r="BU133" i="9"/>
  <c r="BU52" i="9"/>
  <c r="BU264" i="9"/>
  <c r="BU441" i="9"/>
  <c r="BU115" i="9"/>
  <c r="BU367" i="9"/>
  <c r="BU312" i="9"/>
  <c r="BU226" i="9"/>
  <c r="BU194" i="9"/>
  <c r="BU447" i="9"/>
  <c r="BU326" i="9"/>
  <c r="BU188" i="9"/>
  <c r="BU492" i="9"/>
  <c r="BU146" i="9"/>
  <c r="BU496" i="9"/>
  <c r="BU252" i="9"/>
  <c r="BU51" i="9"/>
  <c r="BU228" i="9"/>
  <c r="BU430" i="9"/>
  <c r="CF72" i="9"/>
  <c r="CF204" i="9"/>
  <c r="CF374" i="9"/>
  <c r="CF88" i="9"/>
  <c r="CF342" i="9"/>
  <c r="CF28" i="9"/>
  <c r="CF166" i="9"/>
  <c r="CF184" i="9"/>
  <c r="CF149" i="9"/>
  <c r="CF56" i="9"/>
  <c r="CF83" i="9"/>
  <c r="CF408" i="9"/>
  <c r="CQ201" i="9"/>
  <c r="CQ126" i="9"/>
  <c r="CQ52" i="9"/>
  <c r="DB248" i="9"/>
  <c r="DB187" i="9"/>
  <c r="DB51" i="9"/>
  <c r="DM289" i="9"/>
  <c r="DM608" i="9"/>
  <c r="DM829" i="9"/>
  <c r="DM426" i="9"/>
  <c r="BJ116" i="9"/>
  <c r="BU360" i="9"/>
  <c r="BU180" i="9"/>
  <c r="BU175" i="9"/>
  <c r="BU472" i="9"/>
  <c r="BU140" i="9"/>
  <c r="BU98" i="9"/>
  <c r="BU485" i="9"/>
  <c r="BU88" i="9"/>
  <c r="BU125" i="9"/>
  <c r="BU392" i="9"/>
  <c r="BU238" i="9"/>
  <c r="BU309" i="9"/>
  <c r="BU332" i="9"/>
  <c r="BU82" i="9"/>
  <c r="BU165" i="9"/>
  <c r="BU142" i="9"/>
  <c r="BU190" i="9"/>
  <c r="BU255" i="9"/>
  <c r="BU244" i="9"/>
  <c r="BU37" i="9"/>
  <c r="BU334" i="9"/>
  <c r="BU84" i="9"/>
  <c r="BU359" i="9"/>
  <c r="BU333" i="9"/>
  <c r="BU153" i="9"/>
  <c r="BU347" i="9"/>
  <c r="BU380" i="9"/>
  <c r="BU174" i="9"/>
  <c r="BU102" i="9"/>
  <c r="CF349" i="9"/>
  <c r="CF367" i="9"/>
  <c r="CF303" i="9"/>
  <c r="CF265" i="9"/>
  <c r="CF219" i="9"/>
  <c r="CF259" i="9"/>
  <c r="CF155" i="9"/>
  <c r="CF79" i="9"/>
  <c r="CF246" i="9"/>
  <c r="CF427" i="9"/>
  <c r="CF138" i="9"/>
  <c r="CF322" i="9"/>
  <c r="CF357" i="9"/>
  <c r="CF276" i="9"/>
  <c r="CQ125" i="9"/>
  <c r="CQ99" i="9"/>
  <c r="CQ205" i="9"/>
  <c r="CQ141" i="9"/>
  <c r="DB71" i="9"/>
  <c r="DB183" i="9"/>
  <c r="DB330" i="9"/>
  <c r="DB302" i="9"/>
  <c r="DB230" i="9"/>
  <c r="DM577" i="9"/>
  <c r="DM229" i="9"/>
  <c r="DM124" i="9"/>
  <c r="DM511" i="9"/>
  <c r="BJ89" i="9"/>
  <c r="BJ227" i="9"/>
  <c r="BJ84" i="9"/>
  <c r="BJ177" i="9"/>
  <c r="BU29" i="9"/>
  <c r="BU411" i="9"/>
  <c r="BU487" i="9"/>
  <c r="BU436" i="9"/>
  <c r="BU358" i="9"/>
  <c r="BU109" i="9"/>
  <c r="BU300" i="9"/>
  <c r="BU168" i="9"/>
  <c r="BU475" i="9"/>
  <c r="BU123" i="9"/>
  <c r="BU42" i="9"/>
  <c r="BU93" i="9"/>
  <c r="BU152" i="9"/>
  <c r="BU230" i="9"/>
  <c r="BU139" i="9"/>
  <c r="BU259" i="9"/>
  <c r="BU220" i="9"/>
  <c r="BU250" i="9"/>
  <c r="BU85" i="9"/>
  <c r="BU364" i="9"/>
  <c r="BU75" i="9"/>
  <c r="BU277" i="9"/>
  <c r="BU417" i="9"/>
  <c r="BU397" i="9"/>
  <c r="BU89" i="9"/>
  <c r="BU337" i="9"/>
  <c r="BU435" i="9"/>
  <c r="BU445" i="9"/>
  <c r="CF178" i="9"/>
  <c r="CF306" i="9"/>
  <c r="CF343" i="9"/>
  <c r="CF139" i="9"/>
  <c r="CF388" i="9"/>
  <c r="CF160" i="9"/>
  <c r="CF257" i="9"/>
  <c r="CF380" i="9"/>
  <c r="CF317" i="9"/>
  <c r="CF360" i="9"/>
  <c r="CQ130" i="9"/>
  <c r="CQ155" i="9"/>
  <c r="CQ183" i="9"/>
  <c r="DB36" i="9"/>
  <c r="DB32" i="9"/>
  <c r="DB350" i="9"/>
  <c r="DB104" i="9"/>
  <c r="DM337" i="9"/>
  <c r="DM714" i="9"/>
  <c r="DM480" i="9"/>
  <c r="BU166" i="9"/>
  <c r="BU415" i="9"/>
  <c r="BU114" i="9"/>
  <c r="BU455" i="9"/>
  <c r="BU72" i="9"/>
  <c r="BU374" i="9"/>
  <c r="BU267" i="9"/>
  <c r="BU176" i="9"/>
  <c r="BU130" i="9"/>
  <c r="BU217" i="9"/>
  <c r="BU478" i="9"/>
  <c r="BU120" i="9"/>
  <c r="BU272" i="9"/>
  <c r="BU266" i="9"/>
  <c r="BU429" i="9"/>
  <c r="BU155" i="9"/>
  <c r="BU248" i="9"/>
  <c r="BU246" i="9"/>
  <c r="BU456" i="9"/>
  <c r="BU81" i="9"/>
  <c r="BU389" i="9"/>
  <c r="BU136" i="9"/>
  <c r="BU341" i="9"/>
  <c r="BU216" i="9"/>
  <c r="BU110" i="9"/>
  <c r="BU143" i="9"/>
  <c r="BU281" i="9"/>
  <c r="BU442" i="9"/>
  <c r="CF348" i="9"/>
  <c r="CF228" i="9"/>
  <c r="CF108" i="9"/>
  <c r="CF403" i="9"/>
  <c r="CF310" i="9"/>
  <c r="CF222" i="9"/>
  <c r="CF112" i="9"/>
  <c r="CF260" i="9"/>
  <c r="CF188" i="9"/>
  <c r="CF407" i="9"/>
  <c r="CF241" i="9"/>
  <c r="CQ213" i="9"/>
  <c r="CQ119" i="9"/>
  <c r="CQ143" i="9"/>
  <c r="DB138" i="9"/>
  <c r="DB355" i="9"/>
  <c r="DM120" i="9"/>
  <c r="DM560" i="9"/>
  <c r="DM567" i="9"/>
  <c r="BU209" i="9"/>
  <c r="BU486" i="9"/>
  <c r="BU466" i="9"/>
  <c r="BU191" i="9"/>
  <c r="BU452" i="9"/>
  <c r="BU365" i="9"/>
  <c r="BU409" i="9"/>
  <c r="BU491" i="9"/>
  <c r="BU47" i="9"/>
  <c r="BU327" i="9"/>
  <c r="BU388" i="9"/>
  <c r="BU183" i="9"/>
  <c r="BU177" i="9"/>
  <c r="BU164" i="9"/>
  <c r="BU362" i="9"/>
  <c r="BU36" i="9"/>
  <c r="BU423" i="9"/>
  <c r="BU433" i="9"/>
  <c r="BU40" i="9"/>
  <c r="BU382" i="9"/>
  <c r="BU60" i="9"/>
  <c r="BU41" i="9"/>
  <c r="BU163" i="9"/>
  <c r="BU249" i="9"/>
  <c r="BU124" i="9"/>
  <c r="CF415" i="9"/>
  <c r="CF31" i="9"/>
  <c r="CF302" i="9"/>
  <c r="CF362" i="9"/>
  <c r="CF281" i="9"/>
  <c r="CF91" i="9"/>
  <c r="CF152" i="9"/>
  <c r="CF51" i="9"/>
  <c r="CF312" i="9"/>
  <c r="CF336" i="9"/>
  <c r="CF210" i="9"/>
  <c r="CF330" i="9"/>
  <c r="CF96" i="9"/>
  <c r="CF227" i="9"/>
  <c r="CF420" i="9"/>
  <c r="CF177" i="9"/>
  <c r="CF213" i="9"/>
  <c r="CF164" i="9"/>
  <c r="CF69" i="9"/>
  <c r="CF196" i="9"/>
  <c r="CF226" i="9"/>
  <c r="CF428" i="9"/>
  <c r="CF172" i="9"/>
  <c r="CF341" i="9"/>
  <c r="CQ75" i="9"/>
  <c r="CQ103" i="9"/>
  <c r="CQ139" i="9"/>
  <c r="CQ51" i="9"/>
  <c r="CQ219" i="9"/>
  <c r="CQ78" i="9"/>
  <c r="CQ111" i="9"/>
  <c r="DB105" i="9"/>
  <c r="DB261" i="9"/>
  <c r="DB336" i="9"/>
  <c r="DB308" i="9"/>
  <c r="DB217" i="9"/>
  <c r="DM297" i="9"/>
  <c r="DM563" i="9"/>
  <c r="DM484" i="9"/>
  <c r="DM616" i="9"/>
  <c r="DM353" i="9"/>
  <c r="DM760" i="9"/>
  <c r="CF279" i="9"/>
  <c r="CF223" i="9"/>
  <c r="CF179" i="9"/>
  <c r="CF78" i="9"/>
  <c r="CF145" i="9"/>
  <c r="CF40" i="9"/>
  <c r="CF254" i="9"/>
  <c r="CF293" i="9"/>
  <c r="CF244" i="9"/>
  <c r="CF282" i="9"/>
  <c r="CF235" i="9"/>
  <c r="CF382" i="9"/>
  <c r="CF29" i="9"/>
  <c r="CF298" i="9"/>
  <c r="CF395" i="9"/>
  <c r="CF66" i="9"/>
  <c r="CF277" i="9"/>
  <c r="CF299" i="9"/>
  <c r="CF368" i="9"/>
  <c r="CF410" i="9"/>
  <c r="CQ31" i="9"/>
  <c r="CQ36" i="9"/>
  <c r="CQ46" i="9"/>
  <c r="CQ215" i="9"/>
  <c r="CQ197" i="9"/>
  <c r="DB226" i="9"/>
  <c r="DB252" i="9"/>
  <c r="DB98" i="9"/>
  <c r="DB157" i="9"/>
  <c r="DB152" i="9"/>
  <c r="DB346" i="9"/>
  <c r="DM35" i="9"/>
  <c r="DM460" i="9"/>
  <c r="DM129" i="9"/>
  <c r="DM869" i="9"/>
  <c r="DM573" i="9"/>
  <c r="DM62" i="9"/>
  <c r="CF146" i="9"/>
  <c r="CF414" i="9"/>
  <c r="CF321" i="9"/>
  <c r="CF180" i="9"/>
  <c r="CF379" i="9"/>
  <c r="CF397" i="9"/>
  <c r="CF70" i="9"/>
  <c r="CF301" i="9"/>
  <c r="CF181" i="9"/>
  <c r="CF24" i="9"/>
  <c r="CF47" i="9"/>
  <c r="CF58" i="9"/>
  <c r="CF316" i="9"/>
  <c r="CF333" i="9"/>
  <c r="CF209" i="9"/>
  <c r="CF237" i="9"/>
  <c r="CF165" i="9"/>
  <c r="CF272" i="9"/>
  <c r="CF249" i="9"/>
  <c r="CF263" i="9"/>
  <c r="CF334" i="9"/>
  <c r="CQ57" i="9"/>
  <c r="CQ161" i="9"/>
  <c r="CQ116" i="9"/>
  <c r="CQ27" i="9"/>
  <c r="CQ62" i="9"/>
  <c r="DB82" i="9"/>
  <c r="DB80" i="9"/>
  <c r="DB292" i="9"/>
  <c r="DB47" i="9"/>
  <c r="DB258" i="9"/>
  <c r="DB111" i="9"/>
  <c r="DB274" i="9"/>
  <c r="DB199" i="9"/>
  <c r="DB353" i="9"/>
  <c r="DB340" i="9"/>
  <c r="DB334" i="9"/>
  <c r="DM133" i="9"/>
  <c r="DM500" i="9"/>
  <c r="DM189" i="9"/>
  <c r="DM818" i="9"/>
  <c r="DM436" i="9"/>
  <c r="DM841" i="9"/>
  <c r="BU172" i="9"/>
  <c r="BU150" i="9"/>
  <c r="BU64" i="9"/>
  <c r="BU122" i="9"/>
  <c r="BU112" i="9"/>
  <c r="BU432" i="9"/>
  <c r="BU38" i="9"/>
  <c r="BU325" i="9"/>
  <c r="BU394" i="9"/>
  <c r="BU474" i="9"/>
  <c r="BU210" i="9"/>
  <c r="BU465" i="9"/>
  <c r="BU406" i="9"/>
  <c r="BU50" i="9"/>
  <c r="BU178" i="9"/>
  <c r="BU169" i="9"/>
  <c r="BU457" i="9"/>
  <c r="BU373" i="9"/>
  <c r="BU440" i="9"/>
  <c r="BU425" i="9"/>
  <c r="BU61" i="9"/>
  <c r="BU154" i="9"/>
  <c r="CF49" i="9"/>
  <c r="CF308" i="9"/>
  <c r="CF245" i="9"/>
  <c r="CF93" i="9"/>
  <c r="CF278" i="9"/>
  <c r="CF77" i="9"/>
  <c r="CF61" i="9"/>
  <c r="CF126" i="9"/>
  <c r="CF90" i="9"/>
  <c r="CF275" i="9"/>
  <c r="CF105" i="9"/>
  <c r="CF35" i="9"/>
  <c r="CF140" i="9"/>
  <c r="CF118" i="9"/>
  <c r="CF157" i="9"/>
  <c r="CF211" i="9"/>
  <c r="CF127" i="9"/>
  <c r="CF151" i="9"/>
  <c r="CF231" i="9"/>
  <c r="CF305" i="9"/>
  <c r="CF54" i="9"/>
  <c r="CF113" i="9"/>
  <c r="CF376" i="9"/>
  <c r="CF373" i="9"/>
  <c r="CQ105" i="9"/>
  <c r="CQ47" i="9"/>
  <c r="CQ92" i="9"/>
  <c r="CQ65" i="9"/>
  <c r="CQ152" i="9"/>
  <c r="CQ74" i="9"/>
  <c r="CQ55" i="9"/>
  <c r="DB207" i="9"/>
  <c r="DB234" i="9"/>
  <c r="DB129" i="9"/>
  <c r="DB59" i="9"/>
  <c r="DB293" i="9"/>
  <c r="DB303" i="9"/>
  <c r="DB150" i="9"/>
  <c r="DB211" i="9"/>
  <c r="DB176" i="9"/>
  <c r="DB352" i="9"/>
  <c r="DB30" i="9"/>
  <c r="DB67" i="9"/>
  <c r="DM361" i="9"/>
  <c r="DM381" i="9"/>
  <c r="DM518" i="9"/>
  <c r="DM755" i="9"/>
  <c r="DM185" i="9"/>
  <c r="DM216" i="9"/>
  <c r="DM416" i="9"/>
  <c r="DM634" i="9"/>
  <c r="BU437" i="9"/>
  <c r="BU262" i="9"/>
  <c r="BU260" i="9"/>
  <c r="BU287" i="9"/>
  <c r="BU477" i="9"/>
  <c r="BU503" i="9"/>
  <c r="BU256" i="9"/>
  <c r="BU189" i="9"/>
  <c r="BU443" i="9"/>
  <c r="BU404" i="9"/>
  <c r="BU173" i="9"/>
  <c r="BU329" i="9"/>
  <c r="BU116" i="9"/>
  <c r="BU504" i="9"/>
  <c r="BU45" i="9"/>
  <c r="BU410" i="9"/>
  <c r="BU288" i="9"/>
  <c r="BU490" i="9"/>
  <c r="BU48" i="9"/>
  <c r="BU236" i="9"/>
  <c r="BU273" i="9"/>
  <c r="BU58" i="9"/>
  <c r="BU446" i="9"/>
  <c r="CF150" i="9"/>
  <c r="CF288" i="9"/>
  <c r="CF421" i="9"/>
  <c r="CF25" i="9"/>
  <c r="CF347" i="9"/>
  <c r="CF114" i="9"/>
  <c r="CF80" i="9"/>
  <c r="CF141" i="9"/>
  <c r="CF208" i="9"/>
  <c r="CF320" i="9"/>
  <c r="CF133" i="9"/>
  <c r="CF396" i="9"/>
  <c r="CF411" i="9"/>
  <c r="CF295" i="9"/>
  <c r="CF236" i="9"/>
  <c r="CF192" i="9"/>
  <c r="CF199" i="9"/>
  <c r="CF212" i="9"/>
  <c r="CF242" i="9"/>
  <c r="CF186" i="9"/>
  <c r="CF243" i="9"/>
  <c r="CF392" i="9"/>
  <c r="CF398" i="9"/>
  <c r="CQ109" i="9"/>
  <c r="CQ209" i="9"/>
  <c r="CQ91" i="9"/>
  <c r="CQ135" i="9"/>
  <c r="CQ67" i="9"/>
  <c r="CQ204" i="9"/>
  <c r="DB139" i="9"/>
  <c r="DB328" i="9"/>
  <c r="DB342" i="9"/>
  <c r="DB121" i="9"/>
  <c r="DB31" i="9"/>
  <c r="DB165" i="9"/>
  <c r="DM696" i="9"/>
  <c r="DM318" i="9"/>
  <c r="DM329" i="9"/>
  <c r="DM734" i="9"/>
  <c r="DM781" i="9"/>
  <c r="DM790" i="9"/>
  <c r="DM41" i="9"/>
  <c r="BU434" i="9"/>
  <c r="BU213" i="9"/>
  <c r="BU424" i="9"/>
  <c r="BU218" i="9"/>
  <c r="BU379" i="9"/>
  <c r="BU317" i="9"/>
  <c r="BU464" i="9"/>
  <c r="BU344" i="9"/>
  <c r="BU241" i="9"/>
  <c r="BU342" i="9"/>
  <c r="BU270" i="9"/>
  <c r="BU99" i="9"/>
  <c r="BU505" i="9"/>
  <c r="BU192" i="9"/>
  <c r="BU361" i="9"/>
  <c r="BU231" i="9"/>
  <c r="BU243" i="9"/>
  <c r="BU135" i="9"/>
  <c r="BU463" i="9"/>
  <c r="BU363" i="9"/>
  <c r="BU414" i="9"/>
  <c r="BU22" i="9"/>
  <c r="BU111" i="9"/>
  <c r="BU222" i="9"/>
  <c r="BU35" i="9"/>
  <c r="CF289" i="9"/>
  <c r="CF125" i="9"/>
  <c r="CF391" i="9"/>
  <c r="CF325" i="9"/>
  <c r="CF63" i="9"/>
  <c r="CF323" i="9"/>
  <c r="CF423" i="9"/>
  <c r="CF430" i="9"/>
  <c r="CF268" i="9"/>
  <c r="CF354" i="9"/>
  <c r="CF131" i="9"/>
  <c r="CF128" i="9"/>
  <c r="CF290" i="9"/>
  <c r="CF419" i="9"/>
  <c r="CF405" i="9"/>
  <c r="CF250" i="9"/>
  <c r="CF359" i="9"/>
  <c r="CF64" i="9"/>
  <c r="CF132" i="9"/>
  <c r="CF153" i="9"/>
  <c r="CQ98" i="9"/>
  <c r="CQ129" i="9"/>
  <c r="CQ150" i="9"/>
  <c r="CQ115" i="9"/>
  <c r="CQ85" i="9"/>
  <c r="CQ38" i="9"/>
  <c r="CQ107" i="9"/>
  <c r="DB228" i="9"/>
  <c r="DB162" i="9"/>
  <c r="DB171" i="9"/>
  <c r="DB250" i="9"/>
  <c r="DM586" i="9"/>
  <c r="DM495" i="9"/>
  <c r="DM356" i="9"/>
  <c r="DM726" i="9"/>
  <c r="DM401" i="9"/>
  <c r="DM166" i="9"/>
  <c r="DM121" i="9"/>
  <c r="CF168" i="9"/>
  <c r="CF319" i="9"/>
  <c r="CF68" i="9"/>
  <c r="CF361" i="9"/>
  <c r="CF201" i="9"/>
  <c r="CF50" i="9"/>
  <c r="CF142" i="9"/>
  <c r="CF387" i="9"/>
  <c r="CF130" i="9"/>
  <c r="CF137" i="9"/>
  <c r="CF378" i="9"/>
  <c r="CF377" i="9"/>
  <c r="CF262" i="9"/>
  <c r="CF331" i="9"/>
  <c r="CF147" i="9"/>
  <c r="CF134" i="9"/>
  <c r="CF267" i="9"/>
  <c r="CF195" i="9"/>
  <c r="CF92" i="9"/>
  <c r="CF409" i="9"/>
  <c r="CF38" i="9"/>
  <c r="CF345" i="9"/>
  <c r="CF307" i="9"/>
  <c r="CF346" i="9"/>
  <c r="CF154" i="9"/>
  <c r="CF42" i="9"/>
  <c r="CF76" i="9"/>
  <c r="CF384" i="9"/>
  <c r="CQ187" i="9"/>
  <c r="CQ180" i="9"/>
  <c r="CQ159" i="9"/>
  <c r="CQ66" i="9"/>
  <c r="CQ42" i="9"/>
  <c r="CQ186" i="9"/>
  <c r="CQ94" i="9"/>
  <c r="CQ214" i="9"/>
  <c r="DB93" i="9"/>
  <c r="DB284" i="9"/>
  <c r="DB118" i="9"/>
  <c r="DB50" i="9"/>
  <c r="DB175" i="9"/>
  <c r="DB127" i="9"/>
  <c r="DB323" i="9"/>
  <c r="DB61" i="9"/>
  <c r="DB225" i="9"/>
  <c r="DB131" i="9"/>
  <c r="DB130" i="9"/>
  <c r="DM692" i="9"/>
  <c r="DM148" i="9"/>
  <c r="DM849" i="9"/>
  <c r="DM516" i="9"/>
  <c r="DM750" i="9"/>
  <c r="DM375" i="9"/>
  <c r="DM572" i="9"/>
  <c r="DM469" i="9"/>
  <c r="DM206" i="9"/>
  <c r="DM542" i="9"/>
  <c r="DM803" i="9"/>
  <c r="CF318" i="9"/>
  <c r="CF297" i="9"/>
  <c r="CF33" i="9"/>
  <c r="CF74" i="9"/>
  <c r="CF247" i="9"/>
  <c r="CF62" i="9"/>
  <c r="CF296" i="9"/>
  <c r="CF32" i="9"/>
  <c r="CF207" i="9"/>
  <c r="CF273" i="9"/>
  <c r="CF26" i="9"/>
  <c r="CF170" i="9"/>
  <c r="CF271" i="9"/>
  <c r="CF202" i="9"/>
  <c r="CF292" i="9"/>
  <c r="CF402" i="9"/>
  <c r="CF190" i="9"/>
  <c r="CF413" i="9"/>
  <c r="CF356" i="9"/>
  <c r="CF363" i="9"/>
  <c r="CF294" i="9"/>
  <c r="CF366" i="9"/>
  <c r="CF394" i="9"/>
  <c r="CF85" i="9"/>
  <c r="CF60" i="9"/>
  <c r="CF315" i="9"/>
  <c r="CQ142" i="9"/>
  <c r="CQ212" i="9"/>
  <c r="CQ39" i="9"/>
  <c r="CQ79" i="9"/>
  <c r="CQ89" i="9"/>
  <c r="CQ83" i="9"/>
  <c r="CQ54" i="9"/>
  <c r="CQ134" i="9"/>
  <c r="CQ127" i="9"/>
  <c r="CQ217" i="9"/>
  <c r="CQ44" i="9"/>
  <c r="CQ121" i="9"/>
  <c r="DB22" i="9"/>
  <c r="DB324" i="9"/>
  <c r="DB219" i="9"/>
  <c r="DB209" i="9"/>
  <c r="DB268" i="9"/>
  <c r="DB347" i="9"/>
  <c r="DB231" i="9"/>
  <c r="DB205" i="9"/>
  <c r="DB112" i="9"/>
  <c r="DB238" i="9"/>
  <c r="DB192" i="9"/>
  <c r="DB335" i="9"/>
  <c r="DB38" i="9"/>
  <c r="DB117" i="9"/>
  <c r="DM271" i="9"/>
  <c r="DM847" i="9"/>
  <c r="DM179" i="9"/>
  <c r="DM270" i="9"/>
  <c r="DM623" i="9"/>
  <c r="DM534" i="9"/>
  <c r="DM343" i="9"/>
  <c r="DM60" i="9"/>
  <c r="DM46" i="9"/>
  <c r="DM782" i="9"/>
  <c r="DM559" i="9"/>
  <c r="CF248" i="9"/>
  <c r="CF311" i="9"/>
  <c r="CF203" i="9"/>
  <c r="CF225" i="9"/>
  <c r="CF258" i="9"/>
  <c r="CF194" i="9"/>
  <c r="CF43" i="9"/>
  <c r="CF375" i="9"/>
  <c r="CF371" i="9"/>
  <c r="CF106" i="9"/>
  <c r="CF94" i="9"/>
  <c r="CF352" i="9"/>
  <c r="CF23" i="9"/>
  <c r="CF417" i="9"/>
  <c r="CF335" i="9"/>
  <c r="CF39" i="9"/>
  <c r="CF221" i="9"/>
  <c r="CF171" i="9"/>
  <c r="CF326" i="9"/>
  <c r="CF252" i="9"/>
  <c r="CF291" i="9"/>
  <c r="CF327" i="9"/>
  <c r="CF358" i="9"/>
  <c r="CF123" i="9"/>
  <c r="CF401" i="9"/>
  <c r="CF148" i="9"/>
  <c r="CF173" i="9"/>
  <c r="CF163" i="9"/>
  <c r="CF120" i="9"/>
  <c r="CQ76" i="9"/>
  <c r="CQ176" i="9"/>
  <c r="CQ144" i="9"/>
  <c r="CQ32" i="9"/>
  <c r="CQ24" i="9"/>
  <c r="CQ34" i="9"/>
  <c r="CQ181" i="9"/>
  <c r="CQ118" i="9"/>
  <c r="CQ29" i="9"/>
  <c r="CQ56" i="9"/>
  <c r="CQ211" i="9"/>
  <c r="CQ73" i="9"/>
  <c r="CQ114" i="9"/>
  <c r="CQ100" i="9"/>
  <c r="DB94" i="9"/>
  <c r="DB125" i="9"/>
  <c r="DB259" i="9"/>
  <c r="DB110" i="9"/>
  <c r="DB42" i="9"/>
  <c r="DB276" i="9"/>
  <c r="DB49" i="9"/>
  <c r="DB349" i="9"/>
  <c r="DB280" i="9"/>
  <c r="DB119" i="9"/>
  <c r="DB37" i="9"/>
  <c r="DB313" i="9"/>
  <c r="DM350" i="9"/>
  <c r="DM543" i="9"/>
  <c r="DM758" i="9"/>
  <c r="DM391" i="9"/>
  <c r="DM842" i="9"/>
  <c r="DM477" i="9"/>
  <c r="DM881" i="9"/>
  <c r="DM566" i="9"/>
  <c r="DM873" i="9"/>
  <c r="CF233" i="9"/>
  <c r="CF82" i="9"/>
  <c r="CF224" i="9"/>
  <c r="CF30" i="9"/>
  <c r="CF416" i="9"/>
  <c r="CF313" i="9"/>
  <c r="CF314" i="9"/>
  <c r="CF136" i="9"/>
  <c r="CF269" i="9"/>
  <c r="CF214" i="9"/>
  <c r="CF175" i="9"/>
  <c r="CF121" i="9"/>
  <c r="CF37" i="9"/>
  <c r="CF264" i="9"/>
  <c r="CF230" i="9"/>
  <c r="CF44" i="9"/>
  <c r="CF234" i="9"/>
  <c r="CF286" i="9"/>
  <c r="CF215" i="9"/>
  <c r="CF393" i="9"/>
  <c r="CF135" i="9"/>
  <c r="CF400" i="9"/>
  <c r="CF98" i="9"/>
  <c r="CF97" i="9"/>
  <c r="CF162" i="9"/>
  <c r="CQ69" i="9"/>
  <c r="CQ147" i="9"/>
  <c r="CQ64" i="9"/>
  <c r="CQ60" i="9"/>
  <c r="CQ220" i="9"/>
  <c r="CQ71" i="9"/>
  <c r="CQ165" i="9"/>
  <c r="CQ200" i="9"/>
  <c r="CQ169" i="9"/>
  <c r="CQ86" i="9"/>
  <c r="CQ81" i="9"/>
  <c r="CQ59" i="9"/>
  <c r="CQ41" i="9"/>
  <c r="CQ123" i="9"/>
  <c r="CQ40" i="9"/>
  <c r="DB297" i="9"/>
  <c r="DB343" i="9"/>
  <c r="DB144" i="9"/>
  <c r="DB307" i="9"/>
  <c r="DB271" i="9"/>
  <c r="DB320" i="9"/>
  <c r="DB272" i="9"/>
  <c r="DB145" i="9"/>
  <c r="DB158" i="9"/>
  <c r="DB44" i="9"/>
  <c r="DB314" i="9"/>
  <c r="DB256" i="9"/>
  <c r="DM86" i="9"/>
  <c r="DM252" i="9"/>
  <c r="DM451" i="9"/>
  <c r="DM743" i="9"/>
  <c r="DM905" i="9"/>
  <c r="DM648" i="9"/>
  <c r="DM53" i="9"/>
  <c r="DM878" i="9"/>
  <c r="DM533" i="9"/>
  <c r="DM845" i="9"/>
  <c r="CF75" i="9"/>
  <c r="CF191" i="9"/>
  <c r="CF369" i="9"/>
  <c r="CF183" i="9"/>
  <c r="CF71" i="9"/>
  <c r="CF274" i="9"/>
  <c r="CF174" i="9"/>
  <c r="CF412" i="9"/>
  <c r="CF431" i="9"/>
  <c r="CF251" i="9"/>
  <c r="CF266" i="9"/>
  <c r="CF304" i="9"/>
  <c r="CF167" i="9"/>
  <c r="CF240" i="9"/>
  <c r="CF159" i="9"/>
  <c r="CF283" i="9"/>
  <c r="CF107" i="9"/>
  <c r="CF52" i="9"/>
  <c r="CF73" i="9"/>
  <c r="CF399" i="9"/>
  <c r="CF383" i="9"/>
  <c r="CF284" i="9"/>
  <c r="CF355" i="9"/>
  <c r="CF185" i="9"/>
  <c r="CF187" i="9"/>
  <c r="CF48" i="9"/>
  <c r="CQ82" i="9"/>
  <c r="CQ95" i="9"/>
  <c r="CQ96" i="9"/>
  <c r="CQ48" i="9"/>
  <c r="CQ84" i="9"/>
  <c r="CQ117" i="9"/>
  <c r="CQ23" i="9"/>
  <c r="CQ166" i="9"/>
  <c r="CQ108" i="9"/>
  <c r="CQ216" i="9"/>
  <c r="CQ87" i="9"/>
  <c r="CQ58" i="9"/>
  <c r="CQ158" i="9"/>
  <c r="DB357" i="9"/>
  <c r="DB66" i="9"/>
  <c r="DB208" i="9"/>
  <c r="DB92" i="9"/>
  <c r="DB317" i="9"/>
  <c r="DB58" i="9"/>
  <c r="DB68" i="9"/>
  <c r="DB322" i="9"/>
  <c r="DB275" i="9"/>
  <c r="DB53" i="9"/>
  <c r="DB311" i="9"/>
  <c r="DB253" i="9"/>
  <c r="DM346" i="9"/>
  <c r="DM699" i="9"/>
  <c r="DM681" i="9"/>
  <c r="DM420" i="9"/>
  <c r="DM907" i="9"/>
  <c r="DM723" i="9"/>
  <c r="DM724" i="9"/>
  <c r="DM159" i="9"/>
  <c r="DM897" i="9"/>
  <c r="DM665" i="9"/>
  <c r="DM199" i="9"/>
  <c r="CF372" i="9"/>
  <c r="CF53" i="9"/>
  <c r="CF156" i="9"/>
  <c r="CQ192" i="9"/>
  <c r="CQ124" i="9"/>
  <c r="CQ68" i="9"/>
  <c r="CQ131" i="9"/>
  <c r="CQ173" i="9"/>
  <c r="CQ190" i="9"/>
  <c r="CQ113" i="9"/>
  <c r="CQ102" i="9"/>
  <c r="CQ206" i="9"/>
  <c r="CQ157" i="9"/>
  <c r="CQ146" i="9"/>
  <c r="CQ185" i="9"/>
  <c r="CQ45" i="9"/>
  <c r="DB39" i="9"/>
  <c r="DB87" i="9"/>
  <c r="DB235" i="9"/>
  <c r="DB48" i="9"/>
  <c r="DB174" i="9"/>
  <c r="DB189" i="9"/>
  <c r="DB221" i="9"/>
  <c r="DB299" i="9"/>
  <c r="DB190" i="9"/>
  <c r="DB73" i="9"/>
  <c r="DB143" i="9"/>
  <c r="DB360" i="9"/>
  <c r="DB57" i="9"/>
  <c r="DB181" i="9"/>
  <c r="DB204" i="9"/>
  <c r="DB282" i="9"/>
  <c r="DB134" i="9"/>
  <c r="DB329" i="9"/>
  <c r="DB289" i="9"/>
  <c r="DM26" i="9"/>
  <c r="DM28" i="9"/>
  <c r="DM661" i="9"/>
  <c r="DM527" i="9"/>
  <c r="DM330" i="9"/>
  <c r="DM443" i="9"/>
  <c r="DM727" i="9"/>
  <c r="DM497" i="9"/>
  <c r="DM483" i="9"/>
  <c r="DM51" i="9"/>
  <c r="DM747" i="9"/>
  <c r="DM134" i="9"/>
  <c r="DM219" i="9"/>
  <c r="DM633" i="9"/>
  <c r="DM674" i="9"/>
  <c r="DM819" i="9"/>
  <c r="DM72" i="9"/>
  <c r="DM262" i="9"/>
  <c r="DM324" i="9"/>
  <c r="CQ63" i="9"/>
  <c r="CQ162" i="9"/>
  <c r="CQ170" i="9"/>
  <c r="CQ191" i="9"/>
  <c r="CQ178" i="9"/>
  <c r="CQ72" i="9"/>
  <c r="CQ167" i="9"/>
  <c r="CQ184" i="9"/>
  <c r="CQ30" i="9"/>
  <c r="CQ189" i="9"/>
  <c r="CQ90" i="9"/>
  <c r="CQ138" i="9"/>
  <c r="CQ207" i="9"/>
  <c r="CQ137" i="9"/>
  <c r="DB263" i="9"/>
  <c r="DB213" i="9"/>
  <c r="DB123" i="9"/>
  <c r="DB34" i="9"/>
  <c r="DB64" i="9"/>
  <c r="DB90" i="9"/>
  <c r="DB70" i="9"/>
  <c r="DB95" i="9"/>
  <c r="DB103" i="9"/>
  <c r="DB203" i="9"/>
  <c r="DB182" i="9"/>
  <c r="DB246" i="9"/>
  <c r="DB109" i="9"/>
  <c r="DB294" i="9"/>
  <c r="DB164" i="9"/>
  <c r="DB188" i="9"/>
  <c r="DB46" i="9"/>
  <c r="DB281" i="9"/>
  <c r="DB278" i="9"/>
  <c r="DB197" i="9"/>
  <c r="DB184" i="9"/>
  <c r="DM593" i="9"/>
  <c r="DM200" i="9"/>
  <c r="DM226" i="9"/>
  <c r="DM471" i="9"/>
  <c r="DM835" i="9"/>
  <c r="DM756" i="9"/>
  <c r="DM36" i="9"/>
  <c r="DM568" i="9"/>
  <c r="DM556" i="9"/>
  <c r="DM689" i="9"/>
  <c r="DM807" i="9"/>
  <c r="DM804" i="9"/>
  <c r="DM84" i="9"/>
  <c r="DM370" i="9"/>
  <c r="DM615" i="9"/>
  <c r="DM487" i="9"/>
  <c r="DM165" i="9"/>
  <c r="DM447" i="9"/>
  <c r="DM622" i="9"/>
  <c r="DM806" i="9"/>
  <c r="CQ128" i="9"/>
  <c r="CQ25" i="9"/>
  <c r="CQ172" i="9"/>
  <c r="CQ104" i="9"/>
  <c r="CQ151" i="9"/>
  <c r="CQ168" i="9"/>
  <c r="DB91" i="9"/>
  <c r="DB149" i="9"/>
  <c r="DB354" i="9"/>
  <c r="DB116" i="9"/>
  <c r="DB141" i="9"/>
  <c r="DB333" i="9"/>
  <c r="DB96" i="9"/>
  <c r="DB218" i="9"/>
  <c r="DB84" i="9"/>
  <c r="DB55" i="9"/>
  <c r="DB33" i="9"/>
  <c r="DB356" i="9"/>
  <c r="DB191" i="9"/>
  <c r="DB295" i="9"/>
  <c r="DB264" i="9"/>
  <c r="DB132" i="9"/>
  <c r="DB54" i="9"/>
  <c r="DB25" i="9"/>
  <c r="DB155" i="9"/>
  <c r="DB69" i="9"/>
  <c r="DB195" i="9"/>
  <c r="DB107" i="9"/>
  <c r="DM93" i="9"/>
  <c r="DM602" i="9"/>
  <c r="DM276" i="9"/>
  <c r="DM617" i="9"/>
  <c r="DM230" i="9"/>
  <c r="DM218" i="9"/>
  <c r="DM538" i="9"/>
  <c r="DM613" i="9"/>
  <c r="DM250" i="9"/>
  <c r="DM678" i="9"/>
  <c r="DM525" i="9"/>
  <c r="DM799" i="9"/>
  <c r="DM396" i="9"/>
  <c r="DM437" i="9"/>
  <c r="DM418" i="9"/>
  <c r="DM160" i="9"/>
  <c r="DM529" i="9"/>
  <c r="DM780" i="9"/>
  <c r="DM472" i="9"/>
  <c r="DM307" i="9"/>
  <c r="CF65" i="9"/>
  <c r="CF425" i="9"/>
  <c r="CQ43" i="9"/>
  <c r="CQ120" i="9"/>
  <c r="CQ149" i="9"/>
  <c r="CQ164" i="9"/>
  <c r="CQ203" i="9"/>
  <c r="CQ145" i="9"/>
  <c r="CQ208" i="9"/>
  <c r="CQ37" i="9"/>
  <c r="CQ122" i="9"/>
  <c r="CQ177" i="9"/>
  <c r="CQ70" i="9"/>
  <c r="CQ154" i="9"/>
  <c r="CQ182" i="9"/>
  <c r="CQ133" i="9"/>
  <c r="CQ88" i="9"/>
  <c r="DB298" i="9"/>
  <c r="DB63" i="9"/>
  <c r="DB196" i="9"/>
  <c r="DB161" i="9"/>
  <c r="DB321" i="9"/>
  <c r="DB122" i="9"/>
  <c r="DB24" i="9"/>
  <c r="DB332" i="9"/>
  <c r="DB310" i="9"/>
  <c r="DB296" i="9"/>
  <c r="DB88" i="9"/>
  <c r="DB305" i="9"/>
  <c r="DB291" i="9"/>
  <c r="DB214" i="9"/>
  <c r="DB185" i="9"/>
  <c r="DB78" i="9"/>
  <c r="DB154" i="9"/>
  <c r="DB186" i="9"/>
  <c r="DB232" i="9"/>
  <c r="DB283" i="9"/>
  <c r="DB277" i="9"/>
  <c r="DB210" i="9"/>
  <c r="DM48" i="9"/>
  <c r="DM773" i="9"/>
  <c r="DM222" i="9"/>
  <c r="DM145" i="9"/>
  <c r="DM875" i="9"/>
  <c r="DM136" i="9"/>
  <c r="DM171" i="9"/>
  <c r="DM853" i="9"/>
  <c r="DM562" i="9"/>
  <c r="DM676" i="9"/>
  <c r="DM388" i="9"/>
  <c r="DM106" i="9"/>
  <c r="DM675" i="9"/>
  <c r="DM521" i="9"/>
  <c r="DM649" i="9"/>
  <c r="DM413" i="9"/>
  <c r="DM435" i="9"/>
  <c r="DM564" i="9"/>
  <c r="DM57" i="9"/>
  <c r="DM671" i="9"/>
  <c r="DM754" i="9"/>
  <c r="DM618" i="9"/>
  <c r="DM95" i="9"/>
  <c r="CQ196" i="9"/>
  <c r="CQ49" i="9"/>
  <c r="CQ202" i="9"/>
  <c r="CQ156" i="9"/>
  <c r="CQ193" i="9"/>
  <c r="CQ77" i="9"/>
  <c r="CQ179" i="9"/>
  <c r="CQ22" i="9"/>
  <c r="CQ28" i="9"/>
  <c r="CQ132" i="9"/>
  <c r="CQ218" i="9"/>
  <c r="CQ80" i="9"/>
  <c r="CQ112" i="9"/>
  <c r="DB28" i="9"/>
  <c r="DB206" i="9"/>
  <c r="DB72" i="9"/>
  <c r="DB166" i="9"/>
  <c r="DB236" i="9"/>
  <c r="DB97" i="9"/>
  <c r="DB86" i="9"/>
  <c r="DB287" i="9"/>
  <c r="DB81" i="9"/>
  <c r="DB169" i="9"/>
  <c r="DB133" i="9"/>
  <c r="DB212" i="9"/>
  <c r="DB306" i="9"/>
  <c r="DB76" i="9"/>
  <c r="DB137" i="9"/>
  <c r="DB249" i="9"/>
  <c r="DB267" i="9"/>
  <c r="DB27" i="9"/>
  <c r="DB56" i="9"/>
  <c r="DB301" i="9"/>
  <c r="DM338" i="9"/>
  <c r="DM399" i="9"/>
  <c r="DM359" i="9"/>
  <c r="DM710" i="9"/>
  <c r="DM526" i="9"/>
  <c r="DM280" i="9"/>
  <c r="DM407" i="9"/>
  <c r="DM880" i="9"/>
  <c r="DM757" i="9"/>
  <c r="DM114" i="9"/>
  <c r="DM607" i="9"/>
  <c r="DM319" i="9"/>
  <c r="DM104" i="9"/>
  <c r="DM672" i="9"/>
  <c r="DM303" i="9"/>
  <c r="DM256" i="9"/>
  <c r="DM453" i="9"/>
  <c r="DM866" i="9"/>
  <c r="DM704" i="9"/>
  <c r="DM52" i="9"/>
  <c r="DM97" i="9"/>
  <c r="DM116" i="9"/>
  <c r="DM739" i="9"/>
  <c r="DM305" i="9"/>
  <c r="DM599" i="9"/>
  <c r="DM342" i="9"/>
  <c r="DM352" i="9"/>
  <c r="DM697" i="9"/>
  <c r="DM679" i="9"/>
  <c r="DM266" i="9"/>
  <c r="DM182" i="9"/>
  <c r="DM591" i="9"/>
  <c r="DM448" i="9"/>
  <c r="DM331" i="9"/>
  <c r="DM601" i="9"/>
  <c r="DM470" i="9"/>
  <c r="DM432" i="9"/>
  <c r="DM377" i="9"/>
  <c r="DM255" i="9"/>
  <c r="DM874" i="9"/>
  <c r="DM771" i="9"/>
  <c r="DM693" i="9"/>
  <c r="DM838" i="9"/>
  <c r="DM851" i="9"/>
  <c r="DM732" i="9"/>
  <c r="DM306" i="9"/>
  <c r="DM43" i="9"/>
  <c r="DM539" i="9"/>
  <c r="DM79" i="9"/>
  <c r="DM135" i="9"/>
  <c r="DM680" i="9"/>
  <c r="DM638" i="9"/>
  <c r="DM884" i="9"/>
  <c r="DM811" i="9"/>
  <c r="DM188" i="9"/>
  <c r="DM570" i="9"/>
  <c r="DM309" i="9"/>
  <c r="DM630" i="9"/>
  <c r="DM275" i="9"/>
  <c r="DM101" i="9"/>
  <c r="DB344" i="9"/>
  <c r="DB159" i="9"/>
  <c r="DB45" i="9"/>
  <c r="DB262" i="9"/>
  <c r="DB242" i="9"/>
  <c r="DB266" i="9"/>
  <c r="DB177" i="9"/>
  <c r="DB102" i="9"/>
  <c r="DB254" i="9"/>
  <c r="DB339" i="9"/>
  <c r="DB136" i="9"/>
  <c r="DB202" i="9"/>
  <c r="DB83" i="9"/>
  <c r="DB216" i="9"/>
  <c r="DB101" i="9"/>
  <c r="DB153" i="9"/>
  <c r="DB179" i="9"/>
  <c r="DM249" i="9"/>
  <c r="DM548" i="9"/>
  <c r="DM354" i="9"/>
  <c r="DM181" i="9"/>
  <c r="DM176" i="9"/>
  <c r="DM417" i="9"/>
  <c r="DM532" i="9"/>
  <c r="DM731" i="9"/>
  <c r="DM528" i="9"/>
  <c r="DM32" i="9"/>
  <c r="DM186" i="9"/>
  <c r="DM304" i="9"/>
  <c r="DM312" i="9"/>
  <c r="DM113" i="9"/>
  <c r="DM836" i="9"/>
  <c r="DM777" i="9"/>
  <c r="DM144" i="9"/>
  <c r="DM843" i="9"/>
  <c r="DM581" i="9"/>
  <c r="DM194" i="9"/>
  <c r="DM711" i="9"/>
  <c r="DM494" i="9"/>
  <c r="DM320" i="9"/>
  <c r="DM624" i="9"/>
  <c r="DM119" i="9"/>
  <c r="DM520" i="9"/>
  <c r="DM424" i="9"/>
  <c r="DM37" i="9"/>
  <c r="DM260" i="9"/>
  <c r="DM153" i="9"/>
  <c r="DM322" i="9"/>
  <c r="DM357" i="9"/>
  <c r="DM155" i="9"/>
  <c r="DM213" i="9"/>
  <c r="DM302" i="9"/>
  <c r="DM233" i="9"/>
  <c r="DM852" i="9"/>
  <c r="DM606" i="9"/>
  <c r="DB358" i="9"/>
  <c r="DB260" i="9"/>
  <c r="DB351" i="9"/>
  <c r="DB239" i="9"/>
  <c r="DB222" i="9"/>
  <c r="DB198" i="9"/>
  <c r="DB74" i="9"/>
  <c r="DB35" i="9"/>
  <c r="DB273" i="9"/>
  <c r="DB142" i="9"/>
  <c r="DB265" i="9"/>
  <c r="DB245" i="9"/>
  <c r="DB168" i="9"/>
  <c r="DB23" i="9"/>
  <c r="DB151" i="9"/>
  <c r="DB286" i="9"/>
  <c r="DB201" i="9"/>
  <c r="DM50" i="9"/>
  <c r="DM215" i="9"/>
  <c r="DM877" i="9"/>
  <c r="DM73" i="9"/>
  <c r="DM131" i="9"/>
  <c r="DM384" i="9"/>
  <c r="DM96" i="9"/>
  <c r="DM580" i="9"/>
  <c r="DM868" i="9"/>
  <c r="DM805" i="9"/>
  <c r="DM67" i="9"/>
  <c r="DM415" i="9"/>
  <c r="DM310" i="9"/>
  <c r="DM828" i="9"/>
  <c r="DM524" i="9"/>
  <c r="DM45" i="9"/>
  <c r="DM510" i="9"/>
  <c r="DM170" i="9"/>
  <c r="DM398" i="9"/>
  <c r="DM700" i="9"/>
  <c r="DM628" i="9"/>
  <c r="DM402" i="9"/>
  <c r="DM832" i="9"/>
  <c r="DM167" i="9"/>
  <c r="DM801" i="9"/>
  <c r="DM830" i="9"/>
  <c r="DM446" i="9"/>
  <c r="DM509" i="9"/>
  <c r="DM335" i="9"/>
  <c r="DM766" i="9"/>
  <c r="DM515" i="9"/>
  <c r="DM728" i="9"/>
  <c r="DM691" i="9"/>
  <c r="DM369" i="9"/>
  <c r="DM410" i="9"/>
  <c r="DM464" i="9"/>
  <c r="DM431" i="9"/>
  <c r="DB257" i="9"/>
  <c r="DB193" i="9"/>
  <c r="DB348" i="9"/>
  <c r="DB220" i="9"/>
  <c r="DB29" i="9"/>
  <c r="DB43" i="9"/>
  <c r="DB85" i="9"/>
  <c r="DB227" i="9"/>
  <c r="DB26" i="9"/>
  <c r="DB135" i="9"/>
  <c r="DB243" i="9"/>
  <c r="DB79" i="9"/>
  <c r="DB106" i="9"/>
  <c r="DB300" i="9"/>
  <c r="DB240" i="9"/>
  <c r="DB318" i="9"/>
  <c r="DB147" i="9"/>
  <c r="DM163" i="9"/>
  <c r="DM378" i="9"/>
  <c r="DM772" i="9"/>
  <c r="DM821" i="9"/>
  <c r="DM281" i="9"/>
  <c r="DM168" i="9"/>
  <c r="DM609" i="9"/>
  <c r="DM653" i="9"/>
  <c r="DM815" i="9"/>
  <c r="DM300" i="9"/>
  <c r="DM802" i="9"/>
  <c r="DM482" i="9"/>
  <c r="DM382" i="9"/>
  <c r="DM372" i="9"/>
  <c r="DM140" i="9"/>
  <c r="DM865" i="9"/>
  <c r="DM902" i="9"/>
  <c r="DM506" i="9"/>
  <c r="DM816" i="9"/>
  <c r="DM636" i="9"/>
  <c r="DM269" i="9"/>
  <c r="DM290" i="9"/>
  <c r="DM31" i="9"/>
  <c r="DM886" i="9"/>
  <c r="DM115" i="9"/>
  <c r="DM507" i="9"/>
  <c r="DM592" i="9"/>
  <c r="DM267" i="9"/>
  <c r="DM651" i="9"/>
  <c r="DM737" i="9"/>
  <c r="DM753" i="9"/>
  <c r="DM457" i="9"/>
  <c r="DM583" i="9"/>
  <c r="DM846" i="9"/>
  <c r="DM642" i="9"/>
  <c r="DM730" i="9"/>
  <c r="DM546" i="9"/>
  <c r="DM502" i="9"/>
  <c r="DB327" i="9"/>
  <c r="DB304" i="9"/>
  <c r="DB233" i="9"/>
  <c r="DB285" i="9"/>
  <c r="DB229" i="9"/>
  <c r="DB338" i="9"/>
  <c r="DB77" i="9"/>
  <c r="DB194" i="9"/>
  <c r="DB173" i="9"/>
  <c r="DB62" i="9"/>
  <c r="DB108" i="9"/>
  <c r="DB341" i="9"/>
  <c r="DB124" i="9"/>
  <c r="DB146" i="9"/>
  <c r="DB325" i="9"/>
  <c r="DB180" i="9"/>
  <c r="DB237" i="9"/>
  <c r="DB163" i="9"/>
  <c r="DB170" i="9"/>
  <c r="DM143" i="9"/>
  <c r="DM887" i="9"/>
  <c r="DM767" i="9"/>
  <c r="DM137" i="9"/>
  <c r="DM207" i="9"/>
  <c r="DM478" i="9"/>
  <c r="DM183" i="9"/>
  <c r="DM695" i="9"/>
  <c r="DM414" i="9"/>
  <c r="DM187" i="9"/>
  <c r="DM152" i="9"/>
  <c r="DM632" i="9"/>
  <c r="DM669" i="9"/>
  <c r="DM363" i="9"/>
  <c r="DM652" i="9"/>
  <c r="DM344" i="9"/>
  <c r="DM762" i="9"/>
  <c r="DM389" i="9"/>
  <c r="DM454" i="9"/>
  <c r="DM209" i="9"/>
  <c r="DM236" i="9"/>
  <c r="DM371" i="9"/>
  <c r="DM826" i="9"/>
  <c r="DM374" i="9"/>
  <c r="DM191" i="9"/>
  <c r="DM224" i="9"/>
  <c r="DM208" i="9"/>
  <c r="DM501" i="9"/>
  <c r="DM227" i="9"/>
  <c r="DM444" i="9"/>
  <c r="DM504" i="9"/>
  <c r="DM579" i="9"/>
  <c r="DM752" i="9"/>
  <c r="DM793" i="9"/>
  <c r="DM883" i="9"/>
  <c r="DM105" i="9"/>
  <c r="DM496" i="9"/>
  <c r="DB65" i="9"/>
  <c r="DB100" i="9"/>
  <c r="DB60" i="9"/>
  <c r="DB331" i="9"/>
  <c r="DB52" i="9"/>
  <c r="DB326" i="9"/>
  <c r="DB288" i="9"/>
  <c r="DB312" i="9"/>
  <c r="DB290" i="9"/>
  <c r="DB270" i="9"/>
  <c r="DB114" i="9"/>
  <c r="DB337" i="9"/>
  <c r="DB315" i="9"/>
  <c r="DB241" i="9"/>
  <c r="DB269" i="9"/>
  <c r="DB160" i="9"/>
  <c r="DB279" i="9"/>
  <c r="DB316" i="9"/>
  <c r="DB75" i="9"/>
  <c r="DM33" i="9"/>
  <c r="DM345" i="9"/>
  <c r="DM317" i="9"/>
  <c r="DM585" i="9"/>
  <c r="DM839" i="9"/>
  <c r="DM882" i="9"/>
  <c r="DM666" i="9"/>
  <c r="DM70" i="9"/>
  <c r="DM58" i="9"/>
  <c r="DM800" i="9"/>
  <c r="DM860" i="9"/>
  <c r="DM68" i="9"/>
  <c r="DM412" i="9"/>
  <c r="DM481" i="9"/>
  <c r="DM892" i="9"/>
  <c r="DM901" i="9"/>
  <c r="DM647" i="9"/>
  <c r="DM898" i="9"/>
  <c r="DM428" i="9"/>
  <c r="DM173" i="9"/>
  <c r="DM61" i="9"/>
  <c r="DM894" i="9"/>
  <c r="DM748" i="9"/>
  <c r="DM439" i="9"/>
  <c r="DM885" i="9"/>
  <c r="DM265" i="9"/>
  <c r="DM294" i="9"/>
  <c r="DM277" i="9"/>
  <c r="DM110" i="9"/>
  <c r="DM257" i="9"/>
  <c r="DM139" i="9"/>
  <c r="DM210" i="9"/>
  <c r="DM240" i="9"/>
  <c r="DM42" i="9"/>
  <c r="DM854" i="9"/>
  <c r="DM347" i="9"/>
  <c r="DM822" i="9"/>
  <c r="DM386" i="9"/>
  <c r="DM80" i="9"/>
  <c r="DM626" i="9"/>
  <c r="DM625" i="9"/>
  <c r="DM193" i="9"/>
  <c r="DM677" i="9"/>
  <c r="DM339" i="9"/>
  <c r="DM786" i="9"/>
  <c r="DM130" i="9"/>
  <c r="DM890" i="9"/>
  <c r="DM419" i="9"/>
  <c r="DM201" i="9"/>
  <c r="DM635" i="9"/>
  <c r="DM825" i="9"/>
  <c r="DM212" i="9"/>
  <c r="DM657" i="9"/>
  <c r="DM23" i="9"/>
  <c r="DM820" i="9"/>
  <c r="DM810" i="9"/>
  <c r="DM646" i="9"/>
  <c r="DM283" i="9"/>
  <c r="DM122" i="9"/>
  <c r="DM243" i="9"/>
  <c r="DM245" i="9"/>
  <c r="DM138" i="9"/>
  <c r="DM555" i="9"/>
  <c r="DM659" i="9"/>
  <c r="DM24" i="9"/>
  <c r="DM715" i="9"/>
  <c r="DM872" i="9"/>
  <c r="DM641" i="9"/>
  <c r="DM906" i="9"/>
  <c r="DM408" i="9"/>
  <c r="DM813" i="9"/>
  <c r="DM440" i="9"/>
  <c r="DM241" i="9"/>
  <c r="DM65" i="9"/>
  <c r="DM588" i="9"/>
  <c r="DM569" i="9"/>
  <c r="DM445" i="9"/>
  <c r="DM530" i="9"/>
  <c r="DM505" i="9"/>
  <c r="DM180" i="9"/>
  <c r="DM594" i="9"/>
  <c r="DM571" i="9"/>
  <c r="DM34" i="9"/>
  <c r="DM202" i="9"/>
  <c r="DM88" i="9"/>
  <c r="DM394" i="9"/>
  <c r="DM582" i="9"/>
  <c r="DM467" i="9"/>
  <c r="DM686" i="9"/>
  <c r="DM523" i="9"/>
  <c r="DM862" i="9"/>
  <c r="DM54" i="9"/>
  <c r="DM409" i="9"/>
  <c r="DM468" i="9"/>
  <c r="DM690" i="9"/>
  <c r="DM667" i="9"/>
  <c r="DM891" i="9"/>
  <c r="DM479" i="9"/>
  <c r="DM247" i="9"/>
  <c r="DM172" i="9"/>
  <c r="DM744" i="9"/>
  <c r="DM668" i="9"/>
  <c r="DM684" i="9"/>
  <c r="DM461" i="9"/>
  <c r="DM795" i="9"/>
  <c r="DM709" i="9"/>
  <c r="DM272" i="9"/>
  <c r="DM325" i="9"/>
  <c r="DM908" i="9"/>
  <c r="DM429" i="9"/>
  <c r="DM831" i="9"/>
  <c r="DM621" i="9"/>
  <c r="DM658" i="9"/>
  <c r="DM421" i="9"/>
  <c r="DM295" i="9"/>
  <c r="DM198" i="9"/>
  <c r="DM239" i="9"/>
  <c r="DM442" i="9"/>
  <c r="DM175" i="9"/>
  <c r="DM637" i="9"/>
  <c r="DM390" i="9"/>
  <c r="DM870" i="9"/>
  <c r="DM253" i="9"/>
  <c r="DM824" i="9"/>
  <c r="DM547" i="9"/>
  <c r="DM654" i="9"/>
  <c r="DM285" i="9"/>
  <c r="DM717" i="9"/>
  <c r="DM855" i="9"/>
  <c r="DM258" i="9"/>
  <c r="DM334" i="9"/>
  <c r="DM214" i="9"/>
  <c r="DM29" i="9"/>
  <c r="DM184" i="9"/>
  <c r="DM223" i="9"/>
  <c r="DM550" i="9"/>
  <c r="DM514" i="9"/>
  <c r="DM620" i="9"/>
  <c r="DM769" i="9"/>
  <c r="DM203" i="9"/>
  <c r="DM639" i="9"/>
  <c r="DM47" i="9"/>
  <c r="DM746" i="9"/>
  <c r="DM812" i="9"/>
  <c r="DM775" i="9"/>
  <c r="DM192" i="9"/>
  <c r="DM64" i="9"/>
  <c r="DM333" i="9"/>
  <c r="DM40" i="9"/>
  <c r="DM403" i="9"/>
  <c r="DM99" i="9"/>
  <c r="DM797" i="9"/>
  <c r="DM341" i="9"/>
  <c r="DM142" i="9"/>
  <c r="DM128" i="9"/>
  <c r="DM360" i="9"/>
  <c r="DM531" i="9"/>
  <c r="DM299" i="9"/>
  <c r="DM368" i="9"/>
  <c r="DM823" i="9"/>
  <c r="DM466" i="9"/>
  <c r="DM541" i="9"/>
  <c r="DM751" i="9"/>
  <c r="DM794" i="9"/>
  <c r="DM287" i="9"/>
  <c r="DM450" i="9"/>
  <c r="DM708" i="9"/>
  <c r="DM688" i="9"/>
  <c r="DM664" i="9"/>
  <c r="DM293" i="9"/>
  <c r="DM476" i="9"/>
  <c r="DM474" i="9"/>
  <c r="DM286" i="9"/>
  <c r="DM237" i="9"/>
  <c r="DM364" i="9"/>
  <c r="DM217" i="9"/>
  <c r="DM629" i="9"/>
  <c r="DM393" i="9"/>
  <c r="DM808" i="9"/>
  <c r="DM535" i="9"/>
  <c r="DM158" i="9"/>
  <c r="DM827" i="9"/>
  <c r="DM713" i="9"/>
  <c r="DM126" i="9"/>
  <c r="DM380" i="9"/>
  <c r="DM248" i="9"/>
  <c r="DM857" i="9"/>
  <c r="DM864" i="9"/>
  <c r="DM231" i="9"/>
  <c r="DM157" i="9"/>
  <c r="DM465" i="9"/>
  <c r="DM251" i="9"/>
  <c r="DM246" i="9"/>
  <c r="DM94" i="9"/>
  <c r="DM178" i="9"/>
  <c r="DM340" i="9"/>
  <c r="DM809" i="9"/>
  <c r="DM644" i="9"/>
  <c r="DM596" i="9"/>
  <c r="DM565" i="9"/>
  <c r="DM776" i="9"/>
  <c r="DM161" i="9"/>
  <c r="DM379" i="9"/>
  <c r="DM611" i="9"/>
  <c r="DM660" i="9"/>
  <c r="DM56" i="9"/>
  <c r="DM720" i="9"/>
  <c r="DM463" i="9"/>
  <c r="DM796" i="9"/>
  <c r="DM738" i="9"/>
  <c r="DM39" i="9"/>
  <c r="DM197" i="9"/>
  <c r="DM488" i="9"/>
  <c r="DM725" i="9"/>
  <c r="DM707" i="9"/>
  <c r="DM108" i="9"/>
  <c r="DM774" i="9"/>
  <c r="DM498" i="9"/>
  <c r="DM759" i="9"/>
  <c r="DM423" i="9"/>
  <c r="DM174" i="9"/>
  <c r="DM687" i="9"/>
  <c r="DM663" i="9"/>
  <c r="DM82" i="9"/>
  <c r="DM288" i="9"/>
  <c r="DM278" i="9"/>
  <c r="DM123" i="9"/>
  <c r="DM373" i="9"/>
  <c r="DM98" i="9"/>
  <c r="DM190" i="9"/>
  <c r="DM392" i="9"/>
  <c r="DM132" i="9"/>
  <c r="DM895" i="9"/>
  <c r="DM385" i="9"/>
  <c r="DM763" i="9"/>
  <c r="DM792" i="9"/>
  <c r="DM834" i="9"/>
  <c r="DM903" i="9"/>
  <c r="DM703" i="9"/>
  <c r="DM313" i="9"/>
  <c r="DM434" i="9"/>
  <c r="DM76" i="9"/>
  <c r="DM492" i="9"/>
  <c r="DM71" i="9"/>
  <c r="DM87" i="9"/>
  <c r="DM81" i="9"/>
  <c r="DM889" i="9"/>
  <c r="DM673" i="9"/>
  <c r="DM512" i="9"/>
  <c r="DM327" i="9"/>
  <c r="DM234" i="9"/>
  <c r="DM85" i="9"/>
  <c r="DM238" i="9"/>
  <c r="DM645" i="9"/>
  <c r="DM156" i="9"/>
  <c r="DM38" i="9"/>
  <c r="DM316" i="9"/>
  <c r="DM554" i="9"/>
  <c r="DM475" i="9"/>
  <c r="DM682" i="9"/>
  <c r="DM561" i="9"/>
  <c r="DM850" i="9"/>
  <c r="DM362" i="9"/>
  <c r="DM25" i="9"/>
  <c r="DM284" i="9"/>
  <c r="DM910" i="9"/>
  <c r="DM722" i="9"/>
  <c r="DM545" i="9"/>
  <c r="DM798" i="9"/>
  <c r="DM740" i="9"/>
  <c r="DM768" i="9"/>
  <c r="DM263" i="9"/>
  <c r="DM254" i="9"/>
  <c r="DM589" i="9"/>
  <c r="DM612" i="9"/>
  <c r="DM867" i="9"/>
  <c r="DM788" i="9"/>
  <c r="DM578" i="9"/>
  <c r="DM109" i="9"/>
  <c r="DM863" i="9"/>
  <c r="DM742" i="9"/>
  <c r="DM125" i="9"/>
  <c r="DM264" i="9"/>
  <c r="DM75" i="9"/>
  <c r="DM225" i="9"/>
  <c r="DM349" i="9"/>
  <c r="DM92" i="9"/>
  <c r="DM55" i="9"/>
  <c r="DM422" i="9"/>
  <c r="DM701" i="9"/>
  <c r="DM311" i="9"/>
  <c r="DM433" i="9"/>
  <c r="DM861" i="9"/>
  <c r="DM149" i="9"/>
  <c r="DM721" i="9"/>
  <c r="DM558" i="9"/>
  <c r="DM204" i="9"/>
  <c r="DM91" i="9"/>
  <c r="DM292" i="9"/>
  <c r="DM837" i="9"/>
  <c r="DM44" i="9"/>
  <c r="DM169" i="9"/>
  <c r="DM462" i="9"/>
  <c r="DM261" i="9"/>
  <c r="DM397" i="9"/>
  <c r="DM749" i="9"/>
  <c r="DM273" i="9"/>
  <c r="DM552" i="9"/>
  <c r="DM308" i="9"/>
  <c r="DM298" i="9"/>
  <c r="DM486" i="9"/>
  <c r="DM736" i="9"/>
  <c r="DM575" i="9"/>
  <c r="DM779" i="9"/>
  <c r="DM358" i="9"/>
  <c r="DM355" i="9"/>
  <c r="DM791" i="9"/>
  <c r="DM221" i="9"/>
  <c r="DM517" i="9"/>
  <c r="DM74" i="9"/>
  <c r="DM49" i="9"/>
  <c r="DM702" i="9"/>
  <c r="DM154" i="9"/>
  <c r="DM729" i="9"/>
  <c r="DM619" i="9"/>
  <c r="DM491" i="9"/>
  <c r="DM151" i="9"/>
  <c r="DM761" i="9"/>
  <c r="DM603" i="9"/>
  <c r="DM499" i="9"/>
  <c r="DM268" i="9"/>
  <c r="DM100" i="9"/>
  <c r="DM544" i="9"/>
  <c r="DM597" i="9"/>
  <c r="DM764" i="9"/>
  <c r="DM848" i="9"/>
  <c r="DM63" i="9"/>
  <c r="DM718" i="9"/>
  <c r="DM83" i="9"/>
  <c r="DM735" i="9"/>
  <c r="DM893" i="9"/>
  <c r="DM770" i="9"/>
  <c r="DM107" i="9"/>
  <c r="DM430" i="9"/>
  <c r="DM595" i="9"/>
  <c r="DM706" i="9"/>
  <c r="DM383" i="9"/>
  <c r="DM859" i="9"/>
  <c r="DM279" i="9"/>
  <c r="DM376" i="9"/>
  <c r="DM519" i="9"/>
  <c r="DM59" i="9"/>
  <c r="DM900" i="9"/>
  <c r="DM315" i="9"/>
  <c r="DM605" i="9"/>
  <c r="DM411" i="9"/>
  <c r="DM876" i="9"/>
  <c r="DM458" i="9"/>
  <c r="DM456" i="9"/>
  <c r="DM449" i="9"/>
  <c r="DM404" i="9"/>
  <c r="DM195" i="9"/>
  <c r="DM425" i="9"/>
  <c r="DM328" i="9"/>
  <c r="DM557" i="9"/>
  <c r="DM103" i="9"/>
  <c r="DM242" i="9"/>
  <c r="DM427" i="9"/>
  <c r="DM366" i="9"/>
  <c r="DM220" i="9"/>
  <c r="DM698" i="9"/>
  <c r="DM102" i="9"/>
  <c r="DM27" i="9"/>
  <c r="DM604" i="9"/>
  <c r="DM741" i="9"/>
  <c r="DM904" i="9"/>
  <c r="DM814" i="9"/>
  <c r="DM205" i="9"/>
  <c r="DM196" i="9"/>
  <c r="DM77" i="9"/>
  <c r="DM587" i="9"/>
  <c r="DM127" i="9"/>
  <c r="DM549" i="9"/>
  <c r="DM30" i="9"/>
  <c r="DM259" i="9"/>
  <c r="DM485" i="9"/>
  <c r="DM351" i="9"/>
  <c r="DM716" i="9"/>
  <c r="DM778" i="9"/>
  <c r="DM348" i="9"/>
  <c r="DM508" i="9"/>
  <c r="DM489" i="9"/>
  <c r="DM844" i="9"/>
  <c r="DM600" i="9"/>
  <c r="DM493" i="9"/>
  <c r="DM590" i="9"/>
  <c r="DM150" i="9"/>
  <c r="DM683" i="9"/>
  <c r="DM235" i="9"/>
  <c r="DM712" i="9"/>
  <c r="DM367" i="9"/>
  <c r="DM452" i="9"/>
  <c r="DM147" i="9"/>
  <c r="DM856" i="9"/>
  <c r="DM336" i="9"/>
  <c r="DM395" i="9"/>
  <c r="DM685" i="9"/>
  <c r="DM662" i="9"/>
  <c r="DM540" i="9"/>
  <c r="DM232" i="9"/>
  <c r="DM438" i="9"/>
  <c r="DM553" i="9"/>
  <c r="DM22" i="9"/>
  <c r="DM899" i="9"/>
  <c r="DM78" i="9"/>
  <c r="DM228" i="9"/>
  <c r="DM522" i="9"/>
  <c r="DM783" i="9"/>
  <c r="DM314" i="9"/>
  <c r="DM296" i="9"/>
  <c r="DM282" i="9"/>
  <c r="DM118" i="9"/>
  <c r="DM610" i="9"/>
  <c r="DM789" i="9"/>
  <c r="DM584" i="9"/>
  <c r="DM694" i="9"/>
  <c r="DM89" i="9"/>
  <c r="DM473" i="9"/>
  <c r="DM574" i="9"/>
  <c r="DM441" i="9"/>
  <c r="DM643" i="9"/>
  <c r="DM146" i="9"/>
  <c r="DM614" i="9"/>
  <c r="DM670" i="9"/>
  <c r="DM631" i="9"/>
  <c r="DM784" i="9"/>
  <c r="DM111" i="9"/>
  <c r="DM301" i="9"/>
  <c r="DM888" i="9"/>
  <c r="DM719" i="9"/>
  <c r="DM117" i="9"/>
  <c r="DM871" i="9"/>
  <c r="DM513" i="9"/>
  <c r="DM490" i="9"/>
  <c r="DM365" i="9"/>
  <c r="DM326" i="9"/>
  <c r="DM405" i="9"/>
  <c r="DM765" i="9"/>
  <c r="DM655" i="9"/>
  <c r="DM69" i="9"/>
  <c r="DM833" i="9"/>
  <c r="DM576" i="9"/>
  <c r="DM406" i="9"/>
  <c r="DM536" i="9"/>
  <c r="DM90" i="9"/>
  <c r="DM291" i="9"/>
  <c r="DM332" i="9"/>
  <c r="DM896" i="9"/>
  <c r="DM112" i="9"/>
  <c r="DM400" i="9"/>
  <c r="DM503" i="9"/>
  <c r="DM787" i="9"/>
  <c r="DM141" i="9"/>
  <c r="DM879" i="9"/>
  <c r="DM211" i="9"/>
  <c r="DM459" i="9"/>
  <c r="DM650" i="9"/>
  <c r="DM66" i="9"/>
  <c r="Q40" i="3"/>
  <c r="R65" i="3" l="1"/>
  <c r="O32" i="3"/>
  <c r="O42" i="3"/>
  <c r="O41" i="3"/>
  <c r="O39" i="3"/>
  <c r="O38" i="3"/>
  <c r="O37" i="3"/>
  <c r="O36" i="3"/>
  <c r="O35" i="3"/>
  <c r="O34" i="3"/>
  <c r="O33" i="3"/>
  <c r="DW318" i="9"/>
  <c r="DY134" i="9"/>
  <c r="EJ44" i="9"/>
  <c r="EH74" i="9"/>
  <c r="EJ73" i="9"/>
  <c r="DW264" i="9"/>
  <c r="EH256" i="9"/>
  <c r="DW74" i="9"/>
  <c r="EH263" i="9"/>
  <c r="EJ262" i="9"/>
  <c r="DY283" i="9"/>
  <c r="DW306" i="9"/>
  <c r="DW197" i="9"/>
  <c r="DW237" i="9"/>
  <c r="DY52" i="9"/>
  <c r="DY299" i="9"/>
  <c r="EJ151" i="9"/>
  <c r="DW295" i="9"/>
  <c r="DW63" i="9"/>
  <c r="DY231" i="9"/>
  <c r="EH55" i="9"/>
  <c r="DY47" i="9"/>
  <c r="EH23" i="9"/>
  <c r="EJ137" i="9"/>
  <c r="DY178" i="9"/>
  <c r="DY214" i="9"/>
  <c r="DW98" i="9"/>
  <c r="DW75" i="9"/>
  <c r="DY56" i="9"/>
  <c r="EJ197" i="9"/>
  <c r="DY185" i="9"/>
  <c r="DY215" i="9"/>
  <c r="DY38" i="9"/>
  <c r="DY173" i="9"/>
  <c r="EJ165" i="9"/>
  <c r="EJ39" i="9"/>
  <c r="DY328" i="9"/>
  <c r="EJ195" i="9"/>
  <c r="EH49" i="9"/>
  <c r="DY287" i="9"/>
  <c r="EH54" i="9"/>
  <c r="DW89" i="9"/>
  <c r="EH267" i="9"/>
  <c r="DW66" i="9"/>
  <c r="EJ264" i="9"/>
  <c r="DW121" i="9"/>
  <c r="DW26" i="9"/>
  <c r="DW39" i="9"/>
  <c r="DY304" i="9"/>
  <c r="DW236" i="9"/>
  <c r="DY262" i="9"/>
  <c r="EJ138" i="9"/>
  <c r="EH66" i="9"/>
  <c r="EJ168" i="9"/>
  <c r="DW94" i="9"/>
  <c r="DY224" i="9"/>
  <c r="DY261" i="9"/>
  <c r="EH82" i="9"/>
  <c r="EJ245" i="9"/>
  <c r="DY138" i="9"/>
  <c r="DW164" i="9"/>
  <c r="EH150" i="9"/>
  <c r="EH88" i="9"/>
  <c r="EH146" i="9"/>
  <c r="DY250" i="9"/>
  <c r="EH232" i="9"/>
  <c r="EH216" i="9"/>
  <c r="DW77" i="9"/>
  <c r="DY58" i="9"/>
  <c r="EJ92" i="9"/>
  <c r="DW228" i="9"/>
  <c r="DW129" i="9"/>
  <c r="DY319" i="9"/>
  <c r="DY79" i="9"/>
  <c r="DY172" i="9"/>
  <c r="EJ150" i="9"/>
  <c r="EJ97" i="9"/>
  <c r="DW189" i="9"/>
  <c r="DW271" i="9"/>
  <c r="DY85" i="9"/>
  <c r="DY227" i="9"/>
  <c r="DY216" i="9"/>
  <c r="DY256" i="9"/>
  <c r="EJ272" i="9"/>
  <c r="DY29" i="9"/>
  <c r="DY74" i="9"/>
  <c r="EJ214" i="9"/>
  <c r="EH136" i="9"/>
  <c r="DY90" i="9"/>
  <c r="EH61" i="9"/>
  <c r="DY220" i="9"/>
  <c r="DW181" i="9"/>
  <c r="EJ164" i="9"/>
  <c r="DW281" i="9"/>
  <c r="EJ124" i="9"/>
  <c r="EH116" i="9"/>
  <c r="DY222" i="9"/>
  <c r="DY145" i="9"/>
  <c r="DY166" i="9"/>
  <c r="EH56" i="9"/>
  <c r="DW81" i="9"/>
  <c r="DW151" i="9"/>
  <c r="DY239" i="9"/>
  <c r="DW83" i="9"/>
  <c r="EJ66" i="9"/>
  <c r="DW166" i="9"/>
  <c r="DY252" i="9"/>
  <c r="DW169" i="9"/>
  <c r="EJ103" i="9"/>
  <c r="DY300" i="9"/>
  <c r="DY105" i="9"/>
  <c r="DY278" i="9"/>
  <c r="DY285" i="9"/>
  <c r="EH46" i="9"/>
  <c r="EJ270" i="9"/>
  <c r="DW313" i="9"/>
  <c r="DY164" i="9"/>
  <c r="EJ62" i="9"/>
  <c r="DY106" i="9"/>
  <c r="EJ32" i="9"/>
  <c r="DW245" i="9"/>
  <c r="DW304" i="9"/>
  <c r="DW73" i="9"/>
  <c r="DW69" i="9"/>
  <c r="DY28" i="9"/>
  <c r="DY251" i="9"/>
  <c r="EH228" i="9"/>
  <c r="EJ75" i="9"/>
  <c r="DW333" i="9"/>
  <c r="EJ185" i="9"/>
  <c r="DY218" i="9"/>
  <c r="DW149" i="9"/>
  <c r="EH89" i="9"/>
  <c r="DW52" i="9"/>
  <c r="EH94" i="9"/>
  <c r="EH117" i="9"/>
  <c r="EH129" i="9"/>
  <c r="EH277" i="9"/>
  <c r="DY168" i="9"/>
  <c r="EH90" i="9"/>
  <c r="DY303" i="9"/>
  <c r="DW60" i="9"/>
  <c r="DY187" i="9"/>
  <c r="EJ68" i="9"/>
  <c r="DW286" i="9"/>
  <c r="DW159" i="9"/>
  <c r="EJ247" i="9"/>
  <c r="DW133" i="9"/>
  <c r="DY268" i="9"/>
  <c r="DW314" i="9"/>
  <c r="DY36" i="9"/>
  <c r="EH190" i="9"/>
  <c r="DW257" i="9"/>
  <c r="DW174" i="9"/>
  <c r="EJ50" i="9"/>
  <c r="DY89" i="9"/>
  <c r="DY192" i="9"/>
  <c r="DY326" i="9"/>
  <c r="DW36" i="9"/>
  <c r="DW175" i="9"/>
  <c r="DW125" i="9"/>
  <c r="EH270" i="9"/>
  <c r="DW158" i="9"/>
  <c r="DY183" i="9"/>
  <c r="DW326" i="9"/>
  <c r="EH99" i="9"/>
  <c r="DY49" i="9"/>
  <c r="DW242" i="9"/>
  <c r="DW163" i="9"/>
  <c r="DY147" i="9"/>
  <c r="DW301" i="9"/>
  <c r="DW222" i="9"/>
  <c r="DY153" i="9"/>
  <c r="EH247" i="9"/>
  <c r="DW67" i="9"/>
  <c r="EH22" i="9"/>
  <c r="DY165" i="9"/>
  <c r="EJ199" i="9"/>
  <c r="EH171" i="9"/>
  <c r="DW62" i="9"/>
  <c r="EH137" i="9"/>
  <c r="EH142" i="9"/>
  <c r="EH108" i="9"/>
  <c r="DY26" i="9"/>
  <c r="EJ115" i="9"/>
  <c r="DY320" i="9"/>
  <c r="EH205" i="9"/>
  <c r="EJ102" i="9"/>
  <c r="DW176" i="9"/>
  <c r="EH182" i="9"/>
  <c r="EH245" i="9"/>
  <c r="DY82" i="9"/>
  <c r="DW297" i="9"/>
  <c r="EH237" i="9"/>
  <c r="DY290" i="9"/>
  <c r="EJ248" i="9"/>
  <c r="EJ87" i="9"/>
  <c r="EJ259" i="9"/>
  <c r="EJ70" i="9"/>
  <c r="EH28" i="9"/>
  <c r="DW238" i="9"/>
  <c r="EH41" i="9"/>
  <c r="EH48" i="9"/>
  <c r="EH167" i="9"/>
  <c r="EH24" i="9"/>
  <c r="EJ48" i="9"/>
  <c r="EJ140" i="9"/>
  <c r="DW100" i="9"/>
  <c r="EH127" i="9"/>
  <c r="EJ118" i="9"/>
  <c r="DW37" i="9"/>
  <c r="DW335" i="9"/>
  <c r="DW266" i="9"/>
  <c r="DW247" i="9"/>
  <c r="EH122" i="9"/>
  <c r="EH212" i="9"/>
  <c r="DY245" i="9"/>
  <c r="EH221" i="9"/>
  <c r="DW146" i="9"/>
  <c r="EJ160" i="9"/>
  <c r="DY96" i="9"/>
  <c r="DY151" i="9"/>
  <c r="DW331" i="9"/>
  <c r="DY317" i="9"/>
  <c r="DY259" i="9"/>
  <c r="DW42" i="9"/>
  <c r="DW51" i="9"/>
  <c r="EJ69" i="9"/>
  <c r="EH68" i="9"/>
  <c r="EH120" i="9"/>
  <c r="DY111" i="9"/>
  <c r="EH249" i="9"/>
  <c r="DW145" i="9"/>
  <c r="EJ228" i="9"/>
  <c r="DW45" i="9"/>
  <c r="EH83" i="9"/>
  <c r="EH65" i="9"/>
  <c r="EJ217" i="9"/>
  <c r="EH218" i="9"/>
  <c r="EH176" i="9"/>
  <c r="DW128" i="9"/>
  <c r="DY160" i="9"/>
  <c r="DW285" i="9"/>
  <c r="DW212" i="9"/>
  <c r="EJ212" i="9"/>
  <c r="DW267" i="9"/>
  <c r="EH43" i="9"/>
  <c r="DW253" i="9"/>
  <c r="DW211" i="9"/>
  <c r="EH165" i="9"/>
  <c r="EJ186" i="9"/>
  <c r="EH144" i="9"/>
  <c r="DW291" i="9"/>
  <c r="EH112" i="9"/>
  <c r="DY55" i="9"/>
  <c r="EJ241" i="9"/>
  <c r="DW320" i="9"/>
  <c r="DW91" i="9"/>
  <c r="DY50" i="9"/>
  <c r="DW284" i="9"/>
  <c r="EJ235" i="9"/>
  <c r="EH124" i="9"/>
  <c r="EH185" i="9"/>
  <c r="DW299" i="9"/>
  <c r="EJ109" i="9"/>
  <c r="EJ144" i="9"/>
  <c r="DW79" i="9"/>
  <c r="DW38" i="9"/>
  <c r="EJ64" i="9"/>
  <c r="EH53" i="9"/>
  <c r="EJ27" i="9"/>
  <c r="DW241" i="9"/>
  <c r="DW182" i="9"/>
  <c r="EH26" i="9"/>
  <c r="EH92" i="9"/>
  <c r="DW61" i="9"/>
  <c r="EJ34" i="9"/>
  <c r="DY76" i="9"/>
  <c r="DY104" i="9"/>
  <c r="DW134" i="9"/>
  <c r="EJ133" i="9"/>
  <c r="DW177" i="9"/>
  <c r="DY267" i="9"/>
  <c r="DY62" i="9"/>
  <c r="EJ221" i="9"/>
  <c r="EH195" i="9"/>
  <c r="DW58" i="9"/>
  <c r="DW204" i="9"/>
  <c r="EH243" i="9"/>
  <c r="DW196" i="9"/>
  <c r="DY289" i="9"/>
  <c r="EJ170" i="9"/>
  <c r="EJ162" i="9"/>
  <c r="DW305" i="9"/>
  <c r="DY242" i="9"/>
  <c r="DY189" i="9"/>
  <c r="EJ204" i="9"/>
  <c r="EH85" i="9"/>
  <c r="EH179" i="9"/>
  <c r="DW110" i="9"/>
  <c r="EH238" i="9"/>
  <c r="DW40" i="9"/>
  <c r="DY80" i="9"/>
  <c r="DY229" i="9"/>
  <c r="DY249" i="9"/>
  <c r="DW48" i="9"/>
  <c r="DW90" i="9"/>
  <c r="EH226" i="9"/>
  <c r="DW213" i="9"/>
  <c r="EH87" i="9"/>
  <c r="DY275" i="9"/>
  <c r="EJ251" i="9"/>
  <c r="DY232" i="9"/>
  <c r="DW59" i="9"/>
  <c r="DY120" i="9"/>
  <c r="EJ180" i="9"/>
  <c r="DY279" i="9"/>
  <c r="EJ132" i="9"/>
  <c r="DY288" i="9"/>
  <c r="DY194" i="9"/>
  <c r="DW208" i="9"/>
  <c r="DW180" i="9"/>
  <c r="EJ265" i="9"/>
  <c r="EH104" i="9"/>
  <c r="DY206" i="9"/>
  <c r="EJ174" i="9"/>
  <c r="DY277" i="9"/>
  <c r="EJ153" i="9"/>
  <c r="DW104" i="9"/>
  <c r="EH233" i="9"/>
  <c r="DY48" i="9"/>
  <c r="EJ172" i="9"/>
  <c r="DW200" i="9"/>
  <c r="EJ190" i="9"/>
  <c r="DW41" i="9"/>
  <c r="DW300" i="9"/>
  <c r="DY63" i="9"/>
  <c r="DW278" i="9"/>
  <c r="EJ23" i="9"/>
  <c r="DW283" i="9"/>
  <c r="DY113" i="9"/>
  <c r="DY121" i="9"/>
  <c r="EJ119" i="9"/>
  <c r="EJ24" i="9"/>
  <c r="DY123" i="9"/>
  <c r="EH62" i="9"/>
  <c r="DY150" i="9"/>
  <c r="DW274" i="9"/>
  <c r="DW207" i="9"/>
  <c r="EH224" i="9"/>
  <c r="DY34" i="9"/>
  <c r="DY69" i="9"/>
  <c r="DW328" i="9"/>
  <c r="DW214" i="9"/>
  <c r="EJ219" i="9"/>
  <c r="DY146" i="9"/>
  <c r="EJ275" i="9"/>
  <c r="EH58" i="9"/>
  <c r="DW97" i="9"/>
  <c r="DY27" i="9"/>
  <c r="EJ122" i="9"/>
  <c r="EJ135" i="9"/>
  <c r="DW324" i="9"/>
  <c r="DW231" i="9"/>
  <c r="DY286" i="9"/>
  <c r="EH110" i="9"/>
  <c r="DW235" i="9"/>
  <c r="DY307" i="9"/>
  <c r="EJ240" i="9"/>
  <c r="DW312" i="9"/>
  <c r="DW262" i="9"/>
  <c r="DW28" i="9"/>
  <c r="EH206" i="9"/>
  <c r="DY263" i="9"/>
  <c r="DW270" i="9"/>
  <c r="DY318" i="9"/>
  <c r="DY137" i="9"/>
  <c r="DY143" i="9"/>
  <c r="DW154" i="9"/>
  <c r="EH79" i="9"/>
  <c r="DW337" i="9"/>
  <c r="DY235" i="9"/>
  <c r="EJ223" i="9"/>
  <c r="DY174" i="9"/>
  <c r="DW219" i="9"/>
  <c r="EH213" i="9"/>
  <c r="DY337" i="9"/>
  <c r="EJ136" i="9"/>
  <c r="DY282" i="9"/>
  <c r="EH75" i="9"/>
  <c r="DY157" i="9"/>
  <c r="EH199" i="9"/>
  <c r="DY334" i="9"/>
  <c r="DY260" i="9"/>
  <c r="EJ167" i="9"/>
  <c r="EJ208" i="9"/>
  <c r="DW184" i="9"/>
  <c r="DY201" i="9"/>
  <c r="DW260" i="9"/>
  <c r="DY60" i="9"/>
  <c r="EJ47" i="9"/>
  <c r="DY200" i="9"/>
  <c r="EJ46" i="9"/>
  <c r="EJ253" i="9"/>
  <c r="DY203" i="9"/>
  <c r="EH114" i="9"/>
  <c r="DW188" i="9"/>
  <c r="EJ246" i="9"/>
  <c r="DY129" i="9"/>
  <c r="DY180" i="9"/>
  <c r="DW329" i="9"/>
  <c r="DY322" i="9"/>
  <c r="EJ86" i="9"/>
  <c r="DW307" i="9"/>
  <c r="DY154" i="9"/>
  <c r="EH227" i="9"/>
  <c r="EH141" i="9"/>
  <c r="EH271" i="9"/>
  <c r="DW111" i="9"/>
  <c r="DW56" i="9"/>
  <c r="DY130" i="9"/>
  <c r="DY171" i="9"/>
  <c r="DY217" i="9"/>
  <c r="EJ211" i="9"/>
  <c r="EH211" i="9"/>
  <c r="DW31" i="9"/>
  <c r="DW27" i="9"/>
  <c r="EJ67" i="9"/>
  <c r="EJ184" i="9"/>
  <c r="EJ218" i="9"/>
  <c r="DY182" i="9"/>
  <c r="DY199" i="9"/>
  <c r="EH102" i="9"/>
  <c r="EJ273" i="9"/>
  <c r="DY46" i="9"/>
  <c r="EH47" i="9"/>
  <c r="DW224" i="9"/>
  <c r="EJ60" i="9"/>
  <c r="EH189" i="9"/>
  <c r="EJ277" i="9"/>
  <c r="DW269" i="9"/>
  <c r="DW215" i="9"/>
  <c r="DY310" i="9"/>
  <c r="DW185" i="9"/>
  <c r="DW310" i="9"/>
  <c r="DW43" i="9"/>
  <c r="EJ173" i="9"/>
  <c r="EJ57" i="9"/>
  <c r="DY141" i="9"/>
  <c r="DY177" i="9"/>
  <c r="DW173" i="9"/>
  <c r="DW80" i="9"/>
  <c r="DY191" i="9"/>
  <c r="EH97" i="9"/>
  <c r="DY226" i="9"/>
  <c r="DY210" i="9"/>
  <c r="DW122" i="9"/>
  <c r="EJ196" i="9"/>
  <c r="DW205" i="9"/>
  <c r="EH253" i="9"/>
  <c r="DY135" i="9"/>
  <c r="DY266" i="9"/>
  <c r="EH77" i="9"/>
  <c r="EH269" i="9"/>
  <c r="DY179" i="9"/>
  <c r="EJ128" i="9"/>
  <c r="DY202" i="9"/>
  <c r="EJ22" i="9"/>
  <c r="DY248" i="9"/>
  <c r="DY327" i="9"/>
  <c r="DY246" i="9"/>
  <c r="DY65" i="9"/>
  <c r="DW152" i="9"/>
  <c r="EJ37" i="9"/>
  <c r="DY117" i="9"/>
  <c r="DY133" i="9"/>
  <c r="DY116" i="9"/>
  <c r="DY128" i="9"/>
  <c r="DW32" i="9"/>
  <c r="DW259" i="9"/>
  <c r="EH246" i="9"/>
  <c r="DW155" i="9"/>
  <c r="EJ40" i="9"/>
  <c r="EH265" i="9"/>
  <c r="EH139" i="9"/>
  <c r="EJ71" i="9"/>
  <c r="DY139" i="9"/>
  <c r="EJ236" i="9"/>
  <c r="DW86" i="9"/>
  <c r="DY272" i="9"/>
  <c r="DY193" i="9"/>
  <c r="DY195" i="9"/>
  <c r="DY25" i="9"/>
  <c r="EJ36" i="9"/>
  <c r="DY152" i="9"/>
  <c r="DY92" i="9"/>
  <c r="DW303" i="9"/>
  <c r="EH197" i="9"/>
  <c r="DY323" i="9"/>
  <c r="EJ91" i="9"/>
  <c r="EH209" i="9"/>
  <c r="EJ53" i="9"/>
  <c r="EJ177" i="9"/>
  <c r="DY271" i="9"/>
  <c r="DW254" i="9"/>
  <c r="DW114" i="9"/>
  <c r="EJ52" i="9"/>
  <c r="EH180" i="9"/>
  <c r="DW156" i="9"/>
  <c r="EH250" i="9"/>
  <c r="DW289" i="9"/>
  <c r="EJ226" i="9"/>
  <c r="DW183" i="9"/>
  <c r="DW44" i="9"/>
  <c r="EH164" i="9"/>
  <c r="DW325" i="9"/>
  <c r="EH168" i="9"/>
  <c r="DW319" i="9"/>
  <c r="DY325" i="9"/>
  <c r="EJ96" i="9"/>
  <c r="EJ74" i="9"/>
  <c r="EH273" i="9"/>
  <c r="DW96" i="9"/>
  <c r="EJ55" i="9"/>
  <c r="DY66" i="9"/>
  <c r="EJ175" i="9"/>
  <c r="DY108" i="9"/>
  <c r="DY136" i="9"/>
  <c r="EJ216" i="9"/>
  <c r="DY93" i="9"/>
  <c r="EJ110" i="9"/>
  <c r="DY234" i="9"/>
  <c r="EH60" i="9"/>
  <c r="DW140" i="9"/>
  <c r="DY244" i="9"/>
  <c r="EH207" i="9"/>
  <c r="DW143" i="9"/>
  <c r="EJ237" i="9"/>
  <c r="EJ250" i="9"/>
  <c r="DW126" i="9"/>
  <c r="EJ224" i="9"/>
  <c r="DW272" i="9"/>
  <c r="EJ201" i="9"/>
  <c r="DW315" i="9"/>
  <c r="DY68" i="9"/>
  <c r="EH103" i="9"/>
  <c r="EJ269" i="9"/>
  <c r="EH27" i="9"/>
  <c r="DY107" i="9"/>
  <c r="DW130" i="9"/>
  <c r="EJ141" i="9"/>
  <c r="EJ157" i="9"/>
  <c r="EH184" i="9"/>
  <c r="EJ95" i="9"/>
  <c r="DW202" i="9"/>
  <c r="EJ178" i="9"/>
  <c r="DW76" i="9"/>
  <c r="EJ207" i="9"/>
  <c r="DY269" i="9"/>
  <c r="EJ28" i="9"/>
  <c r="EJ261" i="9"/>
  <c r="DY308" i="9"/>
  <c r="DY42" i="9"/>
  <c r="DY100" i="9"/>
  <c r="EH252" i="9"/>
  <c r="DW54" i="9"/>
  <c r="DW119" i="9"/>
  <c r="EH134" i="9"/>
  <c r="DY265" i="9"/>
  <c r="DY314" i="9"/>
  <c r="EJ231" i="9"/>
  <c r="DW24" i="9"/>
  <c r="EH45" i="9"/>
  <c r="EH138" i="9"/>
  <c r="DW22" i="9"/>
  <c r="DY293" i="9"/>
  <c r="DW334" i="9"/>
  <c r="EJ146" i="9"/>
  <c r="DW102" i="9"/>
  <c r="EH175" i="9"/>
  <c r="DW172" i="9"/>
  <c r="DY81" i="9"/>
  <c r="DW142" i="9"/>
  <c r="EJ82" i="9"/>
  <c r="EH132" i="9"/>
  <c r="DW193" i="9"/>
  <c r="DW138" i="9"/>
  <c r="EH40" i="9"/>
  <c r="EJ88" i="9"/>
  <c r="EJ51" i="9"/>
  <c r="DW233" i="9"/>
  <c r="DW192" i="9"/>
  <c r="DY255" i="9"/>
  <c r="DW317" i="9"/>
  <c r="EH188" i="9"/>
  <c r="EJ181" i="9"/>
  <c r="EJ134" i="9"/>
  <c r="EJ254" i="9"/>
  <c r="DW220" i="9"/>
  <c r="DW203" i="9"/>
  <c r="EH101" i="9"/>
  <c r="DY40" i="9"/>
  <c r="DW251" i="9"/>
  <c r="DY284" i="9"/>
  <c r="EH220" i="9"/>
  <c r="DY196" i="9"/>
  <c r="EJ239" i="9"/>
  <c r="EH255" i="9"/>
  <c r="EJ120" i="9"/>
  <c r="EJ243" i="9"/>
  <c r="EJ233" i="9"/>
  <c r="DY212" i="9"/>
  <c r="EJ156" i="9"/>
  <c r="EH73" i="9"/>
  <c r="EJ256" i="9"/>
  <c r="EH236" i="9"/>
  <c r="EJ30" i="9"/>
  <c r="EH230" i="9"/>
  <c r="EJ206" i="9"/>
  <c r="EH186" i="9"/>
  <c r="EJ202" i="9"/>
  <c r="DW112" i="9"/>
  <c r="EJ117" i="9"/>
  <c r="DW165" i="9"/>
  <c r="EH42" i="9"/>
  <c r="EH258" i="9"/>
  <c r="DY296" i="9"/>
  <c r="EH78" i="9"/>
  <c r="DW308" i="9"/>
  <c r="DY148" i="9"/>
  <c r="EH100" i="9"/>
  <c r="EJ189" i="9"/>
  <c r="EJ271" i="9"/>
  <c r="DW221" i="9"/>
  <c r="DY91" i="9"/>
  <c r="DY190" i="9"/>
  <c r="EJ210" i="9"/>
  <c r="DW296" i="9"/>
  <c r="EH106" i="9"/>
  <c r="EH156" i="9"/>
  <c r="DW115" i="9"/>
  <c r="DW34" i="9"/>
  <c r="DW244" i="9"/>
  <c r="DW88" i="9"/>
  <c r="EJ244" i="9"/>
  <c r="EH147" i="9"/>
  <c r="EH261" i="9"/>
  <c r="DY95" i="9"/>
  <c r="EH31" i="9"/>
  <c r="DY336" i="9"/>
  <c r="EJ171" i="9"/>
  <c r="DY132" i="9"/>
  <c r="EJ234" i="9"/>
  <c r="DW275" i="9"/>
  <c r="DY97" i="9"/>
  <c r="DY313" i="9"/>
  <c r="EJ54" i="9"/>
  <c r="EJ179" i="9"/>
  <c r="EJ183" i="9"/>
  <c r="EH198" i="9"/>
  <c r="EH272" i="9"/>
  <c r="DY315" i="9"/>
  <c r="DY71" i="9"/>
  <c r="DW131" i="9"/>
  <c r="EJ154" i="9"/>
  <c r="DW106" i="9"/>
  <c r="EH143" i="9"/>
  <c r="DY114" i="9"/>
  <c r="EH125" i="9"/>
  <c r="DY270" i="9"/>
  <c r="DW167" i="9"/>
  <c r="EH222" i="9"/>
  <c r="EH38" i="9"/>
  <c r="DY332" i="9"/>
  <c r="DW252" i="9"/>
  <c r="EJ106" i="9"/>
  <c r="EJ166" i="9"/>
  <c r="EH214" i="9"/>
  <c r="DY119" i="9"/>
  <c r="EH135" i="9"/>
  <c r="EH192" i="9"/>
  <c r="DY161" i="9"/>
  <c r="EH191" i="9"/>
  <c r="EH115" i="9"/>
  <c r="DY205" i="9"/>
  <c r="DY110" i="9"/>
  <c r="DW276" i="9"/>
  <c r="EJ94" i="9"/>
  <c r="EH145" i="9"/>
  <c r="DY230" i="9"/>
  <c r="DW141" i="9"/>
  <c r="EJ187" i="9"/>
  <c r="EH210" i="9"/>
  <c r="EH95" i="9"/>
  <c r="DY54" i="9"/>
  <c r="DW107" i="9"/>
  <c r="DY78" i="9"/>
  <c r="DW162" i="9"/>
  <c r="EH44" i="9"/>
  <c r="DY126" i="9"/>
  <c r="EH81" i="9"/>
  <c r="DW309" i="9"/>
  <c r="EH123" i="9"/>
  <c r="DW147" i="9"/>
  <c r="EJ79" i="9"/>
  <c r="EH64" i="9"/>
  <c r="DW30" i="9"/>
  <c r="DW85" i="9"/>
  <c r="DW71" i="9"/>
  <c r="DY167" i="9"/>
  <c r="EH35" i="9"/>
  <c r="EJ84" i="9"/>
  <c r="EH229" i="9"/>
  <c r="DW29" i="9"/>
  <c r="DW136" i="9"/>
  <c r="EJ121" i="9"/>
  <c r="EH119" i="9"/>
  <c r="EJ268" i="9"/>
  <c r="DY280" i="9"/>
  <c r="DW239" i="9"/>
  <c r="DW225" i="9"/>
  <c r="EH194" i="9"/>
  <c r="DY257" i="9"/>
  <c r="EH93" i="9"/>
  <c r="EJ191" i="9"/>
  <c r="DW321" i="9"/>
  <c r="EH275" i="9"/>
  <c r="DY213" i="9"/>
  <c r="DY292" i="9"/>
  <c r="EH158" i="9"/>
  <c r="DY77" i="9"/>
  <c r="EH32" i="9"/>
  <c r="DY37" i="9"/>
  <c r="EJ81" i="9"/>
  <c r="DW92" i="9"/>
  <c r="EJ61" i="9"/>
  <c r="DY204" i="9"/>
  <c r="DY41" i="9"/>
  <c r="DW229" i="9"/>
  <c r="DY209" i="9"/>
  <c r="EJ225" i="9"/>
  <c r="DY184" i="9"/>
  <c r="EH149" i="9"/>
  <c r="DW268" i="9"/>
  <c r="EH118" i="9"/>
  <c r="EJ266" i="9"/>
  <c r="DY73" i="9"/>
  <c r="DY264" i="9"/>
  <c r="EH163" i="9"/>
  <c r="EH113" i="9"/>
  <c r="DW288" i="9"/>
  <c r="DY22" i="9"/>
  <c r="DW132" i="9"/>
  <c r="DY72" i="9"/>
  <c r="DW153" i="9"/>
  <c r="DY142" i="9"/>
  <c r="EJ188" i="9"/>
  <c r="EH201" i="9"/>
  <c r="EJ125" i="9"/>
  <c r="DW103" i="9"/>
  <c r="DY102" i="9"/>
  <c r="EH140" i="9"/>
  <c r="EJ59" i="9"/>
  <c r="EH51" i="9"/>
  <c r="DW226" i="9"/>
  <c r="EH161" i="9"/>
  <c r="EH130" i="9"/>
  <c r="EJ80" i="9"/>
  <c r="DW234" i="9"/>
  <c r="DW323" i="9"/>
  <c r="EJ131" i="9"/>
  <c r="EJ114" i="9"/>
  <c r="DY298" i="9"/>
  <c r="EH91" i="9"/>
  <c r="DW292" i="9"/>
  <c r="DY238" i="9"/>
  <c r="DY281" i="9"/>
  <c r="EH57" i="9"/>
  <c r="DW108" i="9"/>
  <c r="DW273" i="9"/>
  <c r="DW263" i="9"/>
  <c r="DW70" i="9"/>
  <c r="DW282" i="9"/>
  <c r="EJ100" i="9"/>
  <c r="DW194" i="9"/>
  <c r="DW178" i="9"/>
  <c r="EH71" i="9"/>
  <c r="EH96" i="9"/>
  <c r="DY312" i="9"/>
  <c r="EJ41" i="9"/>
  <c r="DW209" i="9"/>
  <c r="EJ232" i="9"/>
  <c r="EH234" i="9"/>
  <c r="EJ38" i="9"/>
  <c r="DY98" i="9"/>
  <c r="EH266" i="9"/>
  <c r="DW157" i="9"/>
  <c r="DY330" i="9"/>
  <c r="DW127" i="9"/>
  <c r="DY208" i="9"/>
  <c r="DY32" i="9"/>
  <c r="DY112" i="9"/>
  <c r="EJ194" i="9"/>
  <c r="DW265" i="9"/>
  <c r="EH239" i="9"/>
  <c r="EJ93" i="9"/>
  <c r="EH151" i="9"/>
  <c r="EH52" i="9"/>
  <c r="EJ209" i="9"/>
  <c r="DW280" i="9"/>
  <c r="EJ155" i="9"/>
  <c r="DY175" i="9"/>
  <c r="EH159" i="9"/>
  <c r="EJ159" i="9"/>
  <c r="DY311" i="9"/>
  <c r="DY219" i="9"/>
  <c r="DW199" i="9"/>
  <c r="EH187" i="9"/>
  <c r="DY57" i="9"/>
  <c r="EJ56" i="9"/>
  <c r="EJ139" i="9"/>
  <c r="EH259" i="9"/>
  <c r="EH223" i="9"/>
  <c r="EH217" i="9"/>
  <c r="EH215" i="9"/>
  <c r="DY331" i="9"/>
  <c r="EJ105" i="9"/>
  <c r="EH219" i="9"/>
  <c r="DY127" i="9"/>
  <c r="EH39" i="9"/>
  <c r="DW216" i="9"/>
  <c r="DW65" i="9"/>
  <c r="DY163" i="9"/>
  <c r="DW68" i="9"/>
  <c r="EH177" i="9"/>
  <c r="DW190" i="9"/>
  <c r="DY159" i="9"/>
  <c r="EH155" i="9"/>
  <c r="DW246" i="9"/>
  <c r="EH200" i="9"/>
  <c r="DY118" i="9"/>
  <c r="EJ89" i="9"/>
  <c r="DW195" i="9"/>
  <c r="EJ249" i="9"/>
  <c r="DW160" i="9"/>
  <c r="DW218" i="9"/>
  <c r="EH264" i="9"/>
  <c r="EH235" i="9"/>
  <c r="EJ182" i="9"/>
  <c r="DW240" i="9"/>
  <c r="DY309" i="9"/>
  <c r="EJ229" i="9"/>
  <c r="EH225" i="9"/>
  <c r="DW135" i="9"/>
  <c r="EH183" i="9"/>
  <c r="DY225" i="9"/>
  <c r="EH69" i="9"/>
  <c r="DW279" i="9"/>
  <c r="EJ99" i="9"/>
  <c r="EH262" i="9"/>
  <c r="EH50" i="9"/>
  <c r="DW109" i="9"/>
  <c r="DY61" i="9"/>
  <c r="DW201" i="9"/>
  <c r="EH169" i="9"/>
  <c r="EH276" i="9"/>
  <c r="EH173" i="9"/>
  <c r="DW93" i="9"/>
  <c r="DY306" i="9"/>
  <c r="EJ126" i="9"/>
  <c r="DY302" i="9"/>
  <c r="EJ149" i="9"/>
  <c r="EJ26" i="9"/>
  <c r="EH162" i="9"/>
  <c r="EH268" i="9"/>
  <c r="DW330" i="9"/>
  <c r="EH172" i="9"/>
  <c r="DY109" i="9"/>
  <c r="EH254" i="9"/>
  <c r="DY207" i="9"/>
  <c r="DW249" i="9"/>
  <c r="DY155" i="9"/>
  <c r="EJ104" i="9"/>
  <c r="DY131" i="9"/>
  <c r="DW105" i="9"/>
  <c r="EH203" i="9"/>
  <c r="EH59" i="9"/>
  <c r="DY321" i="9"/>
  <c r="EJ161" i="9"/>
  <c r="EJ107" i="9"/>
  <c r="DW49" i="9"/>
  <c r="DW161" i="9"/>
  <c r="DW223" i="9"/>
  <c r="DW230" i="9"/>
  <c r="DY99" i="9"/>
  <c r="DW117" i="9"/>
  <c r="DY45" i="9"/>
  <c r="EH231" i="9"/>
  <c r="DW46" i="9"/>
  <c r="DW206" i="9"/>
  <c r="EH63" i="9"/>
  <c r="EH196" i="9"/>
  <c r="DY211" i="9"/>
  <c r="EJ85" i="9"/>
  <c r="EH178" i="9"/>
  <c r="EJ274" i="9"/>
  <c r="EH76" i="9"/>
  <c r="DY276" i="9"/>
  <c r="EH128" i="9"/>
  <c r="EJ227" i="9"/>
  <c r="EH72" i="9"/>
  <c r="DW171" i="9"/>
  <c r="EH30" i="9"/>
  <c r="EH105" i="9"/>
  <c r="DY247" i="9"/>
  <c r="DW327" i="9"/>
  <c r="DW261" i="9"/>
  <c r="EH208" i="9"/>
  <c r="DY144" i="9"/>
  <c r="EJ215" i="9"/>
  <c r="DY162" i="9"/>
  <c r="EJ203" i="9"/>
  <c r="EH36" i="9"/>
  <c r="DY64" i="9"/>
  <c r="EJ267" i="9"/>
  <c r="EH148" i="9"/>
  <c r="EH260" i="9"/>
  <c r="DY253" i="9"/>
  <c r="EJ113" i="9"/>
  <c r="EH257" i="9"/>
  <c r="EJ205" i="9"/>
  <c r="DW148" i="9"/>
  <c r="EH166" i="9"/>
  <c r="EH109" i="9"/>
  <c r="EJ31" i="9"/>
  <c r="DW210" i="9"/>
  <c r="DW113" i="9"/>
  <c r="DY30" i="9"/>
  <c r="EJ169" i="9"/>
  <c r="DW137" i="9"/>
  <c r="DY24" i="9"/>
  <c r="EH240" i="9"/>
  <c r="DY324" i="9"/>
  <c r="DW287" i="9"/>
  <c r="DW290" i="9"/>
  <c r="DW311" i="9"/>
  <c r="EJ83" i="9"/>
  <c r="EJ111" i="9"/>
  <c r="DY101" i="9"/>
  <c r="DW187" i="9"/>
  <c r="EJ193" i="9"/>
  <c r="DY335" i="9"/>
  <c r="EH248" i="9"/>
  <c r="DY170" i="9"/>
  <c r="EJ78" i="9"/>
  <c r="EJ101" i="9"/>
  <c r="EJ98" i="9"/>
  <c r="EJ257" i="9"/>
  <c r="EJ152" i="9"/>
  <c r="DW144" i="9"/>
  <c r="EJ29" i="9"/>
  <c r="DW57" i="9"/>
  <c r="DW293" i="9"/>
  <c r="DW53" i="9"/>
  <c r="DY33" i="9"/>
  <c r="DW243" i="9"/>
  <c r="EH152" i="9"/>
  <c r="EH67" i="9"/>
  <c r="EH80" i="9"/>
  <c r="DY295" i="9"/>
  <c r="EH33" i="9"/>
  <c r="DY333" i="9"/>
  <c r="EJ58" i="9"/>
  <c r="DY274" i="9"/>
  <c r="EJ148" i="9"/>
  <c r="EJ76" i="9"/>
  <c r="DW35" i="9"/>
  <c r="EH111" i="9"/>
  <c r="EJ65" i="9"/>
  <c r="EJ213" i="9"/>
  <c r="EJ238" i="9"/>
  <c r="DW179" i="9"/>
  <c r="DY115" i="9"/>
  <c r="DY258" i="9"/>
  <c r="EJ130" i="9"/>
  <c r="EJ143" i="9"/>
  <c r="DW191" i="9"/>
  <c r="DW120" i="9"/>
  <c r="DY88" i="9"/>
  <c r="DW217" i="9"/>
  <c r="EH153" i="9"/>
  <c r="EJ90" i="9"/>
  <c r="EH241" i="9"/>
  <c r="EH193" i="9"/>
  <c r="DW150" i="9"/>
  <c r="DW23" i="9"/>
  <c r="DY228" i="9"/>
  <c r="EJ35" i="9"/>
  <c r="DY273" i="9"/>
  <c r="DW95" i="9"/>
  <c r="DW33" i="9"/>
  <c r="DY301" i="9"/>
  <c r="EH242" i="9"/>
  <c r="EJ33" i="9"/>
  <c r="EJ72" i="9"/>
  <c r="EJ222" i="9"/>
  <c r="DW123" i="9"/>
  <c r="DY94" i="9"/>
  <c r="DY186" i="9"/>
  <c r="DW170" i="9"/>
  <c r="DY243" i="9"/>
  <c r="EJ145" i="9"/>
  <c r="DW87" i="9"/>
  <c r="EH25" i="9"/>
  <c r="EJ112" i="9"/>
  <c r="EH133" i="9"/>
  <c r="DY236" i="9"/>
  <c r="EJ43" i="9"/>
  <c r="EJ63" i="9"/>
  <c r="DW258" i="9"/>
  <c r="DW322" i="9"/>
  <c r="EJ252" i="9"/>
  <c r="DY241" i="9"/>
  <c r="EJ129" i="9"/>
  <c r="EJ258" i="9"/>
  <c r="EJ230" i="9"/>
  <c r="DW101" i="9"/>
  <c r="DY140" i="9"/>
  <c r="DY305" i="9"/>
  <c r="DY67" i="9"/>
  <c r="DY124" i="9"/>
  <c r="DW336" i="9"/>
  <c r="EJ192" i="9"/>
  <c r="DY297" i="9"/>
  <c r="EH34" i="9"/>
  <c r="EH244" i="9"/>
  <c r="DW332" i="9"/>
  <c r="DW227" i="9"/>
  <c r="DW118" i="9"/>
  <c r="DW294" i="9"/>
  <c r="DW256" i="9"/>
  <c r="EJ25" i="9"/>
  <c r="EJ127" i="9"/>
  <c r="EH251" i="9"/>
  <c r="EJ220" i="9"/>
  <c r="DW232" i="9"/>
  <c r="DY176" i="9"/>
  <c r="DW78" i="9"/>
  <c r="EJ176" i="9"/>
  <c r="EH202" i="9"/>
  <c r="DW168" i="9"/>
  <c r="DY156" i="9"/>
  <c r="EJ108" i="9"/>
  <c r="EJ77" i="9"/>
  <c r="EH157" i="9"/>
  <c r="EJ260" i="9"/>
  <c r="DW116" i="9"/>
  <c r="DY197" i="9"/>
  <c r="DY70" i="9"/>
  <c r="EJ123" i="9"/>
  <c r="DW124" i="9"/>
  <c r="DY223" i="9"/>
  <c r="DW277" i="9"/>
  <c r="DY237" i="9"/>
  <c r="DY188" i="9"/>
  <c r="DY169" i="9"/>
  <c r="EJ158" i="9"/>
  <c r="DW84" i="9"/>
  <c r="DW72" i="9"/>
  <c r="DW198" i="9"/>
  <c r="DY53" i="9"/>
  <c r="DY44" i="9"/>
  <c r="DY181" i="9"/>
  <c r="DW64" i="9"/>
  <c r="DY149" i="9"/>
  <c r="DW248" i="9"/>
  <c r="EH121" i="9"/>
  <c r="DY240" i="9"/>
  <c r="DW50" i="9"/>
  <c r="EH70" i="9"/>
  <c r="EJ49" i="9"/>
  <c r="DW82" i="9"/>
  <c r="DY198" i="9"/>
  <c r="DW47" i="9"/>
  <c r="DY51" i="9"/>
  <c r="DW302" i="9"/>
  <c r="DY23" i="9"/>
  <c r="DY316" i="9"/>
  <c r="EH126" i="9"/>
  <c r="EH170" i="9"/>
  <c r="EH274" i="9"/>
  <c r="DY122" i="9"/>
  <c r="EH160" i="9"/>
  <c r="EJ263" i="9"/>
  <c r="EJ198" i="9"/>
  <c r="DY83" i="9"/>
  <c r="DW186" i="9"/>
  <c r="DY221" i="9"/>
  <c r="EH131" i="9"/>
  <c r="EH204" i="9"/>
  <c r="DW250" i="9"/>
  <c r="DY87" i="9"/>
  <c r="EH37" i="9"/>
  <c r="EJ142" i="9"/>
  <c r="DY43" i="9"/>
  <c r="DW298" i="9"/>
  <c r="DY158" i="9"/>
  <c r="DY75" i="9"/>
  <c r="DY329" i="9"/>
  <c r="DY125" i="9"/>
  <c r="DY294" i="9"/>
  <c r="DW139" i="9"/>
  <c r="DY103" i="9"/>
  <c r="EJ255" i="9"/>
  <c r="DW316" i="9"/>
  <c r="DW25" i="9"/>
  <c r="EJ45" i="9"/>
  <c r="DY31" i="9"/>
  <c r="DY35" i="9"/>
  <c r="EJ116" i="9"/>
  <c r="DY291" i="9"/>
  <c r="EH29" i="9"/>
  <c r="DY233" i="9"/>
  <c r="EH86" i="9"/>
  <c r="EH107" i="9"/>
  <c r="DY86" i="9"/>
  <c r="EH174" i="9"/>
  <c r="EJ242" i="9"/>
  <c r="EH181" i="9"/>
  <c r="EH98" i="9"/>
  <c r="DY59" i="9"/>
  <c r="EH154" i="9"/>
  <c r="DW99" i="9"/>
  <c r="EJ200" i="9"/>
  <c r="EJ42" i="9"/>
  <c r="EJ147" i="9"/>
  <c r="DW55" i="9"/>
  <c r="EJ276" i="9"/>
  <c r="DY39" i="9"/>
  <c r="EJ163" i="9"/>
  <c r="DY254" i="9"/>
  <c r="EH84" i="9"/>
  <c r="DY84" i="9"/>
  <c r="DW255" i="9"/>
  <c r="EI217" i="9" l="1"/>
  <c r="DX143" i="9"/>
  <c r="DX307" i="9"/>
  <c r="DX59" i="9"/>
  <c r="DX94" i="9"/>
  <c r="EI131" i="9"/>
  <c r="DX160" i="9"/>
  <c r="DX209" i="9"/>
  <c r="DX122" i="9"/>
  <c r="DX173" i="9"/>
  <c r="DX326" i="9"/>
  <c r="EI192" i="9"/>
  <c r="DX67" i="9"/>
  <c r="EI224" i="9"/>
  <c r="DX236" i="9"/>
  <c r="DX275" i="9"/>
  <c r="EI46" i="9"/>
  <c r="EI110" i="9"/>
  <c r="EI161" i="9"/>
  <c r="DX311" i="9"/>
  <c r="EI271" i="9"/>
  <c r="DX118" i="9"/>
  <c r="DX45" i="9"/>
  <c r="EI185" i="9"/>
  <c r="EI97" i="9"/>
  <c r="DX50" i="9"/>
  <c r="DX279" i="9"/>
  <c r="DX298" i="9"/>
  <c r="DX161" i="9"/>
  <c r="EI270" i="9"/>
  <c r="DX65" i="9"/>
  <c r="DX41" i="9"/>
  <c r="EI41" i="9"/>
  <c r="EI272" i="9"/>
  <c r="DX235" i="9"/>
  <c r="DX177" i="9"/>
  <c r="DX121" i="9"/>
  <c r="EI201" i="9"/>
  <c r="DX227" i="9"/>
  <c r="DX155" i="9"/>
  <c r="EI126" i="9"/>
  <c r="EI101" i="9"/>
  <c r="DX240" i="9"/>
  <c r="EI233" i="9"/>
  <c r="DX270" i="9"/>
  <c r="DX197" i="9"/>
  <c r="DX306" i="9"/>
  <c r="DX129" i="9"/>
  <c r="EI144" i="9"/>
  <c r="DX175" i="9"/>
  <c r="EI226" i="9"/>
  <c r="EI102" i="9"/>
  <c r="EI205" i="9"/>
  <c r="DX53" i="9"/>
  <c r="DX38" i="9"/>
  <c r="DX55" i="9"/>
  <c r="EI150" i="9"/>
  <c r="DX259" i="9"/>
  <c r="DX224" i="9"/>
  <c r="EI59" i="9"/>
  <c r="DX245" i="9"/>
  <c r="EI26" i="9"/>
  <c r="EI57" i="9"/>
  <c r="DX215" i="9"/>
  <c r="DX150" i="9"/>
  <c r="EI66" i="9"/>
  <c r="DX95" i="9"/>
  <c r="EI146" i="9"/>
  <c r="EI31" i="9"/>
  <c r="EI23" i="9"/>
  <c r="DX249" i="9"/>
  <c r="DX247" i="9"/>
  <c r="DX36" i="9"/>
  <c r="EI253" i="9"/>
  <c r="EI27" i="9"/>
  <c r="DX181" i="9"/>
  <c r="DX97" i="9"/>
  <c r="DX313" i="9"/>
  <c r="EI84" i="9"/>
  <c r="DX284" i="9"/>
  <c r="EI92" i="9"/>
  <c r="DX33" i="9"/>
  <c r="DX277" i="9"/>
  <c r="EI79" i="9"/>
  <c r="DX105" i="9"/>
  <c r="EI200" i="9"/>
  <c r="EI143" i="9"/>
  <c r="EI54" i="9"/>
  <c r="DX285" i="9"/>
  <c r="DX210" i="9"/>
  <c r="DX283" i="9"/>
  <c r="EI56" i="9"/>
  <c r="EI186" i="9"/>
  <c r="EI138" i="9"/>
  <c r="EI204" i="9"/>
  <c r="EI78" i="9"/>
  <c r="EI194" i="9"/>
  <c r="DX310" i="9"/>
  <c r="DX208" i="9"/>
  <c r="DX253" i="9"/>
  <c r="EI60" i="9"/>
  <c r="EI74" i="9"/>
  <c r="EI238" i="9"/>
  <c r="DX267" i="9"/>
  <c r="EI29" i="9"/>
  <c r="DX296" i="9"/>
  <c r="EI254" i="9"/>
  <c r="DX269" i="9"/>
  <c r="EI198" i="9"/>
  <c r="DX34" i="9"/>
  <c r="EI49" i="9"/>
  <c r="DX299" i="9"/>
  <c r="DX286" i="9"/>
  <c r="DX109" i="9"/>
  <c r="EI231" i="9"/>
  <c r="DX182" i="9"/>
  <c r="EI214" i="9"/>
  <c r="EI256" i="9"/>
  <c r="DX324" i="9"/>
  <c r="DX152" i="9"/>
  <c r="EI96" i="9"/>
  <c r="EI73" i="9"/>
  <c r="DX337" i="9"/>
  <c r="EI30" i="9"/>
  <c r="EI222" i="9"/>
  <c r="DX211" i="9"/>
  <c r="DX159" i="9"/>
  <c r="EI235" i="9"/>
  <c r="DX80" i="9"/>
  <c r="DX110" i="9"/>
  <c r="DX40" i="9"/>
  <c r="DX136" i="9"/>
  <c r="DX184" i="9"/>
  <c r="DX48" i="9"/>
  <c r="EI33" i="9"/>
  <c r="DX317" i="9"/>
  <c r="DX239" i="9"/>
  <c r="EI104" i="9"/>
  <c r="EI170" i="9"/>
  <c r="EI93" i="9"/>
  <c r="EI243" i="9"/>
  <c r="EI181" i="9"/>
  <c r="DX25" i="9"/>
  <c r="DX78" i="9"/>
  <c r="EI116" i="9"/>
  <c r="EI35" i="9"/>
  <c r="DX138" i="9"/>
  <c r="DX68" i="9"/>
  <c r="DX124" i="9"/>
  <c r="DX294" i="9"/>
  <c r="DX73" i="9"/>
  <c r="EI142" i="9"/>
  <c r="DX308" i="9"/>
  <c r="DX43" i="9"/>
  <c r="EI255" i="9"/>
  <c r="EI160" i="9"/>
  <c r="EI154" i="9"/>
  <c r="EI234" i="9"/>
  <c r="EI232" i="9"/>
  <c r="DX96" i="9"/>
  <c r="EI149" i="9"/>
  <c r="DX31" i="9"/>
  <c r="DX262" i="9"/>
  <c r="DX171" i="9"/>
  <c r="DX290" i="9"/>
  <c r="EI127" i="9"/>
  <c r="EI167" i="9"/>
  <c r="DX151" i="9"/>
  <c r="EI151" i="9"/>
  <c r="DX165" i="9"/>
  <c r="DX139" i="9"/>
  <c r="EI55" i="9"/>
  <c r="DX153" i="9"/>
  <c r="DX199" i="9"/>
  <c r="DX264" i="9"/>
  <c r="EI268" i="9"/>
  <c r="DX154" i="9"/>
  <c r="EI152" i="9"/>
  <c r="DX232" i="9"/>
  <c r="EI118" i="9"/>
  <c r="DX132" i="9"/>
  <c r="EI262" i="9"/>
  <c r="EI250" i="9"/>
  <c r="DX332" i="9"/>
  <c r="EI108" i="9"/>
  <c r="DX23" i="9"/>
  <c r="DX135" i="9"/>
  <c r="DX70" i="9"/>
  <c r="EI202" i="9"/>
  <c r="DX255" i="9"/>
  <c r="DX32" i="9"/>
  <c r="EI175" i="9"/>
  <c r="EI219" i="9"/>
  <c r="DX157" i="9"/>
  <c r="EI82" i="9"/>
  <c r="EI189" i="9"/>
  <c r="EI157" i="9"/>
  <c r="EI183" i="9"/>
  <c r="EI141" i="9"/>
  <c r="DX205" i="9"/>
  <c r="DX130" i="9"/>
  <c r="EI91" i="9"/>
  <c r="DX66" i="9"/>
  <c r="DX186" i="9"/>
  <c r="DX101" i="9"/>
  <c r="DX280" i="9"/>
  <c r="DX90" i="9"/>
  <c r="EI52" i="9"/>
  <c r="DX27" i="9"/>
  <c r="DX76" i="9"/>
  <c r="DX252" i="9"/>
  <c r="EI40" i="9"/>
  <c r="EI274" i="9"/>
  <c r="DX246" i="9"/>
  <c r="EI53" i="9"/>
  <c r="DX302" i="9"/>
  <c r="EI163" i="9"/>
  <c r="EI44" i="9"/>
  <c r="DX335" i="9"/>
  <c r="EI220" i="9"/>
  <c r="DX189" i="9"/>
  <c r="DX258" i="9"/>
  <c r="DX274" i="9"/>
  <c r="DX167" i="9"/>
  <c r="EI177" i="9"/>
  <c r="DX323" i="9"/>
  <c r="EI130" i="9"/>
  <c r="DX46" i="9"/>
  <c r="DX125" i="9"/>
  <c r="EI237" i="9"/>
  <c r="DX226" i="9"/>
  <c r="EI260" i="9"/>
  <c r="DX287" i="9"/>
  <c r="DX37" i="9"/>
  <c r="EI135" i="9"/>
  <c r="DX82" i="9"/>
  <c r="DX164" i="9"/>
  <c r="EI124" i="9"/>
  <c r="DX87" i="9"/>
  <c r="EI115" i="9"/>
  <c r="EI210" i="9"/>
  <c r="DX140" i="9"/>
  <c r="DX172" i="9"/>
  <c r="DX196" i="9"/>
  <c r="EI105" i="9"/>
  <c r="EI22" i="9"/>
  <c r="EI188" i="9"/>
  <c r="DX86" i="9"/>
  <c r="DX170" i="9"/>
  <c r="EI265" i="9"/>
  <c r="EI123" i="9"/>
  <c r="EI125" i="9"/>
  <c r="EI211" i="9"/>
  <c r="EI207" i="9"/>
  <c r="EI153" i="9"/>
  <c r="DX134" i="9"/>
  <c r="DX218" i="9"/>
  <c r="DX146" i="9"/>
  <c r="EI129" i="9"/>
  <c r="EI133" i="9"/>
  <c r="DX225" i="9"/>
  <c r="DX301" i="9"/>
  <c r="DX58" i="9"/>
  <c r="DX56" i="9"/>
  <c r="DX333" i="9"/>
  <c r="EI248" i="9"/>
  <c r="DX188" i="9"/>
  <c r="DX106" i="9"/>
  <c r="DX28" i="9"/>
  <c r="DX250" i="9"/>
  <c r="DX49" i="9"/>
  <c r="DX221" i="9"/>
  <c r="EI122" i="9"/>
  <c r="EI261" i="9"/>
  <c r="DX334" i="9"/>
  <c r="EI215" i="9"/>
  <c r="DX114" i="9"/>
  <c r="DX305" i="9"/>
  <c r="DX62" i="9"/>
  <c r="EI145" i="9"/>
  <c r="DX327" i="9"/>
  <c r="DX116" i="9"/>
  <c r="EI68" i="9"/>
  <c r="DX244" i="9"/>
  <c r="DX219" i="9"/>
  <c r="EI111" i="9"/>
  <c r="EI182" i="9"/>
  <c r="DX206" i="9"/>
  <c r="DX147" i="9"/>
  <c r="EI28" i="9"/>
  <c r="EI69" i="9"/>
  <c r="EI98" i="9"/>
  <c r="DX158" i="9"/>
  <c r="DX237" i="9"/>
  <c r="EI249" i="9"/>
  <c r="EI100" i="9"/>
  <c r="EI70" i="9"/>
  <c r="EI213" i="9"/>
  <c r="DX304" i="9"/>
  <c r="DX268" i="9"/>
  <c r="DX282" i="9"/>
  <c r="EI241" i="9"/>
  <c r="EI227" i="9"/>
  <c r="DX185" i="9"/>
  <c r="DX266" i="9"/>
  <c r="DX291" i="9"/>
  <c r="EI239" i="9"/>
  <c r="DX243" i="9"/>
  <c r="EI230" i="9"/>
  <c r="DX315" i="9"/>
  <c r="DX329" i="9"/>
  <c r="EI184" i="9"/>
  <c r="DX295" i="9"/>
  <c r="EI164" i="9"/>
  <c r="DX120" i="9"/>
  <c r="DX100" i="9"/>
  <c r="EI39" i="9"/>
  <c r="EI121" i="9"/>
  <c r="EI83" i="9"/>
  <c r="DX93" i="9"/>
  <c r="DX213" i="9"/>
  <c r="DX203" i="9"/>
  <c r="DX88" i="9"/>
  <c r="DX83" i="9"/>
  <c r="EI67" i="9"/>
  <c r="EI43" i="9"/>
  <c r="DX230" i="9"/>
  <c r="EI173" i="9"/>
  <c r="DX61" i="9"/>
  <c r="EI72" i="9"/>
  <c r="DX142" i="9"/>
  <c r="DX128" i="9"/>
  <c r="DX325" i="9"/>
  <c r="DX336" i="9"/>
  <c r="DX30" i="9"/>
  <c r="EI236" i="9"/>
  <c r="DX60" i="9"/>
  <c r="DX207" i="9"/>
  <c r="DX104" i="9"/>
  <c r="DX192" i="9"/>
  <c r="DX64" i="9"/>
  <c r="DX292" i="9"/>
  <c r="DX241" i="9"/>
  <c r="EI95" i="9"/>
  <c r="DX198" i="9"/>
  <c r="EI64" i="9"/>
  <c r="DX72" i="9"/>
  <c r="EI259" i="9"/>
  <c r="DX276" i="9"/>
  <c r="EI223" i="9"/>
  <c r="EI113" i="9"/>
  <c r="EI246" i="9"/>
  <c r="DX234" i="9"/>
  <c r="DX113" i="9"/>
  <c r="EI158" i="9"/>
  <c r="DX314" i="9"/>
  <c r="EI221" i="9"/>
  <c r="EI58" i="9"/>
  <c r="DX183" i="9"/>
  <c r="EI162" i="9"/>
  <c r="EI216" i="9"/>
  <c r="DX51" i="9"/>
  <c r="DX222" i="9"/>
  <c r="EI81" i="9"/>
  <c r="DX145" i="9"/>
  <c r="EI140" i="9"/>
  <c r="EI176" i="9"/>
  <c r="DX187" i="9"/>
  <c r="EI197" i="9"/>
  <c r="EI134" i="9"/>
  <c r="EI245" i="9"/>
  <c r="EI244" i="9"/>
  <c r="EI139" i="9"/>
  <c r="EI242" i="9"/>
  <c r="DX320" i="9"/>
  <c r="EI155" i="9"/>
  <c r="DX79" i="9"/>
  <c r="DX149" i="9"/>
  <c r="EI166" i="9"/>
  <c r="EI252" i="9"/>
  <c r="DX278" i="9"/>
  <c r="EI178" i="9"/>
  <c r="DX112" i="9"/>
  <c r="EI132" i="9"/>
  <c r="EI136" i="9"/>
  <c r="DX29" i="9"/>
  <c r="EI76" i="9"/>
  <c r="DX260" i="9"/>
  <c r="EI87" i="9"/>
  <c r="DX176" i="9"/>
  <c r="EI203" i="9"/>
  <c r="DX281" i="9"/>
  <c r="DX35" i="9"/>
  <c r="DX169" i="9"/>
  <c r="DX144" i="9"/>
  <c r="DX91" i="9"/>
  <c r="EI37" i="9"/>
  <c r="DX212" i="9"/>
  <c r="EI47" i="9"/>
  <c r="DX133" i="9"/>
  <c r="EI190" i="9"/>
  <c r="EI168" i="9"/>
  <c r="DX81" i="9"/>
  <c r="EI209" i="9"/>
  <c r="DX99" i="9"/>
  <c r="EI71" i="9"/>
  <c r="DX163" i="9"/>
  <c r="EI88" i="9"/>
  <c r="EI277" i="9"/>
  <c r="EI61" i="9"/>
  <c r="EI63" i="9"/>
  <c r="DX162" i="9"/>
  <c r="DX47" i="9"/>
  <c r="EI85" i="9"/>
  <c r="EI263" i="9"/>
  <c r="DX148" i="9"/>
  <c r="EI206" i="9"/>
  <c r="DX200" i="9"/>
  <c r="EI148" i="9"/>
  <c r="DX74" i="9"/>
  <c r="EI65" i="9"/>
  <c r="DX119" i="9"/>
  <c r="DX191" i="9"/>
  <c r="DX194" i="9"/>
  <c r="DX126" i="9"/>
  <c r="DX217" i="9"/>
  <c r="DX229" i="9"/>
  <c r="DX214" i="9"/>
  <c r="DX89" i="9"/>
  <c r="EI24" i="9"/>
  <c r="EI120" i="9"/>
  <c r="EI240" i="9"/>
  <c r="EI94" i="9"/>
  <c r="EI273" i="9"/>
  <c r="EI112" i="9"/>
  <c r="DX319" i="9"/>
  <c r="DX108" i="9"/>
  <c r="DX256" i="9"/>
  <c r="EI266" i="9"/>
  <c r="DX328" i="9"/>
  <c r="EI193" i="9"/>
  <c r="DX195" i="9"/>
  <c r="EI32" i="9"/>
  <c r="DX54" i="9"/>
  <c r="DX251" i="9"/>
  <c r="EI247" i="9"/>
  <c r="DX330" i="9"/>
  <c r="DX26" i="9"/>
  <c r="DX131" i="9"/>
  <c r="DX107" i="9"/>
  <c r="DX231" i="9"/>
  <c r="DX288" i="9"/>
  <c r="EI172" i="9"/>
  <c r="DX297" i="9"/>
  <c r="EI90" i="9"/>
  <c r="DX123" i="9"/>
  <c r="EI103" i="9"/>
  <c r="EI208" i="9"/>
  <c r="DX309" i="9"/>
  <c r="EI50" i="9"/>
  <c r="EI77" i="9"/>
  <c r="EI275" i="9"/>
  <c r="DX242" i="9"/>
  <c r="DX178" i="9"/>
  <c r="DX202" i="9"/>
  <c r="EI269" i="9"/>
  <c r="EI165" i="9"/>
  <c r="DX85" i="9"/>
  <c r="EI48" i="9"/>
  <c r="DX265" i="9"/>
  <c r="DX180" i="9"/>
  <c r="EI106" i="9"/>
  <c r="EI228" i="9"/>
  <c r="DX156" i="9"/>
  <c r="DX92" i="9"/>
  <c r="DX316" i="9"/>
  <c r="DX223" i="9"/>
  <c r="DX272" i="9"/>
  <c r="EI117" i="9"/>
  <c r="DX321" i="9"/>
  <c r="EI258" i="9"/>
  <c r="DX216" i="9"/>
  <c r="EI99" i="9"/>
  <c r="DX166" i="9"/>
  <c r="EI169" i="9"/>
  <c r="EI42" i="9"/>
  <c r="DX71" i="9"/>
  <c r="DX57" i="9"/>
  <c r="DX322" i="9"/>
  <c r="DX115" i="9"/>
  <c r="EI171" i="9"/>
  <c r="DX193" i="9"/>
  <c r="DX42" i="9"/>
  <c r="EI218" i="9"/>
  <c r="EI225" i="9"/>
  <c r="EI276" i="9"/>
  <c r="DX261" i="9"/>
  <c r="DX248" i="9"/>
  <c r="DX63" i="9"/>
  <c r="EI36" i="9"/>
  <c r="DX271" i="9"/>
  <c r="DX228" i="9"/>
  <c r="DX137" i="9"/>
  <c r="DX300" i="9"/>
  <c r="DX141" i="9"/>
  <c r="EI128" i="9"/>
  <c r="EI109" i="9"/>
  <c r="DX77" i="9"/>
  <c r="EI107" i="9"/>
  <c r="DX174" i="9"/>
  <c r="DX273" i="9"/>
  <c r="DX201" i="9"/>
  <c r="EI45" i="9"/>
  <c r="EI89" i="9"/>
  <c r="DX220" i="9"/>
  <c r="EI119" i="9"/>
  <c r="DX263" i="9"/>
  <c r="EI147" i="9"/>
  <c r="DX238" i="9"/>
  <c r="DX69" i="9"/>
  <c r="EI34" i="9"/>
  <c r="EI187" i="9"/>
  <c r="EI51" i="9"/>
  <c r="DX204" i="9"/>
  <c r="EI86" i="9"/>
  <c r="DX39" i="9"/>
  <c r="EI257" i="9"/>
  <c r="EI212" i="9"/>
  <c r="DX303" i="9"/>
  <c r="EI38" i="9"/>
  <c r="EI195" i="9"/>
  <c r="EI264" i="9"/>
  <c r="EI229" i="9"/>
  <c r="DX168" i="9"/>
  <c r="DX289" i="9"/>
  <c r="DX293" i="9"/>
  <c r="DX127" i="9"/>
  <c r="DX179" i="9"/>
  <c r="DX312" i="9"/>
  <c r="EI199" i="9"/>
  <c r="EI75" i="9"/>
  <c r="EI62" i="9"/>
  <c r="EI191" i="9"/>
  <c r="DX103" i="9"/>
  <c r="EI159" i="9"/>
  <c r="DX318" i="9"/>
  <c r="EI179" i="9"/>
  <c r="EI80" i="9"/>
  <c r="DX254" i="9"/>
  <c r="DX331" i="9"/>
  <c r="DX257" i="9"/>
  <c r="EI251" i="9"/>
  <c r="EI196" i="9"/>
  <c r="EI180" i="9"/>
  <c r="EI174" i="9"/>
  <c r="DX44" i="9"/>
  <c r="DX84" i="9"/>
  <c r="DX22" i="9"/>
  <c r="DX190" i="9"/>
  <c r="DX233" i="9"/>
  <c r="EI156" i="9"/>
  <c r="EI137" i="9"/>
  <c r="DX111" i="9"/>
  <c r="EI267" i="9"/>
  <c r="DX102" i="9"/>
  <c r="DX75" i="9"/>
  <c r="DX98" i="9"/>
  <c r="EI114" i="9"/>
  <c r="DX24" i="9"/>
  <c r="DX117" i="9"/>
  <c r="EI25" i="9"/>
  <c r="DX52" i="9"/>
  <c r="E72" i="16"/>
  <c r="E70" i="16"/>
  <c r="E74" i="16"/>
  <c r="E73" i="16"/>
  <c r="E71" i="16"/>
  <c r="E73" i="14"/>
  <c r="E69" i="14"/>
  <c r="E72" i="14"/>
  <c r="E71" i="14"/>
  <c r="E70" i="14"/>
  <c r="E97" i="8"/>
  <c r="E98" i="8"/>
  <c r="E99" i="8"/>
  <c r="E96" i="8"/>
  <c r="E95" i="8"/>
  <c r="D70" i="16"/>
  <c r="D71" i="16"/>
  <c r="D74" i="16"/>
  <c r="D73" i="16"/>
  <c r="D72" i="16"/>
  <c r="E74" i="14" l="1"/>
  <c r="F74" i="16"/>
  <c r="F72" i="16"/>
  <c r="F73" i="16"/>
  <c r="F71" i="16"/>
  <c r="F70" i="16"/>
  <c r="E75" i="16"/>
  <c r="F71" i="14"/>
  <c r="F70" i="14"/>
  <c r="F69" i="14"/>
  <c r="F72" i="14"/>
  <c r="F73" i="14"/>
  <c r="E113" i="15"/>
  <c r="F99" i="8"/>
  <c r="F95" i="8"/>
  <c r="F98" i="8"/>
  <c r="F97" i="8"/>
  <c r="F96" i="8"/>
  <c r="E111" i="15"/>
  <c r="E112" i="15"/>
  <c r="E114" i="15"/>
  <c r="E115" i="15"/>
  <c r="E100" i="8"/>
  <c r="F75" i="16" l="1"/>
  <c r="F74" i="14"/>
  <c r="E116" i="15"/>
  <c r="F115" i="15"/>
  <c r="F114" i="15"/>
  <c r="F113" i="15"/>
  <c r="F112" i="15"/>
  <c r="F100" i="8"/>
  <c r="F111" i="15"/>
  <c r="F116" i="15" l="1"/>
  <c r="C11" i="9"/>
  <c r="L48" i="3" l="1"/>
  <c r="D114" i="15"/>
  <c r="D96" i="8"/>
  <c r="D72" i="14"/>
  <c r="D71" i="14"/>
  <c r="D97" i="8"/>
  <c r="D113" i="15"/>
  <c r="D95" i="8"/>
  <c r="D115" i="15"/>
  <c r="D111" i="15"/>
  <c r="D69" i="14"/>
  <c r="D70" i="14"/>
  <c r="D98" i="8"/>
  <c r="D112" i="15"/>
  <c r="C8" i="9" l="1"/>
  <c r="R75" i="3"/>
  <c r="R74" i="3"/>
  <c r="R72" i="3"/>
  <c r="R71" i="3"/>
  <c r="R70" i="3"/>
  <c r="R69" i="3"/>
  <c r="R68" i="3"/>
  <c r="R67" i="3"/>
  <c r="R66" i="3"/>
  <c r="C6" i="9" l="1"/>
  <c r="L71" i="3"/>
  <c r="M71" i="3" s="1"/>
  <c r="M68" i="3"/>
  <c r="AP8" i="13" l="1"/>
  <c r="FA11" i="9"/>
  <c r="FD11" i="9" s="1"/>
  <c r="FA9" i="9"/>
  <c r="FA8" i="9"/>
  <c r="FA7" i="9"/>
  <c r="EP11" i="9"/>
  <c r="ES11" i="9" s="1"/>
  <c r="EP9" i="9"/>
  <c r="EP8" i="9"/>
  <c r="EP7" i="9"/>
  <c r="AN10" i="13"/>
  <c r="AO9" i="13"/>
  <c r="AO10" i="13" s="1"/>
  <c r="AO11" i="13" s="1"/>
  <c r="AO12" i="13" s="1"/>
  <c r="AO13" i="13" s="1"/>
  <c r="AO14" i="13" s="1"/>
  <c r="AO15" i="13" s="1"/>
  <c r="AO16" i="13" s="1"/>
  <c r="AO17" i="13" s="1"/>
  <c r="AO18" i="13" s="1"/>
  <c r="AO19" i="13" s="1"/>
  <c r="AO20" i="13" s="1"/>
  <c r="AO21" i="13" s="1"/>
  <c r="AO22" i="13" s="1"/>
  <c r="AO23" i="13" s="1"/>
  <c r="AO24" i="13" s="1"/>
  <c r="AO25" i="13" s="1"/>
  <c r="AO26" i="13" s="1"/>
  <c r="AO27" i="13" s="1"/>
  <c r="AO28" i="13" s="1"/>
  <c r="AO29" i="13" s="1"/>
  <c r="AO30" i="13" s="1"/>
  <c r="AO31" i="13" s="1"/>
  <c r="AO32" i="13" s="1"/>
  <c r="AO33" i="13" s="1"/>
  <c r="AO34" i="13" s="1"/>
  <c r="AO35" i="13" s="1"/>
  <c r="AO36" i="13" s="1"/>
  <c r="AO37" i="13" s="1"/>
  <c r="AO38" i="13" s="1"/>
  <c r="EE8" i="9"/>
  <c r="EE11" i="9"/>
  <c r="EH11" i="9" s="1"/>
  <c r="EE9" i="9"/>
  <c r="EE7" i="9"/>
  <c r="DT11" i="9"/>
  <c r="DT9" i="9"/>
  <c r="DT7" i="9"/>
  <c r="DT8" i="9"/>
  <c r="FD9" i="9" l="1"/>
  <c r="FA14" i="9"/>
  <c r="FA13" i="9"/>
  <c r="DT13" i="9"/>
  <c r="DW9" i="9"/>
  <c r="DT14" i="9"/>
  <c r="EP13" i="9"/>
  <c r="ES9" i="9"/>
  <c r="EP14" i="9"/>
  <c r="EE13" i="9"/>
  <c r="EH9" i="9"/>
  <c r="EE14" i="9"/>
  <c r="FA16" i="9"/>
  <c r="EH7" i="9"/>
  <c r="EP16" i="9"/>
  <c r="G10" i="15"/>
  <c r="AP9" i="13"/>
  <c r="DW7" i="9"/>
  <c r="F10" i="15"/>
  <c r="DW11" i="9"/>
  <c r="I10" i="15"/>
  <c r="H10" i="15"/>
  <c r="DT15" i="9"/>
  <c r="DT16" i="9"/>
  <c r="EE15" i="9"/>
  <c r="EE16" i="9"/>
  <c r="EP15" i="9"/>
  <c r="FD7" i="9"/>
  <c r="AP10" i="13"/>
  <c r="FA15" i="9"/>
  <c r="ES7" i="9"/>
  <c r="AN11" i="13"/>
  <c r="AP11" i="13" s="1"/>
  <c r="AN12" i="13" l="1"/>
  <c r="AP12" i="13" s="1"/>
  <c r="AN13" i="13" l="1"/>
  <c r="AP13" i="13" s="1"/>
  <c r="AN14" i="13" l="1"/>
  <c r="AP14" i="13" s="1"/>
  <c r="EE6" i="9" l="1"/>
  <c r="AN15" i="13"/>
  <c r="AP15" i="13" s="1"/>
  <c r="E9" i="16" l="1"/>
  <c r="EH6" i="9"/>
  <c r="AN16" i="13"/>
  <c r="AP16" i="13" s="1"/>
  <c r="AN17" i="13" l="1"/>
  <c r="AP17" i="13" s="1"/>
  <c r="AN18" i="13" l="1"/>
  <c r="AP18" i="13" s="1"/>
  <c r="AN19" i="13" l="1"/>
  <c r="AP19" i="13" s="1"/>
  <c r="E11" i="16" l="1"/>
  <c r="EP6" i="9"/>
  <c r="E10" i="16" s="1"/>
  <c r="BF6" i="9"/>
  <c r="AN20" i="13"/>
  <c r="AP20" i="13" s="1"/>
  <c r="FD6" i="9" l="1"/>
  <c r="ES6" i="9"/>
  <c r="AN21" i="13"/>
  <c r="AP21" i="13" s="1"/>
  <c r="AN22" i="13" l="1"/>
  <c r="AP22" i="13" s="1"/>
  <c r="AN23" i="13" l="1"/>
  <c r="AP23" i="13" s="1"/>
  <c r="AN24" i="13" l="1"/>
  <c r="AP24" i="13" s="1"/>
  <c r="AN25" i="13" l="1"/>
  <c r="AP25" i="13" s="1"/>
  <c r="AN26" i="13" l="1"/>
  <c r="AP26" i="13" s="1"/>
  <c r="AN27" i="13" l="1"/>
  <c r="AP27" i="13" s="1"/>
  <c r="AN28" i="13" l="1"/>
  <c r="AP28" i="13" s="1"/>
  <c r="AN29" i="13" l="1"/>
  <c r="AP29" i="13" s="1"/>
  <c r="AN30" i="13" l="1"/>
  <c r="AP30" i="13" s="1"/>
  <c r="AN31" i="13" l="1"/>
  <c r="AP31" i="13" s="1"/>
  <c r="AN32" i="13" l="1"/>
  <c r="AP32" i="13" s="1"/>
  <c r="AN33" i="13" l="1"/>
  <c r="AP33" i="13" s="1"/>
  <c r="AN34" i="13" l="1"/>
  <c r="AP34" i="13" s="1"/>
  <c r="AN35" i="13" l="1"/>
  <c r="AP35" i="13" s="1"/>
  <c r="AN36" i="13" l="1"/>
  <c r="AP36" i="13" s="1"/>
  <c r="AN37" i="13" l="1"/>
  <c r="AP37" i="13" s="1"/>
  <c r="AN38" i="13" l="1"/>
  <c r="AP38" i="13" s="1"/>
  <c r="DT6" i="9" l="1"/>
  <c r="E10" i="15" s="1"/>
  <c r="DW6" i="9" l="1"/>
  <c r="E8" i="16"/>
  <c r="Y10" i="13" l="1"/>
  <c r="Y11" i="13" s="1"/>
  <c r="Y12" i="13" s="1"/>
  <c r="Y13" i="13" s="1"/>
  <c r="Y14" i="13" s="1"/>
  <c r="Y15" i="13" s="1"/>
  <c r="Z9" i="13"/>
  <c r="AA9" i="13" s="1"/>
  <c r="AA8" i="13"/>
  <c r="DI11" i="9"/>
  <c r="DL11" i="9" s="1"/>
  <c r="DI9" i="9"/>
  <c r="DI8" i="9"/>
  <c r="DI7" i="9"/>
  <c r="CX11" i="9"/>
  <c r="DA11" i="9" s="1"/>
  <c r="CX9" i="9"/>
  <c r="CX8" i="9"/>
  <c r="CX7" i="9"/>
  <c r="DI14" i="9" l="1"/>
  <c r="DI13" i="9"/>
  <c r="DL9" i="9"/>
  <c r="CX14" i="9"/>
  <c r="CX13" i="9"/>
  <c r="DA9" i="9"/>
  <c r="DI15" i="9"/>
  <c r="DI16" i="9"/>
  <c r="Y16" i="13"/>
  <c r="Z10" i="13"/>
  <c r="CX15" i="9"/>
  <c r="CX16" i="9"/>
  <c r="DL7" i="9"/>
  <c r="DA7" i="9"/>
  <c r="CM11" i="9"/>
  <c r="CP11" i="9" s="1"/>
  <c r="CM9" i="9"/>
  <c r="CM8" i="9"/>
  <c r="CM7" i="9"/>
  <c r="CB11" i="9"/>
  <c r="CB9" i="9"/>
  <c r="CB8" i="9"/>
  <c r="CB7" i="9"/>
  <c r="CB14" i="9" l="1"/>
  <c r="CB13" i="9"/>
  <c r="CE9" i="9"/>
  <c r="CM14" i="9"/>
  <c r="CM13" i="9"/>
  <c r="CP9" i="9"/>
  <c r="I9" i="15"/>
  <c r="H9" i="15"/>
  <c r="F9" i="15"/>
  <c r="G9" i="15"/>
  <c r="Z11" i="13"/>
  <c r="AA10" i="13"/>
  <c r="Y17" i="13"/>
  <c r="CM15" i="9"/>
  <c r="CM16" i="9"/>
  <c r="CB15" i="9"/>
  <c r="CB16" i="9"/>
  <c r="CP7" i="9"/>
  <c r="Y18" i="13" l="1"/>
  <c r="Z12" i="13"/>
  <c r="AA11" i="13"/>
  <c r="CE11" i="9"/>
  <c r="Z13" i="13" l="1"/>
  <c r="AA12" i="13"/>
  <c r="Y19" i="13"/>
  <c r="CE7" i="9"/>
  <c r="L52" i="3"/>
  <c r="BQ11" i="9"/>
  <c r="BT11" i="9" s="1"/>
  <c r="BF11" i="9"/>
  <c r="BI11" i="9" s="1"/>
  <c r="AU11" i="9"/>
  <c r="AX11" i="9" s="1"/>
  <c r="AJ11" i="9"/>
  <c r="AM11" i="9" s="1"/>
  <c r="Y11" i="9"/>
  <c r="AB11" i="9" s="1"/>
  <c r="N11" i="9"/>
  <c r="Q11" i="9" s="1"/>
  <c r="BQ7" i="9"/>
  <c r="BF7" i="9"/>
  <c r="AU7" i="9"/>
  <c r="AJ7" i="9"/>
  <c r="Y7" i="9"/>
  <c r="N7" i="9"/>
  <c r="C7" i="9"/>
  <c r="C15" i="9" s="1"/>
  <c r="BQ9" i="9"/>
  <c r="BQ8" i="9"/>
  <c r="BF9" i="9"/>
  <c r="BF8" i="9"/>
  <c r="Y9" i="9"/>
  <c r="Y8" i="9"/>
  <c r="L8" i="13"/>
  <c r="L51" i="3"/>
  <c r="J10" i="13"/>
  <c r="J11" i="13" s="1"/>
  <c r="K9" i="13"/>
  <c r="L9" i="13" s="1"/>
  <c r="L49" i="3"/>
  <c r="AU9" i="9"/>
  <c r="AU8" i="9"/>
  <c r="AJ9" i="9"/>
  <c r="AJ8" i="9"/>
  <c r="N9" i="9"/>
  <c r="N8" i="9"/>
  <c r="C9" i="9"/>
  <c r="J51" i="6"/>
  <c r="J50" i="6"/>
  <c r="J49" i="6"/>
  <c r="J48" i="6"/>
  <c r="J47" i="6"/>
  <c r="J46" i="6"/>
  <c r="J45" i="6"/>
  <c r="J44" i="6"/>
  <c r="J43" i="6"/>
  <c r="J42" i="6"/>
  <c r="J41" i="6"/>
  <c r="K40" i="6"/>
  <c r="J40" i="6"/>
  <c r="K39" i="6"/>
  <c r="J39" i="6"/>
  <c r="K38" i="6"/>
  <c r="J38" i="6"/>
  <c r="K37" i="6"/>
  <c r="J37" i="6"/>
  <c r="K36" i="6"/>
  <c r="J36" i="6"/>
  <c r="K35" i="6"/>
  <c r="J35" i="6"/>
  <c r="K34" i="6"/>
  <c r="J34" i="6"/>
  <c r="K33" i="6"/>
  <c r="J33" i="6"/>
  <c r="K32" i="6"/>
  <c r="T8" i="6" s="1"/>
  <c r="J32" i="6"/>
  <c r="K31" i="6"/>
  <c r="J31" i="6"/>
  <c r="K30" i="6"/>
  <c r="J30" i="6"/>
  <c r="K29" i="6"/>
  <c r="J29" i="6"/>
  <c r="K28" i="6"/>
  <c r="J28" i="6"/>
  <c r="K27" i="6"/>
  <c r="J27" i="6"/>
  <c r="K26" i="6"/>
  <c r="J26" i="6"/>
  <c r="K25" i="6"/>
  <c r="J25" i="6"/>
  <c r="K24" i="6"/>
  <c r="T7" i="6" s="1"/>
  <c r="J24" i="6"/>
  <c r="K23" i="6"/>
  <c r="J23" i="6"/>
  <c r="K22" i="6"/>
  <c r="J22" i="6"/>
  <c r="K21" i="6"/>
  <c r="J21" i="6"/>
  <c r="K20" i="6"/>
  <c r="J20" i="6"/>
  <c r="K19" i="6"/>
  <c r="J19" i="6"/>
  <c r="K18" i="6"/>
  <c r="J18" i="6"/>
  <c r="K17" i="6"/>
  <c r="J17" i="6"/>
  <c r="K16" i="6"/>
  <c r="J16" i="6"/>
  <c r="K15" i="6"/>
  <c r="J15" i="6"/>
  <c r="K14" i="6"/>
  <c r="J14" i="6"/>
  <c r="K13" i="6"/>
  <c r="T5" i="6" s="1"/>
  <c r="J13" i="6"/>
  <c r="T9" i="6"/>
  <c r="P9" i="6"/>
  <c r="O9" i="6"/>
  <c r="N9" i="6"/>
  <c r="O8" i="6"/>
  <c r="N8" i="6"/>
  <c r="P8" i="6" s="1"/>
  <c r="O7" i="6"/>
  <c r="P7" i="6" s="1"/>
  <c r="N7" i="6"/>
  <c r="T6" i="6"/>
  <c r="P6" i="6"/>
  <c r="O6" i="6"/>
  <c r="N6" i="6"/>
  <c r="O5" i="6"/>
  <c r="N5" i="6"/>
  <c r="P5" i="6" s="1"/>
  <c r="R12" i="6" s="1"/>
  <c r="P75" i="3"/>
  <c r="L75" i="3"/>
  <c r="M75" i="3" s="1"/>
  <c r="M42" i="3"/>
  <c r="L42" i="3"/>
  <c r="P74" i="3"/>
  <c r="L74" i="3"/>
  <c r="M74" i="3" s="1"/>
  <c r="M41" i="3"/>
  <c r="P72" i="3"/>
  <c r="L72" i="3"/>
  <c r="M72" i="3" s="1"/>
  <c r="U72" i="3" s="1"/>
  <c r="M39" i="3"/>
  <c r="L39" i="3"/>
  <c r="P71" i="3"/>
  <c r="M38" i="3"/>
  <c r="L38" i="3"/>
  <c r="P70" i="3"/>
  <c r="L70" i="3"/>
  <c r="M70" i="3" s="1"/>
  <c r="M37" i="3"/>
  <c r="L37" i="3"/>
  <c r="P69" i="3"/>
  <c r="L69" i="3"/>
  <c r="M69" i="3" s="1"/>
  <c r="U69" i="3" s="1"/>
  <c r="M36" i="3"/>
  <c r="L36" i="3"/>
  <c r="P68" i="3"/>
  <c r="M35" i="3"/>
  <c r="L35" i="3"/>
  <c r="P67" i="3"/>
  <c r="L67" i="3"/>
  <c r="M67" i="3" s="1"/>
  <c r="M34" i="3"/>
  <c r="L34" i="3"/>
  <c r="P66" i="3"/>
  <c r="L66" i="3"/>
  <c r="M66" i="3" s="1"/>
  <c r="M33" i="3"/>
  <c r="L33" i="3"/>
  <c r="P65" i="3"/>
  <c r="Q78" i="3" s="1"/>
  <c r="L65" i="3"/>
  <c r="M65" i="3" s="1"/>
  <c r="M32" i="3"/>
  <c r="L32" i="3"/>
  <c r="G23" i="3"/>
  <c r="C23" i="3"/>
  <c r="E23" i="3" s="1"/>
  <c r="F20" i="3"/>
  <c r="F16" i="3"/>
  <c r="L55" i="3"/>
  <c r="L58" i="3"/>
  <c r="L54" i="3"/>
  <c r="L50" i="3"/>
  <c r="N50" i="3" s="1"/>
  <c r="L53" i="3"/>
  <c r="N53" i="3"/>
  <c r="L57" i="3"/>
  <c r="N52" i="3"/>
  <c r="N49" i="3"/>
  <c r="T10" i="6" l="1"/>
  <c r="T12" i="6" s="1"/>
  <c r="N13" i="9"/>
  <c r="Q9" i="9"/>
  <c r="N14" i="9"/>
  <c r="U75" i="3"/>
  <c r="AB9" i="9"/>
  <c r="Y14" i="9"/>
  <c r="Y13" i="9"/>
  <c r="C24" i="3"/>
  <c r="E24" i="3" s="1"/>
  <c r="G24" i="3" s="1"/>
  <c r="C13" i="9"/>
  <c r="F9" i="9"/>
  <c r="C14" i="9"/>
  <c r="AM9" i="9"/>
  <c r="AJ14" i="9"/>
  <c r="AJ13" i="9"/>
  <c r="BQ14" i="9"/>
  <c r="BQ13" i="9"/>
  <c r="BT9" i="9"/>
  <c r="AX9" i="9"/>
  <c r="AU14" i="9"/>
  <c r="AU13" i="9"/>
  <c r="BF14" i="9"/>
  <c r="BF13" i="9"/>
  <c r="BI9" i="9"/>
  <c r="S82" i="3"/>
  <c r="Q82" i="3"/>
  <c r="Q87" i="3"/>
  <c r="S87" i="3"/>
  <c r="S78" i="3"/>
  <c r="U66" i="3"/>
  <c r="S81" i="3"/>
  <c r="Q81" i="3"/>
  <c r="S83" i="3"/>
  <c r="Q83" i="3"/>
  <c r="Q79" i="3"/>
  <c r="S79" i="3"/>
  <c r="U74" i="3"/>
  <c r="U67" i="3"/>
  <c r="U68" i="3"/>
  <c r="Q80" i="3"/>
  <c r="S80" i="3"/>
  <c r="U70" i="3"/>
  <c r="U71" i="3"/>
  <c r="Q85" i="3"/>
  <c r="S85" i="3"/>
  <c r="Q88" i="3"/>
  <c r="S88" i="3"/>
  <c r="S84" i="3"/>
  <c r="Q84" i="3"/>
  <c r="C25" i="3"/>
  <c r="BT7" i="9"/>
  <c r="Q7" i="9"/>
  <c r="AB7" i="9"/>
  <c r="AM7" i="9"/>
  <c r="AX7" i="9"/>
  <c r="BI7" i="9"/>
  <c r="BQ15" i="9"/>
  <c r="S41" i="3"/>
  <c r="N54" i="3"/>
  <c r="N58" i="3"/>
  <c r="N55" i="3"/>
  <c r="C16" i="9"/>
  <c r="N51" i="3"/>
  <c r="N57" i="3"/>
  <c r="N15" i="9"/>
  <c r="AJ16" i="9"/>
  <c r="AJ15" i="9"/>
  <c r="N16" i="9"/>
  <c r="AU15" i="9"/>
  <c r="H8" i="15"/>
  <c r="J20" i="15" s="1"/>
  <c r="F11" i="9"/>
  <c r="I8" i="15"/>
  <c r="J21" i="15" s="1"/>
  <c r="G8" i="15"/>
  <c r="J19" i="15" s="1"/>
  <c r="F7" i="9"/>
  <c r="F8" i="15"/>
  <c r="J18" i="15" s="1"/>
  <c r="K10" i="13"/>
  <c r="K11" i="13" s="1"/>
  <c r="K12" i="13" s="1"/>
  <c r="K13" i="13" s="1"/>
  <c r="K14" i="13" s="1"/>
  <c r="K15" i="13" s="1"/>
  <c r="K16" i="13" s="1"/>
  <c r="K17" i="13" s="1"/>
  <c r="K18" i="13" s="1"/>
  <c r="K19" i="13" s="1"/>
  <c r="K20" i="13" s="1"/>
  <c r="K21" i="13" s="1"/>
  <c r="K22" i="13" s="1"/>
  <c r="K23" i="13" s="1"/>
  <c r="K24" i="13" s="1"/>
  <c r="K25" i="13" s="1"/>
  <c r="K26" i="13" s="1"/>
  <c r="K27" i="13" s="1"/>
  <c r="K28" i="13" s="1"/>
  <c r="K29" i="13" s="1"/>
  <c r="K30" i="13" s="1"/>
  <c r="K31" i="13" s="1"/>
  <c r="K32" i="13" s="1"/>
  <c r="K33" i="13" s="1"/>
  <c r="K34" i="13" s="1"/>
  <c r="K35" i="13" s="1"/>
  <c r="K36" i="13" s="1"/>
  <c r="K37" i="13" s="1"/>
  <c r="K38" i="13" s="1"/>
  <c r="Y20" i="13"/>
  <c r="Z14" i="13"/>
  <c r="AA13" i="13"/>
  <c r="Q35" i="3"/>
  <c r="N35" i="3"/>
  <c r="P35" i="3" s="1"/>
  <c r="N37" i="3"/>
  <c r="P37" i="3" s="1"/>
  <c r="N41" i="3"/>
  <c r="P41" i="3" s="1"/>
  <c r="J12" i="13"/>
  <c r="AU16" i="9"/>
  <c r="BQ16" i="9"/>
  <c r="Q37" i="3"/>
  <c r="Q32" i="3"/>
  <c r="Q36" i="3"/>
  <c r="Y15" i="9"/>
  <c r="Y16" i="9"/>
  <c r="N34" i="3"/>
  <c r="P34" i="3" s="1"/>
  <c r="BF15" i="9"/>
  <c r="BF16" i="9"/>
  <c r="Q39" i="3"/>
  <c r="N39" i="3"/>
  <c r="P39" i="3" s="1"/>
  <c r="N38" i="3"/>
  <c r="P38" i="3" s="1"/>
  <c r="Q38" i="3"/>
  <c r="S38" i="3"/>
  <c r="S36" i="3"/>
  <c r="S35" i="3"/>
  <c r="Q41" i="3"/>
  <c r="Q42" i="3"/>
  <c r="S42" i="3"/>
  <c r="N32" i="3"/>
  <c r="P32" i="3" s="1"/>
  <c r="N36" i="3"/>
  <c r="P36" i="3" s="1"/>
  <c r="S37" i="3"/>
  <c r="K20" i="15" l="1"/>
  <c r="J30" i="15"/>
  <c r="J24" i="15"/>
  <c r="J27" i="15"/>
  <c r="J26" i="15"/>
  <c r="J25" i="15"/>
  <c r="K19" i="15"/>
  <c r="E25" i="3"/>
  <c r="G25" i="3" s="1"/>
  <c r="C26" i="3"/>
  <c r="L11" i="13"/>
  <c r="L10" i="13"/>
  <c r="Z15" i="13"/>
  <c r="AA14" i="13"/>
  <c r="Y21" i="13"/>
  <c r="L12" i="13"/>
  <c r="J13" i="13"/>
  <c r="N33" i="3"/>
  <c r="P33" i="3" s="1"/>
  <c r="S34" i="3"/>
  <c r="Q33" i="3"/>
  <c r="S33" i="3"/>
  <c r="S39" i="3"/>
  <c r="N42" i="3"/>
  <c r="P42" i="3" s="1"/>
  <c r="Q34" i="3"/>
  <c r="E26" i="3" l="1"/>
  <c r="C27" i="3"/>
  <c r="G26" i="3"/>
  <c r="Y6" i="9"/>
  <c r="Y22" i="13"/>
  <c r="Z16" i="13"/>
  <c r="AA15" i="13"/>
  <c r="J14" i="13"/>
  <c r="L13" i="13"/>
  <c r="E27" i="3" l="1"/>
  <c r="G27" i="3" s="1"/>
  <c r="C28" i="3"/>
  <c r="AB6" i="9"/>
  <c r="E10" i="8"/>
  <c r="F11" i="8" s="1"/>
  <c r="AU6" i="9"/>
  <c r="Z17" i="13"/>
  <c r="AA16" i="13"/>
  <c r="Y23" i="13"/>
  <c r="L14" i="13"/>
  <c r="J15" i="13"/>
  <c r="E28" i="3" l="1"/>
  <c r="G28" i="3" s="1"/>
  <c r="C29" i="3"/>
  <c r="Y24" i="13"/>
  <c r="Z18" i="13"/>
  <c r="AA17" i="13"/>
  <c r="L15" i="13"/>
  <c r="J16" i="13"/>
  <c r="E29" i="3" l="1"/>
  <c r="G29" i="3" s="1"/>
  <c r="C30" i="3"/>
  <c r="Z19" i="13"/>
  <c r="AA18" i="13"/>
  <c r="Y25" i="13"/>
  <c r="L16" i="13"/>
  <c r="J17" i="13"/>
  <c r="E30" i="3" l="1"/>
  <c r="G30" i="3" s="1"/>
  <c r="C31" i="3"/>
  <c r="Y26" i="13"/>
  <c r="Z20" i="13"/>
  <c r="AA19" i="13"/>
  <c r="J18" i="13"/>
  <c r="L17" i="13"/>
  <c r="E31" i="3" l="1"/>
  <c r="G31" i="3" s="1"/>
  <c r="C32" i="3"/>
  <c r="Z21" i="13"/>
  <c r="AA20" i="13"/>
  <c r="Y27" i="13"/>
  <c r="L18" i="13"/>
  <c r="J19" i="13"/>
  <c r="E32" i="3" l="1"/>
  <c r="G32" i="3" s="1"/>
  <c r="C33" i="3"/>
  <c r="Y28" i="13"/>
  <c r="Z22" i="13"/>
  <c r="AA21" i="13"/>
  <c r="J20" i="13"/>
  <c r="L19" i="13"/>
  <c r="E33" i="3" l="1"/>
  <c r="G33" i="3" s="1"/>
  <c r="C34" i="3"/>
  <c r="DI6" i="9"/>
  <c r="CX6" i="9"/>
  <c r="CM6" i="9"/>
  <c r="CB6" i="9"/>
  <c r="Z23" i="13"/>
  <c r="AA22" i="13"/>
  <c r="Y29" i="13"/>
  <c r="L20" i="13"/>
  <c r="J21" i="13"/>
  <c r="E34" i="3" l="1"/>
  <c r="G34" i="3" s="1"/>
  <c r="C35" i="3"/>
  <c r="E9" i="15"/>
  <c r="DA6" i="9"/>
  <c r="F11" i="16"/>
  <c r="CP6" i="9"/>
  <c r="F10" i="16"/>
  <c r="E8" i="14"/>
  <c r="F9" i="14" s="1"/>
  <c r="F9" i="16"/>
  <c r="DL6" i="9"/>
  <c r="E10" i="14"/>
  <c r="F11" i="14" s="1"/>
  <c r="E11" i="14"/>
  <c r="E9" i="14"/>
  <c r="F10" i="14" s="1"/>
  <c r="CE6" i="9"/>
  <c r="Y30" i="13"/>
  <c r="Z24" i="13"/>
  <c r="AA23" i="13"/>
  <c r="J22" i="13"/>
  <c r="L21" i="13"/>
  <c r="E35" i="3" l="1"/>
  <c r="G35" i="3" s="1"/>
  <c r="C36" i="3"/>
  <c r="Z25" i="13"/>
  <c r="AA24" i="13"/>
  <c r="Y31" i="13"/>
  <c r="L22" i="13"/>
  <c r="J23" i="13"/>
  <c r="E36" i="3" l="1"/>
  <c r="G36" i="3" s="1"/>
  <c r="C37" i="3"/>
  <c r="Y32" i="13"/>
  <c r="Z26" i="13"/>
  <c r="AA25" i="13"/>
  <c r="L23" i="13"/>
  <c r="J24" i="13"/>
  <c r="E37" i="3" l="1"/>
  <c r="G37" i="3" s="1"/>
  <c r="C38" i="3"/>
  <c r="Z27" i="13"/>
  <c r="AA27" i="13" s="1"/>
  <c r="AA26" i="13"/>
  <c r="Y33" i="13"/>
  <c r="L24" i="13"/>
  <c r="J25" i="13"/>
  <c r="E38" i="3" l="1"/>
  <c r="G38" i="3" s="1"/>
  <c r="C39" i="3"/>
  <c r="N6" i="9"/>
  <c r="Q6" i="9" s="1"/>
  <c r="AJ6" i="9"/>
  <c r="E12" i="8" s="1"/>
  <c r="BI6" i="9"/>
  <c r="BQ6" i="9"/>
  <c r="E14" i="8" s="1"/>
  <c r="Y34" i="13"/>
  <c r="Z28" i="13"/>
  <c r="L25" i="13"/>
  <c r="J26" i="13"/>
  <c r="E39" i="3" l="1"/>
  <c r="G39" i="3" s="1"/>
  <c r="C40" i="3"/>
  <c r="AX6" i="9"/>
  <c r="E13" i="8"/>
  <c r="F14" i="8" s="1"/>
  <c r="AM6" i="9"/>
  <c r="F13" i="8"/>
  <c r="E8" i="8"/>
  <c r="F9" i="8" s="1"/>
  <c r="E8" i="15"/>
  <c r="J17" i="15" s="1"/>
  <c r="E9" i="8"/>
  <c r="F10" i="8" s="1"/>
  <c r="F6" i="9"/>
  <c r="E11" i="8"/>
  <c r="F12" i="8" s="1"/>
  <c r="BT6" i="9"/>
  <c r="Z29" i="13"/>
  <c r="AA28" i="13"/>
  <c r="Y35" i="13"/>
  <c r="L26" i="13"/>
  <c r="J27" i="13"/>
  <c r="E40" i="3" l="1"/>
  <c r="G40" i="3" s="1"/>
  <c r="C41" i="3"/>
  <c r="Y36" i="13"/>
  <c r="Z30" i="13"/>
  <c r="AA29" i="13"/>
  <c r="L27" i="13"/>
  <c r="J28" i="13"/>
  <c r="E41" i="3" l="1"/>
  <c r="G41" i="3" s="1"/>
  <c r="C42" i="3"/>
  <c r="Z31" i="13"/>
  <c r="AA30" i="13"/>
  <c r="Y37" i="13"/>
  <c r="L28" i="13"/>
  <c r="J29" i="13"/>
  <c r="E42" i="3" l="1"/>
  <c r="G42" i="3" s="1"/>
  <c r="C43" i="3"/>
  <c r="Y38" i="13"/>
  <c r="Z32" i="13"/>
  <c r="AA31" i="13"/>
  <c r="L29" i="13"/>
  <c r="J30" i="13"/>
  <c r="C44" i="3" l="1"/>
  <c r="E43" i="3"/>
  <c r="G43" i="3" s="1"/>
  <c r="Z33" i="13"/>
  <c r="AA32" i="13"/>
  <c r="L30" i="13"/>
  <c r="J31" i="13"/>
  <c r="E44" i="3" l="1"/>
  <c r="G44" i="3" s="1"/>
  <c r="C45" i="3"/>
  <c r="Z34" i="13"/>
  <c r="AA33" i="13"/>
  <c r="L31" i="13"/>
  <c r="J32" i="13"/>
  <c r="E45" i="3" l="1"/>
  <c r="G45" i="3" s="1"/>
  <c r="C46" i="3"/>
  <c r="Z35" i="13"/>
  <c r="AA34" i="13"/>
  <c r="L32" i="13"/>
  <c r="J33" i="13"/>
  <c r="C47" i="3" l="1"/>
  <c r="E46" i="3"/>
  <c r="G46" i="3" s="1"/>
  <c r="Z36" i="13"/>
  <c r="AA35" i="13"/>
  <c r="L33" i="13"/>
  <c r="J34" i="13"/>
  <c r="E47" i="3" l="1"/>
  <c r="G47" i="3" s="1"/>
  <c r="C48" i="3"/>
  <c r="Z37" i="13"/>
  <c r="AA36" i="13"/>
  <c r="L34" i="13"/>
  <c r="J35" i="13"/>
  <c r="E48" i="3" l="1"/>
  <c r="G48" i="3" s="1"/>
  <c r="C49" i="3"/>
  <c r="Z38" i="13"/>
  <c r="AA38" i="13" s="1"/>
  <c r="AA37" i="13"/>
  <c r="L35" i="13"/>
  <c r="J36" i="13"/>
  <c r="E49" i="3" l="1"/>
  <c r="G49" i="3" s="1"/>
  <c r="C50" i="3"/>
  <c r="J37" i="13"/>
  <c r="L36" i="13"/>
  <c r="C51" i="3" l="1"/>
  <c r="E50" i="3"/>
  <c r="G50" i="3" s="1"/>
  <c r="L37" i="13"/>
  <c r="J38" i="13"/>
  <c r="L38" i="13" s="1"/>
  <c r="E51" i="3" l="1"/>
  <c r="G51" i="3" s="1"/>
  <c r="C52" i="3"/>
  <c r="E52" i="3" l="1"/>
  <c r="G52" i="3" s="1"/>
  <c r="C53" i="3"/>
  <c r="E53" i="3" l="1"/>
  <c r="G53" i="3" s="1"/>
  <c r="C54" i="3"/>
  <c r="C55" i="3" l="1"/>
  <c r="E54" i="3"/>
  <c r="G54" i="3" s="1"/>
  <c r="E55" i="3" l="1"/>
  <c r="G55" i="3" s="1"/>
  <c r="C56" i="3"/>
  <c r="E56" i="3" l="1"/>
  <c r="G56" i="3" s="1"/>
  <c r="C57" i="3"/>
  <c r="E57" i="3" l="1"/>
  <c r="G57" i="3" s="1"/>
  <c r="C58" i="3"/>
  <c r="E58" i="3" l="1"/>
  <c r="G58" i="3" s="1"/>
  <c r="C59" i="3"/>
  <c r="E59" i="3" l="1"/>
  <c r="G59" i="3" s="1"/>
  <c r="C60" i="3"/>
  <c r="E60" i="3" l="1"/>
  <c r="G60" i="3" s="1"/>
  <c r="C61" i="3"/>
  <c r="C62" i="3" l="1"/>
  <c r="E61" i="3"/>
  <c r="G61" i="3" s="1"/>
  <c r="E62" i="3" l="1"/>
  <c r="G62" i="3" s="1"/>
  <c r="C63" i="3"/>
  <c r="E63" i="3" l="1"/>
  <c r="G63" i="3" s="1"/>
  <c r="C64" i="3"/>
  <c r="E64" i="3" l="1"/>
  <c r="G64" i="3" s="1"/>
  <c r="C65" i="3"/>
  <c r="E65" i="3" l="1"/>
  <c r="G65" i="3" s="1"/>
  <c r="C66" i="3"/>
  <c r="E66" i="3" l="1"/>
  <c r="G66" i="3" s="1"/>
  <c r="C67" i="3"/>
  <c r="E67" i="3" l="1"/>
  <c r="G67" i="3" s="1"/>
  <c r="C68" i="3"/>
  <c r="E68" i="3" l="1"/>
  <c r="G68" i="3" s="1"/>
  <c r="C69" i="3"/>
  <c r="E69" i="3" l="1"/>
  <c r="G69" i="3" s="1"/>
  <c r="C70" i="3"/>
  <c r="E70" i="3" l="1"/>
  <c r="G70" i="3" s="1"/>
  <c r="C71" i="3"/>
  <c r="E71" i="3" l="1"/>
  <c r="G71" i="3" s="1"/>
  <c r="C72" i="3"/>
  <c r="C73" i="3" l="1"/>
  <c r="E72" i="3"/>
  <c r="G72" i="3" s="1"/>
  <c r="E73" i="3" l="1"/>
  <c r="G73" i="3" s="1"/>
  <c r="C74" i="3"/>
  <c r="E74" i="3" l="1"/>
  <c r="G74" i="3" s="1"/>
  <c r="C75" i="3"/>
  <c r="E75" i="3" l="1"/>
  <c r="G75" i="3" s="1"/>
  <c r="C76" i="3"/>
  <c r="E76" i="3" l="1"/>
  <c r="G76" i="3" s="1"/>
  <c r="C77" i="3"/>
  <c r="E77" i="3" l="1"/>
  <c r="G77" i="3" s="1"/>
  <c r="C78" i="3"/>
  <c r="E78" i="3" l="1"/>
  <c r="G78" i="3" s="1"/>
  <c r="C79" i="3"/>
  <c r="E79" i="3" l="1"/>
  <c r="G79" i="3" s="1"/>
  <c r="C80" i="3"/>
  <c r="E80" i="3" l="1"/>
  <c r="G80" i="3" s="1"/>
  <c r="C81" i="3"/>
  <c r="E81" i="3" l="1"/>
  <c r="G81" i="3" s="1"/>
  <c r="C82" i="3"/>
  <c r="E82" i="3" l="1"/>
  <c r="G82" i="3" s="1"/>
  <c r="C83" i="3"/>
  <c r="E83" i="3" l="1"/>
  <c r="G83" i="3" s="1"/>
  <c r="C84" i="3"/>
  <c r="E84" i="3" l="1"/>
  <c r="G84" i="3" s="1"/>
  <c r="C85" i="3"/>
  <c r="E85" i="3" l="1"/>
  <c r="G85" i="3" s="1"/>
  <c r="C86" i="3"/>
  <c r="E86" i="3" l="1"/>
  <c r="G86" i="3" s="1"/>
  <c r="C87" i="3"/>
  <c r="E87" i="3" l="1"/>
  <c r="G87" i="3" s="1"/>
  <c r="C88" i="3"/>
  <c r="E88" i="3" l="1"/>
  <c r="G88" i="3" s="1"/>
  <c r="C89" i="3"/>
  <c r="C90" i="3" l="1"/>
  <c r="E89" i="3"/>
  <c r="G89" i="3" s="1"/>
  <c r="E90" i="3" l="1"/>
  <c r="G90" i="3" s="1"/>
  <c r="C91" i="3"/>
  <c r="E91" i="3" l="1"/>
  <c r="G91" i="3" s="1"/>
  <c r="C92" i="3"/>
  <c r="E92" i="3" l="1"/>
  <c r="G92" i="3" s="1"/>
  <c r="C93" i="3"/>
  <c r="E93" i="3" l="1"/>
  <c r="G93" i="3" s="1"/>
  <c r="C94" i="3"/>
  <c r="E94" i="3" l="1"/>
  <c r="G94" i="3" s="1"/>
  <c r="C95" i="3"/>
  <c r="E95" i="3" l="1"/>
  <c r="G95" i="3" s="1"/>
  <c r="C96" i="3"/>
  <c r="E96" i="3" l="1"/>
  <c r="G96" i="3" s="1"/>
  <c r="C97" i="3"/>
  <c r="C98" i="3" l="1"/>
  <c r="E97" i="3"/>
  <c r="G97" i="3" s="1"/>
  <c r="E98" i="3" l="1"/>
  <c r="G98" i="3" s="1"/>
  <c r="C99" i="3"/>
  <c r="E99" i="3" l="1"/>
  <c r="G99" i="3" s="1"/>
  <c r="C100" i="3"/>
  <c r="C101" i="3" l="1"/>
  <c r="E100" i="3"/>
  <c r="G100" i="3" s="1"/>
  <c r="E101" i="3" l="1"/>
  <c r="G101" i="3" s="1"/>
  <c r="C102" i="3"/>
  <c r="E102" i="3" l="1"/>
  <c r="G102" i="3" s="1"/>
  <c r="C103" i="3"/>
  <c r="E103" i="3" l="1"/>
  <c r="G103" i="3" s="1"/>
  <c r="C104" i="3"/>
  <c r="C105" i="3" l="1"/>
  <c r="E104" i="3"/>
  <c r="G104" i="3" s="1"/>
  <c r="E105" i="3" l="1"/>
  <c r="G105" i="3" s="1"/>
  <c r="C106" i="3"/>
  <c r="E106" i="3" l="1"/>
  <c r="G106" i="3" s="1"/>
  <c r="C107" i="3"/>
  <c r="E107" i="3" l="1"/>
  <c r="G107" i="3" s="1"/>
  <c r="C108" i="3"/>
  <c r="C109" i="3" l="1"/>
  <c r="E108" i="3"/>
  <c r="G108" i="3" s="1"/>
  <c r="E109" i="3" l="1"/>
  <c r="G109" i="3" s="1"/>
  <c r="C110" i="3"/>
  <c r="E110" i="3" l="1"/>
  <c r="G110" i="3" s="1"/>
  <c r="C111" i="3"/>
  <c r="E111" i="3" l="1"/>
  <c r="G111" i="3" s="1"/>
  <c r="C112" i="3"/>
  <c r="E112" i="3" l="1"/>
  <c r="G112" i="3" s="1"/>
  <c r="C113" i="3"/>
  <c r="E113" i="3" l="1"/>
  <c r="G113" i="3" s="1"/>
  <c r="C114" i="3"/>
  <c r="E114" i="3" l="1"/>
  <c r="G114" i="3" s="1"/>
  <c r="C115" i="3"/>
  <c r="C116" i="3" l="1"/>
  <c r="E115" i="3"/>
  <c r="G115" i="3" s="1"/>
  <c r="E116" i="3" l="1"/>
  <c r="G116" i="3" s="1"/>
  <c r="C117" i="3"/>
  <c r="E117" i="3" l="1"/>
  <c r="G117" i="3" s="1"/>
  <c r="C118" i="3"/>
  <c r="E118" i="3" l="1"/>
  <c r="G118" i="3" s="1"/>
  <c r="C119" i="3"/>
  <c r="E119" i="3" l="1"/>
  <c r="G119" i="3" s="1"/>
  <c r="C120" i="3"/>
  <c r="E120" i="3" l="1"/>
  <c r="G120" i="3" s="1"/>
  <c r="C121" i="3"/>
  <c r="E121" i="3" l="1"/>
  <c r="G121" i="3" s="1"/>
  <c r="C122" i="3"/>
  <c r="E122" i="3" l="1"/>
  <c r="G122" i="3" s="1"/>
  <c r="C123" i="3"/>
  <c r="E123" i="3" l="1"/>
  <c r="G123" i="3" s="1"/>
  <c r="C124" i="3"/>
  <c r="E124" i="3" l="1"/>
  <c r="G124" i="3" s="1"/>
  <c r="C125" i="3"/>
  <c r="E125" i="3" l="1"/>
  <c r="G125" i="3" s="1"/>
  <c r="C126" i="3"/>
  <c r="E126" i="3" l="1"/>
  <c r="G126" i="3" s="1"/>
  <c r="C127" i="3"/>
  <c r="E127" i="3" l="1"/>
  <c r="G127" i="3" s="1"/>
  <c r="C128" i="3"/>
  <c r="E128" i="3" l="1"/>
  <c r="G128" i="3" s="1"/>
  <c r="C129" i="3"/>
  <c r="E129" i="3" l="1"/>
  <c r="G129" i="3" s="1"/>
  <c r="C130" i="3"/>
  <c r="E130" i="3" l="1"/>
  <c r="G130" i="3" s="1"/>
  <c r="C131" i="3"/>
  <c r="E131" i="3" l="1"/>
  <c r="G131" i="3" s="1"/>
  <c r="C132" i="3"/>
  <c r="E132" i="3" l="1"/>
  <c r="G132" i="3" s="1"/>
  <c r="C133" i="3"/>
  <c r="E133" i="3" l="1"/>
  <c r="G133" i="3" s="1"/>
  <c r="C134" i="3"/>
  <c r="E134" i="3" l="1"/>
  <c r="G134" i="3" s="1"/>
  <c r="C135" i="3"/>
  <c r="E135" i="3" l="1"/>
  <c r="G135" i="3" s="1"/>
  <c r="C136" i="3"/>
  <c r="E136" i="3" l="1"/>
  <c r="G136" i="3" s="1"/>
  <c r="C137" i="3"/>
  <c r="E137" i="3" l="1"/>
  <c r="G137" i="3" s="1"/>
  <c r="C138" i="3"/>
  <c r="E138" i="3" l="1"/>
  <c r="G138" i="3" s="1"/>
  <c r="C139" i="3"/>
  <c r="E139" i="3" l="1"/>
  <c r="G139" i="3" s="1"/>
  <c r="C140" i="3"/>
  <c r="E140" i="3" l="1"/>
  <c r="G140" i="3" s="1"/>
  <c r="C141" i="3"/>
  <c r="E141" i="3" l="1"/>
  <c r="G141" i="3" s="1"/>
  <c r="C142" i="3"/>
  <c r="E142" i="3" l="1"/>
  <c r="G142" i="3" s="1"/>
  <c r="C143" i="3"/>
  <c r="C144" i="3" l="1"/>
  <c r="C173" i="3"/>
  <c r="E143" i="3"/>
  <c r="G143" i="3" s="1"/>
  <c r="E173" i="3" l="1"/>
  <c r="C174" i="3"/>
  <c r="E144" i="3"/>
  <c r="G144" i="3" s="1"/>
  <c r="C145" i="3"/>
  <c r="E174" i="3" l="1"/>
  <c r="C175" i="3"/>
  <c r="E145" i="3"/>
  <c r="G145" i="3" s="1"/>
  <c r="C146" i="3"/>
  <c r="E146" i="3" l="1"/>
  <c r="G146" i="3" s="1"/>
  <c r="C147" i="3"/>
  <c r="E175" i="3"/>
  <c r="C176" i="3"/>
  <c r="E176" i="3" l="1"/>
  <c r="C177" i="3"/>
  <c r="E147" i="3"/>
  <c r="G147" i="3" s="1"/>
  <c r="C148" i="3"/>
  <c r="E148" i="3" l="1"/>
  <c r="G148" i="3" s="1"/>
  <c r="C149" i="3"/>
  <c r="E177" i="3"/>
  <c r="C178" i="3"/>
  <c r="E178" i="3" l="1"/>
  <c r="C179" i="3"/>
  <c r="E149" i="3"/>
  <c r="G149" i="3" s="1"/>
  <c r="C150" i="3"/>
  <c r="E150" i="3" l="1"/>
  <c r="G150" i="3" s="1"/>
  <c r="C151" i="3"/>
  <c r="E179" i="3"/>
  <c r="C180" i="3"/>
  <c r="C181" i="3" l="1"/>
  <c r="E180" i="3"/>
  <c r="C152" i="3"/>
  <c r="E151" i="3"/>
  <c r="G151" i="3" s="1"/>
  <c r="E152" i="3" l="1"/>
  <c r="G152" i="3" s="1"/>
  <c r="C153" i="3"/>
  <c r="E181" i="3"/>
  <c r="C182" i="3"/>
  <c r="E182" i="3" l="1"/>
  <c r="C183" i="3"/>
  <c r="E153" i="3"/>
  <c r="G153" i="3" s="1"/>
  <c r="C154" i="3"/>
  <c r="C155" i="3" l="1"/>
  <c r="E154" i="3"/>
  <c r="G154" i="3" s="1"/>
  <c r="C184" i="3"/>
  <c r="E183" i="3"/>
  <c r="E184" i="3" l="1"/>
  <c r="C214" i="3"/>
  <c r="C185" i="3"/>
  <c r="E155" i="3"/>
  <c r="G155" i="3" s="1"/>
  <c r="C156" i="3"/>
  <c r="E156" i="3" l="1"/>
  <c r="G156" i="3" s="1"/>
  <c r="C157" i="3"/>
  <c r="E185" i="3"/>
  <c r="C186" i="3"/>
  <c r="E214" i="3"/>
  <c r="C215" i="3"/>
  <c r="E186" i="3" l="1"/>
  <c r="C187" i="3"/>
  <c r="E157" i="3"/>
  <c r="G157" i="3" s="1"/>
  <c r="C158" i="3"/>
  <c r="E215" i="3"/>
  <c r="C216" i="3"/>
  <c r="C159" i="3" l="1"/>
  <c r="E158" i="3"/>
  <c r="G158" i="3" s="1"/>
  <c r="E187" i="3"/>
  <c r="C188" i="3"/>
  <c r="C217" i="3"/>
  <c r="E216" i="3"/>
  <c r="E188" i="3" l="1"/>
  <c r="C189" i="3"/>
  <c r="E159" i="3"/>
  <c r="G159" i="3" s="1"/>
  <c r="C160" i="3"/>
  <c r="E217" i="3"/>
  <c r="C218" i="3"/>
  <c r="E160" i="3" l="1"/>
  <c r="G160" i="3" s="1"/>
  <c r="C161" i="3"/>
  <c r="E189" i="3"/>
  <c r="C190" i="3"/>
  <c r="E218" i="3"/>
  <c r="C219" i="3"/>
  <c r="E190" i="3" l="1"/>
  <c r="C191" i="3"/>
  <c r="E161" i="3"/>
  <c r="G161" i="3" s="1"/>
  <c r="C162" i="3"/>
  <c r="C220" i="3"/>
  <c r="E219" i="3"/>
  <c r="E191" i="3" l="1"/>
  <c r="C192" i="3"/>
  <c r="C163" i="3"/>
  <c r="E162" i="3"/>
  <c r="G162" i="3" s="1"/>
  <c r="E220" i="3"/>
  <c r="C221" i="3"/>
  <c r="E163" i="3" l="1"/>
  <c r="G163" i="3" s="1"/>
  <c r="C164" i="3"/>
  <c r="E192" i="3"/>
  <c r="C193" i="3"/>
  <c r="E221" i="3"/>
  <c r="C222" i="3"/>
  <c r="E193" i="3" l="1"/>
  <c r="C194" i="3"/>
  <c r="E164" i="3"/>
  <c r="G164" i="3" s="1"/>
  <c r="C165" i="3"/>
  <c r="E222" i="3"/>
  <c r="C223" i="3"/>
  <c r="E165" i="3" l="1"/>
  <c r="G165" i="3" s="1"/>
  <c r="C166" i="3"/>
  <c r="E194" i="3"/>
  <c r="C195" i="3"/>
  <c r="E195" i="3" s="1"/>
  <c r="E223" i="3"/>
  <c r="C224" i="3"/>
  <c r="E166" i="3" l="1"/>
  <c r="G166" i="3" s="1"/>
  <c r="C196" i="3"/>
  <c r="C167" i="3"/>
  <c r="E224" i="3"/>
  <c r="C225" i="3"/>
  <c r="E225" i="3" l="1"/>
  <c r="C226" i="3"/>
  <c r="E226" i="3" s="1"/>
  <c r="E167" i="3"/>
  <c r="G167" i="3" s="1"/>
  <c r="C168" i="3"/>
  <c r="E196" i="3"/>
  <c r="C197" i="3"/>
  <c r="E168" i="3" l="1"/>
  <c r="G168" i="3" s="1"/>
  <c r="C169" i="3"/>
  <c r="C227" i="3"/>
  <c r="C198" i="3"/>
  <c r="E197" i="3"/>
  <c r="C199" i="3" l="1"/>
  <c r="E198" i="3"/>
  <c r="E227" i="3"/>
  <c r="C228" i="3"/>
  <c r="C170" i="3"/>
  <c r="E169" i="3"/>
  <c r="G169" i="3" s="1"/>
  <c r="E228" i="3" l="1"/>
  <c r="C229" i="3"/>
  <c r="E199" i="3"/>
  <c r="C200" i="3"/>
  <c r="E170" i="3"/>
  <c r="G170" i="3" s="1"/>
  <c r="C171" i="3"/>
  <c r="E200" i="3" l="1"/>
  <c r="C201" i="3"/>
  <c r="E229" i="3"/>
  <c r="C230" i="3"/>
  <c r="E171" i="3"/>
  <c r="G171" i="3" s="1"/>
  <c r="G172" i="3" s="1"/>
  <c r="G173" i="3" s="1"/>
  <c r="G174" i="3" s="1"/>
  <c r="G175" i="3" s="1"/>
  <c r="G176" i="3" s="1"/>
  <c r="G177" i="3" s="1"/>
  <c r="G178" i="3" s="1"/>
  <c r="G179" i="3" s="1"/>
  <c r="G180" i="3" s="1"/>
  <c r="G181" i="3" s="1"/>
  <c r="G182" i="3" s="1"/>
  <c r="G183" i="3" s="1"/>
  <c r="G184" i="3" s="1"/>
  <c r="G185" i="3" s="1"/>
  <c r="G186" i="3" s="1"/>
  <c r="G187" i="3" s="1"/>
  <c r="G188" i="3" s="1"/>
  <c r="G189" i="3" s="1"/>
  <c r="G190" i="3" s="1"/>
  <c r="G191" i="3" s="1"/>
  <c r="G192" i="3" s="1"/>
  <c r="G193" i="3" s="1"/>
  <c r="G194" i="3" s="1"/>
  <c r="G195" i="3" s="1"/>
  <c r="G196" i="3" s="1"/>
  <c r="G197" i="3" s="1"/>
  <c r="G198" i="3" s="1"/>
  <c r="G199" i="3" s="1"/>
  <c r="G200" i="3" s="1"/>
  <c r="C172" i="3"/>
  <c r="E172" i="3" s="1"/>
  <c r="E201" i="3" l="1"/>
  <c r="G201" i="3" s="1"/>
  <c r="C202" i="3"/>
  <c r="E230" i="3"/>
  <c r="C231" i="3"/>
  <c r="E231" i="3" l="1"/>
  <c r="C232" i="3"/>
  <c r="E202" i="3"/>
  <c r="G202" i="3" s="1"/>
  <c r="C203" i="3"/>
  <c r="E203" i="3" l="1"/>
  <c r="G203" i="3" s="1"/>
  <c r="C204" i="3"/>
  <c r="E232" i="3"/>
  <c r="C233" i="3"/>
  <c r="E233" i="3" l="1"/>
  <c r="C234" i="3"/>
  <c r="E204" i="3"/>
  <c r="G204" i="3" s="1"/>
  <c r="C205" i="3"/>
  <c r="C206" i="3" l="1"/>
  <c r="E205" i="3"/>
  <c r="G205" i="3" s="1"/>
  <c r="C235" i="3"/>
  <c r="E234" i="3"/>
  <c r="E235" i="3" l="1"/>
  <c r="C236" i="3"/>
  <c r="E206" i="3"/>
  <c r="G206" i="3" s="1"/>
  <c r="C207" i="3"/>
  <c r="E207" i="3" l="1"/>
  <c r="G207" i="3" s="1"/>
  <c r="C208" i="3"/>
  <c r="E236" i="3"/>
  <c r="C237" i="3"/>
  <c r="E237" i="3" l="1"/>
  <c r="C238" i="3"/>
  <c r="E238" i="3" s="1"/>
  <c r="C209" i="3"/>
  <c r="E208" i="3"/>
  <c r="G208" i="3" s="1"/>
  <c r="E209" i="3" l="1"/>
  <c r="G209" i="3" s="1"/>
  <c r="C239" i="3"/>
  <c r="C210" i="3"/>
  <c r="E239" i="3" l="1"/>
  <c r="C240" i="3"/>
  <c r="E210" i="3"/>
  <c r="G210" i="3" s="1"/>
  <c r="C211" i="3"/>
  <c r="E211" i="3" l="1"/>
  <c r="G211" i="3" s="1"/>
  <c r="C212" i="3"/>
  <c r="E240" i="3"/>
  <c r="C241" i="3"/>
  <c r="E241" i="3" l="1"/>
  <c r="C242" i="3"/>
  <c r="C213" i="3"/>
  <c r="E213" i="3" s="1"/>
  <c r="E212" i="3"/>
  <c r="G212" i="3" s="1"/>
  <c r="G213" i="3" s="1"/>
  <c r="G214" i="3" s="1"/>
  <c r="G215" i="3" s="1"/>
  <c r="G216" i="3" s="1"/>
  <c r="G217" i="3" s="1"/>
  <c r="G218" i="3" s="1"/>
  <c r="G219" i="3" s="1"/>
  <c r="G220" i="3" s="1"/>
  <c r="G221" i="3" s="1"/>
  <c r="G222" i="3" s="1"/>
  <c r="G223" i="3" s="1"/>
  <c r="G224" i="3" s="1"/>
  <c r="G225" i="3" s="1"/>
  <c r="G226" i="3" s="1"/>
  <c r="G227" i="3" s="1"/>
  <c r="G228" i="3" s="1"/>
  <c r="G229" i="3" s="1"/>
  <c r="G230" i="3" s="1"/>
  <c r="G231" i="3" s="1"/>
  <c r="G232" i="3" s="1"/>
  <c r="G233" i="3" s="1"/>
  <c r="G234" i="3" s="1"/>
  <c r="G235" i="3" s="1"/>
  <c r="G236" i="3" s="1"/>
  <c r="G237" i="3" s="1"/>
  <c r="G238" i="3" s="1"/>
  <c r="G239" i="3" s="1"/>
  <c r="G240" i="3" s="1"/>
  <c r="G241" i="3" s="1"/>
  <c r="E242" i="3" l="1"/>
  <c r="G242" i="3" s="1"/>
  <c r="C243" i="3"/>
  <c r="E243" i="3" l="1"/>
  <c r="G243" i="3" s="1"/>
  <c r="C244" i="3"/>
  <c r="E244" i="3" l="1"/>
  <c r="G244" i="3" s="1"/>
  <c r="C245" i="3"/>
  <c r="E245" i="3" l="1"/>
  <c r="G245" i="3" s="1"/>
  <c r="C246" i="3"/>
  <c r="E246" i="3" l="1"/>
  <c r="G246" i="3" s="1"/>
  <c r="C247" i="3"/>
  <c r="E247" i="3" l="1"/>
  <c r="G247" i="3" s="1"/>
  <c r="C248" i="3"/>
  <c r="C249" i="3" l="1"/>
  <c r="E248" i="3"/>
  <c r="G248" i="3" s="1"/>
  <c r="E249" i="3" l="1"/>
  <c r="G249" i="3" s="1"/>
  <c r="C250" i="3"/>
  <c r="E250" i="3" l="1"/>
  <c r="G250" i="3" s="1"/>
  <c r="C251" i="3"/>
  <c r="C252" i="3" l="1"/>
  <c r="E251" i="3"/>
  <c r="G251" i="3" s="1"/>
  <c r="C253" i="3" l="1"/>
  <c r="E252" i="3"/>
  <c r="G252" i="3" s="1"/>
  <c r="E253" i="3" l="1"/>
  <c r="G253" i="3" s="1"/>
  <c r="C254" i="3"/>
  <c r="C255" i="3" l="1"/>
  <c r="E254" i="3"/>
  <c r="G254" i="3" s="1"/>
  <c r="E255" i="3" l="1"/>
  <c r="G255" i="3" s="1"/>
  <c r="C256" i="3"/>
  <c r="E256" i="3" l="1"/>
  <c r="G256" i="3" s="1"/>
  <c r="C257" i="3"/>
  <c r="E257" i="3" l="1"/>
  <c r="G257" i="3" s="1"/>
  <c r="C258" i="3"/>
  <c r="E258" i="3" l="1"/>
  <c r="G258" i="3" s="1"/>
  <c r="C259" i="3"/>
  <c r="C260" i="3" l="1"/>
  <c r="E259" i="3"/>
  <c r="G259" i="3" s="1"/>
  <c r="C261" i="3" l="1"/>
  <c r="E260" i="3"/>
  <c r="G260" i="3" s="1"/>
  <c r="E261" i="3" l="1"/>
  <c r="G261" i="3" s="1"/>
  <c r="C262" i="3"/>
  <c r="C263" i="3" l="1"/>
  <c r="E262" i="3"/>
  <c r="G262" i="3" s="1"/>
  <c r="E263" i="3" l="1"/>
  <c r="G263" i="3" s="1"/>
  <c r="C264" i="3"/>
  <c r="E264" i="3" l="1"/>
  <c r="G264" i="3" s="1"/>
  <c r="C265" i="3"/>
  <c r="E265" i="3" l="1"/>
  <c r="G265" i="3" s="1"/>
  <c r="C266" i="3"/>
  <c r="C267" i="3" l="1"/>
  <c r="E266" i="3"/>
  <c r="G266" i="3" s="1"/>
  <c r="C268" i="3" l="1"/>
  <c r="E267" i="3"/>
  <c r="G267" i="3" s="1"/>
  <c r="E268" i="3" l="1"/>
  <c r="G268" i="3" s="1"/>
  <c r="C269" i="3"/>
  <c r="E269" i="3" l="1"/>
  <c r="G269" i="3" s="1"/>
  <c r="C270" i="3"/>
  <c r="E270" i="3" s="1"/>
  <c r="G270" i="3" l="1"/>
  <c r="E5" i="3" s="1"/>
  <c r="E9" i="3" s="1"/>
  <c r="F5" i="3" l="1"/>
  <c r="F7" i="3" s="1"/>
  <c r="F6" i="3"/>
  <c r="F10" i="3"/>
  <c r="F9" i="3"/>
  <c r="F11" i="3" s="1"/>
</calcChain>
</file>

<file path=xl/sharedStrings.xml><?xml version="1.0" encoding="utf-8"?>
<sst xmlns="http://schemas.openxmlformats.org/spreadsheetml/2006/main" count="23966" uniqueCount="7370">
  <si>
    <t>SP_Archer01_Static</t>
  </si>
  <si>
    <t>SP_Archer02_Static</t>
  </si>
  <si>
    <t>PF_Archer01_Static</t>
  </si>
  <si>
    <t>PF_Archer02_Static</t>
  </si>
  <si>
    <t>SP_BakerWoman</t>
  </si>
  <si>
    <t>PF_BakerWoman</t>
  </si>
  <si>
    <t>PF_Cow</t>
  </si>
  <si>
    <t>PF_Horse</t>
  </si>
  <si>
    <t>PF_Merida</t>
  </si>
  <si>
    <t>-</t>
  </si>
  <si>
    <t>SP_DrunkenMan</t>
  </si>
  <si>
    <t>SP_Archer01</t>
  </si>
  <si>
    <t>SP_Archer02</t>
  </si>
  <si>
    <t>PF_Archer01</t>
  </si>
  <si>
    <t>PF_Archer02</t>
  </si>
  <si>
    <t>SP_Merida</t>
  </si>
  <si>
    <t>SP_Cow</t>
  </si>
  <si>
    <t>SP_Horse</t>
  </si>
  <si>
    <t>PF_Horse_Static</t>
  </si>
  <si>
    <t>SP_Horse_Static</t>
  </si>
  <si>
    <t>PF_Gargoyle</t>
  </si>
  <si>
    <t>SP_Gargoyle</t>
  </si>
  <si>
    <t>PF_GoodJunkBottle</t>
  </si>
  <si>
    <t>PF_Bomber</t>
  </si>
  <si>
    <t>PF_Kamikaze</t>
  </si>
  <si>
    <t>SP_Bomber</t>
  </si>
  <si>
    <t>SP_Kamikaze</t>
  </si>
  <si>
    <t>PF_HangingCage</t>
  </si>
  <si>
    <t>PF_FlyingPig</t>
  </si>
  <si>
    <t>PF_Hawk</t>
  </si>
  <si>
    <t>PF_LionBird</t>
  </si>
  <si>
    <t>PF_MineBig</t>
  </si>
  <si>
    <t>PF_MineBig_Static</t>
  </si>
  <si>
    <t>PF_MineMedium</t>
  </si>
  <si>
    <t>PF_BatBig_Flock</t>
  </si>
  <si>
    <t>PF_BatSmall01_Flock</t>
  </si>
  <si>
    <t>PF_BatSmall02_Flock</t>
  </si>
  <si>
    <t>PF_Ghost01</t>
  </si>
  <si>
    <t>PF_Ghost02</t>
  </si>
  <si>
    <t>PF_Ghost03</t>
  </si>
  <si>
    <t>SP_BatBig_Flock</t>
  </si>
  <si>
    <t>SP_BatSmall01_Flock</t>
  </si>
  <si>
    <t>SP_BatSmall02_Flock</t>
  </si>
  <si>
    <t>SP_Ghost01</t>
  </si>
  <si>
    <t>SP_Ghost02</t>
  </si>
  <si>
    <t>SP_Ghost03</t>
  </si>
  <si>
    <t>SP_MineBig</t>
  </si>
  <si>
    <t>SP_MineBig_Static</t>
  </si>
  <si>
    <t>SP_MineMedium</t>
  </si>
  <si>
    <t>SP_Hawk</t>
  </si>
  <si>
    <t>SP_FlyingPig</t>
  </si>
  <si>
    <t>SP_EnemyTier0</t>
  </si>
  <si>
    <t>SP_EnemyTier1</t>
  </si>
  <si>
    <t>SP_EnemyTier2</t>
  </si>
  <si>
    <t>SP_EnemyTier3</t>
  </si>
  <si>
    <t>SP_EnemyTier4</t>
  </si>
  <si>
    <t>PF_BoatFisher</t>
  </si>
  <si>
    <t>PF_BoatRider</t>
  </si>
  <si>
    <t>SP_BoatFisher</t>
  </si>
  <si>
    <t>SP_BoatRider</t>
  </si>
  <si>
    <t>PF_Crocodile</t>
  </si>
  <si>
    <t>PF_Crocodile_Evade</t>
  </si>
  <si>
    <t>PF_Fish01_Generic</t>
  </si>
  <si>
    <t>PF_Fish02_Generic</t>
  </si>
  <si>
    <t>PF_Fish03_Generic</t>
  </si>
  <si>
    <t>SP_Crocodile</t>
  </si>
  <si>
    <t>SP_Crocodile_Evade</t>
  </si>
  <si>
    <t>SP_Fish01_Generic</t>
  </si>
  <si>
    <t>SP_Fish02_Generic</t>
  </si>
  <si>
    <t>SP_Fish03_Generic</t>
  </si>
  <si>
    <t>Archer01</t>
  </si>
  <si>
    <t>Archer02</t>
  </si>
  <si>
    <t>BakerWoman</t>
  </si>
  <si>
    <t>BoatFisher</t>
  </si>
  <si>
    <t>Cow</t>
  </si>
  <si>
    <t>DrunkenMan</t>
  </si>
  <si>
    <t>Horse</t>
  </si>
  <si>
    <t>Merida</t>
  </si>
  <si>
    <t>RichMan</t>
  </si>
  <si>
    <t>Sheep</t>
  </si>
  <si>
    <t>Soldier</t>
  </si>
  <si>
    <t>SpiderRed</t>
  </si>
  <si>
    <t>SpiderSmall</t>
  </si>
  <si>
    <t>Villager01</t>
  </si>
  <si>
    <t>Villager02</t>
  </si>
  <si>
    <t>Gargoyle</t>
  </si>
  <si>
    <t>GoodJunkBottle</t>
  </si>
  <si>
    <t>Bomber</t>
  </si>
  <si>
    <t>Kamikaze</t>
  </si>
  <si>
    <t>Spartakus</t>
  </si>
  <si>
    <t>Worker</t>
  </si>
  <si>
    <t>BatBig_Flock</t>
  </si>
  <si>
    <t>BatSmall_Flock</t>
  </si>
  <si>
    <t>PF_Canary01_Flock</t>
  </si>
  <si>
    <t>PF_Canary02_Flock</t>
  </si>
  <si>
    <t>PF_Canary03_Flock</t>
  </si>
  <si>
    <t>PF_Canary04_Flock</t>
  </si>
  <si>
    <t>SP_Canary01_Flock</t>
  </si>
  <si>
    <t>SP_Canary02_Flock</t>
  </si>
  <si>
    <t>SP_Canary03_Flock</t>
  </si>
  <si>
    <t>SP_Canary04_Flock</t>
  </si>
  <si>
    <t>PF_Crow_Flock</t>
  </si>
  <si>
    <t>SP_Crow_Flock</t>
  </si>
  <si>
    <t>Canary01_Flock</t>
  </si>
  <si>
    <t>Canary02_Flock</t>
  </si>
  <si>
    <t>Canary03_Flock</t>
  </si>
  <si>
    <t>Canary04_Flock</t>
  </si>
  <si>
    <t>Crow_Flock</t>
  </si>
  <si>
    <t>EnemyTier0</t>
  </si>
  <si>
    <t>EnemyTier1</t>
  </si>
  <si>
    <t>EnemyTier2</t>
  </si>
  <si>
    <t>EnemyTier3</t>
  </si>
  <si>
    <t>EnemyTier4</t>
  </si>
  <si>
    <t>FlyingPig</t>
  </si>
  <si>
    <t>Ghost01</t>
  </si>
  <si>
    <t>Ghost02</t>
  </si>
  <si>
    <t>Ghost03</t>
  </si>
  <si>
    <t>Hawk</t>
  </si>
  <si>
    <t>LionBird</t>
  </si>
  <si>
    <t>MineBig</t>
  </si>
  <si>
    <t>MineMedium</t>
  </si>
  <si>
    <t>OwlSmall</t>
  </si>
  <si>
    <t>OwlBig</t>
  </si>
  <si>
    <t>Starling_Flock</t>
  </si>
  <si>
    <t>Witch</t>
  </si>
  <si>
    <t>Crocodile</t>
  </si>
  <si>
    <t>Fish01_Generic</t>
  </si>
  <si>
    <t>Fish02_Generic</t>
  </si>
  <si>
    <t>Fish03_Generic</t>
  </si>
  <si>
    <t>SP_GoodJunkBottle</t>
  </si>
  <si>
    <t>SP_LionBird</t>
  </si>
  <si>
    <t>DAMAGE</t>
  </si>
  <si>
    <t>dragon_baby</t>
  </si>
  <si>
    <t>dragon_crocodile</t>
  </si>
  <si>
    <t>dragon_fat</t>
  </si>
  <si>
    <t>dragon_reptile</t>
  </si>
  <si>
    <t>dragon_chinese</t>
  </si>
  <si>
    <t>dragon_bug</t>
  </si>
  <si>
    <t>dragon_classic</t>
  </si>
  <si>
    <t>dragon_balrog</t>
  </si>
  <si>
    <t>dragon_devil</t>
  </si>
  <si>
    <t>dragon_titan</t>
  </si>
  <si>
    <t>HP MIN</t>
  </si>
  <si>
    <t>HP MAX</t>
  </si>
  <si>
    <t>SP_HangingCage</t>
  </si>
  <si>
    <t>HP</t>
  </si>
  <si>
    <t>healthDrain</t>
  </si>
  <si>
    <t>healthDrainAmpPerSecond</t>
  </si>
  <si>
    <t>healthDrain(t)</t>
  </si>
  <si>
    <t>healthDrainAmpPerSecond(t)</t>
  </si>
  <si>
    <t>healthDrain(t+1)</t>
  </si>
  <si>
    <t>healthDrain(t+2)</t>
  </si>
  <si>
    <t>TIME TO DIE:</t>
  </si>
  <si>
    <t>GAMEPLAY TIME:</t>
  </si>
  <si>
    <t>TIME TO START DYING</t>
  </si>
  <si>
    <t>sessionStartHealthDrainTime</t>
  </si>
  <si>
    <t>sessionStartHealthDrainModifier</t>
  </si>
  <si>
    <t>TIME(SEC)</t>
  </si>
  <si>
    <t>DIF</t>
  </si>
  <si>
    <t>DRAGONS HP</t>
  </si>
  <si>
    <t>MID</t>
  </si>
  <si>
    <t>DRAGONS DRAIN</t>
  </si>
  <si>
    <t>DRAGONS SPEED</t>
  </si>
  <si>
    <t>FORCE</t>
  </si>
  <si>
    <t>MASS</t>
  </si>
  <si>
    <t>INC / LV</t>
  </si>
  <si>
    <t>FRICTION</t>
  </si>
  <si>
    <t>SPEED</t>
  </si>
  <si>
    <t>DIF PREV DRAGON</t>
  </si>
  <si>
    <t>DRAGONS ENERGY</t>
  </si>
  <si>
    <t>BOOST MULT</t>
  </si>
  <si>
    <t>ENERGY BASE</t>
  </si>
  <si>
    <t>ENERGY DRAIN</t>
  </si>
  <si>
    <t>ENERGY REFILL RATE</t>
  </si>
  <si>
    <t>MAX. SPEED</t>
  </si>
  <si>
    <t>DIF(MAX. SPEED) PREV DRAGON</t>
  </si>
  <si>
    <t>REFILL T.</t>
  </si>
  <si>
    <t>DRAGON_DEFINITIONS</t>
  </si>
  <si>
    <t>DRAGON_HEALTH_MODIFIERS_DEFINITIONS</t>
  </si>
  <si>
    <t>health_modifier_eatmore</t>
  </si>
  <si>
    <t>health_modifier_starving</t>
  </si>
  <si>
    <t>health_modifier_critical</t>
  </si>
  <si>
    <t>THRESHOLD</t>
  </si>
  <si>
    <t>MODIFIER</t>
  </si>
  <si>
    <t>threshold</t>
  </si>
  <si>
    <t>HP applied</t>
  </si>
  <si>
    <t>Damage</t>
  </si>
  <si>
    <t>modifier</t>
  </si>
  <si>
    <t>Final dmg</t>
  </si>
  <si>
    <t>DRAIN/REFILL</t>
  </si>
  <si>
    <t>DRAIN T.</t>
  </si>
  <si>
    <t>HP DRAIN</t>
  </si>
  <si>
    <t>HP AMP SEC.</t>
  </si>
  <si>
    <t>START DRAIN</t>
  </si>
  <si>
    <t>NUM</t>
  </si>
  <si>
    <t>FPS</t>
  </si>
  <si>
    <t>GROUPS</t>
  </si>
  <si>
    <t>Horse Static</t>
  </si>
  <si>
    <t>BALANCE</t>
  </si>
  <si>
    <t>Very heavy</t>
  </si>
  <si>
    <t>Heavy</t>
  </si>
  <si>
    <t>Medium</t>
  </si>
  <si>
    <t>Light</t>
  </si>
  <si>
    <t>Very light</t>
  </si>
  <si>
    <t>QUANTITY</t>
  </si>
  <si>
    <t>ENTITY</t>
  </si>
  <si>
    <t>NORMALIZATION (to Very Light)</t>
  </si>
  <si>
    <t>PROFILER SPAWNER</t>
  </si>
  <si>
    <t>PROP</t>
  </si>
  <si>
    <t>(in build)</t>
  </si>
  <si>
    <t>(selected in cheats)</t>
  </si>
  <si>
    <t>BUDGET USED (in FPS)</t>
  </si>
  <si>
    <t>(1 archer = 3 canaries)</t>
  </si>
  <si>
    <t>(1 richman = 1,8 canaries)</t>
  </si>
  <si>
    <t>(1 horse = 1,5 canaries)</t>
  </si>
  <si>
    <t>(1 spiderRed = 1,286 canaries)</t>
  </si>
  <si>
    <t>FPS Objective</t>
  </si>
  <si>
    <t>FPS per spawn</t>
  </si>
  <si>
    <t>XP</t>
  </si>
  <si>
    <t>AREA:</t>
  </si>
  <si>
    <t>TOTAL XP IN AREA:</t>
  </si>
  <si>
    <t>spawner_sku</t>
  </si>
  <si>
    <t>entity_spawned (AVG)</t>
  </si>
  <si>
    <t>respawn_time</t>
  </si>
  <si>
    <t>activating_chance</t>
  </si>
  <si>
    <t>total xp</t>
  </si>
  <si>
    <t>Air/PF_BatBig_Flock</t>
  </si>
  <si>
    <t>Air/PF_BatSmall01_Flock</t>
  </si>
  <si>
    <t>Air/PF_Canary01_Flock</t>
  </si>
  <si>
    <t>Air/PF_Canary02_Flock</t>
  </si>
  <si>
    <t>Air/PF_Canary03_Flock</t>
  </si>
  <si>
    <t>Air/PF_FlyingPig</t>
  </si>
  <si>
    <t>Air/PF_Ghost01</t>
  </si>
  <si>
    <t>Air/PF_Ghost02</t>
  </si>
  <si>
    <t>Air/PF_Ghost03</t>
  </si>
  <si>
    <t>Air/PF_Hawk</t>
  </si>
  <si>
    <t>Air/PF_LionBird</t>
  </si>
  <si>
    <t>Air/PF_MineBig</t>
  </si>
  <si>
    <t>Air/PF_MineBig_Static</t>
  </si>
  <si>
    <t>Air/PF_MineMedium</t>
  </si>
  <si>
    <t>Air/PF_MineMedium_Static</t>
  </si>
  <si>
    <t>Air/PF_MineSmall</t>
  </si>
  <si>
    <t>Air/PF_MineSmall_Static</t>
  </si>
  <si>
    <t>Air/PF_OwlBig</t>
  </si>
  <si>
    <t>Air/PF_PufferBird</t>
  </si>
  <si>
    <t>Air/PF_Starling_Flock</t>
  </si>
  <si>
    <t>Junk/PF_GoodJunkBottle</t>
  </si>
  <si>
    <t>Monster/PF_Troll</t>
  </si>
  <si>
    <t>Surface/PF_Archer01</t>
  </si>
  <si>
    <t>Surface/PF_BakerWoman</t>
  </si>
  <si>
    <t>Surface/PF_Cow</t>
  </si>
  <si>
    <t>Surface/PF_Horse</t>
  </si>
  <si>
    <t>Surface/PF_Sheep</t>
  </si>
  <si>
    <t>Surface/PF_SpiderGreenTurret</t>
  </si>
  <si>
    <t>Surface/PF_SpiderRed</t>
  </si>
  <si>
    <t>Surface/PF_SpiderSmall</t>
  </si>
  <si>
    <t>Surface/PF_SpiderSmallTurret</t>
  </si>
  <si>
    <t>Surface/PF_Villager01</t>
  </si>
  <si>
    <t>Area</t>
  </si>
  <si>
    <t>Total xp available</t>
  </si>
  <si>
    <t>Progress xp base</t>
  </si>
  <si>
    <t>Unity scene</t>
  </si>
  <si>
    <t>SP_MEDIEVAL_FINAL_VILLAGE</t>
  </si>
  <si>
    <t>Goblin City</t>
  </si>
  <si>
    <t>Waterfall</t>
  </si>
  <si>
    <t>SCENE:</t>
  </si>
  <si>
    <t>SP_Canary_Mix_Flock</t>
  </si>
  <si>
    <t>SP_Canary_Random_Flock</t>
  </si>
  <si>
    <t>SP_Cow_Static</t>
  </si>
  <si>
    <t>SP_Ghost01_Static</t>
  </si>
  <si>
    <t>SP_Ghost02_Static</t>
  </si>
  <si>
    <t>SP_Ghost03_Static</t>
  </si>
  <si>
    <t>PF_Cow_Static</t>
  </si>
  <si>
    <t>PF_Ghost01_Static</t>
  </si>
  <si>
    <t>PF_Ghost02_Static</t>
  </si>
  <si>
    <t>PF_Ghost03_Static</t>
  </si>
  <si>
    <t>(execute 'spawnersData' script)</t>
  </si>
  <si>
    <t>SP_GoblinBoat</t>
  </si>
  <si>
    <t>Spawner Prefab</t>
  </si>
  <si>
    <t>Content Sku</t>
  </si>
  <si>
    <t>Entity Prefab</t>
  </si>
  <si>
    <t>Respawn Min</t>
  </si>
  <si>
    <t>Respawn Max</t>
  </si>
  <si>
    <t>HP Given</t>
  </si>
  <si>
    <t>XP Given</t>
  </si>
  <si>
    <t>PF_GoblinBoat</t>
  </si>
  <si>
    <t>SP_MineMedium_Static</t>
  </si>
  <si>
    <t>PF_MineMedium_Static</t>
  </si>
  <si>
    <t>MineSmall</t>
  </si>
  <si>
    <t>SP_MineSmall</t>
  </si>
  <si>
    <t>PF_MineSmall</t>
  </si>
  <si>
    <t>SP_MineSmall_Static</t>
  </si>
  <si>
    <t>PF_MineSmall_Static</t>
  </si>
  <si>
    <t>SP_OwlBig</t>
  </si>
  <si>
    <t>PF_OwlBig</t>
  </si>
  <si>
    <t>Piranha</t>
  </si>
  <si>
    <t>SP_Piranha</t>
  </si>
  <si>
    <t>PF_Piranha</t>
  </si>
  <si>
    <t>PufferBird</t>
  </si>
  <si>
    <t>SP_PufferBird</t>
  </si>
  <si>
    <t>PF_PufferBird</t>
  </si>
  <si>
    <t>Rat</t>
  </si>
  <si>
    <t>SP_Rat</t>
  </si>
  <si>
    <t>PF_Rat</t>
  </si>
  <si>
    <t>SP_Richman</t>
  </si>
  <si>
    <t>PF_Richman</t>
  </si>
  <si>
    <t>SP_RichMan_Static</t>
  </si>
  <si>
    <t>PF_RichMan_Static</t>
  </si>
  <si>
    <t>SP_Sheep</t>
  </si>
  <si>
    <t>PF_Sheep</t>
  </si>
  <si>
    <t>SP_Sheep_Static</t>
  </si>
  <si>
    <t>PF_Sheep_Static</t>
  </si>
  <si>
    <t>ShieldMan</t>
  </si>
  <si>
    <t>SP_Shieldman</t>
  </si>
  <si>
    <t>PF_Shieldman</t>
  </si>
  <si>
    <t>SP_Soldier01</t>
  </si>
  <si>
    <t>PF_Soldier01</t>
  </si>
  <si>
    <t>SP_Soldier01_Static</t>
  </si>
  <si>
    <t>PF_Soldier01_Static</t>
  </si>
  <si>
    <t>SP_Soldier02</t>
  </si>
  <si>
    <t>PF_Soldier02</t>
  </si>
  <si>
    <t>SP_Spartakus</t>
  </si>
  <si>
    <t>PF_Spartakus</t>
  </si>
  <si>
    <t>SpiderGreenTurret</t>
  </si>
  <si>
    <t>SP_SpiderGreenTurret</t>
  </si>
  <si>
    <t>PF_SpiderGreenTurret</t>
  </si>
  <si>
    <t>SP_SpiderRed</t>
  </si>
  <si>
    <t>PF_SpiderRed</t>
  </si>
  <si>
    <t>SP_SpiderSmall</t>
  </si>
  <si>
    <t>PF_SpiderSmall</t>
  </si>
  <si>
    <t>SP_SpiderSmallTurret</t>
  </si>
  <si>
    <t>PF_SpiderSmallTurret</t>
  </si>
  <si>
    <t>PF_Starling_Flock</t>
  </si>
  <si>
    <t>SP_Starling_Flock</t>
  </si>
  <si>
    <t>Surface/PF_Sheep_Static</t>
  </si>
  <si>
    <t>Air/PF_Ghost01_Static</t>
  </si>
  <si>
    <t>Air/PF_Ghost02_Static</t>
  </si>
  <si>
    <t>Surface/PF_Villager02</t>
  </si>
  <si>
    <t>Surface/PF_Cow_Static</t>
  </si>
  <si>
    <t>TOTAL SPAWNERS:</t>
  </si>
  <si>
    <t>TOTAL ENTITIES:</t>
  </si>
  <si>
    <t>Aggresive</t>
  </si>
  <si>
    <t>no</t>
  </si>
  <si>
    <t>yes</t>
  </si>
  <si>
    <t>ENEMY SPAWNERS:</t>
  </si>
  <si>
    <t>PREY SPAWNERS:</t>
  </si>
  <si>
    <t>Aggressive</t>
  </si>
  <si>
    <t>Surface/PF_SeatVillager</t>
  </si>
  <si>
    <t>SP_SeatVillager</t>
  </si>
  <si>
    <t>PF_SeatVillager</t>
  </si>
  <si>
    <t>Troll</t>
  </si>
  <si>
    <t>SP_Troll</t>
  </si>
  <si>
    <t>PF_Troll</t>
  </si>
  <si>
    <t>SP_TropicalFish</t>
  </si>
  <si>
    <t>PF_TropicalFish</t>
  </si>
  <si>
    <t>SP_Villager01</t>
  </si>
  <si>
    <t>PF_Villager01</t>
  </si>
  <si>
    <t>SP_Villager01_Static</t>
  </si>
  <si>
    <t>PF_Villager01_Static</t>
  </si>
  <si>
    <t>SP_Villager02</t>
  </si>
  <si>
    <t>PF_Villager02</t>
  </si>
  <si>
    <t>SP_Villager02_Static</t>
  </si>
  <si>
    <t>PF_Villager02_Static</t>
  </si>
  <si>
    <t>SP_witch</t>
  </si>
  <si>
    <t>SP_Worker01</t>
  </si>
  <si>
    <t>PF_Worker01</t>
  </si>
  <si>
    <t>SP_Worker02</t>
  </si>
  <si>
    <t>PF_Worker02</t>
  </si>
  <si>
    <t>SP_WorkerWife</t>
  </si>
  <si>
    <t>PF_WorkerWife</t>
  </si>
  <si>
    <t>Edible Tier</t>
  </si>
  <si>
    <t>GoblinBoat</t>
  </si>
  <si>
    <t>AMBIENT HAZARDS</t>
  </si>
  <si>
    <t>PF_PoisonFlower</t>
  </si>
  <si>
    <t>PF_Marmite</t>
  </si>
  <si>
    <t>OTHERS</t>
  </si>
  <si>
    <t>PF_Catapult</t>
  </si>
  <si>
    <t>PF_Scaffold</t>
  </si>
  <si>
    <t>SP_Cage</t>
  </si>
  <si>
    <t>PF_Cage</t>
  </si>
  <si>
    <t>STARTINGPOINT/HUMANVILLAGE</t>
  </si>
  <si>
    <t>STARTINGPOINT/WATERFALL</t>
  </si>
  <si>
    <t>Cage/PF_Cage</t>
  </si>
  <si>
    <t>Water/PF_Piranha</t>
  </si>
  <si>
    <t>Water/PF_Fish01_Generic</t>
  </si>
  <si>
    <t>Goblin/PF_Worker01</t>
  </si>
  <si>
    <t>Goblin/PF_Spartakus</t>
  </si>
  <si>
    <t>Vehicles/PF_GoblinBoat</t>
  </si>
  <si>
    <t>Goblin/PF_Bomber</t>
  </si>
  <si>
    <t>Cage/PF_HangingCage</t>
  </si>
  <si>
    <t>Goblin/PF_Kamikaze</t>
  </si>
  <si>
    <t>Air/PF_Canary04_Flock</t>
  </si>
  <si>
    <t>MAGIC AREA/GOBLIN CITY</t>
  </si>
  <si>
    <t>Surface/PF_Horse_Static</t>
  </si>
  <si>
    <t>Surface/PF_Villager01_Static</t>
  </si>
  <si>
    <t>Air/PF_Crow_Flock</t>
  </si>
  <si>
    <t>Surface/PF_Rat</t>
  </si>
  <si>
    <t>MAGIC AREA/WITCH FOREST</t>
  </si>
  <si>
    <t>Human Village</t>
  </si>
  <si>
    <t>Witch Forest</t>
  </si>
  <si>
    <t>Surface/PF_Archer01_Static</t>
  </si>
  <si>
    <t>Surface/PF_Archer02</t>
  </si>
  <si>
    <t>Air/PF_Ghost03_Static</t>
  </si>
  <si>
    <t>Spawner</t>
  </si>
  <si>
    <t>XP_Min</t>
  </si>
  <si>
    <t>XP_Max</t>
  </si>
  <si>
    <t>RANGOS DE XP MIN</t>
  </si>
  <si>
    <t>Min</t>
  </si>
  <si>
    <t>Max</t>
  </si>
  <si>
    <t>Quantity</t>
  </si>
  <si>
    <t>(execute script: spawnersProg.vbs)</t>
  </si>
  <si>
    <t>PF_DrunkenMonk</t>
  </si>
  <si>
    <t>SP_Fish_Random_Generic</t>
  </si>
  <si>
    <t>SP_Villager_Mix</t>
  </si>
  <si>
    <t>SP_Worker_Mix</t>
  </si>
  <si>
    <t>BurnableTier</t>
  </si>
  <si>
    <t>SPAWNERS PROGRESSION BY XP (Medieval_Final_Village)</t>
  </si>
  <si>
    <t>increment</t>
  </si>
  <si>
    <t>SP_BadJunk</t>
  </si>
  <si>
    <t>PF_BadJunkBone</t>
  </si>
  <si>
    <t>SP_FairyBig</t>
  </si>
  <si>
    <t>PF_FairyBig</t>
  </si>
  <si>
    <t>SP_FairySmall</t>
  </si>
  <si>
    <t>PF_FairySmall</t>
  </si>
  <si>
    <t>FlyingBunny</t>
  </si>
  <si>
    <t>SP_FlyingBunny</t>
  </si>
  <si>
    <t>PF_FlyingBunny</t>
  </si>
  <si>
    <t>BadFarmer</t>
  </si>
  <si>
    <t>SP_BadFarmer</t>
  </si>
  <si>
    <t>PF_BadFarmer</t>
  </si>
  <si>
    <t>SP_BadFarmer_Static</t>
  </si>
  <si>
    <t>PF_BadFarmer_Static</t>
  </si>
  <si>
    <t>BadJunk</t>
  </si>
  <si>
    <t>BadWitch</t>
  </si>
  <si>
    <t>SP_BadWitch</t>
  </si>
  <si>
    <t>FairyBig</t>
  </si>
  <si>
    <t>FairySmall</t>
  </si>
  <si>
    <t>GoodWitch</t>
  </si>
  <si>
    <t>SP_GoodWitch</t>
  </si>
  <si>
    <t>Razorback</t>
  </si>
  <si>
    <t>SP_Razorback</t>
  </si>
  <si>
    <t>PF_Razorback</t>
  </si>
  <si>
    <t>SP_Villager03</t>
  </si>
  <si>
    <t>PF_Villager03</t>
  </si>
  <si>
    <t>SP_Villager03_Static</t>
  </si>
  <si>
    <t>Junk/PF_BadJunkBone</t>
  </si>
  <si>
    <t>Surface/PF_BadFarmer</t>
  </si>
  <si>
    <t>Surface/PF_DrunkenMonk</t>
  </si>
  <si>
    <t>STARTINGPOINT/CAVES</t>
  </si>
  <si>
    <t>Air/PF_BatSmall02_Flock</t>
  </si>
  <si>
    <t>Surface/PF_RatWall</t>
  </si>
  <si>
    <t>Surface/PF_Rat_Static</t>
  </si>
  <si>
    <t>Air/PF_Razorback</t>
  </si>
  <si>
    <t>Surface/PF_Archer02_Static</t>
  </si>
  <si>
    <t>Surface/PF_Villager02_Static</t>
  </si>
  <si>
    <t>Surface/PF_Villager03_Static</t>
  </si>
  <si>
    <t>Goblin/PF_WorkerWife</t>
  </si>
  <si>
    <t>Surface/PF_BadFarmer_Static</t>
  </si>
  <si>
    <t>CODE NAME:</t>
  </si>
  <si>
    <t>Cave</t>
  </si>
  <si>
    <t>Goblin city</t>
  </si>
  <si>
    <t>Witch forest</t>
  </si>
  <si>
    <t>Big caves</t>
  </si>
  <si>
    <t>Human forest</t>
  </si>
  <si>
    <t>Human Forest</t>
  </si>
  <si>
    <t>Big Caves</t>
  </si>
  <si>
    <t>PF_Villager03_Static</t>
  </si>
  <si>
    <t>SP_Driller</t>
  </si>
  <si>
    <t>PF_Driller</t>
  </si>
  <si>
    <t>Dragon/PF_EnemyTier0</t>
  </si>
  <si>
    <t>Dragon/PF_EnemyTier1</t>
  </si>
  <si>
    <t>Dragon/PF_EnemyTier2</t>
  </si>
  <si>
    <t>Dragon/PF_EnemyTier3</t>
  </si>
  <si>
    <t>Dragon/PF_EnemyTier4</t>
  </si>
  <si>
    <t>SP_Guardian</t>
  </si>
  <si>
    <t>PF_Guardian</t>
  </si>
  <si>
    <t>SP_Merida_Static</t>
  </si>
  <si>
    <t>PF_Merida_Static</t>
  </si>
  <si>
    <t>PF_EnemyTier0</t>
  </si>
  <si>
    <t>PF_EnemyTier1</t>
  </si>
  <si>
    <t>PF_EnemyTier2</t>
  </si>
  <si>
    <t>PF_EnemyTier3</t>
  </si>
  <si>
    <t>PF_EnemyTier4</t>
  </si>
  <si>
    <t>SP_Miner01_Mix</t>
  </si>
  <si>
    <t>PF_WorkerMiner</t>
  </si>
  <si>
    <t>SP_Miner02_Mix</t>
  </si>
  <si>
    <t>SP_Miner03_Mix</t>
  </si>
  <si>
    <t>SP_VillagerGirl</t>
  </si>
  <si>
    <t>PF_VillagerGirl</t>
  </si>
  <si>
    <t>SP_VillagerGirl_Static</t>
  </si>
  <si>
    <t>Magic/PF_FairyBig</t>
  </si>
  <si>
    <t>Magic/PF_FairySmall</t>
  </si>
  <si>
    <t>Magic/PF_FlyingBunny</t>
  </si>
  <si>
    <t>SIZE:</t>
  </si>
  <si>
    <t>meters</t>
  </si>
  <si>
    <t>XP DENSITY:</t>
  </si>
  <si>
    <t>xp per m2</t>
  </si>
  <si>
    <t>SPAWNERS DENSITY:</t>
  </si>
  <si>
    <t>sp per m2</t>
  </si>
  <si>
    <t>ENTITIES DENSITY:</t>
  </si>
  <si>
    <t>ent. per m2</t>
  </si>
  <si>
    <t>SP_GoblinWarMachine</t>
  </si>
  <si>
    <t>Driller</t>
  </si>
  <si>
    <t>GoblinWarMachine</t>
  </si>
  <si>
    <t>PF_GoblinWarMachine</t>
  </si>
  <si>
    <t>Guardian</t>
  </si>
  <si>
    <t>SP_StingrayLarge</t>
  </si>
  <si>
    <t>PF_StingrayLarge</t>
  </si>
  <si>
    <t>SP_StingraySmall</t>
  </si>
  <si>
    <t>PF_StingraySmall</t>
  </si>
  <si>
    <t>PF_VillagerGirl_Static</t>
  </si>
  <si>
    <t>Surface/PF_VillagerGirl_Static</t>
  </si>
  <si>
    <t>Vehicles/PF_GoblinWarMachine</t>
  </si>
  <si>
    <t>Surface/PF_VillagerGirl</t>
  </si>
  <si>
    <t>SP_MEDIEVAL_FINAL_CASTLE</t>
  </si>
  <si>
    <t>MARKET</t>
  </si>
  <si>
    <t>Market</t>
  </si>
  <si>
    <t>Air/PF_StingrayLarge</t>
  </si>
  <si>
    <t>Surface/PF_Shieldman</t>
  </si>
  <si>
    <t>Surface/PF_Soldier01_Static</t>
  </si>
  <si>
    <t>Air/PF_StingraySmall</t>
  </si>
  <si>
    <t>Goblin/PF_Guardian</t>
  </si>
  <si>
    <t>Surface/PF_Soldier01</t>
  </si>
  <si>
    <t>Surface/PF_RichMan_Static</t>
  </si>
  <si>
    <t>PROB_100:</t>
  </si>
  <si>
    <t>PROB_99_75:</t>
  </si>
  <si>
    <t>PROB_74_25:</t>
  </si>
  <si>
    <t>PROB_24_1:</t>
  </si>
  <si>
    <t>CAVES01</t>
  </si>
  <si>
    <t>Surface/PF_BoatFisher</t>
  </si>
  <si>
    <t>Water/PF_Crocodile</t>
  </si>
  <si>
    <t>Water/PF_Crocodile_Evade</t>
  </si>
  <si>
    <t>CAVES02</t>
  </si>
  <si>
    <t>Small caves</t>
  </si>
  <si>
    <t>Water/PF_Fish02_Generic</t>
  </si>
  <si>
    <t>Water/PF_Fish03_Generic</t>
  </si>
  <si>
    <t>Mines</t>
  </si>
  <si>
    <t>Goblin/PF_WorkerMiner</t>
  </si>
  <si>
    <t>Goblin/PF_Worker02</t>
  </si>
  <si>
    <t>Goblin/PF_Driller</t>
  </si>
  <si>
    <t>SPAWNERS PROGRESSION BY XP (Medieval_Final_Castle)</t>
  </si>
  <si>
    <t>SP_BG_Canary01_Flock</t>
  </si>
  <si>
    <t>Percentage2</t>
  </si>
  <si>
    <t>PF_WitchBad</t>
  </si>
  <si>
    <t>PF_WitchGood</t>
  </si>
  <si>
    <t>SP_RatWall</t>
  </si>
  <si>
    <t>PF_RatWall</t>
  </si>
  <si>
    <t>StingrayLarge</t>
  </si>
  <si>
    <t>StingraySmall</t>
  </si>
  <si>
    <t>PF_WitchAir</t>
  </si>
  <si>
    <t>Percentage1</t>
  </si>
  <si>
    <t>Caves01</t>
  </si>
  <si>
    <t>Caves02</t>
  </si>
  <si>
    <t>MINES</t>
  </si>
  <si>
    <t>SP_MEDIEVAL_FINAL_DARK</t>
  </si>
  <si>
    <t>All</t>
  </si>
  <si>
    <t>Total spawners</t>
  </si>
  <si>
    <t>Total preys</t>
  </si>
  <si>
    <t>Total enemies</t>
  </si>
  <si>
    <t>Total entities</t>
  </si>
  <si>
    <t>Village</t>
  </si>
  <si>
    <t>Castle</t>
  </si>
  <si>
    <t>SP_Air_Archer01</t>
  </si>
  <si>
    <t>PF_Air_Archer01</t>
  </si>
  <si>
    <t>SP_Air_Bomber</t>
  </si>
  <si>
    <t>PF_Air_Bomber</t>
  </si>
  <si>
    <t>SP_Air_FairyBig</t>
  </si>
  <si>
    <t>PF_Air_FairyBig</t>
  </si>
  <si>
    <t>SP_Air_FlyingPig</t>
  </si>
  <si>
    <t>PF_Air_FlyingPig</t>
  </si>
  <si>
    <t>SP_Air_Kamikaze</t>
  </si>
  <si>
    <t>PF_Air_Kamikaze</t>
  </si>
  <si>
    <t>BigFood_Dark</t>
  </si>
  <si>
    <t>SP_BigFood_Dark</t>
  </si>
  <si>
    <t>PF_BigFood_Dark</t>
  </si>
  <si>
    <t>SP_CageHard</t>
  </si>
  <si>
    <t>PF_CageHard</t>
  </si>
  <si>
    <t>Dodo</t>
  </si>
  <si>
    <t>SP_Dodo</t>
  </si>
  <si>
    <t>PF_Dodo</t>
  </si>
  <si>
    <t>FlyingTicket</t>
  </si>
  <si>
    <t>SP_FlyingTicket</t>
  </si>
  <si>
    <t>PF_FlyingTicket</t>
  </si>
  <si>
    <t>GoodWitch02</t>
  </si>
  <si>
    <t>SP_GoodWitch02</t>
  </si>
  <si>
    <t>PF_WitchGood02</t>
  </si>
  <si>
    <t>SP_MediumFood_Dark</t>
  </si>
  <si>
    <t>PF_MediumFood_Dark</t>
  </si>
  <si>
    <t>Mushroom</t>
  </si>
  <si>
    <t>SP_Mushroom</t>
  </si>
  <si>
    <t>PF_Mushroom</t>
  </si>
  <si>
    <t>Slime</t>
  </si>
  <si>
    <t>SP_Slime</t>
  </si>
  <si>
    <t>PF_Slime</t>
  </si>
  <si>
    <t>SlimePoison</t>
  </si>
  <si>
    <t>SP_SlimePoison</t>
  </si>
  <si>
    <t>PF_SlimePoison</t>
  </si>
  <si>
    <t>SP_Vulture</t>
  </si>
  <si>
    <t>PF_Vulture</t>
  </si>
  <si>
    <t>GoodJunkScore</t>
  </si>
  <si>
    <t>SP_GoodJunkScore</t>
  </si>
  <si>
    <t>PF_GoodJunkScore</t>
  </si>
  <si>
    <t>SP_GoblinBoat_Static</t>
  </si>
  <si>
    <t>PF_GoblinBoat_Static</t>
  </si>
  <si>
    <t>Vulture</t>
  </si>
  <si>
    <t>SP_GoodWitch_Mix</t>
  </si>
  <si>
    <t>Junk/PF_FlyingTicket</t>
  </si>
  <si>
    <t>Monster/PF_WitchAir</t>
  </si>
  <si>
    <t>Monster/PF_WitchBad</t>
  </si>
  <si>
    <t>Monster/PF_WitchGood</t>
  </si>
  <si>
    <t>BIG CAVES</t>
  </si>
  <si>
    <t>HUMAN FOREST</t>
  </si>
  <si>
    <t>Cage/PF_CageHard</t>
  </si>
  <si>
    <t>Total in the game</t>
  </si>
  <si>
    <t>Percentage3</t>
  </si>
  <si>
    <t>TREE</t>
  </si>
  <si>
    <t>Tree</t>
  </si>
  <si>
    <t>UNDERGROUND</t>
  </si>
  <si>
    <t>Underground</t>
  </si>
  <si>
    <t>SPAWNERS PROGRESSION BY XP (Medieval_Final_Dark)</t>
  </si>
  <si>
    <t>Dark01</t>
  </si>
  <si>
    <t>Dark02</t>
  </si>
  <si>
    <t>DARK01</t>
  </si>
  <si>
    <t>DARK02</t>
  </si>
  <si>
    <t>Total in "Dark" scene</t>
  </si>
  <si>
    <t>Total in "Castle" scene</t>
  </si>
  <si>
    <t>Total in "Village" scene</t>
  </si>
  <si>
    <t>Percentage4</t>
  </si>
  <si>
    <t>Dark</t>
  </si>
  <si>
    <t>Air/PF_Vulture</t>
  </si>
  <si>
    <t>Monster/PF_Slime</t>
  </si>
  <si>
    <t>Monster/PF_SlimePoison</t>
  </si>
  <si>
    <t>Air/PF_Air_FlyingPig</t>
  </si>
  <si>
    <t>Monster/PF_Mushroom</t>
  </si>
  <si>
    <t>SP_Carnivorous_Plant</t>
  </si>
  <si>
    <t>PF_CarnivourusPlant</t>
  </si>
  <si>
    <t>SP_SnailUnka</t>
  </si>
  <si>
    <t>PF_SnailUnka</t>
  </si>
  <si>
    <t>SP_Unka</t>
  </si>
  <si>
    <t>PF_UnkasGarlicHead</t>
  </si>
  <si>
    <t>PF_RatSmall_Static</t>
  </si>
  <si>
    <t>PF_RatSmall_Wall</t>
  </si>
  <si>
    <t>PF_RatSmall</t>
  </si>
  <si>
    <t>SP_Rat_Static</t>
  </si>
  <si>
    <t>v</t>
  </si>
  <si>
    <t>PF_Rat_Static</t>
  </si>
  <si>
    <t>Goblin/PF_UnkasGarlicHead</t>
  </si>
  <si>
    <t>Monster/PF_SnailUnka</t>
  </si>
  <si>
    <t>Monster/PF_CarnivourusPlant</t>
  </si>
  <si>
    <t>PF_Geiser</t>
  </si>
  <si>
    <t>SP_Ghost03_Static_46000_0</t>
  </si>
  <si>
    <t>SP_Ghost02_Static_0_44000</t>
  </si>
  <si>
    <t>SP_Unka_30000_0</t>
  </si>
  <si>
    <t>SP_Ghost03_Static_47000_0</t>
  </si>
  <si>
    <t>Name</t>
  </si>
  <si>
    <t>(execute 'detectDuplicatedSpawners' script)</t>
  </si>
  <si>
    <t>SP_BadWitch_30000_0</t>
  </si>
  <si>
    <t>SP_Ghost03_Static_43000_0</t>
  </si>
  <si>
    <t>SP_Crow_Flock_0_27000</t>
  </si>
  <si>
    <t>SP_BadJunk_34000_0</t>
  </si>
  <si>
    <t>SP_BadWitch_45000_0</t>
  </si>
  <si>
    <t>SP_Crow_Flock_32000_0</t>
  </si>
  <si>
    <t>SP_Crow_Flock_0_34000</t>
  </si>
  <si>
    <t>SP_Crow_Flock_40000_0</t>
  </si>
  <si>
    <t>SP_Ghost02_0_28000</t>
  </si>
  <si>
    <t>SP_Star</t>
  </si>
  <si>
    <t>SP_Unka_0_28000</t>
  </si>
  <si>
    <t>SP_Carnivorous_Plant(1)</t>
  </si>
  <si>
    <t>SP_Mushroom_41000_0</t>
  </si>
  <si>
    <t>SP_SpiderSmall_0_20000</t>
  </si>
  <si>
    <t>SP_Ghost03_38000_0</t>
  </si>
  <si>
    <t>SP_Crow_Flock_20000_0</t>
  </si>
  <si>
    <t>SP_GoodWitch_Mix_0_25000</t>
  </si>
  <si>
    <t>SP_GoodJunkBottle_35000_0</t>
  </si>
  <si>
    <t>SP_Crow_Flock_15000_0</t>
  </si>
  <si>
    <t>SP_EnemyTier4_40000_0</t>
  </si>
  <si>
    <t>SP_EnemyTier3_33000_0</t>
  </si>
  <si>
    <t>SP_Mushroom_27000_0</t>
  </si>
  <si>
    <t>SP_BatSmall01_Flock_0_35000</t>
  </si>
  <si>
    <t>SP_BadJunk_42000_0</t>
  </si>
  <si>
    <t>SP_BG_Vulture(6)</t>
  </si>
  <si>
    <t>SP_Crow_Flock_39000_49000</t>
  </si>
  <si>
    <t>SP_BatSmall01_Flock_20000_0</t>
  </si>
  <si>
    <t>SP_Ghost02_32000_0</t>
  </si>
  <si>
    <t>SP_BatSmall01_Flock_0_40000</t>
  </si>
  <si>
    <t>SP_Ghost03_30000_0</t>
  </si>
  <si>
    <t>SP_BatBig_Flock_45000_0</t>
  </si>
  <si>
    <t>SP_Unka_0_24000</t>
  </si>
  <si>
    <t>SP_Ghost02_Static_0_42000</t>
  </si>
  <si>
    <t>SP_Carnivorous_Plant(3)</t>
  </si>
  <si>
    <t>SP_Mushroom_33000_0</t>
  </si>
  <si>
    <t>SP_BG_Vulture(9)</t>
  </si>
  <si>
    <t>SP_GoodWitch_0_36000</t>
  </si>
  <si>
    <t>SP_Mushroom_39000_0</t>
  </si>
  <si>
    <t>SP_BatBig_Flock_10000_0</t>
  </si>
  <si>
    <t>SP_Unka_0_48000</t>
  </si>
  <si>
    <t>SP_Ghost03_500_0</t>
  </si>
  <si>
    <t>SP_BatBig_Flock_30000_0</t>
  </si>
  <si>
    <t>SP_SpiderRed_28000_0</t>
  </si>
  <si>
    <t>SP_Crow_Flock_0_19000</t>
  </si>
  <si>
    <t>SP_Mushroom_31000_0</t>
  </si>
  <si>
    <t>SP_BatBig_Flock_26000_0</t>
  </si>
  <si>
    <t>SP_Ghost02_0_400</t>
  </si>
  <si>
    <t>SP_BG_Vulture(5)</t>
  </si>
  <si>
    <t>SP_Ghost03_Static_37000_0</t>
  </si>
  <si>
    <t>SP_Ghost03_29000_0</t>
  </si>
  <si>
    <t>SP_SpiderSmall_30000_0</t>
  </si>
  <si>
    <t>SP_Unka_0_46000</t>
  </si>
  <si>
    <t>SP_BadJunk_30000_0</t>
  </si>
  <si>
    <t>SP_SlimePoison_24000_0</t>
  </si>
  <si>
    <t>SP_BG_Vulture(8)</t>
  </si>
  <si>
    <t>SP_Crow_Flock_43000_53000</t>
  </si>
  <si>
    <t>SP_witch_20000_0</t>
  </si>
  <si>
    <t>SP_Mushroom_400_0</t>
  </si>
  <si>
    <t>SP_BatSmall01_Flock_0_31000</t>
  </si>
  <si>
    <t>SP_BadWitch_40000_0</t>
  </si>
  <si>
    <t>SP_FairySmall_0_38000</t>
  </si>
  <si>
    <t>SP_SpiderSmall_25000_0</t>
  </si>
  <si>
    <t>SP_Ghost02_0_43000</t>
  </si>
  <si>
    <t>SP_Unka_0_36000</t>
  </si>
  <si>
    <t>SP_StingrayLarge_400_0</t>
  </si>
  <si>
    <t>SP_Troll_45000_0</t>
  </si>
  <si>
    <t>SP_BG_Vulture(2)</t>
  </si>
  <si>
    <t>SP_witch_25000_0</t>
  </si>
  <si>
    <t>SP_BatSmall01_Flock_0_33000</t>
  </si>
  <si>
    <t>SP_Mushroom_29000_0</t>
  </si>
  <si>
    <t>SP_Ghost03_Static_42000_0</t>
  </si>
  <si>
    <t>SP_BadJunk_36000_0</t>
  </si>
  <si>
    <t>SP_Unka_0_400</t>
  </si>
  <si>
    <t>SP_Ghost03_Static_45000_0</t>
  </si>
  <si>
    <t>SP_BatBig_Flock_24000_0</t>
  </si>
  <si>
    <t>PF_SpiderWeb</t>
  </si>
  <si>
    <t>SP_BadJunk_400_0</t>
  </si>
  <si>
    <t>SP_BG_Vulture(10)</t>
  </si>
  <si>
    <t>SP_Unka_0_42000</t>
  </si>
  <si>
    <t>SP_Ghost03_Static_35000_0</t>
  </si>
  <si>
    <t>SP_BatBig_Flock_25000_0</t>
  </si>
  <si>
    <t>SP_BatSmall01_Flock_0_37000</t>
  </si>
  <si>
    <t>SP_StingrayLarge_35000_0</t>
  </si>
  <si>
    <t>SP_Ghost02_0_41000</t>
  </si>
  <si>
    <t>SP_BatSmall01_Flock_16000_0</t>
  </si>
  <si>
    <t>SP_Mushroom_37000_0</t>
  </si>
  <si>
    <t>SP_StingraySmall_38000_0</t>
  </si>
  <si>
    <t>PF_Poison_Active(4)</t>
  </si>
  <si>
    <t>SP_GoodWitch_0_26000</t>
  </si>
  <si>
    <t>SP_BatSmall01_Flock_0_39000</t>
  </si>
  <si>
    <t>SP_Ghost03_40000_0</t>
  </si>
  <si>
    <t>SP_witch_29000_0</t>
  </si>
  <si>
    <t>SP_GoodWitch_0_28000</t>
  </si>
  <si>
    <t>SP_StingrayLarge_40000_0</t>
  </si>
  <si>
    <t>SP_BatBig_Flock_16000_0</t>
  </si>
  <si>
    <t>SP_GoodWitch_0_32000</t>
  </si>
  <si>
    <t>SP_GoodJunkBottle_40000_0</t>
  </si>
  <si>
    <t>SP_BatSmall01_Flock_17000_0</t>
  </si>
  <si>
    <t>SP_FairySmall_0_35000</t>
  </si>
  <si>
    <t>SP_Unka_0_800</t>
  </si>
  <si>
    <t>SP_EnemyTier3_35000_0</t>
  </si>
  <si>
    <t>SP_EnemyTier4_38000_0</t>
  </si>
  <si>
    <t>SP_SlimePoison_20000_0</t>
  </si>
  <si>
    <t>SP_BatBig_Flock_22000_0</t>
  </si>
  <si>
    <t>SP_SpiderGreenTurret_30000_0</t>
  </si>
  <si>
    <t>SP_SlimePoison_42000_0</t>
  </si>
  <si>
    <t>SP_GoodWitch_Mix_0_20000</t>
  </si>
  <si>
    <t>SP_Crow_Flock_35000_0</t>
  </si>
  <si>
    <t>SP_SpiderRed_26000_0</t>
  </si>
  <si>
    <t>SP_SlimePoison_28000_0</t>
  </si>
  <si>
    <t>SP_BG_Vulture(7)</t>
  </si>
  <si>
    <t>SP_BG_Vulture(3)</t>
  </si>
  <si>
    <t>SP_Rat_0_40000</t>
  </si>
  <si>
    <t>SP_FlyingPig_40000_0</t>
  </si>
  <si>
    <t>PF_Trapdoor_Obstacle</t>
  </si>
  <si>
    <t>SP_Carnivorous_Plant(5)</t>
  </si>
  <si>
    <t>SP_BatSmall01_Flock_0_22000</t>
  </si>
  <si>
    <t>SP_BatSmall01_Flock_0_25000</t>
  </si>
  <si>
    <t>SP_StingraySmall_37000_0</t>
  </si>
  <si>
    <t>SP_Ghost03_42000_0</t>
  </si>
  <si>
    <t>SP_Ghost02_Static_0_40000</t>
  </si>
  <si>
    <t>SP_BatBig_Flock_14000_0</t>
  </si>
  <si>
    <t>SP_Mushroom_35000_0</t>
  </si>
  <si>
    <t>SP_Ghost03_36000_0</t>
  </si>
  <si>
    <t>SP_Ghost03_44000_0</t>
  </si>
  <si>
    <t>SP_GoodWitch_0_30000</t>
  </si>
  <si>
    <t>SP_BatSmall01_Flock_19000_0</t>
  </si>
  <si>
    <t>SP_BatSmall01_Flock_0_27000</t>
  </si>
  <si>
    <t>SP_Ghost02_0_37000</t>
  </si>
  <si>
    <t>SP_Carnivorous_Plant(6)</t>
  </si>
  <si>
    <t>SP_BatSmall01_Flock_0_29000</t>
  </si>
  <si>
    <t>SP_witch_33000_0</t>
  </si>
  <si>
    <t>SP_BadJunk_800_0</t>
  </si>
  <si>
    <t>SP_BatBig_Flock_20000_0</t>
  </si>
  <si>
    <t>SP_Crow_Flock_0_23000</t>
  </si>
  <si>
    <t>SP_FlyingPig_30000_0</t>
  </si>
  <si>
    <t>SP_Unka_0_32000</t>
  </si>
  <si>
    <t>SP_SpiderSmall_0_25000</t>
  </si>
  <si>
    <t>SP_BadWitch_35000_0</t>
  </si>
  <si>
    <t>SP_Unka_0_20000</t>
  </si>
  <si>
    <t>SP_Unka_0_44000</t>
  </si>
  <si>
    <t>SP_witch_31000_0</t>
  </si>
  <si>
    <t>SP_StingraySmall_36000_0</t>
  </si>
  <si>
    <t>SP_StingraySmall_0_33000</t>
  </si>
  <si>
    <t>PF_Poison_Active(2)</t>
  </si>
  <si>
    <t>SP_GoodWitch_Mix_0_30000</t>
  </si>
  <si>
    <t>SP_witch_27000_0</t>
  </si>
  <si>
    <t>SP_BatSmall01_Flock_18000_0</t>
  </si>
  <si>
    <t>SP_BadJunk_32000_0</t>
  </si>
  <si>
    <t>SP_SpiderRed_25000_0</t>
  </si>
  <si>
    <t>SP_Mushroom_43000_0</t>
  </si>
  <si>
    <t>SP_StingrayLarge_43000_0</t>
  </si>
  <si>
    <t>SP_BatBig_Flock_27000_0</t>
  </si>
  <si>
    <t>SP_GoodWitch_0_34000</t>
  </si>
  <si>
    <t>SP_Vulture_34000_0</t>
  </si>
  <si>
    <t>SP_Crow_Flock_0_31000</t>
  </si>
  <si>
    <t>SP_BatSmall01_Flock_15000_0</t>
  </si>
  <si>
    <t>SP_Carnivorous_Plant(2)</t>
  </si>
  <si>
    <t>SP_SpiderSmall_20000_0</t>
  </si>
  <si>
    <t>SP_Carnivorous_Plant(4)</t>
  </si>
  <si>
    <t>SP_StingrayLarge_45000_0</t>
  </si>
  <si>
    <t>SP_FlyingPig_35000_0</t>
  </si>
  <si>
    <t>SP_Ghost03_Static_41000_0</t>
  </si>
  <si>
    <t>SP_BatBig_Flock_12000_0</t>
  </si>
  <si>
    <t>SP_BatSmall01_Flock_0_20000</t>
  </si>
  <si>
    <t>SP_Unka_0_40000</t>
  </si>
  <si>
    <t>SP_BatSmall01_Flock_0_21000</t>
  </si>
  <si>
    <t>SP_BG_Vulture(1)</t>
  </si>
  <si>
    <t>SP_BatBig_Flock_18000_0</t>
  </si>
  <si>
    <t>SP_BatSmall01_Flock_0_41000</t>
  </si>
  <si>
    <t>SP_Mushroom_45000_0</t>
  </si>
  <si>
    <t>SP_Ghost02_0_35000</t>
  </si>
  <si>
    <t>SP_Mushroom_200_0</t>
  </si>
  <si>
    <t>SP_Ghost02_0_39000</t>
  </si>
  <si>
    <t>SP_StingraySmall_39000_0</t>
  </si>
  <si>
    <t>SP_BG_Vulture(4)</t>
  </si>
  <si>
    <t>Pos_x;Pos_y</t>
  </si>
  <si>
    <t>-862.39996;98.62</t>
  </si>
  <si>
    <t>-731.01;114.39</t>
  </si>
  <si>
    <t>-1077.22;194.8</t>
  </si>
  <si>
    <t>-859.43;101.31</t>
  </si>
  <si>
    <t>-1003.96;70.89</t>
  </si>
  <si>
    <t>-708.56;88.89</t>
  </si>
  <si>
    <t>-791.99;-36.09</t>
  </si>
  <si>
    <t>-790.6;-18.8</t>
  </si>
  <si>
    <t>-745.18;-5.84</t>
  </si>
  <si>
    <t>-733.58;-26.21</t>
  </si>
  <si>
    <t>-742.2;68.2</t>
  </si>
  <si>
    <t>-922.3;77.1</t>
  </si>
  <si>
    <t>-861.49994;-144.98</t>
  </si>
  <si>
    <t>-908.12;76.49</t>
  </si>
  <si>
    <t>-815.57;3.36</t>
  </si>
  <si>
    <t>-741.63;58.77</t>
  </si>
  <si>
    <t>-789.68;100.67</t>
  </si>
  <si>
    <t>-1041.1;-44.4</t>
  </si>
  <si>
    <t>-748.8;-25.68</t>
  </si>
  <si>
    <t>-732.7;0.3</t>
  </si>
  <si>
    <t>-852.4;160.2</t>
  </si>
  <si>
    <t>-779.9;121.4</t>
  </si>
  <si>
    <t>-819.5;50.4</t>
  </si>
  <si>
    <t>-808.27997;39.670006</t>
  </si>
  <si>
    <t>-795.3;24.8</t>
  </si>
  <si>
    <t>-613;146.8</t>
  </si>
  <si>
    <t>-994;162</t>
  </si>
  <si>
    <t>-709.98;76.39</t>
  </si>
  <si>
    <t>-797.2;70.7</t>
  </si>
  <si>
    <t>-1017;123.75</t>
  </si>
  <si>
    <t>-1073.78;-66.89</t>
  </si>
  <si>
    <t>-783.22;102.77</t>
  </si>
  <si>
    <t>-1023.7;137.2</t>
  </si>
  <si>
    <t>-826.73;-24.32</t>
  </si>
  <si>
    <t>-791.2;96.26</t>
  </si>
  <si>
    <t>-877.69;-3.34</t>
  </si>
  <si>
    <t>-1072.79;28.83</t>
  </si>
  <si>
    <t>-775.8;185.1</t>
  </si>
  <si>
    <t>-807.25;89.3</t>
  </si>
  <si>
    <t>-913.48;-5.74</t>
  </si>
  <si>
    <t>-858.72003;126.38</t>
  </si>
  <si>
    <t>-987.1;-69.4</t>
  </si>
  <si>
    <t>-1122.7001;63.300003</t>
  </si>
  <si>
    <t>-779.7;-50.5</t>
  </si>
  <si>
    <t>-676.81;29</t>
  </si>
  <si>
    <t>-882.71;-20.88</t>
  </si>
  <si>
    <t>-691.62;117.65</t>
  </si>
  <si>
    <t>-605.8;168.3</t>
  </si>
  <si>
    <t>-908.78;175.06</t>
  </si>
  <si>
    <t>-736.21;-5.62</t>
  </si>
  <si>
    <t>-889.2;10.4</t>
  </si>
  <si>
    <t>-826.4;18.1</t>
  </si>
  <si>
    <t>-867.1;136.7</t>
  </si>
  <si>
    <t>-1071.39;21.19</t>
  </si>
  <si>
    <t>-716.9;194.7</t>
  </si>
  <si>
    <t>-890.68;126.01</t>
  </si>
  <si>
    <t>-1045.3;187.7</t>
  </si>
  <si>
    <t>-853.9;31.44</t>
  </si>
  <si>
    <t>-1133.9;56.9</t>
  </si>
  <si>
    <t>-861.8;33.5</t>
  </si>
  <si>
    <t>-681.1;165.1</t>
  </si>
  <si>
    <t>-692.3;187.2</t>
  </si>
  <si>
    <t>-892.91;-39.83</t>
  </si>
  <si>
    <t>-764.42;3.79</t>
  </si>
  <si>
    <t>-795.39;83.6</t>
  </si>
  <si>
    <t>-789.14;-45.7</t>
  </si>
  <si>
    <t>-927.4;203.1</t>
  </si>
  <si>
    <t>-861.6;17.5</t>
  </si>
  <si>
    <t>-862.9;142.1</t>
  </si>
  <si>
    <t>-963.4;47.61</t>
  </si>
  <si>
    <t>-945.5;86.9</t>
  </si>
  <si>
    <t>-1133.6;50.200005</t>
  </si>
  <si>
    <t>-802.47;15.56</t>
  </si>
  <si>
    <t>-819.8;39.5</t>
  </si>
  <si>
    <t>-1142.5;204.54</t>
  </si>
  <si>
    <t>-931;26</t>
  </si>
  <si>
    <t>-1129.32;199.3</t>
  </si>
  <si>
    <t>-774.49;-6.93</t>
  </si>
  <si>
    <t>-843.34;-22.2</t>
  </si>
  <si>
    <t>-596.2;148.1</t>
  </si>
  <si>
    <t>-888.09;93.48</t>
  </si>
  <si>
    <t>-801.44;-49.76</t>
  </si>
  <si>
    <t>-783.71;-28.11</t>
  </si>
  <si>
    <t>-817.23;129.85</t>
  </si>
  <si>
    <t>-731;10.7</t>
  </si>
  <si>
    <t>-578.4;197.5</t>
  </si>
  <si>
    <t>-954.53;42.1</t>
  </si>
  <si>
    <t>-861.26;63.09</t>
  </si>
  <si>
    <t>-729.4;183.7</t>
  </si>
  <si>
    <t>-840.33;-29.46</t>
  </si>
  <si>
    <t>-1008.21;122.31</t>
  </si>
  <si>
    <t>-748.12;96.03</t>
  </si>
  <si>
    <t>-718.16;113.99</t>
  </si>
  <si>
    <t>-777.18;139.1</t>
  </si>
  <si>
    <t>-693.4;40</t>
  </si>
  <si>
    <t>-671.65;68.6</t>
  </si>
  <si>
    <t>-677.57;35</t>
  </si>
  <si>
    <t>-1124.1;150.7</t>
  </si>
  <si>
    <t>-813.94;130.76</t>
  </si>
  <si>
    <t>-797.25;74.98</t>
  </si>
  <si>
    <t>-1051.2;-64.7</t>
  </si>
  <si>
    <t>-831.14;97.27</t>
  </si>
  <si>
    <t>-811.01;34.62</t>
  </si>
  <si>
    <t>-893.42;-30.38</t>
  </si>
  <si>
    <t>-1174.3;203.5</t>
  </si>
  <si>
    <t>-710.9899;157</t>
  </si>
  <si>
    <t>-730.52;104.91</t>
  </si>
  <si>
    <t>-860.98;56.83</t>
  </si>
  <si>
    <t>-759.42;133.89</t>
  </si>
  <si>
    <t>-738;186.20001</t>
  </si>
  <si>
    <t>-792.78;-31.1</t>
  </si>
  <si>
    <t>-896.42;-5.15</t>
  </si>
  <si>
    <t>-893.96;-49.47</t>
  </si>
  <si>
    <t>-1107.5;-110.3</t>
  </si>
  <si>
    <t>-750.4;192.7</t>
  </si>
  <si>
    <t>-1004.44;71.05</t>
  </si>
  <si>
    <t>-831.2;179.28</t>
  </si>
  <si>
    <t>-868.42;-142.39</t>
  </si>
  <si>
    <t>-822.65;-3.9</t>
  </si>
  <si>
    <t>-839.8;55.1</t>
  </si>
  <si>
    <t>-933.52;23.92</t>
  </si>
  <si>
    <t>-859.4;-41.92</t>
  </si>
  <si>
    <t>-871.52;-45.280003</t>
  </si>
  <si>
    <t>-943.5;196.8</t>
  </si>
  <si>
    <t>-706;-5.9</t>
  </si>
  <si>
    <t>-806.32;81.5</t>
  </si>
  <si>
    <t>-749;142.72</t>
  </si>
  <si>
    <t>-841.36;-5.37</t>
  </si>
  <si>
    <t>-922.43;121.11</t>
  </si>
  <si>
    <t>-695.3;79.77</t>
  </si>
  <si>
    <t>-777.08;103.41</t>
  </si>
  <si>
    <t>-937;20</t>
  </si>
  <si>
    <t>-920.83;124.24</t>
  </si>
  <si>
    <t>-863.53;101.799995</t>
  </si>
  <si>
    <t>-1143.7;16.1</t>
  </si>
  <si>
    <t>-690.2;88.25</t>
  </si>
  <si>
    <t>-874.46;-4.7</t>
  </si>
  <si>
    <t>-837.56;-28.2</t>
  </si>
  <si>
    <t>-711.8;65.1</t>
  </si>
  <si>
    <t>-721.56;126.88</t>
  </si>
  <si>
    <t>-818.32;128.14</t>
  </si>
  <si>
    <t>-743.17;-31.3</t>
  </si>
  <si>
    <t>-1073.7201;-67.41</t>
  </si>
  <si>
    <t>-822.42;97.19</t>
  </si>
  <si>
    <t>-765.48;13.85</t>
  </si>
  <si>
    <t>-1022.9;179</t>
  </si>
  <si>
    <t>-831.7;33.2</t>
  </si>
  <si>
    <t>-837.58;91.33</t>
  </si>
  <si>
    <t>-903.04;171.06</t>
  </si>
  <si>
    <t>-816.33;137.52</t>
  </si>
  <si>
    <t>-794.44;142.12</t>
  </si>
  <si>
    <t>-750.45;147.42</t>
  </si>
  <si>
    <t>-888;155.2</t>
  </si>
  <si>
    <t>-777.87;-41.46</t>
  </si>
  <si>
    <t>771.5;-356.8</t>
  </si>
  <si>
    <t>-816.06;100.3</t>
  </si>
  <si>
    <t>-865.2;195.59999</t>
  </si>
  <si>
    <t>-879.87;142.5</t>
  </si>
  <si>
    <t>-790.7;14.3</t>
  </si>
  <si>
    <t>-864.50995;-145.8</t>
  </si>
  <si>
    <t>-1004.96;87.45</t>
  </si>
  <si>
    <t>-919.8;59.750004</t>
  </si>
  <si>
    <t>-779.6;-6.93</t>
  </si>
  <si>
    <t>-980.6;111.22</t>
  </si>
  <si>
    <t>-1143.4;53.7</t>
  </si>
  <si>
    <t>-707.39996;183.08</t>
  </si>
  <si>
    <t>-664.88;68.42</t>
  </si>
  <si>
    <t>-992.5;167.3</t>
  </si>
  <si>
    <t>-993.6;-119.3</t>
  </si>
  <si>
    <t>-1136.2;136.2</t>
  </si>
  <si>
    <t>-710.8;97.1</t>
  </si>
  <si>
    <t>-1005.2;106</t>
  </si>
  <si>
    <t>-717.83;76.6</t>
  </si>
  <si>
    <t>-1018.66;164.5</t>
  </si>
  <si>
    <t>-781;103.41</t>
  </si>
  <si>
    <t>-897.35;31.81</t>
  </si>
  <si>
    <t>-1075.3;-72.5</t>
  </si>
  <si>
    <t>-945.39;144.6</t>
  </si>
  <si>
    <t>-1000.1;-104</t>
  </si>
  <si>
    <t>-959.14;36.07</t>
  </si>
  <si>
    <t>-828.2;-5.37</t>
  </si>
  <si>
    <t>-714.7;17.43</t>
  </si>
  <si>
    <t>-755.1;134.1</t>
  </si>
  <si>
    <t>-795;4.2</t>
  </si>
  <si>
    <t>-958;133.9</t>
  </si>
  <si>
    <t>-844;136.19998</t>
  </si>
  <si>
    <t>-808.35;39.15</t>
  </si>
  <si>
    <t>-811.96;-46.96</t>
  </si>
  <si>
    <t>-965.8;109.34999</t>
  </si>
  <si>
    <t>-677.3;96</t>
  </si>
  <si>
    <t>-890.2;123.91</t>
  </si>
  <si>
    <t>-861.44;-145.5</t>
  </si>
  <si>
    <t>-704.73;30.7</t>
  </si>
  <si>
    <t>-792.1;194.85</t>
  </si>
  <si>
    <t>-832.29;-54.86</t>
  </si>
  <si>
    <t>-959.6;128.8</t>
  </si>
  <si>
    <t>-842.9;53.5</t>
  </si>
  <si>
    <t>-779.61;-31.67</t>
  </si>
  <si>
    <t>-792.13;-38.11</t>
  </si>
  <si>
    <t>-835.15;-4.99</t>
  </si>
  <si>
    <t>-686.7;166.9</t>
  </si>
  <si>
    <t>-764.1;142.61</t>
  </si>
  <si>
    <t>-1059.4;188.3</t>
  </si>
  <si>
    <t>-954.5;131.7</t>
  </si>
  <si>
    <t>-928.71;134.42</t>
  </si>
  <si>
    <t>-1015.5;205.7</t>
  </si>
  <si>
    <t>-745.84;92.05</t>
  </si>
  <si>
    <t>-947.94;148.9</t>
  </si>
  <si>
    <t>-767.46;120.33</t>
  </si>
  <si>
    <t>-707.8;170.37</t>
  </si>
  <si>
    <t>-895.1;29.03</t>
  </si>
  <si>
    <t>-833.91;-20.66</t>
  </si>
  <si>
    <t>-943.88;36.82</t>
  </si>
  <si>
    <t>-879.6;36</t>
  </si>
  <si>
    <t>-725.82;137.01</t>
  </si>
  <si>
    <t>-863.89;-2.45</t>
  </si>
  <si>
    <t>-878.41;73.46</t>
  </si>
  <si>
    <t>-741.6;11.54</t>
  </si>
  <si>
    <t>-1114;187.4</t>
  </si>
  <si>
    <t>-781.43;120.33</t>
  </si>
  <si>
    <t>-1153.7;156.5</t>
  </si>
  <si>
    <t>-809.2;6.6000032</t>
  </si>
  <si>
    <t>-785.66;-39.2</t>
  </si>
  <si>
    <t>-698.3;32</t>
  </si>
  <si>
    <t>-761.53;-42.03</t>
  </si>
  <si>
    <t>-827.8;73.060005</t>
  </si>
  <si>
    <t>-725.54;20.77</t>
  </si>
  <si>
    <t>-898.9;109.3</t>
  </si>
  <si>
    <t>-746.51;51.76</t>
  </si>
  <si>
    <t>-827;101.7</t>
  </si>
  <si>
    <t>-1027.08;144.84</t>
  </si>
  <si>
    <t>-878.91;123.64</t>
  </si>
  <si>
    <t>-720.2;97.3</t>
  </si>
  <si>
    <t>-634.5;187</t>
  </si>
  <si>
    <t>-882.81;106.75</t>
  </si>
  <si>
    <t>-996;193.4</t>
  </si>
  <si>
    <t>-916.74;-6.14</t>
  </si>
  <si>
    <t>-1053.7;-11.5</t>
  </si>
  <si>
    <t>-727.65;42</t>
  </si>
  <si>
    <t>-714.4;90.8</t>
  </si>
  <si>
    <t>-599.9;190.3</t>
  </si>
  <si>
    <t>-889.3;26.75</t>
  </si>
  <si>
    <t>-1140.58;79.21</t>
  </si>
  <si>
    <t>-901.3;189.82</t>
  </si>
  <si>
    <t>-710.43;41.92</t>
  </si>
  <si>
    <t>-1113.5;-106</t>
  </si>
  <si>
    <t>-727.31;111.28</t>
  </si>
  <si>
    <t>-883.39996;44.9</t>
  </si>
  <si>
    <t>-931;20</t>
  </si>
  <si>
    <t>-867.3;-149.3</t>
  </si>
  <si>
    <t>-609.3;136.7</t>
  </si>
  <si>
    <t>-948.6;191.3</t>
  </si>
  <si>
    <t>-986.8;74.5</t>
  </si>
  <si>
    <t>-1014.87;123.03</t>
  </si>
  <si>
    <t>-835.8;75.84</t>
  </si>
  <si>
    <t>-849.5;56.73</t>
  </si>
  <si>
    <t>-1132.8;-71.3</t>
  </si>
  <si>
    <t>-997.21;83.05</t>
  </si>
  <si>
    <t>-817.04;122.06</t>
  </si>
  <si>
    <t>-711.06;117.2</t>
  </si>
  <si>
    <t>-680.5;23</t>
  </si>
  <si>
    <t>-1070.66;39.46</t>
  </si>
  <si>
    <t>-761.54;-6.32</t>
  </si>
  <si>
    <t>-720.88;17.23</t>
  </si>
  <si>
    <t>-781.25;171.40001</t>
  </si>
  <si>
    <t>-799.53;33.87</t>
  </si>
  <si>
    <t>-902.7;138.7</t>
  </si>
  <si>
    <t>-685.1;87.9</t>
  </si>
  <si>
    <t>-734.12;104.27</t>
  </si>
  <si>
    <t>-842.47;91.66</t>
  </si>
  <si>
    <t>-827.81;-52.02</t>
  </si>
  <si>
    <t>-761.4;7.91</t>
  </si>
  <si>
    <t>-871.3;34.2</t>
  </si>
  <si>
    <t>-867.96;127.01</t>
  </si>
  <si>
    <t>-868.71;83.97</t>
  </si>
  <si>
    <t>-800.19;86.43</t>
  </si>
  <si>
    <t>-823.07;56.69</t>
  </si>
  <si>
    <t>-667.31;183.2</t>
  </si>
  <si>
    <t>-924.2;15.87</t>
  </si>
  <si>
    <t>-839.23;60.83</t>
  </si>
  <si>
    <t>-1131.8;-79.8</t>
  </si>
  <si>
    <t>-750;22.6</t>
  </si>
  <si>
    <t>-690.64;33.1</t>
  </si>
  <si>
    <t>-771.44;-6.86</t>
  </si>
  <si>
    <t>-946.45;28.27</t>
  </si>
  <si>
    <t>-1152.9;42.1</t>
  </si>
  <si>
    <t>-793.26;-41.84</t>
  </si>
  <si>
    <t>-832.7;38.3</t>
  </si>
  <si>
    <t>-861.73;109.37</t>
  </si>
  <si>
    <t>-683.5;159.1</t>
  </si>
  <si>
    <t>-1052.5;187.7</t>
  </si>
  <si>
    <t>-939.2;114.5</t>
  </si>
  <si>
    <t>-805.73;141.36</t>
  </si>
  <si>
    <t>-710.36;139.7</t>
  </si>
  <si>
    <t>-1006.32;78.09</t>
  </si>
  <si>
    <t>-730.19;77.17</t>
  </si>
  <si>
    <t>-999.1;108.8</t>
  </si>
  <si>
    <t>-1022.2;-124.6</t>
  </si>
  <si>
    <t>-891.43;128.46</t>
  </si>
  <si>
    <t>-864.5;57</t>
  </si>
  <si>
    <t>-809.55;43.75</t>
  </si>
  <si>
    <t>-951.77;164.97</t>
  </si>
  <si>
    <t>-839.74;-48.56</t>
  </si>
  <si>
    <t>-822.97;128.94</t>
  </si>
  <si>
    <t>-717.79;46.57</t>
  </si>
  <si>
    <t>-937;26</t>
  </si>
  <si>
    <t>-860.52;49.27</t>
  </si>
  <si>
    <t>-983.67;-85.89</t>
  </si>
  <si>
    <t>-673.6;83.72</t>
  </si>
  <si>
    <t>-915.3;157.4</t>
  </si>
  <si>
    <t>-772.27;36.25</t>
  </si>
  <si>
    <t>-957.6;201.4</t>
  </si>
  <si>
    <t>-921.48;135.52</t>
  </si>
  <si>
    <t>-761.89;-28.79</t>
  </si>
  <si>
    <t>-750.5;92.8</t>
  </si>
  <si>
    <t>-1058.4;199.09999</t>
  </si>
  <si>
    <t>-847.47;-54.8</t>
  </si>
  <si>
    <t>-744.44;3.24</t>
  </si>
  <si>
    <t>-800.46;91.4</t>
  </si>
  <si>
    <t>-805.4;192.5</t>
  </si>
  <si>
    <t>-732.1;167.09999</t>
  </si>
  <si>
    <t>-848.99;-53.06</t>
  </si>
  <si>
    <t>-805.8;179.8</t>
  </si>
  <si>
    <t>-808.94;84.98</t>
  </si>
  <si>
    <t>-808.13;133.2</t>
  </si>
  <si>
    <t>-776.09;35.3</t>
  </si>
  <si>
    <t>-711.29;106.25</t>
  </si>
  <si>
    <t>-828.68005;200.25</t>
  </si>
  <si>
    <t>-669.04;67.61</t>
  </si>
  <si>
    <t>-870.8;105.7</t>
  </si>
  <si>
    <t>-680.9;38.15</t>
  </si>
  <si>
    <t>-782.9;9.6</t>
  </si>
  <si>
    <t>-1076.79;-67.71001</t>
  </si>
  <si>
    <t>-781.52;-34.82</t>
  </si>
  <si>
    <t>-816.3;32.2</t>
  </si>
  <si>
    <t>-907.9;126.5</t>
  </si>
  <si>
    <t>-932.32;139.48</t>
  </si>
  <si>
    <t>-708.4;126</t>
  </si>
  <si>
    <t>-803.6;92.87</t>
  </si>
  <si>
    <t>-949.77;31.69</t>
  </si>
  <si>
    <t>-950.25;70.48</t>
  </si>
  <si>
    <t>-1073.72;199.5</t>
  </si>
  <si>
    <t>-1121.2;51.4</t>
  </si>
  <si>
    <t>-714.19;73.57</t>
  </si>
  <si>
    <t>-886.33;110.15</t>
  </si>
  <si>
    <t>-781.04;96.14001</t>
  </si>
  <si>
    <t>-776.35;120.42</t>
  </si>
  <si>
    <t>-974.93;108.06</t>
  </si>
  <si>
    <t>-920.88;92.84</t>
  </si>
  <si>
    <t>-726.53;34.200005</t>
  </si>
  <si>
    <t>-1138.6;192.44</t>
  </si>
  <si>
    <t>-1007.65;202.1</t>
  </si>
  <si>
    <t>-917.64;116.799995</t>
  </si>
  <si>
    <t>-822.98;26.849998</t>
  </si>
  <si>
    <t>-887.07;130.71</t>
  </si>
  <si>
    <t>-1000.9;95.5</t>
  </si>
  <si>
    <t>-1137.8;-63.3</t>
  </si>
  <si>
    <t>-964.8;177.3</t>
  </si>
  <si>
    <t>-876;108.3</t>
  </si>
  <si>
    <t>-858;-5.56</t>
  </si>
  <si>
    <t>-778.96;-18.42</t>
  </si>
  <si>
    <t>-962.5;113.049995</t>
  </si>
  <si>
    <t>-974.78;79.57</t>
  </si>
  <si>
    <t>-882.37;120.58</t>
  </si>
  <si>
    <t>-759.2;177.3</t>
  </si>
  <si>
    <t>-1000.7;-54</t>
  </si>
  <si>
    <t>-767.74;141.47</t>
  </si>
  <si>
    <t>-848.58;126.9</t>
  </si>
  <si>
    <t>-735.5;189.5</t>
  </si>
  <si>
    <t>-971.71;141.7</t>
  </si>
  <si>
    <t>-706.7;76.44</t>
  </si>
  <si>
    <t>-794.2;76.99</t>
  </si>
  <si>
    <t>-852.64;113.14</t>
  </si>
  <si>
    <t>-862.6;171.3</t>
  </si>
  <si>
    <t>-942.55;59.750004</t>
  </si>
  <si>
    <t>-928.2;175.9</t>
  </si>
  <si>
    <t>-989.2;74.4</t>
  </si>
  <si>
    <t>-871.91;-22.07</t>
  </si>
  <si>
    <t>-1022;-100.2</t>
  </si>
  <si>
    <t>-872.64;91.07</t>
  </si>
  <si>
    <t>-940.5;59.750004</t>
  </si>
  <si>
    <t>-856.68;76.17</t>
  </si>
  <si>
    <t>-968.96;60.8</t>
  </si>
  <si>
    <t>-875.01;73.2</t>
  </si>
  <si>
    <t>-854.1;120.64</t>
  </si>
  <si>
    <t>-1135.1;-8</t>
  </si>
  <si>
    <t>-829.1;84.9</t>
  </si>
  <si>
    <t>-938.4;97.8</t>
  </si>
  <si>
    <t>-757.13;87.75</t>
  </si>
  <si>
    <t>-955.52;74.56</t>
  </si>
  <si>
    <t>-756.35;-38.68</t>
  </si>
  <si>
    <t>-753.9;97.50001</t>
  </si>
  <si>
    <t>-689.63;13.62</t>
  </si>
  <si>
    <t>-876.35;109.98</t>
  </si>
  <si>
    <t>-838.7;10</t>
  </si>
  <si>
    <t>-926.99;128.03</t>
  </si>
  <si>
    <t>-665.97;67.57</t>
  </si>
  <si>
    <t>-754.37;-21.38</t>
  </si>
  <si>
    <t>-845.72;76.3</t>
  </si>
  <si>
    <t>-865.87;4.38</t>
  </si>
  <si>
    <t>-815.1;13.8</t>
  </si>
  <si>
    <t>-588.5;164.9</t>
  </si>
  <si>
    <t>-1122.72;196.4</t>
  </si>
  <si>
    <t>-579.9;146.2</t>
  </si>
  <si>
    <t>-794.85;-38.76</t>
  </si>
  <si>
    <t>-761.03;87.99</t>
  </si>
  <si>
    <t>-876.02;-34.15</t>
  </si>
  <si>
    <t>-665.1;140.8</t>
  </si>
  <si>
    <t>-855.83;-49.65</t>
  </si>
  <si>
    <t>-795;65.4</t>
  </si>
  <si>
    <t>-1027.79;124.23</t>
  </si>
  <si>
    <t>-755.88;98.81</t>
  </si>
  <si>
    <t>-583.2;173.8</t>
  </si>
  <si>
    <t>-941.45;121.55</t>
  </si>
  <si>
    <t>-797.3;67.8</t>
  </si>
  <si>
    <t>-722.1;3.98</t>
  </si>
  <si>
    <t>-619;161.8</t>
  </si>
  <si>
    <t>-886.7;7</t>
  </si>
  <si>
    <t>-779;172.2</t>
  </si>
  <si>
    <t>-1017.2;-115.5</t>
  </si>
  <si>
    <t>-1013.2;131.3</t>
  </si>
  <si>
    <t>-962.8;190.5</t>
  </si>
  <si>
    <t>-1029;137.1</t>
  </si>
  <si>
    <t>-731.04;-18.34</t>
  </si>
  <si>
    <t>-1098.3;187.5</t>
  </si>
  <si>
    <t>-851.5;147.1</t>
  </si>
  <si>
    <t>-1004.94;121.67</t>
  </si>
  <si>
    <t>-829.9;20.1</t>
  </si>
  <si>
    <t>-660.61;67.57</t>
  </si>
  <si>
    <t>-904.56;5.98</t>
  </si>
  <si>
    <t>-896.77;101.59</t>
  </si>
  <si>
    <t>-843.9;-29.9</t>
  </si>
  <si>
    <t>-1138.8;130.6</t>
  </si>
  <si>
    <t>-802.66;65.34</t>
  </si>
  <si>
    <t>-933.03;89.43</t>
  </si>
  <si>
    <t>-799.95;58.59</t>
  </si>
  <si>
    <t>-690.37;48.63</t>
  </si>
  <si>
    <t>-951.1;132.4</t>
  </si>
  <si>
    <t>-824.99;-28.2</t>
  </si>
  <si>
    <t>-870.3;30.94</t>
  </si>
  <si>
    <t>-787.88;55.53</t>
  </si>
  <si>
    <t>-750.63;47.18</t>
  </si>
  <si>
    <t>-910.1;113.2</t>
  </si>
  <si>
    <t>-681.96;137.19</t>
  </si>
  <si>
    <t>-739.58;-17.07</t>
  </si>
  <si>
    <t>-923.84;133.77</t>
  </si>
  <si>
    <t>-870.85;-30.49</t>
  </si>
  <si>
    <t>-757.16;143.1</t>
  </si>
  <si>
    <t>-957.8;122.25</t>
  </si>
  <si>
    <t>-919.25;9.18</t>
  </si>
  <si>
    <t>-834.3;97.47</t>
  </si>
  <si>
    <t>-1097.5;213.1</t>
  </si>
  <si>
    <t>-860.61;59.41</t>
  </si>
  <si>
    <t>-848.6;-32.7</t>
  </si>
  <si>
    <t>-592.4;159.5</t>
  </si>
  <si>
    <t>-734.06;110.04</t>
  </si>
  <si>
    <t>-987.6;119.5</t>
  </si>
  <si>
    <t>-806.6;-2.5</t>
  </si>
  <si>
    <t>-1089.3;-116</t>
  </si>
  <si>
    <t>-771.11;120.75</t>
  </si>
  <si>
    <t>-797.38;90.41</t>
  </si>
  <si>
    <t>-892.83;-37.51</t>
  </si>
  <si>
    <t>-951.1;126.7</t>
  </si>
  <si>
    <t>-866.83;-42.18</t>
  </si>
  <si>
    <t>-830.28;-28.2</t>
  </si>
  <si>
    <t>-865.7;61.11</t>
  </si>
  <si>
    <t>-794.96;132.96</t>
  </si>
  <si>
    <t>-873.23;174.88</t>
  </si>
  <si>
    <t>-1151.1;142.1</t>
  </si>
  <si>
    <t>-806.03;130.81</t>
  </si>
  <si>
    <t>-924.96;2.73</t>
  </si>
  <si>
    <t>-690.86;132.46</t>
  </si>
  <si>
    <t>-739.62;24.99</t>
  </si>
  <si>
    <t>-865.53;25.64</t>
  </si>
  <si>
    <t>-1149.2;131.6</t>
  </si>
  <si>
    <t>-831.45;44.4</t>
  </si>
  <si>
    <t>-1011.7;189.1</t>
  </si>
  <si>
    <t>-856.28;101.88</t>
  </si>
  <si>
    <t>-896.42;128.97</t>
  </si>
  <si>
    <t>-1024.3;167.7</t>
  </si>
  <si>
    <t>-698.7;-2.7</t>
  </si>
  <si>
    <t>-879.31;146.4</t>
  </si>
  <si>
    <t>-884.7;200.3</t>
  </si>
  <si>
    <t>-863.45;126.63</t>
  </si>
  <si>
    <t>-834.7;138.4</t>
  </si>
  <si>
    <t>-832.7;54.2</t>
  </si>
  <si>
    <t>-800.43;142.53</t>
  </si>
  <si>
    <t>-850.11;61.120003</t>
  </si>
  <si>
    <t>-862.97;92.18</t>
  </si>
  <si>
    <t>-942.66;107.18</t>
  </si>
  <si>
    <t>-788.95;-25.64</t>
  </si>
  <si>
    <t>-880.5;26.3</t>
  </si>
  <si>
    <t>-851.81;185.56</t>
  </si>
  <si>
    <t>-1110.4;-69.4</t>
  </si>
  <si>
    <t>-822;153</t>
  </si>
  <si>
    <t>-712.88;109.6</t>
  </si>
  <si>
    <t>-804.8;131.47</t>
  </si>
  <si>
    <t>-763.47;-34.2</t>
  </si>
  <si>
    <t>-582.3;138.9</t>
  </si>
  <si>
    <t>-876.9;-40</t>
  </si>
  <si>
    <t>-0.55;-0.03</t>
  </si>
  <si>
    <t>-901.48;36.25</t>
  </si>
  <si>
    <t>-798.76;93.43</t>
  </si>
  <si>
    <t>-791.04;-37.12</t>
  </si>
  <si>
    <t>-886.23;135.27</t>
  </si>
  <si>
    <t>-862.1;118.4</t>
  </si>
  <si>
    <t>-769;-36.7</t>
  </si>
  <si>
    <t>-617.9;172.4</t>
  </si>
  <si>
    <t>-942.24;41.06</t>
  </si>
  <si>
    <t>-1139.2;64.3</t>
  </si>
  <si>
    <t>-696.89;52.19</t>
  </si>
  <si>
    <t>-878.56;167.3</t>
  </si>
  <si>
    <t>-820.1;86.76</t>
  </si>
  <si>
    <t>-1138.2;23.6</t>
  </si>
  <si>
    <t>-833.38;-44.49</t>
  </si>
  <si>
    <t>-844.6;57.7</t>
  </si>
  <si>
    <t>-986.84;72.68</t>
  </si>
  <si>
    <t>-1076.36;-67.61</t>
  </si>
  <si>
    <t>-822.83;-5.37</t>
  </si>
  <si>
    <t>-834;-28.2</t>
  </si>
  <si>
    <t>-625.1;153.4</t>
  </si>
  <si>
    <t>-700.2373;92.53016</t>
  </si>
  <si>
    <t>-951.41;45.19</t>
  </si>
  <si>
    <t>-880;151.9</t>
  </si>
  <si>
    <t>-756.94;-27.2</t>
  </si>
  <si>
    <t>-817;175.2</t>
  </si>
  <si>
    <t>-798.74;94.89</t>
  </si>
  <si>
    <t>-923.6;7.6</t>
  </si>
  <si>
    <t>-887;110.10001</t>
  </si>
  <si>
    <t>-1079.5801;-71.21001</t>
  </si>
  <si>
    <t>-1000.88;74.62</t>
  </si>
  <si>
    <t>-725.27;57.84</t>
  </si>
  <si>
    <t>-702.5;93.83</t>
  </si>
  <si>
    <t>-1046.5;-26.4</t>
  </si>
  <si>
    <t>-722.83;142.56</t>
  </si>
  <si>
    <t>-862.1;-5.23</t>
  </si>
  <si>
    <t>-745.08;64.2</t>
  </si>
  <si>
    <t>-653.1;199</t>
  </si>
  <si>
    <t>-687.65;112.25</t>
  </si>
  <si>
    <t>-881.38;105.8</t>
  </si>
  <si>
    <t>-937.94;86.27</t>
  </si>
  <si>
    <t>-1105.5;187.90001</t>
  </si>
  <si>
    <t>-856.57;126.49</t>
  </si>
  <si>
    <t>-959.6;185.7</t>
  </si>
  <si>
    <t>-1019.1;123.91</t>
  </si>
  <si>
    <t>-786.1;103.41</t>
  </si>
  <si>
    <t>-915.4;143.94</t>
  </si>
  <si>
    <t>-1022.7;-29.5</t>
  </si>
  <si>
    <t>-665.3;165.5</t>
  </si>
  <si>
    <t>-971.33;113.41</t>
  </si>
  <si>
    <t>-858.92;75.85</t>
  </si>
  <si>
    <t>-953.6;139.3</t>
  </si>
  <si>
    <t>-976.3;157.8</t>
  </si>
  <si>
    <t>-764.12;54.3</t>
  </si>
  <si>
    <t>-669.0101;155.1</t>
  </si>
  <si>
    <t>-693.04;22.2</t>
  </si>
  <si>
    <t>-1151;54.1</t>
  </si>
  <si>
    <t>-764.24;133.13</t>
  </si>
  <si>
    <t>-610;155.5</t>
  </si>
  <si>
    <t>-809.63;-52.72</t>
  </si>
  <si>
    <t>-946.63995;28.62</t>
  </si>
  <si>
    <t>-778.21;-19.23</t>
  </si>
  <si>
    <t>-851.3;163.9</t>
  </si>
  <si>
    <t>-864.0799;-145.7</t>
  </si>
  <si>
    <t>-792.2;102.5</t>
  </si>
  <si>
    <t>-849.7;136.69998</t>
  </si>
  <si>
    <t>-964.48;103.66999</t>
  </si>
  <si>
    <t>-982.58;104.899994</t>
  </si>
  <si>
    <t>-1015.4;-105.7</t>
  </si>
  <si>
    <t>-717.3;155.1</t>
  </si>
  <si>
    <t>-865.3;126.43</t>
  </si>
  <si>
    <t>-702.54;12.55</t>
  </si>
  <si>
    <t>-893.15;42.54</t>
  </si>
  <si>
    <t>-794.39;73.51</t>
  </si>
  <si>
    <t>-887.74;81.66</t>
  </si>
  <si>
    <t>-807;26.8</t>
  </si>
  <si>
    <t>-984.88007;-82.78</t>
  </si>
  <si>
    <t>-991.8;124.7</t>
  </si>
  <si>
    <t>-969.56;52.63</t>
  </si>
  <si>
    <t>-985.19;91.23</t>
  </si>
  <si>
    <t>-650.9;250.1</t>
  </si>
  <si>
    <t>-795.87;-18.53</t>
  </si>
  <si>
    <t>-860.1;114.5</t>
  </si>
  <si>
    <t>-868.89;9.17</t>
  </si>
  <si>
    <t>-872.8;-4.53</t>
  </si>
  <si>
    <t>-712.35;-2.77</t>
  </si>
  <si>
    <t>-857.37;126.2</t>
  </si>
  <si>
    <t>-929.89;100.68</t>
  </si>
  <si>
    <t>-878.74;183.83</t>
  </si>
  <si>
    <t>-668.5;181</t>
  </si>
  <si>
    <t>-875.99;52.86</t>
  </si>
  <si>
    <t>-1106.3;-80.8</t>
  </si>
  <si>
    <t>-883.36;-41.44</t>
  </si>
  <si>
    <t>-842.97;17.04</t>
  </si>
  <si>
    <t>-801.4;94.17</t>
  </si>
  <si>
    <t>-854.48;93.15</t>
  </si>
  <si>
    <t>-823.35;75.939995</t>
  </si>
  <si>
    <t>-1091.5;203.59999</t>
  </si>
  <si>
    <t>-716.98;47.63</t>
  </si>
  <si>
    <t>-834.9;-49.3</t>
  </si>
  <si>
    <t>-968;-82</t>
  </si>
  <si>
    <t>-934.78;35.56</t>
  </si>
  <si>
    <t>-1070;187.4</t>
  </si>
  <si>
    <t>-1120.5;187.1</t>
  </si>
  <si>
    <t>-1002.6;196.3</t>
  </si>
  <si>
    <t>-915.19;9.35</t>
  </si>
  <si>
    <t>-734.2;200.1</t>
  </si>
  <si>
    <t>-726.24;99.18567</t>
  </si>
  <si>
    <t>-834.33;58.36</t>
  </si>
  <si>
    <t>-1016.6;171.7</t>
  </si>
  <si>
    <t>-856.1;136.6</t>
  </si>
  <si>
    <t>-1080.7001;-64.299995</t>
  </si>
  <si>
    <t>-784.05;-64.76</t>
  </si>
  <si>
    <t>-872.12;53.42</t>
  </si>
  <si>
    <t>-701.34;-2.84</t>
  </si>
  <si>
    <t>-901.44;-5.97</t>
  </si>
  <si>
    <t>-787.48;-50.61</t>
  </si>
  <si>
    <t>-857.79;86.77</t>
  </si>
  <si>
    <t>-959.65;66.38</t>
  </si>
  <si>
    <t>-711.45;40.94</t>
  </si>
  <si>
    <t>-868.34;-49.82</t>
  </si>
  <si>
    <t>-862.73004;-150.81999</t>
  </si>
  <si>
    <t>-1019.4;-45.1</t>
  </si>
  <si>
    <t>-730.3;-3.7</t>
  </si>
  <si>
    <t>-984.78;86.09</t>
  </si>
  <si>
    <t>-844.05;117.76</t>
  </si>
  <si>
    <t>-769.35;120.91</t>
  </si>
  <si>
    <t>-680.28;41</t>
  </si>
  <si>
    <t>-838.1;136.79999</t>
  </si>
  <si>
    <t>-768.99;36.77</t>
  </si>
  <si>
    <t>-681.44;26.07</t>
  </si>
  <si>
    <t>-930.34;18.8</t>
  </si>
  <si>
    <t>-707.5;153.8</t>
  </si>
  <si>
    <t>-812.56;140.31</t>
  </si>
  <si>
    <t>-1062.9;-89.9</t>
  </si>
  <si>
    <t>-700.2;35.4</t>
  </si>
  <si>
    <t>-737.63;8.71</t>
  </si>
  <si>
    <t>-890.73;-31.83</t>
  </si>
  <si>
    <t>-882.1;123.31</t>
  </si>
  <si>
    <t>-715.93;103.96</t>
  </si>
  <si>
    <t>-794.83;83.63</t>
  </si>
  <si>
    <t>-743.14;-21.85</t>
  </si>
  <si>
    <t>-911.8;103.3</t>
  </si>
  <si>
    <t>-888.88;142.32</t>
  </si>
  <si>
    <t>-899.2;151.5</t>
  </si>
  <si>
    <t>-1023.49;124.39</t>
  </si>
  <si>
    <t>-848.01;48.63</t>
  </si>
  <si>
    <t>-881.2;10.4</t>
  </si>
  <si>
    <t>-829.84;27.53</t>
  </si>
  <si>
    <t>-945.2399;124.84999</t>
  </si>
  <si>
    <t>-793.33;-36.84</t>
  </si>
  <si>
    <t>-812.53;112.91</t>
  </si>
  <si>
    <t>-812.87;129.46</t>
  </si>
  <si>
    <t>-1125.1;82.5</t>
  </si>
  <si>
    <t>-797.9;64.2</t>
  </si>
  <si>
    <t>-889.3;117.05</t>
  </si>
  <si>
    <t>-691.26;32.38</t>
  </si>
  <si>
    <t>-765.81;160.38</t>
  </si>
  <si>
    <t>-804.29;-16.89</t>
  </si>
  <si>
    <t>-886.52;102.57</t>
  </si>
  <si>
    <t>-939.08;59.750004</t>
  </si>
  <si>
    <t>-866.8;56.23</t>
  </si>
  <si>
    <t>-854.43;126.38</t>
  </si>
  <si>
    <t>-917.06006;98.17</t>
  </si>
  <si>
    <t>-790.99;-39.22</t>
  </si>
  <si>
    <t>-924.67;123.75</t>
  </si>
  <si>
    <t>-744.08;150.78</t>
  </si>
  <si>
    <t>-729;98.46</t>
  </si>
  <si>
    <t>-939;137</t>
  </si>
  <si>
    <t>-893.01;-3.99</t>
  </si>
  <si>
    <t>-841.39;75.939995</t>
  </si>
  <si>
    <t>-925.17;23.08</t>
  </si>
  <si>
    <t>-837.91;-54.8</t>
  </si>
  <si>
    <t>-883.41;145.68</t>
  </si>
  <si>
    <t>-938.43;30.26</t>
  </si>
  <si>
    <t>-1075.0101;-72.73</t>
  </si>
  <si>
    <t>-855.6;-32.27</t>
  </si>
  <si>
    <t>-684.38;44.73</t>
  </si>
  <si>
    <t>-834.04;76</t>
  </si>
  <si>
    <t>-893.94;147.98</t>
  </si>
  <si>
    <t>-684.7;103.7</t>
  </si>
  <si>
    <t>-841.99;142.14</t>
  </si>
  <si>
    <t>-928.58;11.91</t>
  </si>
  <si>
    <t>-712.95;85.95</t>
  </si>
  <si>
    <t>-797.49;-14.33</t>
  </si>
  <si>
    <t>-718.9;176.4</t>
  </si>
  <si>
    <t>-871.41;42.17</t>
  </si>
  <si>
    <t>-770.4;46.8</t>
  </si>
  <si>
    <t>-826.4;26.2</t>
  </si>
  <si>
    <t>-859.5;-42.1</t>
  </si>
  <si>
    <t>-1081.3;64</t>
  </si>
  <si>
    <t>-824.8;84.9</t>
  </si>
  <si>
    <t>-755.5;53.5</t>
  </si>
  <si>
    <t>-873.6;111.3</t>
  </si>
  <si>
    <t>-815.05;131.64</t>
  </si>
  <si>
    <t>-751.12;-20.92</t>
  </si>
  <si>
    <t>-1156.9;212.2</t>
  </si>
  <si>
    <t>-890.43;120.02</t>
  </si>
  <si>
    <t>-714.8;-2.84</t>
  </si>
  <si>
    <t>-796.97;92.91</t>
  </si>
  <si>
    <t>-914.5;197.57</t>
  </si>
  <si>
    <t>-662.35;67.57</t>
  </si>
  <si>
    <t>-835.8;148.6</t>
  </si>
  <si>
    <t>-925.24005;103.88</t>
  </si>
  <si>
    <t>-729.59;25.38</t>
  </si>
  <si>
    <t>-786.4;39.5</t>
  </si>
  <si>
    <t>-692.5;0.7</t>
  </si>
  <si>
    <t>-786.57;97.26</t>
  </si>
  <si>
    <t>-909.92;-5.74</t>
  </si>
  <si>
    <t>-890.98;163.9</t>
  </si>
  <si>
    <t>-882.82;-21.28</t>
  </si>
  <si>
    <t>-776.02;-26.74</t>
  </si>
  <si>
    <t>-715.7;97.5</t>
  </si>
  <si>
    <t>-726.49;-3.7</t>
  </si>
  <si>
    <t>-863.01996;-150.59</t>
  </si>
  <si>
    <t>-895.9;108.8</t>
  </si>
  <si>
    <t>-980.75995;-83.56</t>
  </si>
  <si>
    <t>-685.6;132</t>
  </si>
  <si>
    <t>-774.55;-31.7</t>
  </si>
  <si>
    <t>-811.05;34.79</t>
  </si>
  <si>
    <t>-922.1;59.750004</t>
  </si>
  <si>
    <t>-1046.6;192.5</t>
  </si>
  <si>
    <t>-843.5;48.3</t>
  </si>
  <si>
    <t>-773.73;23.03</t>
  </si>
  <si>
    <t>-822.7;55.2</t>
  </si>
  <si>
    <t>-1088.38;2.37</t>
  </si>
  <si>
    <t>-1077.3;187.4</t>
  </si>
  <si>
    <t>-1010.68;162.1</t>
  </si>
  <si>
    <t>-966.5;69.7</t>
  </si>
  <si>
    <t>-841.5;125.63</t>
  </si>
  <si>
    <t>-884.8;12.9</t>
  </si>
  <si>
    <t>-723.32;76.88</t>
  </si>
  <si>
    <t>-1031.4;212.1</t>
  </si>
  <si>
    <t>-662.7;160.6</t>
  </si>
  <si>
    <t>-934.1;59.750004</t>
  </si>
  <si>
    <t>-747.78;135.05</t>
  </si>
  <si>
    <t>-815.05;128.61</t>
  </si>
  <si>
    <t>-680.5;139.5</t>
  </si>
  <si>
    <t>-723.42;63.01</t>
  </si>
  <si>
    <t>-916.69;72.5</t>
  </si>
  <si>
    <t>-725.2;163.8</t>
  </si>
  <si>
    <t>-929.85;59.750004</t>
  </si>
  <si>
    <t>-767.53;-44.52</t>
  </si>
  <si>
    <t>-817.84;97.67</t>
  </si>
  <si>
    <t>-858.1;94.6</t>
  </si>
  <si>
    <t>-720.86;42.73</t>
  </si>
  <si>
    <t>-848.1;199</t>
  </si>
  <si>
    <t>-986.8;-86.3</t>
  </si>
  <si>
    <t>-666.27;76</t>
  </si>
  <si>
    <t>-1008.9;151.66</t>
  </si>
  <si>
    <t>-828.5;144.7</t>
  </si>
  <si>
    <t>-1016;169.9</t>
  </si>
  <si>
    <t>-753.86;-37.07</t>
  </si>
  <si>
    <t>-861.15;126.73</t>
  </si>
  <si>
    <t>-912.19;153.62</t>
  </si>
  <si>
    <t>-709.35;-2.7</t>
  </si>
  <si>
    <t>-727.3;34.200005</t>
  </si>
  <si>
    <t>-1077.9;-31.8</t>
  </si>
  <si>
    <t>-937.09;126.40001</t>
  </si>
  <si>
    <t>-904.39;97</t>
  </si>
  <si>
    <t>-901.04;104.31</t>
  </si>
  <si>
    <t>-1090.97;35.04</t>
  </si>
  <si>
    <t>-865.14;116.45</t>
  </si>
  <si>
    <t>-864.81;-36.53</t>
  </si>
  <si>
    <t>-1007.3;-123.7</t>
  </si>
  <si>
    <t>-898.7;-4.89</t>
  </si>
  <si>
    <t>-753.58;38.31</t>
  </si>
  <si>
    <t>-766.49;-43.851326</t>
  </si>
  <si>
    <t>-882.99;54.89</t>
  </si>
  <si>
    <t>-898.15;72.6</t>
  </si>
  <si>
    <t>-753.55;-29.65</t>
  </si>
  <si>
    <t>-687.81995;112.25</t>
  </si>
  <si>
    <t>-1139.3;104.3</t>
  </si>
  <si>
    <t>-960.26;43.13</t>
  </si>
  <si>
    <t>-847.71;75.84</t>
  </si>
  <si>
    <t>-692.09;63.15</t>
  </si>
  <si>
    <t>-982.25995;-87.64</t>
  </si>
  <si>
    <t>-1083.9;187.4</t>
  </si>
  <si>
    <t>-872.98;91.36</t>
  </si>
  <si>
    <t>-887.68;139.72</t>
  </si>
  <si>
    <t>-1093.3;187.5</t>
  </si>
  <si>
    <t>-749.2;-11.44</t>
  </si>
  <si>
    <t>-1133.7;44.7</t>
  </si>
  <si>
    <t>-781.8;-22.79</t>
  </si>
  <si>
    <t>-1091.15;16.04</t>
  </si>
  <si>
    <t>-1002.2;209.3</t>
  </si>
  <si>
    <t>-664.8;194.1</t>
  </si>
  <si>
    <t>-851.87;125.81</t>
  </si>
  <si>
    <t>-766.75;21.51</t>
  </si>
  <si>
    <t>-995.79;65.24</t>
  </si>
  <si>
    <t>-595.1;138.6</t>
  </si>
  <si>
    <t>-1004.6;98.8</t>
  </si>
  <si>
    <t>-816.07;98.48</t>
  </si>
  <si>
    <t>-893;7</t>
  </si>
  <si>
    <t>-849;90.86</t>
  </si>
  <si>
    <t>-701.1;41.95</t>
  </si>
  <si>
    <t>-1001.6;80.4</t>
  </si>
  <si>
    <t>-833.2;85.8</t>
  </si>
  <si>
    <t>-687.7;101.4</t>
  </si>
  <si>
    <t>-694.19995;176.09</t>
  </si>
  <si>
    <t>-879.9;-47.99</t>
  </si>
  <si>
    <t>-698.77;60.73</t>
  </si>
  <si>
    <t>-849.2;52.5</t>
  </si>
  <si>
    <t>-850.25;-54.8</t>
  </si>
  <si>
    <t>-927.29;113.12</t>
  </si>
  <si>
    <t>-892.4;27.86</t>
  </si>
  <si>
    <t>-1118;69.2</t>
  </si>
  <si>
    <t>-1044;-59.2</t>
  </si>
  <si>
    <t>-865.2;41.4</t>
  </si>
  <si>
    <t>-823.9;-22.6</t>
  </si>
  <si>
    <t>-924.89;61.4</t>
  </si>
  <si>
    <t>-723.85;103.76</t>
  </si>
  <si>
    <t>-857.2;14.48</t>
  </si>
  <si>
    <t>-947.2;138.4</t>
  </si>
  <si>
    <t>-1005.62;77.69</t>
  </si>
  <si>
    <t>-826.73;-54.8</t>
  </si>
  <si>
    <t>-821.04;118.899994</t>
  </si>
  <si>
    <t>-848.35;-26.26</t>
  </si>
  <si>
    <t>-895.7;53.8</t>
  </si>
  <si>
    <t>DARK</t>
  </si>
  <si>
    <t>VILLAGE</t>
  </si>
  <si>
    <t>-180.01996;-51.96</t>
  </si>
  <si>
    <t>90;163.72</t>
  </si>
  <si>
    <t>-597.64;-167.26</t>
  </si>
  <si>
    <t>SP_Canary_Random_Flock_0_13000</t>
  </si>
  <si>
    <t>-231.97998;45.77</t>
  </si>
  <si>
    <t>-359.29;-60.53</t>
  </si>
  <si>
    <t>-126.91;94.81</t>
  </si>
  <si>
    <t>-472.82;101.3</t>
  </si>
  <si>
    <t>-14.400024;41.65</t>
  </si>
  <si>
    <t>349.2;188.8</t>
  </si>
  <si>
    <t>-517.73004;49.33</t>
  </si>
  <si>
    <t>-123.1;-18.5</t>
  </si>
  <si>
    <t>164;171</t>
  </si>
  <si>
    <t>SP_Ghost03_Static_30000_0</t>
  </si>
  <si>
    <t>-20.580017;46.64</t>
  </si>
  <si>
    <t>-296.6;49.7</t>
  </si>
  <si>
    <t>SP_Canary_Random_Flock_2700_0</t>
  </si>
  <si>
    <t>-322.15;76.42</t>
  </si>
  <si>
    <t>SP_EnemyTier0_3000_0</t>
  </si>
  <si>
    <t>-129.9;-7.92</t>
  </si>
  <si>
    <t>-9.919983;123.15</t>
  </si>
  <si>
    <t>3.02;49.96</t>
  </si>
  <si>
    <t>SP_Ghost01_5000_0</t>
  </si>
  <si>
    <t>-235.48;85.39</t>
  </si>
  <si>
    <t>SP_Ghost01_8000_0</t>
  </si>
  <si>
    <t>-272.33;46.29</t>
  </si>
  <si>
    <t>-3.1;161.3</t>
  </si>
  <si>
    <t>-254.32;42.06</t>
  </si>
  <si>
    <t>SP_MineMedium_Static_6100_0</t>
  </si>
  <si>
    <t>-96.08;36.82</t>
  </si>
  <si>
    <t>SP_Ghost01_5500_0</t>
  </si>
  <si>
    <t>-194.22;-140.02</t>
  </si>
  <si>
    <t>-164.64;58.32</t>
  </si>
  <si>
    <t>-410.9;106</t>
  </si>
  <si>
    <t>-241.39;81.72</t>
  </si>
  <si>
    <t>SP_BadJunk_22000_0</t>
  </si>
  <si>
    <t>-103.6;-31.51</t>
  </si>
  <si>
    <t>-315.88;49.9</t>
  </si>
  <si>
    <t>-300.77;57.96</t>
  </si>
  <si>
    <t>-185.32114;45.05</t>
  </si>
  <si>
    <t>-256.6;129.4</t>
  </si>
  <si>
    <t>-476.7;104.22</t>
  </si>
  <si>
    <t>-366.66;70.83</t>
  </si>
  <si>
    <t>344.30002;188.8</t>
  </si>
  <si>
    <t>-405.1;193.1</t>
  </si>
  <si>
    <t>-504.9;-67.6</t>
  </si>
  <si>
    <t>-317.34;-153.23</t>
  </si>
  <si>
    <t>-468.36;42.07</t>
  </si>
  <si>
    <t>-597.65;-109.78</t>
  </si>
  <si>
    <t>SP_BatBig_Flock_6650_0</t>
  </si>
  <si>
    <t>-209.02997;-53.82</t>
  </si>
  <si>
    <t>-299.55;-140.7</t>
  </si>
  <si>
    <t>-334.1;142.3</t>
  </si>
  <si>
    <t>82.47;125.11</t>
  </si>
  <si>
    <t>-78.7;109</t>
  </si>
  <si>
    <t>-362.17;-143.64</t>
  </si>
  <si>
    <t>SP_Crow_Flock_34000_0</t>
  </si>
  <si>
    <t>-508.8;-42.3</t>
  </si>
  <si>
    <t>SP_BatBig_Flock_6500_0</t>
  </si>
  <si>
    <t>-273;-63.2</t>
  </si>
  <si>
    <t>SP_Canary_Random_Flock_3700_0</t>
  </si>
  <si>
    <t>-470.8;128.5</t>
  </si>
  <si>
    <t>-446.17;-163.59</t>
  </si>
  <si>
    <t>-553.91;73.36</t>
  </si>
  <si>
    <t>-478.29;-9.08</t>
  </si>
  <si>
    <t>SP_Sheep_3000_0</t>
  </si>
  <si>
    <t>-436.52643;77.48</t>
  </si>
  <si>
    <t>-236.74;30.5</t>
  </si>
  <si>
    <t>SP_LionBird_8000_0</t>
  </si>
  <si>
    <t>-301.77;114.42</t>
  </si>
  <si>
    <t>-231.37;24.12</t>
  </si>
  <si>
    <t>-191.84;29.03</t>
  </si>
  <si>
    <t>-1183.77;-113.34</t>
  </si>
  <si>
    <t>SP_Ghost01_10000_0</t>
  </si>
  <si>
    <t>-375.7;-23.68</t>
  </si>
  <si>
    <t>-496.6;99.6</t>
  </si>
  <si>
    <t>-362.99;39.84</t>
  </si>
  <si>
    <t>SP_Canary_Random_Flock_8000_0</t>
  </si>
  <si>
    <t>-351.36;125.27</t>
  </si>
  <si>
    <t>SP_Canary02_Flock_0_48000</t>
  </si>
  <si>
    <t>-515.11;138.25</t>
  </si>
  <si>
    <t>-361;95.3</t>
  </si>
  <si>
    <t>-425.24;34.2</t>
  </si>
  <si>
    <t>-656.57;-187.69</t>
  </si>
  <si>
    <t>-293.39;53.7</t>
  </si>
  <si>
    <t>-412.6;-149.7</t>
  </si>
  <si>
    <t>-528.83;-58.93</t>
  </si>
  <si>
    <t>-621.6;-187.5</t>
  </si>
  <si>
    <t>SP_MineMedium_Static_6000_25700</t>
  </si>
  <si>
    <t>-526.45;-4.92</t>
  </si>
  <si>
    <t>-108.31;29.2</t>
  </si>
  <si>
    <t>182;138.4</t>
  </si>
  <si>
    <t>-376.8;39.93</t>
  </si>
  <si>
    <t>19.3;209.07999</t>
  </si>
  <si>
    <t>SP_Kamikaze_4500_0</t>
  </si>
  <si>
    <t>-375.54;143.86</t>
  </si>
  <si>
    <t>-614.42;-179.9</t>
  </si>
  <si>
    <t>SP_EnemyTier0_4000_8000</t>
  </si>
  <si>
    <t>-320.7;105.3</t>
  </si>
  <si>
    <t>SP_SpiderSmallTurret_25000_0</t>
  </si>
  <si>
    <t>-530.35;-44.33</t>
  </si>
  <si>
    <t>SP_LionBird_4000_0</t>
  </si>
  <si>
    <t>-201.04;43.26</t>
  </si>
  <si>
    <t>-209.59;103.98</t>
  </si>
  <si>
    <t>-212.6;156.4</t>
  </si>
  <si>
    <t>-44.7;134.06</t>
  </si>
  <si>
    <t>104.1;193.8</t>
  </si>
  <si>
    <t>-348;194.1</t>
  </si>
  <si>
    <t>-85.74;1.16</t>
  </si>
  <si>
    <t>SP_Starling_Flock_8000_0</t>
  </si>
  <si>
    <t>-303.71;52.17</t>
  </si>
  <si>
    <t>-268.4;83.2</t>
  </si>
  <si>
    <t>-145.94;78.3</t>
  </si>
  <si>
    <t>-221.3;191.6</t>
  </si>
  <si>
    <t>-648.2;-150.4</t>
  </si>
  <si>
    <t>-556.71;52.35</t>
  </si>
  <si>
    <t>SP_Canary_Mix_Flock_0_17000</t>
  </si>
  <si>
    <t>-467.2;-43.1</t>
  </si>
  <si>
    <t>-504.02;-47.24</t>
  </si>
  <si>
    <t>-334.65;28.9</t>
  </si>
  <si>
    <t>-289.8;-96.9</t>
  </si>
  <si>
    <t>-331.99;-104.3</t>
  </si>
  <si>
    <t>-535.16003;-15.91</t>
  </si>
  <si>
    <t>SP_EnemyTier1_6000_0</t>
  </si>
  <si>
    <t>-106.3;13.82</t>
  </si>
  <si>
    <t>SP_Ghost03_Static_25000_0</t>
  </si>
  <si>
    <t>-223.85;45.7</t>
  </si>
  <si>
    <t>SP_MineBig_Static_16000_0</t>
  </si>
  <si>
    <t>-87.9;7.8</t>
  </si>
  <si>
    <t>344.51;220.55</t>
  </si>
  <si>
    <t>8.33;78.1</t>
  </si>
  <si>
    <t>SP_Villager01_16000_0</t>
  </si>
  <si>
    <t>-463.37;42.11</t>
  </si>
  <si>
    <t>-586.22;-114.45</t>
  </si>
  <si>
    <t>-27.98999;136.23</t>
  </si>
  <si>
    <t>-421.12;-72.49</t>
  </si>
  <si>
    <t>-120.74;76.75</t>
  </si>
  <si>
    <t>SP_LionBird_12000_0</t>
  </si>
  <si>
    <t>-206.91;51.19</t>
  </si>
  <si>
    <t>-153.7;141.7</t>
  </si>
  <si>
    <t>-183.09;-16.04</t>
  </si>
  <si>
    <t>-265.87;0.9</t>
  </si>
  <si>
    <t>SP_Sheep_0_14000</t>
  </si>
  <si>
    <t>-17.8;182.2</t>
  </si>
  <si>
    <t>230.63;187.49</t>
  </si>
  <si>
    <t>SP_MineSmall_Static_5000_0</t>
  </si>
  <si>
    <t>-207.2;66.5</t>
  </si>
  <si>
    <t>SP_Bomber_50000_0</t>
  </si>
  <si>
    <t>-511;128.8</t>
  </si>
  <si>
    <t>-173.8;130.9</t>
  </si>
  <si>
    <t>-537.8;38.8</t>
  </si>
  <si>
    <t>-90.36;36.87</t>
  </si>
  <si>
    <t>SP_Rat_0_24000</t>
  </si>
  <si>
    <t>-310.29;-152.26</t>
  </si>
  <si>
    <t>SP_Villager_Mix_0_8000</t>
  </si>
  <si>
    <t>-373.95;42.72</t>
  </si>
  <si>
    <t>SP_Canary_Random_Flock_0_17000</t>
  </si>
  <si>
    <t>-465;-54.31</t>
  </si>
  <si>
    <t>-401.5;14.51</t>
  </si>
  <si>
    <t>-469.31003;178</t>
  </si>
  <si>
    <t>-307.27;108.11</t>
  </si>
  <si>
    <t>-524.44006;115.27</t>
  </si>
  <si>
    <t>SP_SpiderSmall_5000_0</t>
  </si>
  <si>
    <t>-233.31;-56.22</t>
  </si>
  <si>
    <t>321.2;166.7</t>
  </si>
  <si>
    <t>SP_Canary02_Flock_0_18000</t>
  </si>
  <si>
    <t>-545.1;60.5</t>
  </si>
  <si>
    <t>SP_Villager01_Static_0_17000</t>
  </si>
  <si>
    <t>-26.99121;41.89839</t>
  </si>
  <si>
    <t>-18.549988;49.51</t>
  </si>
  <si>
    <t>83.68999;159.4</t>
  </si>
  <si>
    <t>-15.37;22.52</t>
  </si>
  <si>
    <t>SP_BadJunk_15500_0</t>
  </si>
  <si>
    <t>-476.02;63.9</t>
  </si>
  <si>
    <t>-579.72;88.31</t>
  </si>
  <si>
    <t>-108.62;59.4</t>
  </si>
  <si>
    <t>181.8;141.9</t>
  </si>
  <si>
    <t>SP_Canary01_Flock_0_25000</t>
  </si>
  <si>
    <t>-202.45001;22.35</t>
  </si>
  <si>
    <t>-76.78;44.4</t>
  </si>
  <si>
    <t>-206.46;94.2</t>
  </si>
  <si>
    <t>SP_Canary_Random_Flock_6000_0</t>
  </si>
  <si>
    <t>-62.53;44.67</t>
  </si>
  <si>
    <t>-511.60004;79.899994</t>
  </si>
  <si>
    <t>-200.31;149.35</t>
  </si>
  <si>
    <t>-350.87;-4.33</t>
  </si>
  <si>
    <t>SP_Villager01_3100_0</t>
  </si>
  <si>
    <t>-72.81;3.93</t>
  </si>
  <si>
    <t>SP_Troll_7000_0</t>
  </si>
  <si>
    <t>-433.78;-72.36</t>
  </si>
  <si>
    <t>SP_MineBig_14000_0</t>
  </si>
  <si>
    <t>-477.24;127.86</t>
  </si>
  <si>
    <t>6.0751404e-13;-0.0000006141228</t>
  </si>
  <si>
    <t>-315.54;164.1</t>
  </si>
  <si>
    <t>SP_BadFarmer_8000_0</t>
  </si>
  <si>
    <t>-459.6;42.07</t>
  </si>
  <si>
    <t>SP_SpiderRed_8000_0</t>
  </si>
  <si>
    <t>-234.1;102.2</t>
  </si>
  <si>
    <t>SP_SpiderSmall_0_27000</t>
  </si>
  <si>
    <t>-258.2;94.3</t>
  </si>
  <si>
    <t>-206.44;-13.09</t>
  </si>
  <si>
    <t>SP_Villager01_0_30000</t>
  </si>
  <si>
    <t>-395.03;84.34</t>
  </si>
  <si>
    <t>-481.01;91.69</t>
  </si>
  <si>
    <t>-385.35;160.5</t>
  </si>
  <si>
    <t>SP_Cow_20000_30000</t>
  </si>
  <si>
    <t>-421.12;42.76</t>
  </si>
  <si>
    <t>-430.9;38.7</t>
  </si>
  <si>
    <t>-403.69;16.41</t>
  </si>
  <si>
    <t>-259.59;-110.76</t>
  </si>
  <si>
    <t>-142.19;86.3</t>
  </si>
  <si>
    <t>-350.2;-7.7</t>
  </si>
  <si>
    <t>-363.99;131.03</t>
  </si>
  <si>
    <t>-94.28;63.99</t>
  </si>
  <si>
    <t>-298.15;92.88</t>
  </si>
  <si>
    <t>-4.05;104.76</t>
  </si>
  <si>
    <t>-370.74;72.44</t>
  </si>
  <si>
    <t>-227.1;149.14</t>
  </si>
  <si>
    <t>-555.8;73.14</t>
  </si>
  <si>
    <t>-168.9;114.88</t>
  </si>
  <si>
    <t>-432.7;17.69</t>
  </si>
  <si>
    <t>SP_SpiderRed_4500_0</t>
  </si>
  <si>
    <t>-247.59998;109.38</t>
  </si>
  <si>
    <t>-123.41;71.02</t>
  </si>
  <si>
    <t>-500.90002;62.600002</t>
  </si>
  <si>
    <t>-389.3;136</t>
  </si>
  <si>
    <t>SP_Crow_Flock_0_26000</t>
  </si>
  <si>
    <t>-248.9;57</t>
  </si>
  <si>
    <t>2.3300002;76.34</t>
  </si>
  <si>
    <t>SP_BadJunk_24000_0</t>
  </si>
  <si>
    <t>-480.35;81.04</t>
  </si>
  <si>
    <t>SP_Canary01_Flock_0_16000</t>
  </si>
  <si>
    <t>-440.3;102.8</t>
  </si>
  <si>
    <t>-295.81;43.02</t>
  </si>
  <si>
    <t>SP_Villager01_Static_0_1600</t>
  </si>
  <si>
    <t>-222.02002;-107.5</t>
  </si>
  <si>
    <t>-271.6;111.7</t>
  </si>
  <si>
    <t>SP_Canary_Random_Flock_1400_0</t>
  </si>
  <si>
    <t>-260.2;48.7</t>
  </si>
  <si>
    <t>-462.9;-194</t>
  </si>
  <si>
    <t>PF_Boat_Barrel_Human</t>
  </si>
  <si>
    <t>-328.1;-156.7</t>
  </si>
  <si>
    <t>-251.07;-54.41</t>
  </si>
  <si>
    <t>-444.07;-180.4</t>
  </si>
  <si>
    <t>SP_MineBig_18500_0</t>
  </si>
  <si>
    <t>-235;78.5</t>
  </si>
  <si>
    <t>SP_Worker01_0_7000</t>
  </si>
  <si>
    <t>-489.68;119.62</t>
  </si>
  <si>
    <t>-271.98;-105.04</t>
  </si>
  <si>
    <t>SP_Canary01_Flock_0_20000</t>
  </si>
  <si>
    <t>-261.5;86.8</t>
  </si>
  <si>
    <t>-165.51996;-57.16</t>
  </si>
  <si>
    <t>-211.1;55.6</t>
  </si>
  <si>
    <t>SP_Air_Bomber_20000_0</t>
  </si>
  <si>
    <t>190.8;179.9</t>
  </si>
  <si>
    <t>-506;-28.14</t>
  </si>
  <si>
    <t>-428.15002;149.83</t>
  </si>
  <si>
    <t>-480.6;8.94</t>
  </si>
  <si>
    <t>-105.45;-69.68</t>
  </si>
  <si>
    <t>-443.98;-38.54</t>
  </si>
  <si>
    <t>1.8998718;198.3</t>
  </si>
  <si>
    <t>-358.19;80.99</t>
  </si>
  <si>
    <t>-326.5;-10.06</t>
  </si>
  <si>
    <t>SP_Sheep_0_16000</t>
  </si>
  <si>
    <t>-397.38;42.6</t>
  </si>
  <si>
    <t>-515.4;-147.2</t>
  </si>
  <si>
    <t>-441.55;-252.88</t>
  </si>
  <si>
    <t>-457.5;216.6</t>
  </si>
  <si>
    <t>-563.7101;105.69</t>
  </si>
  <si>
    <t>-578;41.62</t>
  </si>
  <si>
    <t>-366.57;63.8</t>
  </si>
  <si>
    <t>-270.6;177.9</t>
  </si>
  <si>
    <t>-393.7;114</t>
  </si>
  <si>
    <t>SP_BatBig_Flock_35000_0</t>
  </si>
  <si>
    <t>-600.83;4.09</t>
  </si>
  <si>
    <t>-1219.16;-108.6</t>
  </si>
  <si>
    <t>-496.74;118.94</t>
  </si>
  <si>
    <t>-273.88;-146.9</t>
  </si>
  <si>
    <t>-91.7;22.5</t>
  </si>
  <si>
    <t>-540.4;64.2</t>
  </si>
  <si>
    <t>SP_Starling_Flock_4000_0</t>
  </si>
  <si>
    <t>-458.6;125.4</t>
  </si>
  <si>
    <t>-410.46;94.24</t>
  </si>
  <si>
    <t>-196.72;27.4</t>
  </si>
  <si>
    <t>SP_Archer01_Static_5500_0</t>
  </si>
  <si>
    <t>-131.12;-18.06</t>
  </si>
  <si>
    <t>-343.60004;72.3</t>
  </si>
  <si>
    <t>74.3;152.4</t>
  </si>
  <si>
    <t>-256.7;76.8</t>
  </si>
  <si>
    <t>SP_MineBig_25000_0</t>
  </si>
  <si>
    <t>-586.5;-173.2</t>
  </si>
  <si>
    <t>SP_MineMedium_Static_8000_0</t>
  </si>
  <si>
    <t>-309.5;48</t>
  </si>
  <si>
    <t>-471.87;106.1</t>
  </si>
  <si>
    <t>-295.3;-117.02</t>
  </si>
  <si>
    <t>-126.36;-64.59</t>
  </si>
  <si>
    <t>-524.7;114.1</t>
  </si>
  <si>
    <t>29.4;170</t>
  </si>
  <si>
    <t>-119;123.39</t>
  </si>
  <si>
    <t>-405.94;-156.41</t>
  </si>
  <si>
    <t>SP_BadJunk_14000_0</t>
  </si>
  <si>
    <t>-115.9;7.21</t>
  </si>
  <si>
    <t>-314.3;70.53</t>
  </si>
  <si>
    <t>211.5;234.8</t>
  </si>
  <si>
    <t>SP_Canary_Mix_Flock_0_24000</t>
  </si>
  <si>
    <t>-330.40002;23.84</t>
  </si>
  <si>
    <t>-418.05;-72.78</t>
  </si>
  <si>
    <t>-516.15;45.72</t>
  </si>
  <si>
    <t>-208.17;-131.39</t>
  </si>
  <si>
    <t>-432.1;74.8</t>
  </si>
  <si>
    <t>-226.5;118.8</t>
  </si>
  <si>
    <t>SP_Piranha_7000_0</t>
  </si>
  <si>
    <t>SP_Canary02_Flock_0_9000</t>
  </si>
  <si>
    <t>-145.85999;-41.7</t>
  </si>
  <si>
    <t>-433.30383;77.44832</t>
  </si>
  <si>
    <t>SP_BatBig_Flock_15000_0</t>
  </si>
  <si>
    <t>-426.7;8.8</t>
  </si>
  <si>
    <t>-365.6;-132.1</t>
  </si>
  <si>
    <t>-584.82996;17.19</t>
  </si>
  <si>
    <t>SP_Canary_Random_Flock_0_5000</t>
  </si>
  <si>
    <t>-263.36;42.81</t>
  </si>
  <si>
    <t>-509.27;40.15</t>
  </si>
  <si>
    <t>SP_Piranha_3200_0</t>
  </si>
  <si>
    <t>-203.1;72.4</t>
  </si>
  <si>
    <t>SP_Canary_Mix_Flock_0_11000</t>
  </si>
  <si>
    <t>-224.3;-137.58</t>
  </si>
  <si>
    <t>-547.19;122.03</t>
  </si>
  <si>
    <t>SP_Crow_Flock_0_7000</t>
  </si>
  <si>
    <t>-375.9;108.29</t>
  </si>
  <si>
    <t>258.2;146.4</t>
  </si>
  <si>
    <t>SP_Horse_3500_0</t>
  </si>
  <si>
    <t>-13.56;3.97</t>
  </si>
  <si>
    <t>-303.96;162.85</t>
  </si>
  <si>
    <t>SP_SpiderSmall_0_21000</t>
  </si>
  <si>
    <t>-528.71;51.03</t>
  </si>
  <si>
    <t>-467.73;-268.4</t>
  </si>
  <si>
    <t>348.91;220.55</t>
  </si>
  <si>
    <t>SP_BatBig_Flock_5650_0</t>
  </si>
  <si>
    <t>-211.02997;-43.98</t>
  </si>
  <si>
    <t>SP_Sheep_0_12000</t>
  </si>
  <si>
    <t>-418.65;41.86</t>
  </si>
  <si>
    <t>-268.6;27.41</t>
  </si>
  <si>
    <t>SP_Kamikaze_24000_0</t>
  </si>
  <si>
    <t>-277.2;-89.8</t>
  </si>
  <si>
    <t>-528.59;-64.52</t>
  </si>
  <si>
    <t>-161.2;62.99</t>
  </si>
  <si>
    <t>-181.55;29.76</t>
  </si>
  <si>
    <t>-456.7;87.55</t>
  </si>
  <si>
    <t>SP_BatBig_Flock_4750_0</t>
  </si>
  <si>
    <t>-289.8;-55.1</t>
  </si>
  <si>
    <t>-601.9;-200.9</t>
  </si>
  <si>
    <t>SP_Kamikaze_12000_0</t>
  </si>
  <si>
    <t>-391.73;94.34</t>
  </si>
  <si>
    <t>-348.18;28.68</t>
  </si>
  <si>
    <t>-276.32;90.8</t>
  </si>
  <si>
    <t>-101.17;57.15</t>
  </si>
  <si>
    <t>-588.31;104.06</t>
  </si>
  <si>
    <t>-362.23;45</t>
  </si>
  <si>
    <t>-203.84;46.36</t>
  </si>
  <si>
    <t>253.10004;242.8</t>
  </si>
  <si>
    <t>SP_Ghost03_6000_0</t>
  </si>
  <si>
    <t>-55.83;39.43</t>
  </si>
  <si>
    <t>-659.73;-170.57</t>
  </si>
  <si>
    <t>-343.31;-0.08</t>
  </si>
  <si>
    <t>-336.07;79.2</t>
  </si>
  <si>
    <t>-258.32;27.41</t>
  </si>
  <si>
    <t>135.4;142.6</t>
  </si>
  <si>
    <t>257.74;242.8</t>
  </si>
  <si>
    <t>-583.34;105.22</t>
  </si>
  <si>
    <t>-360.7;53</t>
  </si>
  <si>
    <t>-3.7999878;53.6</t>
  </si>
  <si>
    <t>-225.83;32.75</t>
  </si>
  <si>
    <t>-208.29999;156.7</t>
  </si>
  <si>
    <t>SP_Kamikaze_18000_0</t>
  </si>
  <si>
    <t>-281.4;-89.8</t>
  </si>
  <si>
    <t>315.4;161.6</t>
  </si>
  <si>
    <t>-165.20001;99.6</t>
  </si>
  <si>
    <t>SP_Sheep_16000_0</t>
  </si>
  <si>
    <t>-430.14;42.6</t>
  </si>
  <si>
    <t>136.6;116</t>
  </si>
  <si>
    <t>-291.6;112.2</t>
  </si>
  <si>
    <t>-181.19995;-86.7</t>
  </si>
  <si>
    <t>-480.95;101.38</t>
  </si>
  <si>
    <t>-433.2;91.26</t>
  </si>
  <si>
    <t>-288.52;-79.46</t>
  </si>
  <si>
    <t>SP_MineBig_30500_0</t>
  </si>
  <si>
    <t>-359.13;105.59</t>
  </si>
  <si>
    <t>-493;89.1</t>
  </si>
  <si>
    <t>-288.86;69.74</t>
  </si>
  <si>
    <t>-329.9;156.4</t>
  </si>
  <si>
    <t>-245.61;49.59</t>
  </si>
  <si>
    <t>SP_Sheep_0_35000</t>
  </si>
  <si>
    <t>-475.84;41.13</t>
  </si>
  <si>
    <t>-540.21;-144.71</t>
  </si>
  <si>
    <t>-402.29;-18.26</t>
  </si>
  <si>
    <t>-210.89996;-98.14</t>
  </si>
  <si>
    <t>SP_MineMedium_15000_0</t>
  </si>
  <si>
    <t>-576.78;77.26</t>
  </si>
  <si>
    <t>337.9;48.5</t>
  </si>
  <si>
    <t>-532.33;93.46</t>
  </si>
  <si>
    <t>-69.160034;106.15</t>
  </si>
  <si>
    <t>-467.6;18.1</t>
  </si>
  <si>
    <t>SP_SpiderSmall_4200_0</t>
  </si>
  <si>
    <t>-173.58;27.32</t>
  </si>
  <si>
    <t>-262.5;109.3</t>
  </si>
  <si>
    <t>-409.1;-137.9</t>
  </si>
  <si>
    <t>SP_Ghost03_5000_0</t>
  </si>
  <si>
    <t>-85.5;27</t>
  </si>
  <si>
    <t>-518.07996;113.6</t>
  </si>
  <si>
    <t>-358.3;-48.83</t>
  </si>
  <si>
    <t>-301.8;118.4</t>
  </si>
  <si>
    <t>SP_Villager01_0_5000</t>
  </si>
  <si>
    <t>-146.71002;-17.21</t>
  </si>
  <si>
    <t>-449.51;-21.8</t>
  </si>
  <si>
    <t>-519.5;104.7</t>
  </si>
  <si>
    <t>SP_Villager01_Static_0_8000</t>
  </si>
  <si>
    <t>-395.16;9.12</t>
  </si>
  <si>
    <t>-288.3;89.3</t>
  </si>
  <si>
    <t>-196.47;-136.06</t>
  </si>
  <si>
    <t>SP_Ghost02_Static_20000_0</t>
  </si>
  <si>
    <t>-384.01;67.32</t>
  </si>
  <si>
    <t>SP_Troll_15000_0</t>
  </si>
  <si>
    <t>-465.62;59.63</t>
  </si>
  <si>
    <t>-301.87;65.13</t>
  </si>
  <si>
    <t>SP_Archer02_16000_0</t>
  </si>
  <si>
    <t>-378.5;13.74</t>
  </si>
  <si>
    <t>SP_MineSmall_0_17900</t>
  </si>
  <si>
    <t>-97.12;50.71</t>
  </si>
  <si>
    <t>SP_Canary_Random_Flock_0_27000</t>
  </si>
  <si>
    <t>-479.6;109.7</t>
  </si>
  <si>
    <t>-355.51;131</t>
  </si>
  <si>
    <t>-529.63;20.17</t>
  </si>
  <si>
    <t>-419.2;-22.8</t>
  </si>
  <si>
    <t>SP_Ghost01_Static_6000_0</t>
  </si>
  <si>
    <t>-128.5;-70.689995</t>
  </si>
  <si>
    <t>241.5;104.2</t>
  </si>
  <si>
    <t>-132.11;111.68</t>
  </si>
  <si>
    <t>-177.7;133.8</t>
  </si>
  <si>
    <t>-117.84;47.89</t>
  </si>
  <si>
    <t>SP_Rat_0_20000</t>
  </si>
  <si>
    <t>-267.55;-135.9</t>
  </si>
  <si>
    <t>SP_BadJunk_25000_0</t>
  </si>
  <si>
    <t>-455.07;-49.39</t>
  </si>
  <si>
    <t>-432.91;-32.75</t>
  </si>
  <si>
    <t>SP_Rat_0_21000</t>
  </si>
  <si>
    <t>-302.19;-152.26</t>
  </si>
  <si>
    <t>-2.9002686;193.2</t>
  </si>
  <si>
    <t>SP_PufferBird_0_22000</t>
  </si>
  <si>
    <t>-409.4;-161.72</t>
  </si>
  <si>
    <t>SP_Canary_Random_Flock_1700_0</t>
  </si>
  <si>
    <t>-216.8;8.88</t>
  </si>
  <si>
    <t>PF_BarrelGroup</t>
  </si>
  <si>
    <t>-196.08;-124.39</t>
  </si>
  <si>
    <t>-120.12;10.33</t>
  </si>
  <si>
    <t>-105.91;99.09</t>
  </si>
  <si>
    <t>-427.42;79.1</t>
  </si>
  <si>
    <t>SP_Canary_Mix_Flock_0_10000</t>
  </si>
  <si>
    <t>-17.400024;59.3</t>
  </si>
  <si>
    <t>2.53;76.36</t>
  </si>
  <si>
    <t>-103.84;30.23</t>
  </si>
  <si>
    <t>-286.67;94.8</t>
  </si>
  <si>
    <t>-59.91;126.1</t>
  </si>
  <si>
    <t>SP_SpiderSmall_0_13000</t>
  </si>
  <si>
    <t>-559.9;83.8</t>
  </si>
  <si>
    <t>SP_MineBig_35000_0</t>
  </si>
  <si>
    <t>-154.8;12</t>
  </si>
  <si>
    <t>-581.83;11.7</t>
  </si>
  <si>
    <t>-104.21997;52.81</t>
  </si>
  <si>
    <t>-467.533;-150.835</t>
  </si>
  <si>
    <t>-203.19;-112.7</t>
  </si>
  <si>
    <t>-303.36;46</t>
  </si>
  <si>
    <t>SP_Canary02_Flock_0_25000</t>
  </si>
  <si>
    <t>-412.16003;51.25</t>
  </si>
  <si>
    <t>-166.68;60.5</t>
  </si>
  <si>
    <t>SP_Ghost01_0_5000</t>
  </si>
  <si>
    <t>-130.63;82.63</t>
  </si>
  <si>
    <t>-403.6;10.9</t>
  </si>
  <si>
    <t>-78.17999;47.95</t>
  </si>
  <si>
    <t>-560.11;-176.67</t>
  </si>
  <si>
    <t>-49.16;22.46</t>
  </si>
  <si>
    <t>-597.05;-69.24</t>
  </si>
  <si>
    <t>-192.91;-13.66</t>
  </si>
  <si>
    <t>-565.34;71.38</t>
  </si>
  <si>
    <t>-563.21;112.17</t>
  </si>
  <si>
    <t>-352.3;40.4</t>
  </si>
  <si>
    <t>-354.11;83.33</t>
  </si>
  <si>
    <t>SP_EnemyTier2_6000_12000</t>
  </si>
  <si>
    <t>-504.9;62.43</t>
  </si>
  <si>
    <t>-537.8;60.6</t>
  </si>
  <si>
    <t>-341.58;119.94</t>
  </si>
  <si>
    <t>-479.4;45.55</t>
  </si>
  <si>
    <t>-589;-68.1</t>
  </si>
  <si>
    <t>-463.4;-148.6</t>
  </si>
  <si>
    <t>-229.77;29</t>
  </si>
  <si>
    <t>-377;121.75</t>
  </si>
  <si>
    <t>-535.6;54.9</t>
  </si>
  <si>
    <t>-156.46;81.36</t>
  </si>
  <si>
    <t>-471.4999;209.6</t>
  </si>
  <si>
    <t>-295.98;68.28</t>
  </si>
  <si>
    <t>-358.2;62.9</t>
  </si>
  <si>
    <t>-370.8;-64.6</t>
  </si>
  <si>
    <t>-101.8;47.9</t>
  </si>
  <si>
    <t>-112.58002;-133.3</t>
  </si>
  <si>
    <t>-215.5;62.5</t>
  </si>
  <si>
    <t>-546.4;-193.6</t>
  </si>
  <si>
    <t>SP_Ghost01_3500_0</t>
  </si>
  <si>
    <t>-293.71;23.59</t>
  </si>
  <si>
    <t>-522;147.8</t>
  </si>
  <si>
    <t>-361.5;160.5</t>
  </si>
  <si>
    <t>-328.6;138.8</t>
  </si>
  <si>
    <t>SP_BadJunk_5500_0</t>
  </si>
  <si>
    <t>-465;-187.5</t>
  </si>
  <si>
    <t>-204.72;-125.84</t>
  </si>
  <si>
    <t>-247.8;56.84</t>
  </si>
  <si>
    <t>SP_MineSmall_Static_0_3000</t>
  </si>
  <si>
    <t>-81.65;42.42</t>
  </si>
  <si>
    <t>-270.3;24.8</t>
  </si>
  <si>
    <t>SP_Villager01_4000_8000</t>
  </si>
  <si>
    <t>-473.09;42.11</t>
  </si>
  <si>
    <t>-453;179</t>
  </si>
  <si>
    <t>SP_Canary_Random_Flock_0_20000</t>
  </si>
  <si>
    <t>-322.8;26.5</t>
  </si>
  <si>
    <t>-508.8;-54.47</t>
  </si>
  <si>
    <t>SP_SpiderSmall_0_15000</t>
  </si>
  <si>
    <t>-86.82001;-49.26</t>
  </si>
  <si>
    <t>-144.3;95.9</t>
  </si>
  <si>
    <t>-383;137.3</t>
  </si>
  <si>
    <t>43.6;169</t>
  </si>
  <si>
    <t>SP_VillagerGirl_Static_0_4000</t>
  </si>
  <si>
    <t>-487.87003;69.94</t>
  </si>
  <si>
    <t>SP_Sheep_0_4000</t>
  </si>
  <si>
    <t>-327.95;24.49</t>
  </si>
  <si>
    <t>SP_EnemyTier1_6000_12000</t>
  </si>
  <si>
    <t>-500.5;58.6</t>
  </si>
  <si>
    <t>-173.33;42.72</t>
  </si>
  <si>
    <t>SP_EnemyTier0_3100_0</t>
  </si>
  <si>
    <t>-127.39996;0.1</t>
  </si>
  <si>
    <t>-419.15;117.2</t>
  </si>
  <si>
    <t>-514.5;120.8</t>
  </si>
  <si>
    <t>-347;52.8</t>
  </si>
  <si>
    <t>SP_Spartakus_7000_0</t>
  </si>
  <si>
    <t>-487.8;119.12</t>
  </si>
  <si>
    <t>-287.78998;181.8</t>
  </si>
  <si>
    <t>-350.6;10.399998</t>
  </si>
  <si>
    <t>-158;-47.33</t>
  </si>
  <si>
    <t>-347.7;14.630001</t>
  </si>
  <si>
    <t>PF_Barrel_01</t>
  </si>
  <si>
    <t>-457.96002;40.01</t>
  </si>
  <si>
    <t>-321.16;-141.23</t>
  </si>
  <si>
    <t>-365.29;130.27</t>
  </si>
  <si>
    <t>-119.7;174.1</t>
  </si>
  <si>
    <t>-76.74;113.67</t>
  </si>
  <si>
    <t>-205.38;57.7</t>
  </si>
  <si>
    <t>-201.85;-146.75</t>
  </si>
  <si>
    <t>-244.21002;51.89</t>
  </si>
  <si>
    <t>SP_Villager01_Static_0_3000</t>
  </si>
  <si>
    <t>-213.07996;-110.04</t>
  </si>
  <si>
    <t>-508.74;39.34</t>
  </si>
  <si>
    <t>-414.9;-28.4</t>
  </si>
  <si>
    <t>-177.76;29.76</t>
  </si>
  <si>
    <t>SP_Canary_Random_Flock_0_3500</t>
  </si>
  <si>
    <t>-427.24;-75.03</t>
  </si>
  <si>
    <t>SP_LionBird_0_6500</t>
  </si>
  <si>
    <t>-201.83;102.73</t>
  </si>
  <si>
    <t>-466.9;159.4</t>
  </si>
  <si>
    <t>-335.95;-102.92</t>
  </si>
  <si>
    <t>-355.56;-47.49</t>
  </si>
  <si>
    <t>-379.8;-2.1</t>
  </si>
  <si>
    <t>-596.74;-121.62</t>
  </si>
  <si>
    <t>SP_Canary01_Flock_2100_0</t>
  </si>
  <si>
    <t>-175.95;72.65</t>
  </si>
  <si>
    <t>SP_Canary_Random_Flock_0_9500</t>
  </si>
  <si>
    <t>-176.04999;141.8</t>
  </si>
  <si>
    <t>-389.06;54.89</t>
  </si>
  <si>
    <t>-123.099976;-31.6</t>
  </si>
  <si>
    <t>SP_SpiderSmall_0_16000</t>
  </si>
  <si>
    <t>-528.7;46.49</t>
  </si>
  <si>
    <t>SP_Ghost01_Static_0_5800</t>
  </si>
  <si>
    <t>-50.54;41.8</t>
  </si>
  <si>
    <t>-304.66;-153.33</t>
  </si>
  <si>
    <t>-406.84;63.8</t>
  </si>
  <si>
    <t>-76.1001;196.90001</t>
  </si>
  <si>
    <t>-341.3;209.6</t>
  </si>
  <si>
    <t>-25.5;127.3</t>
  </si>
  <si>
    <t>-488.13;3.53</t>
  </si>
  <si>
    <t>-249.20001;56.4</t>
  </si>
  <si>
    <t>-384.76984;-155.82672</t>
  </si>
  <si>
    <t>231.50003;176.6</t>
  </si>
  <si>
    <t>-530.8;82</t>
  </si>
  <si>
    <t>-634.81;-195.63</t>
  </si>
  <si>
    <t>-133.49;102.76</t>
  </si>
  <si>
    <t>SP_Bomber_35000_0</t>
  </si>
  <si>
    <t>-117.43;-3.19</t>
  </si>
  <si>
    <t>SP_Crow_Flock_9000_0</t>
  </si>
  <si>
    <t>-330.21;99.07</t>
  </si>
  <si>
    <t>-529.8;172.2</t>
  </si>
  <si>
    <t>-57.18;44.2</t>
  </si>
  <si>
    <t>-332.9;81.6</t>
  </si>
  <si>
    <t>-533.9601;105</t>
  </si>
  <si>
    <t>SP_BadFarmer_4000_0</t>
  </si>
  <si>
    <t>-466.05;60.05</t>
  </si>
  <si>
    <t>SP_Canary_Random_Flock_0_21000</t>
  </si>
  <si>
    <t>-358.90002;123.4</t>
  </si>
  <si>
    <t>SP_PufferBird_6000_0</t>
  </si>
  <si>
    <t>-113.79999;117.52</t>
  </si>
  <si>
    <t>SP_BadJunk_3500_0</t>
  </si>
  <si>
    <t>-301.36;62.5</t>
  </si>
  <si>
    <t>-388.28;-19.12</t>
  </si>
  <si>
    <t>-27.18;144</t>
  </si>
  <si>
    <t>-162.90002;-81.4</t>
  </si>
  <si>
    <t>SP_Rat_0_22000</t>
  </si>
  <si>
    <t>-296.51;-152.26</t>
  </si>
  <si>
    <t>-278.93;166.79</t>
  </si>
  <si>
    <t>SP_MineMedium_Static_13000_0</t>
  </si>
  <si>
    <t>-163.89996;-43.8</t>
  </si>
  <si>
    <t>-166.4;42.6</t>
  </si>
  <si>
    <t>-111.56;42.91</t>
  </si>
  <si>
    <t>SP_VillagerGirl_Static_0_3000</t>
  </si>
  <si>
    <t>-174.79999;-62.2</t>
  </si>
  <si>
    <t>-16.3;117.2</t>
  </si>
  <si>
    <t>-277.07;-102.83</t>
  </si>
  <si>
    <t>-447.3;-11.4</t>
  </si>
  <si>
    <t>-504.18;-285.08</t>
  </si>
  <si>
    <t>-247.98;77.05</t>
  </si>
  <si>
    <t>SP_Canary_Mix_Flock_0_22000</t>
  </si>
  <si>
    <t>-527.1;104.7</t>
  </si>
  <si>
    <t>SP_BadJunk_29000_0</t>
  </si>
  <si>
    <t>-458.62;62.62</t>
  </si>
  <si>
    <t>-510.11;78.98</t>
  </si>
  <si>
    <t>-300.84;64.54</t>
  </si>
  <si>
    <t>SP_Cow_2200_0</t>
  </si>
  <si>
    <t>-257.16;-11.64</t>
  </si>
  <si>
    <t>89.6;218</t>
  </si>
  <si>
    <t>-32.87;93.64</t>
  </si>
  <si>
    <t>-493.72;3.26</t>
  </si>
  <si>
    <t>-492.6;87.1</t>
  </si>
  <si>
    <t>-446.56;42.6</t>
  </si>
  <si>
    <t>-427.48;-72.34</t>
  </si>
  <si>
    <t>-214.71;149.12</t>
  </si>
  <si>
    <t>347.2;224.7</t>
  </si>
  <si>
    <t>PF_Poison_Active</t>
  </si>
  <si>
    <t>SP_Villager02_0_7000</t>
  </si>
  <si>
    <t>-431.22;94.14</t>
  </si>
  <si>
    <t>SP_BadJunk_17000_0</t>
  </si>
  <si>
    <t>-606.53;-73.14</t>
  </si>
  <si>
    <t>124.5;240.6</t>
  </si>
  <si>
    <t>-498.76;-50.54</t>
  </si>
  <si>
    <t>-366;160.5</t>
  </si>
  <si>
    <t>-12.199951;58</t>
  </si>
  <si>
    <t>-320.18;24.49</t>
  </si>
  <si>
    <t>-312.68;164.1</t>
  </si>
  <si>
    <t>SP_EnemyTier3_24000_0</t>
  </si>
  <si>
    <t>-382.9;20.9</t>
  </si>
  <si>
    <t>SP_EnemyTier3_15000_0</t>
  </si>
  <si>
    <t>-187.8;24.4</t>
  </si>
  <si>
    <t>-453.66;-221.4</t>
  </si>
  <si>
    <t>-367.53;42.07</t>
  </si>
  <si>
    <t>-593.1;-195.5</t>
  </si>
  <si>
    <t>-294.61;53.47</t>
  </si>
  <si>
    <t>SP_SpiderSmall_2800_0</t>
  </si>
  <si>
    <t>-126.23;64.61</t>
  </si>
  <si>
    <t>-443.79;-73.26</t>
  </si>
  <si>
    <t>332.2;224.7</t>
  </si>
  <si>
    <t>-4.2;20.4</t>
  </si>
  <si>
    <t>SP_Canary_Random_Flock_4000_10000</t>
  </si>
  <si>
    <t>-349.5;137.84</t>
  </si>
  <si>
    <t>SP_BadJunk_5000_0</t>
  </si>
  <si>
    <t>-296.67;52.6</t>
  </si>
  <si>
    <t>-389.1;188.2</t>
  </si>
  <si>
    <t>SP_Air_Kamikaze_20000_0</t>
  </si>
  <si>
    <t>SP_Sheep_2400_0</t>
  </si>
  <si>
    <t>-316.7;-10.55</t>
  </si>
  <si>
    <t>-169.49;163.72</t>
  </si>
  <si>
    <t>-170.86;81.82</t>
  </si>
  <si>
    <t>-509.33;67.85</t>
  </si>
  <si>
    <t>-535.19;65.19</t>
  </si>
  <si>
    <t>254.33;212.13</t>
  </si>
  <si>
    <t>-295.3;76.02</t>
  </si>
  <si>
    <t>0;0</t>
  </si>
  <si>
    <t>SP_MineBig_15000_0</t>
  </si>
  <si>
    <t>168.9;179.7</t>
  </si>
  <si>
    <t>209.5;86.4</t>
  </si>
  <si>
    <t>-156.62;-19.71</t>
  </si>
  <si>
    <t>279.30002;200.7</t>
  </si>
  <si>
    <t>-110.61;48.78</t>
  </si>
  <si>
    <t>-614.72;-154.84</t>
  </si>
  <si>
    <t>-285.57;-134.49</t>
  </si>
  <si>
    <t>-392.49002;184.9</t>
  </si>
  <si>
    <t>-560;-61.97</t>
  </si>
  <si>
    <t>-176.21002;52.15</t>
  </si>
  <si>
    <t>-205.81;47.93</t>
  </si>
  <si>
    <t>-525.2999;76.9</t>
  </si>
  <si>
    <t>-500.3;129.4</t>
  </si>
  <si>
    <t>-388.33;-25.67</t>
  </si>
  <si>
    <t>SP_Canary_Mix_Flock_0_19000</t>
  </si>
  <si>
    <t>-315.58;-59.92</t>
  </si>
  <si>
    <t>-430.7;89.5</t>
  </si>
  <si>
    <t>SP_Cow_1800_0</t>
  </si>
  <si>
    <t>-395.43;-28.2</t>
  </si>
  <si>
    <t>-455.29;-41.1</t>
  </si>
  <si>
    <t>-225.70001;-48.2</t>
  </si>
  <si>
    <t>SP_Canary_Random_Flock_7000_0</t>
  </si>
  <si>
    <t>-440.89;142.3</t>
  </si>
  <si>
    <t>SP_MineSmall_0_4900</t>
  </si>
  <si>
    <t>-96.7;47.36</t>
  </si>
  <si>
    <t>-530;83.7</t>
  </si>
  <si>
    <t>-412.9;115.6</t>
  </si>
  <si>
    <t>-120.76;54.31</t>
  </si>
  <si>
    <t>SP_EnemyTier0_0_8000</t>
  </si>
  <si>
    <t>-305.82;113.68</t>
  </si>
  <si>
    <t>-489.5;124.4</t>
  </si>
  <si>
    <t>SP_Horse_Static_0_16000</t>
  </si>
  <si>
    <t>-243.53;29</t>
  </si>
  <si>
    <t>SP_Hawk_6500_0</t>
  </si>
  <si>
    <t>-227.36;88.37</t>
  </si>
  <si>
    <t>SP_SpiderGreenTurret_5000_0</t>
  </si>
  <si>
    <t>-263.32;-114.33</t>
  </si>
  <si>
    <t>-470.03;51.71</t>
  </si>
  <si>
    <t>-371.24;47.78</t>
  </si>
  <si>
    <t>-570.48;71.93</t>
  </si>
  <si>
    <t>-480.93;58.12</t>
  </si>
  <si>
    <t>SP_Canary_Random_Flock_0_30000</t>
  </si>
  <si>
    <t>-481.68;63.31</t>
  </si>
  <si>
    <t>-331.5;87.4</t>
  </si>
  <si>
    <t>-423.5;-20.8</t>
  </si>
  <si>
    <t>-605.7;-97.98</t>
  </si>
  <si>
    <t>-339.2;3.3</t>
  </si>
  <si>
    <t>SP_Canary_Random_Flock_2000_0</t>
  </si>
  <si>
    <t>-215;-101</t>
  </si>
  <si>
    <t>SP_MineSmall_Static_17000_0</t>
  </si>
  <si>
    <t>-357.08;99.68</t>
  </si>
  <si>
    <t>-391.42;-13.9</t>
  </si>
  <si>
    <t>-460.74;48.98</t>
  </si>
  <si>
    <t>-480.34;53.66</t>
  </si>
  <si>
    <t>SP_Piranha_9200_0</t>
  </si>
  <si>
    <t>-288.37;-1.52</t>
  </si>
  <si>
    <t>-222.04;34.64</t>
  </si>
  <si>
    <t>-96.6;156</t>
  </si>
  <si>
    <t>-116.86;83.07</t>
  </si>
  <si>
    <t>-464.7;4.2</t>
  </si>
  <si>
    <t>-236.01;-162.44</t>
  </si>
  <si>
    <t>SP_Ghost03_35000_0</t>
  </si>
  <si>
    <t>-518.55;-33.2</t>
  </si>
  <si>
    <t>-232.67;7.72</t>
  </si>
  <si>
    <t>SP_MineMedium_7500_0</t>
  </si>
  <si>
    <t>-134.1;119.39</t>
  </si>
  <si>
    <t>-519.4;-60.95</t>
  </si>
  <si>
    <t>SP_Canary_Mix_Flock_4000_0</t>
  </si>
  <si>
    <t>-354.87;43.2</t>
  </si>
  <si>
    <t>-379.32;160.3</t>
  </si>
  <si>
    <t>SP_BatBig_Flock_6000_0</t>
  </si>
  <si>
    <t>-564.6;-59.8</t>
  </si>
  <si>
    <t>223.8;215.1</t>
  </si>
  <si>
    <t>-507.83438;-177.83069</t>
  </si>
  <si>
    <t>SP_EnemyTier2_7000_0</t>
  </si>
  <si>
    <t>-330.7;74.6</t>
  </si>
  <si>
    <t>-583.16;-113.71</t>
  </si>
  <si>
    <t>-13.79;71.13</t>
  </si>
  <si>
    <t>SP_SpiderSmall_0_22000</t>
  </si>
  <si>
    <t>-535.08;13</t>
  </si>
  <si>
    <t>-192.59;57.78</t>
  </si>
  <si>
    <t>-324.4;148.1</t>
  </si>
  <si>
    <t>-359.13;-29.09</t>
  </si>
  <si>
    <t>-167.3;70.96</t>
  </si>
  <si>
    <t>-367.5;55.8</t>
  </si>
  <si>
    <t>-457.75;-267.6</t>
  </si>
  <si>
    <t>-241.3;49.1</t>
  </si>
  <si>
    <t>-334.65;-94.34</t>
  </si>
  <si>
    <t>SP_Kamikaze_4000_0</t>
  </si>
  <si>
    <t>-368.84;132.86</t>
  </si>
  <si>
    <t>-56.4;122.3</t>
  </si>
  <si>
    <t>284.9;236.1</t>
  </si>
  <si>
    <t>-172.5;-179.2</t>
  </si>
  <si>
    <t>SP_SpiderSmall_0_10000</t>
  </si>
  <si>
    <t>-232.83997;-45.51</t>
  </si>
  <si>
    <t>140.5;134.22</t>
  </si>
  <si>
    <t>-385.3022;-132.0946</t>
  </si>
  <si>
    <t>-406.82;-68.32</t>
  </si>
  <si>
    <t>-597.26;-7.16</t>
  </si>
  <si>
    <t>SP_Troll_18000_0</t>
  </si>
  <si>
    <t>-287.07;24.91</t>
  </si>
  <si>
    <t>-264.75;101.36</t>
  </si>
  <si>
    <t>-284.21;61.63</t>
  </si>
  <si>
    <t>-404.04;85.69</t>
  </si>
  <si>
    <t>181.5;182.9</t>
  </si>
  <si>
    <t>355;44.8</t>
  </si>
  <si>
    <t>-545.27;-84.39</t>
  </si>
  <si>
    <t>34.8;169</t>
  </si>
  <si>
    <t>SP_Ghost01_15000_0</t>
  </si>
  <si>
    <t>-372.12;-38.32</t>
  </si>
  <si>
    <t>-457.05002;40.44</t>
  </si>
  <si>
    <t>-150.6;15.57</t>
  </si>
  <si>
    <t>-412.8;150.6</t>
  </si>
  <si>
    <t>-279.7;155.5</t>
  </si>
  <si>
    <t>-152.49;70.21</t>
  </si>
  <si>
    <t>-188.53;27.01</t>
  </si>
  <si>
    <t>-363.4;-53.4</t>
  </si>
  <si>
    <t>-510.9;3.1</t>
  </si>
  <si>
    <t>SP_SpiderSmall_12000_0</t>
  </si>
  <si>
    <t>-488.17;90.81</t>
  </si>
  <si>
    <t>-57.97;111.6</t>
  </si>
  <si>
    <t>SP_SpiderSmall_0_18000</t>
  </si>
  <si>
    <t>-248.1;124.94</t>
  </si>
  <si>
    <t>-326.77;97.86</t>
  </si>
  <si>
    <t>-453.7;42.38</t>
  </si>
  <si>
    <t>SP_MineBig_Static_17000_0</t>
  </si>
  <si>
    <t>-397.46;-142.7</t>
  </si>
  <si>
    <t>-567.13;70.99</t>
  </si>
  <si>
    <t>SP_SpiderSmall_0_24000</t>
  </si>
  <si>
    <t>-406.21;69.71</t>
  </si>
  <si>
    <t>-443.40002;134.8</t>
  </si>
  <si>
    <t>128;168.4</t>
  </si>
  <si>
    <t>-420.3;-16.7</t>
  </si>
  <si>
    <t>-604.7;-96</t>
  </si>
  <si>
    <t>231.2;248.8</t>
  </si>
  <si>
    <t>-521.6;167.1</t>
  </si>
  <si>
    <t>291.5;193.6</t>
  </si>
  <si>
    <t>-105.46;108.02</t>
  </si>
  <si>
    <t>-457.03;129.52</t>
  </si>
  <si>
    <t>-181.33997;-103.12</t>
  </si>
  <si>
    <t>-633.47;-150.48</t>
  </si>
  <si>
    <t>SP_Canary_Random_Flock_0_18000</t>
  </si>
  <si>
    <t>-441.09998;131.3</t>
  </si>
  <si>
    <t>-227.78;129.79</t>
  </si>
  <si>
    <t>-192.7;0.9</t>
  </si>
  <si>
    <t>-444.22;99.3</t>
  </si>
  <si>
    <t>-452.1;-31.9</t>
  </si>
  <si>
    <t>SP_MineMedium_Static_10000_0</t>
  </si>
  <si>
    <t>-209.19;54.46</t>
  </si>
  <si>
    <t>-372.55;50.79</t>
  </si>
  <si>
    <t>-493.1;115.5</t>
  </si>
  <si>
    <t>-164.09;73.86</t>
  </si>
  <si>
    <t>-141.69998;41.6</t>
  </si>
  <si>
    <t>-266.4;159.4</t>
  </si>
  <si>
    <t>SP_Canary01_Flock_2500_0</t>
  </si>
  <si>
    <t>-170.3;76.12</t>
  </si>
  <si>
    <t>-146.8;150.6</t>
  </si>
  <si>
    <t>SP_BatSmall01_Flock_0_18000</t>
  </si>
  <si>
    <t>-144.54999;-21.85</t>
  </si>
  <si>
    <t>-308.3;88.22</t>
  </si>
  <si>
    <t>-268.9;51.1</t>
  </si>
  <si>
    <t>SP_Ghost01_12000_0</t>
  </si>
  <si>
    <t>-369.45;-37.02</t>
  </si>
  <si>
    <t>271.1;90.6</t>
  </si>
  <si>
    <t>-462.71;94.41</t>
  </si>
  <si>
    <t>-570.23;1.21</t>
  </si>
  <si>
    <t>-146.8;102.7</t>
  </si>
  <si>
    <t>-147.16003;56.68</t>
  </si>
  <si>
    <t>-167.8;139.1</t>
  </si>
  <si>
    <t>-451.12;-242.16</t>
  </si>
  <si>
    <t>-523;127.4</t>
  </si>
  <si>
    <t>-147.29999;-93.7</t>
  </si>
  <si>
    <t>SP_BadJunk_6500_0</t>
  </si>
  <si>
    <t>-437.68;-44.94</t>
  </si>
  <si>
    <t>-246.21;115.92</t>
  </si>
  <si>
    <t>-446.2;-50.8</t>
  </si>
  <si>
    <t>-391.3;-31.85</t>
  </si>
  <si>
    <t>-76.099976;103.65</t>
  </si>
  <si>
    <t>-222.21;-129.1</t>
  </si>
  <si>
    <t>264.54;70.53999</t>
  </si>
  <si>
    <t>-435.93;-15.08</t>
  </si>
  <si>
    <t>283.00003;200.7</t>
  </si>
  <si>
    <t>-406.02;86.12</t>
  </si>
  <si>
    <t>84.6;192.8</t>
  </si>
  <si>
    <t>-618.8;-72.4</t>
  </si>
  <si>
    <t>-553.72;101.78</t>
  </si>
  <si>
    <t>-380.25354;-71.23</t>
  </si>
  <si>
    <t>-386.01;41.96</t>
  </si>
  <si>
    <t>-511.79;-153.31</t>
  </si>
  <si>
    <t>-78.89;116.41</t>
  </si>
  <si>
    <t>SP_BatBig_Flock_18500_0</t>
  </si>
  <si>
    <t>-477.09998;-32.6</t>
  </si>
  <si>
    <t>SP_VillagerGirl_Static_0_2600</t>
  </si>
  <si>
    <t>-158.13;-14.29</t>
  </si>
  <si>
    <t>-425.85;146.33</t>
  </si>
  <si>
    <t>SP_Canary02_Flock_0_20000</t>
  </si>
  <si>
    <t>-252.66003;34</t>
  </si>
  <si>
    <t>-474.54;-143.74</t>
  </si>
  <si>
    <t>-473.74;62.68</t>
  </si>
  <si>
    <t>191.79;166.14</t>
  </si>
  <si>
    <t>-422.91;-73.23</t>
  </si>
  <si>
    <t>SP_Canary_Random_Flock_0_6000</t>
  </si>
  <si>
    <t>-23.599976;63.4</t>
  </si>
  <si>
    <t>-187.71002;-5.22</t>
  </si>
  <si>
    <t>SP_Kamikaze_38000_0</t>
  </si>
  <si>
    <t>-421.16;100.43</t>
  </si>
  <si>
    <t>-529;64</t>
  </si>
  <si>
    <t>-267.57;95.64</t>
  </si>
  <si>
    <t>SP_Cow_3800_0</t>
  </si>
  <si>
    <t>-302.57;-9.62</t>
  </si>
  <si>
    <t>-393.45;42.6</t>
  </si>
  <si>
    <t>SP_SpiderRed_10000_0</t>
  </si>
  <si>
    <t>5.28;128.15</t>
  </si>
  <si>
    <t>-153;-91.32</t>
  </si>
  <si>
    <t>-161;-50.6</t>
  </si>
  <si>
    <t>SP_witch_17000_0</t>
  </si>
  <si>
    <t>-334.44;-49.1</t>
  </si>
  <si>
    <t>-513.77;56.19</t>
  </si>
  <si>
    <t>-118.89;87.62</t>
  </si>
  <si>
    <t>-341.54;74.42</t>
  </si>
  <si>
    <t>-517.5;174.6</t>
  </si>
  <si>
    <t>-545.6;-150.2</t>
  </si>
  <si>
    <t>SP_EnemyTier3_16000_0</t>
  </si>
  <si>
    <t>-306.92;103.98</t>
  </si>
  <si>
    <t>-273.4;184.3</t>
  </si>
  <si>
    <t>-541.45;-75.2</t>
  </si>
  <si>
    <t>SP_SpiderSmall_16000_0</t>
  </si>
  <si>
    <t>-500.16;84.6</t>
  </si>
  <si>
    <t>-596.04;-158.37</t>
  </si>
  <si>
    <t>-205.1;141.6</t>
  </si>
  <si>
    <t>113.7;145.9</t>
  </si>
  <si>
    <t>-39.599976;129.7</t>
  </si>
  <si>
    <t>-102.6;-32.8</t>
  </si>
  <si>
    <t>-62.1;34.9</t>
  </si>
  <si>
    <t>206.3;83.51</t>
  </si>
  <si>
    <t>-388.4;74.7</t>
  </si>
  <si>
    <t>-357.2;43.7</t>
  </si>
  <si>
    <t>-181.44;40.24</t>
  </si>
  <si>
    <t>-514.1;105.1</t>
  </si>
  <si>
    <t>-238.54;29</t>
  </si>
  <si>
    <t>SP_FairyBig_8000_0</t>
  </si>
  <si>
    <t>-225.70001;52.2</t>
  </si>
  <si>
    <t>-227.93;14.33</t>
  </si>
  <si>
    <t>-463.53;-29.09</t>
  </si>
  <si>
    <t>-66.130005;98.84</t>
  </si>
  <si>
    <t>SP_MineSmall_Static_2000_6000</t>
  </si>
  <si>
    <t>-271.4;39.89</t>
  </si>
  <si>
    <t>246.2;188.6</t>
  </si>
  <si>
    <t>SP_Villager01_0_6000</t>
  </si>
  <si>
    <t>-159.03998;-63.03</t>
  </si>
  <si>
    <t>SP_SpiderSmallTurret_0_18000</t>
  </si>
  <si>
    <t>-484.2;-57.1</t>
  </si>
  <si>
    <t>-118.9;8.2</t>
  </si>
  <si>
    <t>-212.82;26.44</t>
  </si>
  <si>
    <t>0.44;34.67</t>
  </si>
  <si>
    <t>-144.3;177.5</t>
  </si>
  <si>
    <t>-468.9;-30.3</t>
  </si>
  <si>
    <t>342.31;220.55</t>
  </si>
  <si>
    <t>-451.09;59.44</t>
  </si>
  <si>
    <t>-305.8;179.8</t>
  </si>
  <si>
    <t>-466.24;-141.37</t>
  </si>
  <si>
    <t>150.4;240.1</t>
  </si>
  <si>
    <t>-172.3;131.46</t>
  </si>
  <si>
    <t>-230.89;5.4</t>
  </si>
  <si>
    <t>-382.07;48.09</t>
  </si>
  <si>
    <t>SP_PufferBird_8000_0</t>
  </si>
  <si>
    <t>-52.91;89.99</t>
  </si>
  <si>
    <t>-484.98;95.96</t>
  </si>
  <si>
    <t>-89.97998;55.42</t>
  </si>
  <si>
    <t>SP_Ghost01_0_3600</t>
  </si>
  <si>
    <t>-64.08;59.8</t>
  </si>
  <si>
    <t>SP_Crow_Flock_36000_0</t>
  </si>
  <si>
    <t>-375.5;-38.6</t>
  </si>
  <si>
    <t>-506.8;-227</t>
  </si>
  <si>
    <t>-576.24;0.9</t>
  </si>
  <si>
    <t>-87.65;47.94</t>
  </si>
  <si>
    <t>-357.97;128.92</t>
  </si>
  <si>
    <t>-146.36;46.71</t>
  </si>
  <si>
    <t>-624.81;-190.01</t>
  </si>
  <si>
    <t>350.71002;220.55</t>
  </si>
  <si>
    <t>SP_SpiderRed_4200_0</t>
  </si>
  <si>
    <t>-268.84;104.21</t>
  </si>
  <si>
    <t>-380.61;-10.39</t>
  </si>
  <si>
    <t>-71.57;39.7</t>
  </si>
  <si>
    <t>-150.20001;-1.3</t>
  </si>
  <si>
    <t>-367.5;50</t>
  </si>
  <si>
    <t>-146.88;63.96</t>
  </si>
  <si>
    <t>-293.39;32.09</t>
  </si>
  <si>
    <t>-255.3;135.9</t>
  </si>
  <si>
    <t>-523.38;110.1</t>
  </si>
  <si>
    <t>-289.49;58.59</t>
  </si>
  <si>
    <t>-123.33;-67.70999</t>
  </si>
  <si>
    <t>SP_SpiderSmallTurret_0_16000</t>
  </si>
  <si>
    <t>-514.79;-62.31</t>
  </si>
  <si>
    <t>-296.86;93.82</t>
  </si>
  <si>
    <t>SP_Canary02_Flock_0_17000</t>
  </si>
  <si>
    <t>-519.43005;70.55</t>
  </si>
  <si>
    <t>-345.7;27</t>
  </si>
  <si>
    <t>-46.7;3.78</t>
  </si>
  <si>
    <t>-523.56;33.74</t>
  </si>
  <si>
    <t>-92.29;84.89</t>
  </si>
  <si>
    <t>-626.2;-209.5</t>
  </si>
  <si>
    <t>-539.57;68.5</t>
  </si>
  <si>
    <t>-446.28;64.43</t>
  </si>
  <si>
    <t>-207.19897;-156.65</t>
  </si>
  <si>
    <t>SP_EnemyTier4_30000_0</t>
  </si>
  <si>
    <t>-184.8;62.3</t>
  </si>
  <si>
    <t>-450.81;102.63</t>
  </si>
  <si>
    <t>-220.19;-41.66</t>
  </si>
  <si>
    <t>-504.7;20.3</t>
  </si>
  <si>
    <t>-1193.53;-125.26</t>
  </si>
  <si>
    <t>SP_Canary01_Flock_0_11000</t>
  </si>
  <si>
    <t>-113.900024;-62.1</t>
  </si>
  <si>
    <t>SP_EnemyTier0_3600_0</t>
  </si>
  <si>
    <t>-348.82;108.38</t>
  </si>
  <si>
    <t>-337.21;-100.12</t>
  </si>
  <si>
    <t>-311.3;82</t>
  </si>
  <si>
    <t>-109.55;47.24</t>
  </si>
  <si>
    <t>-436.49;46.68</t>
  </si>
  <si>
    <t>SP_SpiderSmall_0_6000</t>
  </si>
  <si>
    <t>-169.17;66.04</t>
  </si>
  <si>
    <t>-159.65997;-89.62</t>
  </si>
  <si>
    <t>SP_Canary01_Flock_0_15000</t>
  </si>
  <si>
    <t>-405;51.2</t>
  </si>
  <si>
    <t>SP_Ghost02_5000_0</t>
  </si>
  <si>
    <t>-288.02;26.51</t>
  </si>
  <si>
    <t>-172.40002;-84.7</t>
  </si>
  <si>
    <t>SP_SpiderRed_4700_0</t>
  </si>
  <si>
    <t>-186.67;75.3</t>
  </si>
  <si>
    <t>-198.44;43.36</t>
  </si>
  <si>
    <t>-183.21997;2.51</t>
  </si>
  <si>
    <t>-476.9;116</t>
  </si>
  <si>
    <t>SP_BadJunk_8500_0</t>
  </si>
  <si>
    <t>-443.48;-42.64</t>
  </si>
  <si>
    <t>-49.98;46.32</t>
  </si>
  <si>
    <t>-300.96;66.01</t>
  </si>
  <si>
    <t>-474.95;-233.5</t>
  </si>
  <si>
    <t>-406.44;-35.86</t>
  </si>
  <si>
    <t>-177.99;28.767826</t>
  </si>
  <si>
    <t>-305.73;110.55</t>
  </si>
  <si>
    <t>362.6;46.4</t>
  </si>
  <si>
    <t>-481.10004;55.649998</t>
  </si>
  <si>
    <t>-291.7;125.3</t>
  </si>
  <si>
    <t>-523.98004;60.17</t>
  </si>
  <si>
    <t>SP_Archer01_2000_0</t>
  </si>
  <si>
    <t>-25.31;3.38</t>
  </si>
  <si>
    <t>-186.8;14.8</t>
  </si>
  <si>
    <t>-595.22;-184.33</t>
  </si>
  <si>
    <t>-532.9;-202.1</t>
  </si>
  <si>
    <t>SP_witch_20200_0</t>
  </si>
  <si>
    <t>-459.52;-52.27</t>
  </si>
  <si>
    <t>245.2;213.91</t>
  </si>
  <si>
    <t>-388.55;21.15</t>
  </si>
  <si>
    <t>-488.18005;145.41</t>
  </si>
  <si>
    <t>-1216.63;-98.84</t>
  </si>
  <si>
    <t>-176;-98.7</t>
  </si>
  <si>
    <t>-392.34998;-8.71</t>
  </si>
  <si>
    <t>-267.4;155.1</t>
  </si>
  <si>
    <t>-129.04;-82.93</t>
  </si>
  <si>
    <t>-306.51;5.49</t>
  </si>
  <si>
    <t>-500.92;37.69</t>
  </si>
  <si>
    <t>SP_Canary02_Flock_7000_0</t>
  </si>
  <si>
    <t>-252.46;71.75</t>
  </si>
  <si>
    <t>-153.6;7.9</t>
  </si>
  <si>
    <t>SP_BadJunk_6000_0</t>
  </si>
  <si>
    <t>-215.16;19.7</t>
  </si>
  <si>
    <t>SP_Canary_Random_Flock_0_22000</t>
  </si>
  <si>
    <t>-522.2999;90.8</t>
  </si>
  <si>
    <t>-519.93;-171.86</t>
  </si>
  <si>
    <t>SP_Hawk_4000_0</t>
  </si>
  <si>
    <t>-224.61;91.15</t>
  </si>
  <si>
    <t>-417.55;92.33</t>
  </si>
  <si>
    <t>271.8;171.2</t>
  </si>
  <si>
    <t>SP_Canary_Random_Flock_1800_0</t>
  </si>
  <si>
    <t>-252.5;18.5</t>
  </si>
  <si>
    <t>254.7;180.5</t>
  </si>
  <si>
    <t>SP_EnemyTier1_5000_0</t>
  </si>
  <si>
    <t>-478.9;132.1</t>
  </si>
  <si>
    <t>-32.77;117.14</t>
  </si>
  <si>
    <t>-289.05;36.88</t>
  </si>
  <si>
    <t>-586.08;101.98</t>
  </si>
  <si>
    <t>SP_SpiderSmall_0_8000</t>
  </si>
  <si>
    <t>2.19;101.87</t>
  </si>
  <si>
    <t>SP_Archer01_7000_0</t>
  </si>
  <si>
    <t>-300.03;-9.72</t>
  </si>
  <si>
    <t>-353.59998;126.9</t>
  </si>
  <si>
    <t>-53.5;110.4</t>
  </si>
  <si>
    <t>-379.7;27.29</t>
  </si>
  <si>
    <t>-1.82;85.5</t>
  </si>
  <si>
    <t>SP_Canary03_Flock_0_4000</t>
  </si>
  <si>
    <t>-39.099976;45.1</t>
  </si>
  <si>
    <t>SP_Troll_17000_0</t>
  </si>
  <si>
    <t>-365.76;120.46</t>
  </si>
  <si>
    <t>-474.2;63.500004</t>
  </si>
  <si>
    <t>SP_Canary01_Flock_0_19000</t>
  </si>
  <si>
    <t>-353.8;65.8</t>
  </si>
  <si>
    <t>-518.12;-202.26</t>
  </si>
  <si>
    <t>-521.74;37.6</t>
  </si>
  <si>
    <t>SP_SpiderSmall_6000_0</t>
  </si>
  <si>
    <t>-82.19;120.8</t>
  </si>
  <si>
    <t>SP_EnemyTier2_6000_0</t>
  </si>
  <si>
    <t>-289.06;9.09</t>
  </si>
  <si>
    <t>-430.29147;-18.874773</t>
  </si>
  <si>
    <t>-200.3;124.1</t>
  </si>
  <si>
    <t>82.62;181.39</t>
  </si>
  <si>
    <t>-168.58;56.9</t>
  </si>
  <si>
    <t>-274.03;90.53</t>
  </si>
  <si>
    <t>-352.9;61.65</t>
  </si>
  <si>
    <t>SP_EnemyTier3_6500_0</t>
  </si>
  <si>
    <t>-339.5;13.9</t>
  </si>
  <si>
    <t>-603.6;-144.3</t>
  </si>
  <si>
    <t>213.52;144.5</t>
  </si>
  <si>
    <t>-293.09998;-67.5</t>
  </si>
  <si>
    <t>-591.25;-5.05</t>
  </si>
  <si>
    <t>50.6;211.2</t>
  </si>
  <si>
    <t>242.4;217.9</t>
  </si>
  <si>
    <t>-211.29999;60.5</t>
  </si>
  <si>
    <t>-253.22;94.16</t>
  </si>
  <si>
    <t>SP_BatBig_Flock_4650_0</t>
  </si>
  <si>
    <t>-200.52997;-48.09</t>
  </si>
  <si>
    <t>-431.72;42.07</t>
  </si>
  <si>
    <t>323.7;208.6</t>
  </si>
  <si>
    <t>-315.5;139.4</t>
  </si>
  <si>
    <t>SP_Sheep_0_18000</t>
  </si>
  <si>
    <t>-429.5;-43</t>
  </si>
  <si>
    <t>SP_Cow_25000_0</t>
  </si>
  <si>
    <t>-429.01;42.57</t>
  </si>
  <si>
    <t>-487.2;89.3</t>
  </si>
  <si>
    <t>-239.80002;47.1</t>
  </si>
  <si>
    <t>-451.02;-37.84</t>
  </si>
  <si>
    <t>-103.79999;-15.67</t>
  </si>
  <si>
    <t>-295.71;50.34</t>
  </si>
  <si>
    <t>-371.17;78.09</t>
  </si>
  <si>
    <t>-628.82;-111.95</t>
  </si>
  <si>
    <t>-603.72;-97.71</t>
  </si>
  <si>
    <t>SP_Canary_Random_Flock_5000_0</t>
  </si>
  <si>
    <t>-286.13;81.31</t>
  </si>
  <si>
    <t>SP_SpiderRed_12000_0</t>
  </si>
  <si>
    <t>-178.6;42.44</t>
  </si>
  <si>
    <t>-199.6;123.9</t>
  </si>
  <si>
    <t>-496.6;122.8</t>
  </si>
  <si>
    <t>SP_Canary01_Flock_0_13000</t>
  </si>
  <si>
    <t>-334.21;49.84</t>
  </si>
  <si>
    <t>-322.41;64.02</t>
  </si>
  <si>
    <t>SP_Villager01_8000_0</t>
  </si>
  <si>
    <t>-388.1;42.77</t>
  </si>
  <si>
    <t>321.7;233.6</t>
  </si>
  <si>
    <t>-420;37.5</t>
  </si>
  <si>
    <t>-380.3;-28.4</t>
  </si>
  <si>
    <t>SP_Ghost01_9000_0</t>
  </si>
  <si>
    <t>-276.13;51.23</t>
  </si>
  <si>
    <t>SP_Villager_Mix_0_16000</t>
  </si>
  <si>
    <t>-267.07;27.16</t>
  </si>
  <si>
    <t>-281.5;29.7</t>
  </si>
  <si>
    <t>-246.3;148.3</t>
  </si>
  <si>
    <t>-352.81;127.95</t>
  </si>
  <si>
    <t>SP_Canary01_Flock_0_18000</t>
  </si>
  <si>
    <t>-413.59998;20.9</t>
  </si>
  <si>
    <t>-349.99;24.33</t>
  </si>
  <si>
    <t>SP_witch_19000_0</t>
  </si>
  <si>
    <t>-325;-52.2</t>
  </si>
  <si>
    <t>-200.95;46.46</t>
  </si>
  <si>
    <t>-501.7;55.5</t>
  </si>
  <si>
    <t>-525.8;205.6</t>
  </si>
  <si>
    <t>-404.44;71.84</t>
  </si>
  <si>
    <t>-156.93;64.86</t>
  </si>
  <si>
    <t>SP_Canary_Mix_Flock_24000_0</t>
  </si>
  <si>
    <t>-348.19;-17.57</t>
  </si>
  <si>
    <t>-289.9;-94.5</t>
  </si>
  <si>
    <t>SP_VillagerGirl_0_30000</t>
  </si>
  <si>
    <t>-458.26;65.48</t>
  </si>
  <si>
    <t>-207.70001;156.4</t>
  </si>
  <si>
    <t>-35.150024;21.21</t>
  </si>
  <si>
    <t>-253.18;29</t>
  </si>
  <si>
    <t>-246.5;18.6</t>
  </si>
  <si>
    <t>123.7;217.9</t>
  </si>
  <si>
    <t>-233.43;46.29</t>
  </si>
  <si>
    <t>-548.18;-154.98</t>
  </si>
  <si>
    <t>110.2;201.1</t>
  </si>
  <si>
    <t>-588.1;29.96</t>
  </si>
  <si>
    <t>85.2;121.119995</t>
  </si>
  <si>
    <t>-145.98;-85.87</t>
  </si>
  <si>
    <t>-306.39;66.72</t>
  </si>
  <si>
    <t>-554.6;87.9</t>
  </si>
  <si>
    <t>SP_SpiderSmall_0_19000</t>
  </si>
  <si>
    <t>-358.74;81.24</t>
  </si>
  <si>
    <t>-469.80002;130.59</t>
  </si>
  <si>
    <t>-256.43;-75.7</t>
  </si>
  <si>
    <t>-190.7;186.1</t>
  </si>
  <si>
    <t>-496.16;28.8</t>
  </si>
  <si>
    <t>-592.5;-90</t>
  </si>
  <si>
    <t>-415.99002;146.95001</t>
  </si>
  <si>
    <t>-486.80002;50.4</t>
  </si>
  <si>
    <t>-551.55994;102.56</t>
  </si>
  <si>
    <t>-125.1;108.08</t>
  </si>
  <si>
    <t>-519.91003;124.05</t>
  </si>
  <si>
    <t>-471;-12.3</t>
  </si>
  <si>
    <t>232.4;187.2</t>
  </si>
  <si>
    <t>SP_Troll_20000_0</t>
  </si>
  <si>
    <t>-564.4;-185.14</t>
  </si>
  <si>
    <t>-430.2;181.8</t>
  </si>
  <si>
    <t>67.2;202.7</t>
  </si>
  <si>
    <t>-414.91;62.5</t>
  </si>
  <si>
    <t>-103.01;35.8</t>
  </si>
  <si>
    <t>-472.7;174.7</t>
  </si>
  <si>
    <t>-102.13;34.93</t>
  </si>
  <si>
    <t>-530.43;72.57</t>
  </si>
  <si>
    <t>SP_Starling_Flock_16000_0</t>
  </si>
  <si>
    <t>-453.9;117.2</t>
  </si>
  <si>
    <t>-526;97.5</t>
  </si>
  <si>
    <t>-273.42;32.21</t>
  </si>
  <si>
    <t>-292.81;28.83</t>
  </si>
  <si>
    <t>-87.66998;-36.05</t>
  </si>
  <si>
    <t>SP_Canary_Mix_Flock_3000_0</t>
  </si>
  <si>
    <t>-25.299988;118.6</t>
  </si>
  <si>
    <t>-504.56;-244.94</t>
  </si>
  <si>
    <t>-615.06;-188.54</t>
  </si>
  <si>
    <t>-475.76;-84.3</t>
  </si>
  <si>
    <t>-420.3;-56.2</t>
  </si>
  <si>
    <t>SP_SpiderRed_5000_0</t>
  </si>
  <si>
    <t>-205.72998;35.72</t>
  </si>
  <si>
    <t>SP_EnemyTier0_6000_12000</t>
  </si>
  <si>
    <t>-507.3;55.7</t>
  </si>
  <si>
    <t>-120.79999;-66.9</t>
  </si>
  <si>
    <t>-629.74;-110.92</t>
  </si>
  <si>
    <t>SP_Villager02_Static_8000_0</t>
  </si>
  <si>
    <t>-59.69513;2.431282</t>
  </si>
  <si>
    <t>-314.35;-45.120003</t>
  </si>
  <si>
    <t>-474.17;-205.53</t>
  </si>
  <si>
    <t>-543.4;108.75</t>
  </si>
  <si>
    <t>-188.5;126.13</t>
  </si>
  <si>
    <t>-64.68;125.46</t>
  </si>
  <si>
    <t>-102.82;5.63</t>
  </si>
  <si>
    <t>-204.23999;-126.08</t>
  </si>
  <si>
    <t>-111.74;-70.6</t>
  </si>
  <si>
    <t>-423.1;-52</t>
  </si>
  <si>
    <t>-213.2;18</t>
  </si>
  <si>
    <t>-599.01;86.18</t>
  </si>
  <si>
    <t>-548.7;-152.9</t>
  </si>
  <si>
    <t>-77.54999;98.94</t>
  </si>
  <si>
    <t>-558.9;-52.23</t>
  </si>
  <si>
    <t>-59.43;29.15</t>
  </si>
  <si>
    <t>8.64;54.9</t>
  </si>
  <si>
    <t>-375.85;-131.18</t>
  </si>
  <si>
    <t>-430.41174;76.83</t>
  </si>
  <si>
    <t>SP_Sheep_0_8000</t>
  </si>
  <si>
    <t>-325.8;24.49</t>
  </si>
  <si>
    <t>-530.2;12.5</t>
  </si>
  <si>
    <t>-459.36;-184.86</t>
  </si>
  <si>
    <t>-612.93;-76.57</t>
  </si>
  <si>
    <t>SP_witch_37000_0</t>
  </si>
  <si>
    <t>-299.6;49</t>
  </si>
  <si>
    <t>-561.37;57.33</t>
  </si>
  <si>
    <t>-26.96997;74.12</t>
  </si>
  <si>
    <t>-358.42;-39.79</t>
  </si>
  <si>
    <t>-238.27;40.65</t>
  </si>
  <si>
    <t>-44.27;122.7</t>
  </si>
  <si>
    <t>-400.76;42.6</t>
  </si>
  <si>
    <t>-149.3;71.7</t>
  </si>
  <si>
    <t>-249.6;-0.4</t>
  </si>
  <si>
    <t>-395.17;100.84</t>
  </si>
  <si>
    <t>SP_Canary01_Flock_0_22000</t>
  </si>
  <si>
    <t>-504.29993;29.95</t>
  </si>
  <si>
    <t>-284.78;-22.01</t>
  </si>
  <si>
    <t>-285.44;-124.64</t>
  </si>
  <si>
    <t>-516.53;74.75</t>
  </si>
  <si>
    <t>-447.8;-72.85</t>
  </si>
  <si>
    <t>267.6;229.29999</t>
  </si>
  <si>
    <t>SP_witch_12000_0</t>
  </si>
  <si>
    <t>-542.25;-49.14</t>
  </si>
  <si>
    <t>-548.08;-33.4</t>
  </si>
  <si>
    <t>-501.10004;61.8</t>
  </si>
  <si>
    <t>SP_Canary02_Flock_0_27000</t>
  </si>
  <si>
    <t>-592.6;101.3</t>
  </si>
  <si>
    <t>-232.2;93.9</t>
  </si>
  <si>
    <t>86.7;204.4</t>
  </si>
  <si>
    <t>SP_Canary02_Flock_4000_0</t>
  </si>
  <si>
    <t>-328.96;57.23</t>
  </si>
  <si>
    <t>131;240.6</t>
  </si>
  <si>
    <t>-370.8;106.5</t>
  </si>
  <si>
    <t>-338.95996;-3.6</t>
  </si>
  <si>
    <t>-264.5;-31.05</t>
  </si>
  <si>
    <t>SP_Canary_Random_Flock_1600_0</t>
  </si>
  <si>
    <t>-104.38;69.4</t>
  </si>
  <si>
    <t>-258.45;-114.33</t>
  </si>
  <si>
    <t>SP_Canary_Random_Flock_0_24000</t>
  </si>
  <si>
    <t>-416.45996;-27</t>
  </si>
  <si>
    <t>-617.3;-144.8</t>
  </si>
  <si>
    <t>SP_SpiderSmall_4000_0</t>
  </si>
  <si>
    <t>-73.71002;122.65</t>
  </si>
  <si>
    <t>266.30002;228.5</t>
  </si>
  <si>
    <t>-650.25;-184.92</t>
  </si>
  <si>
    <t>SP_SpiderSmall_0_14000</t>
  </si>
  <si>
    <t>-437.21;122.61</t>
  </si>
  <si>
    <t>-304.08;134.33</t>
  </si>
  <si>
    <t>-109.400024;-26.3</t>
  </si>
  <si>
    <t>-268.9;94.6</t>
  </si>
  <si>
    <t>SP_Ghost01_Static_4500_0</t>
  </si>
  <si>
    <t>-210.85;-144.04</t>
  </si>
  <si>
    <t>-515.97003;56.610004</t>
  </si>
  <si>
    <t>SP_GoblinWarMachine_5000_0</t>
  </si>
  <si>
    <t>-520.39;26.07</t>
  </si>
  <si>
    <t>-208.1;143.5</t>
  </si>
  <si>
    <t>-102.55;20.7</t>
  </si>
  <si>
    <t>-59.419983;88.62</t>
  </si>
  <si>
    <t>-38.4;168.9</t>
  </si>
  <si>
    <t>-579.82;67.07</t>
  </si>
  <si>
    <t>-149;172.5</t>
  </si>
  <si>
    <t>-528.45;-18.01</t>
  </si>
  <si>
    <t>SP_Canary03_Flock_0_5000</t>
  </si>
  <si>
    <t>-65.27;92.8</t>
  </si>
  <si>
    <t>-648.8;-172.08</t>
  </si>
  <si>
    <t>-172.95;65.4</t>
  </si>
  <si>
    <t>39.100006;220.6</t>
  </si>
  <si>
    <t>-478.40002;136.8</t>
  </si>
  <si>
    <t>-499.97;-153.65</t>
  </si>
  <si>
    <t>-629.5;-146.5</t>
  </si>
  <si>
    <t>SP_Canary02_Flock_0_6000</t>
  </si>
  <si>
    <t>-206.70001;125.84</t>
  </si>
  <si>
    <t>184.4;197.7</t>
  </si>
  <si>
    <t>SP_Canary03_Flock_0_27000</t>
  </si>
  <si>
    <t>-315.40002;33.5</t>
  </si>
  <si>
    <t>-400.96;13.21</t>
  </si>
  <si>
    <t>-44.33;91.34</t>
  </si>
  <si>
    <t>-29.35;70.74</t>
  </si>
  <si>
    <t>-453;-174.6</t>
  </si>
  <si>
    <t>-541.98;53.76</t>
  </si>
  <si>
    <t>SP_EnemyTier0_3500_0</t>
  </si>
  <si>
    <t>-342.8;14.1</t>
  </si>
  <si>
    <t>-464.16;108.9</t>
  </si>
  <si>
    <t>-510.64;-84.32</t>
  </si>
  <si>
    <t>-583.4;-201.53</t>
  </si>
  <si>
    <t>-458.1;-253.2</t>
  </si>
  <si>
    <t>-422.57;-6.96</t>
  </si>
  <si>
    <t>-525.41;-46.49</t>
  </si>
  <si>
    <t>-516.19;76.65</t>
  </si>
  <si>
    <t>-101.31;-30.03</t>
  </si>
  <si>
    <t>-255.49;-120.19</t>
  </si>
  <si>
    <t>-231.39;26.4</t>
  </si>
  <si>
    <t>-301.74;29.71</t>
  </si>
  <si>
    <t>-58.5;21.1</t>
  </si>
  <si>
    <t>-654.04;-180.11</t>
  </si>
  <si>
    <t>254.6;184.9</t>
  </si>
  <si>
    <t>-2.19;90.46</t>
  </si>
  <si>
    <t>SP_EnemyTier4_28000_0</t>
  </si>
  <si>
    <t>-506.6;84.9</t>
  </si>
  <si>
    <t>SP_Piranha_5000_0</t>
  </si>
  <si>
    <t>-227.1;56.2</t>
  </si>
  <si>
    <t>258.09;213.98</t>
  </si>
  <si>
    <t>SP_Canary_Mix_Flock_0_20000</t>
  </si>
  <si>
    <t>-385.90002;145.8</t>
  </si>
  <si>
    <t>-346.1;74.7</t>
  </si>
  <si>
    <t>-616.26;-123.3</t>
  </si>
  <si>
    <t>-231.40002;56.4</t>
  </si>
  <si>
    <t>-436.88;-72.43</t>
  </si>
  <si>
    <t>-546.67;-152.34</t>
  </si>
  <si>
    <t>-401.79;63.76</t>
  </si>
  <si>
    <t>-607.15;-71.6</t>
  </si>
  <si>
    <t>-265.96997;-9.07</t>
  </si>
  <si>
    <t>SP_MineSmall_Static_3000_0</t>
  </si>
  <si>
    <t>-301.7;94.14</t>
  </si>
  <si>
    <t>114;195.4</t>
  </si>
  <si>
    <t>-512.9;20.7</t>
  </si>
  <si>
    <t>SP_MineSmall_0_10000</t>
  </si>
  <si>
    <t>-562.32;80.02</t>
  </si>
  <si>
    <t>SP_Archer01_Static_0_5400</t>
  </si>
  <si>
    <t>-209.29999;-111.4</t>
  </si>
  <si>
    <t>-264.61;-44.01</t>
  </si>
  <si>
    <t>SP_EnemyTier1_0_16000</t>
  </si>
  <si>
    <t>-197;117.8</t>
  </si>
  <si>
    <t>SP_Canary02_Flock_0_19000</t>
  </si>
  <si>
    <t>-550.2999;69.8</t>
  </si>
  <si>
    <t>-556.4;104.4</t>
  </si>
  <si>
    <t>-540.35;-72.32</t>
  </si>
  <si>
    <t>-333.8;90.9</t>
  </si>
  <si>
    <t>-457.29;-136.37</t>
  </si>
  <si>
    <t>-6.56;61.11</t>
  </si>
  <si>
    <t>SP_Canary_Random_Flock_0_12000</t>
  </si>
  <si>
    <t>-439.9;-37.3</t>
  </si>
  <si>
    <t>-43.9;67.64</t>
  </si>
  <si>
    <t>-509.90002;182</t>
  </si>
  <si>
    <t>-184.79;117.93</t>
  </si>
  <si>
    <t>-272.08;81.04</t>
  </si>
  <si>
    <t>-444.72;34.38</t>
  </si>
  <si>
    <t>-385.21;4.84</t>
  </si>
  <si>
    <t>-480;-61.7</t>
  </si>
  <si>
    <t>-199.63;7.91</t>
  </si>
  <si>
    <t>-340.9;111.3</t>
  </si>
  <si>
    <t>227.3;235.8</t>
  </si>
  <si>
    <t>-330.9;86.35</t>
  </si>
  <si>
    <t>-378.4;102.45</t>
  </si>
  <si>
    <t>-107.2;200.8</t>
  </si>
  <si>
    <t>-511.35004;40.04</t>
  </si>
  <si>
    <t>-23.900024;98.16</t>
  </si>
  <si>
    <t>105.59;168.4</t>
  </si>
  <si>
    <t>-629.2;-187.1</t>
  </si>
  <si>
    <t>-301.8;67.27</t>
  </si>
  <si>
    <t>SP_BadFarmer_4800_0</t>
  </si>
  <si>
    <t>-412.6;129.4</t>
  </si>
  <si>
    <t>-272.9;62.6</t>
  </si>
  <si>
    <t>SP_Canary_Mix_Flock_0_21000</t>
  </si>
  <si>
    <t>-448.7;131.3</t>
  </si>
  <si>
    <t>SP_MineSmall_Static_0_5000</t>
  </si>
  <si>
    <t>-86.58;52.09</t>
  </si>
  <si>
    <t>SP_Crow_Flock_12000_0</t>
  </si>
  <si>
    <t>-295.1;88.8</t>
  </si>
  <si>
    <t>-392.4;87.35</t>
  </si>
  <si>
    <t>-435.66;108.43</t>
  </si>
  <si>
    <t>-553.08;-65.58</t>
  </si>
  <si>
    <t>SP_SpiderSmall_8000_0</t>
  </si>
  <si>
    <t>-500.96;131.38</t>
  </si>
  <si>
    <t>-116.69;-17.47</t>
  </si>
  <si>
    <t>-216.01;111.81</t>
  </si>
  <si>
    <t>-623.5;-183.3</t>
  </si>
  <si>
    <t>-212.34;94.2</t>
  </si>
  <si>
    <t>-573.6;68.6</t>
  </si>
  <si>
    <t>-293.2;137.8</t>
  </si>
  <si>
    <t>-152.46997;-66.44</t>
  </si>
  <si>
    <t>-0.3;128.1</t>
  </si>
  <si>
    <t>-251.94;121.73</t>
  </si>
  <si>
    <t>338;89.3</t>
  </si>
  <si>
    <t>-472.96;-263.31</t>
  </si>
  <si>
    <t>SP_Canary_Random_Flock_0_28000</t>
  </si>
  <si>
    <t>-524.24;123.9</t>
  </si>
  <si>
    <t>SP_LionBird_16000_0</t>
  </si>
  <si>
    <t>-214.77;40.8</t>
  </si>
  <si>
    <t>-334.2;33.4</t>
  </si>
  <si>
    <t>-274.56;166.79</t>
  </si>
  <si>
    <t>-260.83;-107.55</t>
  </si>
  <si>
    <t>-350.9;23.94</t>
  </si>
  <si>
    <t>SP_Troll_13000_0</t>
  </si>
  <si>
    <t>-379.42;89.2</t>
  </si>
  <si>
    <t>138.59999;147.1</t>
  </si>
  <si>
    <t>-256.88;117.57</t>
  </si>
  <si>
    <t>-270;78.9</t>
  </si>
  <si>
    <t>-177.93;39.57</t>
  </si>
  <si>
    <t>-313.88;102.2</t>
  </si>
  <si>
    <t>SP_Canary_Random_Flock_0_7500</t>
  </si>
  <si>
    <t>-165.72998;125.96</t>
  </si>
  <si>
    <t>-266.4;124</t>
  </si>
  <si>
    <t>-393.8;-48.02</t>
  </si>
  <si>
    <t>-192.1;-134.57</t>
  </si>
  <si>
    <t>-207.06;94.77</t>
  </si>
  <si>
    <t>-610.53;-143.87</t>
  </si>
  <si>
    <t>-49.82;76.82</t>
  </si>
  <si>
    <t>-361.3;-9</t>
  </si>
  <si>
    <t>-101.77;24.19</t>
  </si>
  <si>
    <t>SP_MineMedium_Static_5000_0</t>
  </si>
  <si>
    <t>-268.98;49.92</t>
  </si>
  <si>
    <t>-303.48;144.1</t>
  </si>
  <si>
    <t>-506.4;-83.29</t>
  </si>
  <si>
    <t>-362.90002;198.6</t>
  </si>
  <si>
    <t>220;211.6</t>
  </si>
  <si>
    <t>-28.39;89.96</t>
  </si>
  <si>
    <t>-151.70001;-30.3</t>
  </si>
  <si>
    <t>SP_Villager01_0_17000</t>
  </si>
  <si>
    <t>-536.59;-83.8</t>
  </si>
  <si>
    <t>332.10004;208.6</t>
  </si>
  <si>
    <t>SP_Hawk_8000_0</t>
  </si>
  <si>
    <t>-375.9;114.5</t>
  </si>
  <si>
    <t>-222.62;30.12</t>
  </si>
  <si>
    <t>6.55;148.83</t>
  </si>
  <si>
    <t>-459.1;113.2</t>
  </si>
  <si>
    <t>-397.87;42.77</t>
  </si>
  <si>
    <t>373.2;100.3</t>
  </si>
  <si>
    <t>-414.2;-20.8</t>
  </si>
  <si>
    <t>-358.98;86.7</t>
  </si>
  <si>
    <t>-153.9;168.4</t>
  </si>
  <si>
    <t>-173.2;132.7</t>
  </si>
  <si>
    <t>362.9;241.3</t>
  </si>
  <si>
    <t>-40.18;86.46</t>
  </si>
  <si>
    <t>SP_SpiderSmall_0_7500</t>
  </si>
  <si>
    <t>-123.61;91.77</t>
  </si>
  <si>
    <t>-190.14996;-47.99</t>
  </si>
  <si>
    <t>-190.86;-133.92</t>
  </si>
  <si>
    <t>-1187.8;-102.4</t>
  </si>
  <si>
    <t>SP_SpiderSmall_0_11000</t>
  </si>
  <si>
    <t>-551.03;119.93</t>
  </si>
  <si>
    <t>SP_Canary_Mix_Flock_0_25000</t>
  </si>
  <si>
    <t>-339.09998;87.4</t>
  </si>
  <si>
    <t>SP_Canary03_Flock_8000_0</t>
  </si>
  <si>
    <t>-304.16003;41.94</t>
  </si>
  <si>
    <t>-564.26;-67.5</t>
  </si>
  <si>
    <t>-2.18;90.46</t>
  </si>
  <si>
    <t>-383.4;18.02</t>
  </si>
  <si>
    <t>-528.1;162.9</t>
  </si>
  <si>
    <t>-333.81;-10.06</t>
  </si>
  <si>
    <t>-210.5;156.4</t>
  </si>
  <si>
    <t>-498.95;-218.24</t>
  </si>
  <si>
    <t>-525.46;40.87</t>
  </si>
  <si>
    <t>-626.67;-75.55</t>
  </si>
  <si>
    <t>-409;43.7</t>
  </si>
  <si>
    <t>-322.1;40.4</t>
  </si>
  <si>
    <t>-513;39.31</t>
  </si>
  <si>
    <t>353.60004;188.8</t>
  </si>
  <si>
    <t>-464.38;94.38</t>
  </si>
  <si>
    <t>SP_BatBig_Flock_3650_0</t>
  </si>
  <si>
    <t>-226.20996;-53.02</t>
  </si>
  <si>
    <t>-438.39;-1.63</t>
  </si>
  <si>
    <t>-29.7;118.3</t>
  </si>
  <si>
    <t>-342.81;132.92</t>
  </si>
  <si>
    <t>SP_Canary01_Flock_9000_0</t>
  </si>
  <si>
    <t>-159.88995;-102.44</t>
  </si>
  <si>
    <t>-268.4;119.2</t>
  </si>
  <si>
    <t>-640.3;-207.6</t>
  </si>
  <si>
    <t>-528.2;87.3</t>
  </si>
  <si>
    <t>-472.6;-52.2</t>
  </si>
  <si>
    <t>-216.5;128.96</t>
  </si>
  <si>
    <t>-170.75;-50.43</t>
  </si>
  <si>
    <t>SP_BadFarmer_Static_4000_12000</t>
  </si>
  <si>
    <t>-442.81;66.61</t>
  </si>
  <si>
    <t>-495.53;-245.58</t>
  </si>
  <si>
    <t>SP_BatSmall01_Flock_0_14000</t>
  </si>
  <si>
    <t>-217.10999;-53.56</t>
  </si>
  <si>
    <t>SP_BadFarmer_Static_12000_0</t>
  </si>
  <si>
    <t>-378.37;88.8</t>
  </si>
  <si>
    <t>-389.53;26.97</t>
  </si>
  <si>
    <t>SP_Canary01_Flock_2200_0</t>
  </si>
  <si>
    <t>-170.95;72.77</t>
  </si>
  <si>
    <t>-8.01;116.13</t>
  </si>
  <si>
    <t>325.90002;208.6</t>
  </si>
  <si>
    <t>-295.22;51.94</t>
  </si>
  <si>
    <t>-605.17;-71.33</t>
  </si>
  <si>
    <t>-542.39;48.8</t>
  </si>
  <si>
    <t>-178.22;28.767826</t>
  </si>
  <si>
    <t>-227.94;65.8</t>
  </si>
  <si>
    <t>-578;-190.4</t>
  </si>
  <si>
    <t>-484.3;-33.38</t>
  </si>
  <si>
    <t>-578.9601;79.96</t>
  </si>
  <si>
    <t>-280.86;-144.92</t>
  </si>
  <si>
    <t>SP_Ghost01_Static_0_5700</t>
  </si>
  <si>
    <t>6.8900003;77.31</t>
  </si>
  <si>
    <t>SP_Starling_Flock_0_15000</t>
  </si>
  <si>
    <t>-86.48;41.36</t>
  </si>
  <si>
    <t>SP_Ghost01_5700_0</t>
  </si>
  <si>
    <t>-143.39;-76.28</t>
  </si>
  <si>
    <t>-203.5;59.5</t>
  </si>
  <si>
    <t>-266.9;-187.6</t>
  </si>
  <si>
    <t>-326.84;37.53</t>
  </si>
  <si>
    <t>-352.2;-182.1</t>
  </si>
  <si>
    <t>SP_Canary02_Flock_900_0</t>
  </si>
  <si>
    <t>-184.77;130.96</t>
  </si>
  <si>
    <t>-613.37;-122.12</t>
  </si>
  <si>
    <t>-342.8;61.66</t>
  </si>
  <si>
    <t>-205.8;114.9</t>
  </si>
  <si>
    <t>-349.18;48.64</t>
  </si>
  <si>
    <t>-408.7;57</t>
  </si>
  <si>
    <t>-510.5;101.7</t>
  </si>
  <si>
    <t>SP_Villager01_0_20000</t>
  </si>
  <si>
    <t>SP_MineBig_16500_0</t>
  </si>
  <si>
    <t>-502.2;108.9</t>
  </si>
  <si>
    <t>SP_Canary_Random_Flock_4000_0</t>
  </si>
  <si>
    <t>-70.400024;52.55</t>
  </si>
  <si>
    <t>-424;160.8</t>
  </si>
  <si>
    <t>SP_GoodWitch_0_20000</t>
  </si>
  <si>
    <t>-423.55;-73.42</t>
  </si>
  <si>
    <t>-503.92;-258.04</t>
  </si>
  <si>
    <t>-254.59998;-58.76</t>
  </si>
  <si>
    <t>-387.22;-3.77</t>
  </si>
  <si>
    <t>-611.74;-180.9</t>
  </si>
  <si>
    <t>SP_MineBig_Static_16800_0</t>
  </si>
  <si>
    <t>-222.51;51.91</t>
  </si>
  <si>
    <t>-74.05;108.57</t>
  </si>
  <si>
    <t>-504.52203;-174.68394</t>
  </si>
  <si>
    <t>-42.150024;35.05</t>
  </si>
  <si>
    <t>SP_witch_15000_25000</t>
  </si>
  <si>
    <t>-285;48.6</t>
  </si>
  <si>
    <t>-263.6;21.5</t>
  </si>
  <si>
    <t>-489.6;119.32</t>
  </si>
  <si>
    <t>138.45999;138.03</t>
  </si>
  <si>
    <t>-169.33;32.18</t>
  </si>
  <si>
    <t>-232.60008;194.70001</t>
  </si>
  <si>
    <t>-406.7;129.7</t>
  </si>
  <si>
    <t>-470.13;-268.88</t>
  </si>
  <si>
    <t>-379.43;-20.77</t>
  </si>
  <si>
    <t>SP_Kamikaze_45000_0</t>
  </si>
  <si>
    <t>-397.24;80.77</t>
  </si>
  <si>
    <t>-470.77;-6.79</t>
  </si>
  <si>
    <t>-191.83;50.94</t>
  </si>
  <si>
    <t>-280.01;92.12</t>
  </si>
  <si>
    <t>-41.5;109.8</t>
  </si>
  <si>
    <t>-265.79977;209.6</t>
  </si>
  <si>
    <t>SP_Starling_Flock_0_6000</t>
  </si>
  <si>
    <t>-372.5;53.19</t>
  </si>
  <si>
    <t>-32.299988;129.5</t>
  </si>
  <si>
    <t>-421.8;-145.8</t>
  </si>
  <si>
    <t>-159.21997;109.24</t>
  </si>
  <si>
    <t>-153.40002;-61.1</t>
  </si>
  <si>
    <t>SP_Ghost01_Static_0_2500</t>
  </si>
  <si>
    <t>-1.23;90.26</t>
  </si>
  <si>
    <t>-492.89;-84.48</t>
  </si>
  <si>
    <t>-135.89001;80.05</t>
  </si>
  <si>
    <t>-509.7;140.42</t>
  </si>
  <si>
    <t>-478.1;-147.2</t>
  </si>
  <si>
    <t>-528.8;65.8</t>
  </si>
  <si>
    <t>-465.3;-66.5</t>
  </si>
  <si>
    <t>-339.16;116.69</t>
  </si>
  <si>
    <t>-605.08;-99.52</t>
  </si>
  <si>
    <t>-36.21997;92.28</t>
  </si>
  <si>
    <t>-292.85;71.24</t>
  </si>
  <si>
    <t>SP_Piranha_6000_0</t>
  </si>
  <si>
    <t>-119.9;5.32</t>
  </si>
  <si>
    <t>SP_EnemyTier1_12000_0</t>
  </si>
  <si>
    <t>-409.4;107.6</t>
  </si>
  <si>
    <t>-319.30002;-49.390003</t>
  </si>
  <si>
    <t>-380.58;133.5</t>
  </si>
  <si>
    <t>-356.2;30.8</t>
  </si>
  <si>
    <t>-448.94;41.79</t>
  </si>
  <si>
    <t>-519.57;-147.98</t>
  </si>
  <si>
    <t>-491.65;47.76</t>
  </si>
  <si>
    <t>-508.86002;39.834</t>
  </si>
  <si>
    <t>SP_BadJunk_7000_0</t>
  </si>
  <si>
    <t>-294.49;51.08</t>
  </si>
  <si>
    <t>-434.89;-141.62</t>
  </si>
  <si>
    <t>-460.1;-77.5</t>
  </si>
  <si>
    <t>-350.8;48.1</t>
  </si>
  <si>
    <t>-462.27;64.12</t>
  </si>
  <si>
    <t>SP_SpiderSmallTurret_0_20000</t>
  </si>
  <si>
    <t>-323.89;-47.63</t>
  </si>
  <si>
    <t>-430.93;29.24</t>
  </si>
  <si>
    <t>-188.4;20.6</t>
  </si>
  <si>
    <t>-606.2899;98.56</t>
  </si>
  <si>
    <t>-305.27;24.92</t>
  </si>
  <si>
    <t>-494.53;119.12</t>
  </si>
  <si>
    <t>SP_GoodJunkBottle_18000_0</t>
  </si>
  <si>
    <t>-506.5;-182.51</t>
  </si>
  <si>
    <t>-118.8;68.1</t>
  </si>
  <si>
    <t>-369.14;99.07</t>
  </si>
  <si>
    <t>-155.3;178.3</t>
  </si>
  <si>
    <t>-270.04;108.63</t>
  </si>
  <si>
    <t>-489.67;-68.23</t>
  </si>
  <si>
    <t>-202.15;112.25</t>
  </si>
  <si>
    <t>-28.840027;27.52</t>
  </si>
  <si>
    <t>SP_SpiderSmall_7000_0</t>
  </si>
  <si>
    <t>-2.84;133.66</t>
  </si>
  <si>
    <t>189.3;157.2</t>
  </si>
  <si>
    <t>SP_Canary01_Flock_6000_0</t>
  </si>
  <si>
    <t>-176.59998;-96.2</t>
  </si>
  <si>
    <t>-305.75;63.22</t>
  </si>
  <si>
    <t>-261;-67.89</t>
  </si>
  <si>
    <t>-35.1;196.7</t>
  </si>
  <si>
    <t>SP_Canary02_Flock_3600_0</t>
  </si>
  <si>
    <t>-331.9;70.9</t>
  </si>
  <si>
    <t>-560.71;103.97</t>
  </si>
  <si>
    <t>-251.69;37.81</t>
  </si>
  <si>
    <t>-263.49;78.49</t>
  </si>
  <si>
    <t>SP_Ghost02_20000_0</t>
  </si>
  <si>
    <t>-364.64;85.33</t>
  </si>
  <si>
    <t>-95.160034;44.35</t>
  </si>
  <si>
    <t>-309.08;111.9</t>
  </si>
  <si>
    <t>339.1;93.4</t>
  </si>
  <si>
    <t>-296.29;51.6</t>
  </si>
  <si>
    <t>-263.3;-127.76</t>
  </si>
  <si>
    <t>-523.78143;-141.59537</t>
  </si>
  <si>
    <t>SP_Archer02_Static_35000_0</t>
  </si>
  <si>
    <t>-433.06;52.01</t>
  </si>
  <si>
    <t>-606.6;-96.99</t>
  </si>
  <si>
    <t>SP_PufferBird_12000_0</t>
  </si>
  <si>
    <t>-94.599976;95.48</t>
  </si>
  <si>
    <t>-414.8;-144.5</t>
  </si>
  <si>
    <t>-479.13763;-30.69</t>
  </si>
  <si>
    <t>-524.89;-179.38</t>
  </si>
  <si>
    <t>-450.67;87.58</t>
  </si>
  <si>
    <t>-526.49;35.12</t>
  </si>
  <si>
    <t>-96.73999;58.71</t>
  </si>
  <si>
    <t>-261;8.3</t>
  </si>
  <si>
    <t>-318.11;101.82</t>
  </si>
  <si>
    <t>-83.82001;85.24</t>
  </si>
  <si>
    <t>-201.29999;-37.81</t>
  </si>
  <si>
    <t>-409.23505;-17.475811</t>
  </si>
  <si>
    <t>-535.16;50.81</t>
  </si>
  <si>
    <t>-500.5;63.1</t>
  </si>
  <si>
    <t>SP_Starling_Flock_0_24000</t>
  </si>
  <si>
    <t>-461.7;129.8</t>
  </si>
  <si>
    <t>-227.56995;-40.41</t>
  </si>
  <si>
    <t>-573.1;-162.2</t>
  </si>
  <si>
    <t>-119.26;9.78</t>
  </si>
  <si>
    <t>SP_Canary02_Flock_0_16000</t>
  </si>
  <si>
    <t>-534.32;46.85</t>
  </si>
  <si>
    <t>-114.88995;-21.48</t>
  </si>
  <si>
    <t>-561.1;5.26</t>
  </si>
  <si>
    <t>SP_Crow_Flock_28000_0</t>
  </si>
  <si>
    <t>-459.6;-34.9</t>
  </si>
  <si>
    <t>-193.5;53.2</t>
  </si>
  <si>
    <t>SP_MineBig_25500_0</t>
  </si>
  <si>
    <t>-13.68;27.52</t>
  </si>
  <si>
    <t>-236.4;111.16</t>
  </si>
  <si>
    <t>-248.5;96.18</t>
  </si>
  <si>
    <t>-612.8;-206.2</t>
  </si>
  <si>
    <t>-291.3;55.52</t>
  </si>
  <si>
    <t>-453.78;12.56</t>
  </si>
  <si>
    <t>-427;-136.7</t>
  </si>
  <si>
    <t>-416.4;60.8</t>
  </si>
  <si>
    <t>-204.91998;-80.74</t>
  </si>
  <si>
    <t>-78;115.2</t>
  </si>
  <si>
    <t>-449.1;159.4</t>
  </si>
  <si>
    <t>-59.9;84.5</t>
  </si>
  <si>
    <t>-115.9;11.04</t>
  </si>
  <si>
    <t>-161.9;151.7</t>
  </si>
  <si>
    <t>SP_EnemyTier3_12000_0</t>
  </si>
  <si>
    <t>-488.6;57.3</t>
  </si>
  <si>
    <t>SP_SpiderSmall_0_12000</t>
  </si>
  <si>
    <t>-539.88;-18.01</t>
  </si>
  <si>
    <t>-428.6;-1.39</t>
  </si>
  <si>
    <t>-499.54;139.68</t>
  </si>
  <si>
    <t>-485.90018;196.90001</t>
  </si>
  <si>
    <t>-475.74;99.56</t>
  </si>
  <si>
    <t>-322;138.1</t>
  </si>
  <si>
    <t>0.4;130.21</t>
  </si>
  <si>
    <t>SP_Canary02_Flock_8000_0</t>
  </si>
  <si>
    <t>-409.6;113</t>
  </si>
  <si>
    <t>-305.34;64.16</t>
  </si>
  <si>
    <t>-333.96;52.46</t>
  </si>
  <si>
    <t>-542.14;33.68</t>
  </si>
  <si>
    <t>SP_SpiderSmall_0_17000</t>
  </si>
  <si>
    <t>-212.62;-116.23</t>
  </si>
  <si>
    <t>-269.1;156</t>
  </si>
  <si>
    <t>-408.49;36.26</t>
  </si>
  <si>
    <t>-443.19;94.42</t>
  </si>
  <si>
    <t>-274.76;-143.86</t>
  </si>
  <si>
    <t>-403.12;-67.59</t>
  </si>
  <si>
    <t>-243.06;0.13</t>
  </si>
  <si>
    <t>-490.56;56.85</t>
  </si>
  <si>
    <t>-112.86;25.87</t>
  </si>
  <si>
    <t>-366.93;103.65</t>
  </si>
  <si>
    <t>-483.81;-78.6</t>
  </si>
  <si>
    <t>SP_EnemyTier0_4000_0</t>
  </si>
  <si>
    <t>-345.36;93.2</t>
  </si>
  <si>
    <t>-127.7;72.9</t>
  </si>
  <si>
    <t>SP_Ghost02_7400_0</t>
  </si>
  <si>
    <t>-252.5;83.95</t>
  </si>
  <si>
    <t>-418.19;94.52</t>
  </si>
  <si>
    <t>-100.17;-31.32</t>
  </si>
  <si>
    <t>192.29;141.9</t>
  </si>
  <si>
    <t>100.2;222.9</t>
  </si>
  <si>
    <t>-473.5;138.3</t>
  </si>
  <si>
    <t>-305.94;107.87</t>
  </si>
  <si>
    <t>-339.3;85.200005</t>
  </si>
  <si>
    <t>193.9;102.62</t>
  </si>
  <si>
    <t>-283.2;156</t>
  </si>
  <si>
    <t>101.86;217.9</t>
  </si>
  <si>
    <t>-224;81.64</t>
  </si>
  <si>
    <t>-364.2;175.4</t>
  </si>
  <si>
    <t>-450.46338;39.891994</t>
  </si>
  <si>
    <t>-485.8;-40.4</t>
  </si>
  <si>
    <t>-486.4;93.3</t>
  </si>
  <si>
    <t>-142.09998;137.9</t>
  </si>
  <si>
    <t>-195.34998;57.33</t>
  </si>
  <si>
    <t>-512.9;-29.1</t>
  </si>
  <si>
    <t>-202.24;29.39</t>
  </si>
  <si>
    <t>SP_LionBird_8000_12000</t>
  </si>
  <si>
    <t>-302.96;117.12</t>
  </si>
  <si>
    <t>-155.3;164.6</t>
  </si>
  <si>
    <t>-199.59998;42.5</t>
  </si>
  <si>
    <t>-428.15;88.08</t>
  </si>
  <si>
    <t>-457.2;87.25</t>
  </si>
  <si>
    <t>-424.65;68.73</t>
  </si>
  <si>
    <t>-519.48;58.72</t>
  </si>
  <si>
    <t>-521.73;74.45</t>
  </si>
  <si>
    <t>-185.58997;-81.48</t>
  </si>
  <si>
    <t>-119.23;11.16</t>
  </si>
  <si>
    <t>-367.8;194.70001</t>
  </si>
  <si>
    <t>-54.54;48.7</t>
  </si>
  <si>
    <t>-9.26;143.71</t>
  </si>
  <si>
    <t>-334.75;-101.47</t>
  </si>
  <si>
    <t>-194.96997;-13.29</t>
  </si>
  <si>
    <t>-118.31;9.93</t>
  </si>
  <si>
    <t>SP_Sheep_0_10000</t>
  </si>
  <si>
    <t>-197.54;-14</t>
  </si>
  <si>
    <t>SP_GoblinBoat_20000_0</t>
  </si>
  <si>
    <t>-43.52002;16.47</t>
  </si>
  <si>
    <t>-245.6;27.08</t>
  </si>
  <si>
    <t>-197.91;64.98</t>
  </si>
  <si>
    <t>204.5;89.3</t>
  </si>
  <si>
    <t>-499;111.9</t>
  </si>
  <si>
    <t>-11.88;137.28</t>
  </si>
  <si>
    <t>-489.24;57.02</t>
  </si>
  <si>
    <t>-159.5;43.13</t>
  </si>
  <si>
    <t>-371.6;148.9</t>
  </si>
  <si>
    <t>364.17;220.55</t>
  </si>
  <si>
    <t>-149.78;46.27</t>
  </si>
  <si>
    <t>-503.6;149.7</t>
  </si>
  <si>
    <t>-82.25;110.16</t>
  </si>
  <si>
    <t>-156.1;114.5</t>
  </si>
  <si>
    <t>-203.29999;156.4</t>
  </si>
  <si>
    <t>SP_PufferBird_4000_0</t>
  </si>
  <si>
    <t>-44.400024;81.2</t>
  </si>
  <si>
    <t>276.80002;200.7</t>
  </si>
  <si>
    <t>-175.5;-80.7</t>
  </si>
  <si>
    <t>-194.35;12.01</t>
  </si>
  <si>
    <t>-542.82;108.51</t>
  </si>
  <si>
    <t>SP_MineBig_Static_25000_0</t>
  </si>
  <si>
    <t>-95.5;-46.27</t>
  </si>
  <si>
    <t>-190.51;23.92</t>
  </si>
  <si>
    <t>-299.59;35.04</t>
  </si>
  <si>
    <t>214.20001;225.7</t>
  </si>
  <si>
    <t>-185;137.06001</t>
  </si>
  <si>
    <t>-47.87;36.08</t>
  </si>
  <si>
    <t>-339.46;23.32</t>
  </si>
  <si>
    <t>-68.53998;16.66</t>
  </si>
  <si>
    <t>-502.4;128.7</t>
  </si>
  <si>
    <t>SP_Canary_Random_Flock_0_19000</t>
  </si>
  <si>
    <t>-378.3;145.8</t>
  </si>
  <si>
    <t>-495.3;45.3</t>
  </si>
  <si>
    <t>-171.06;132.11</t>
  </si>
  <si>
    <t>-436.36;15.9</t>
  </si>
  <si>
    <t>-334.6;57.9</t>
  </si>
  <si>
    <t>-543.99;-42.02</t>
  </si>
  <si>
    <t>-226.7;141.5</t>
  </si>
  <si>
    <t>-315.31;106.66</t>
  </si>
  <si>
    <t>-327.5;-94.59</t>
  </si>
  <si>
    <t>SP_Sheep_5000_0</t>
  </si>
  <si>
    <t>-379.28;39.93</t>
  </si>
  <si>
    <t>-496.53;42.95</t>
  </si>
  <si>
    <t>-479;75.63</t>
  </si>
  <si>
    <t>-565.7;98.55</t>
  </si>
  <si>
    <t>-627.73;-110.43</t>
  </si>
  <si>
    <t>-477;-49.98</t>
  </si>
  <si>
    <t>-573.1;43.62</t>
  </si>
  <si>
    <t>SP_Ghost02_Static_9500_0</t>
  </si>
  <si>
    <t>-284.72;-119.5</t>
  </si>
  <si>
    <t>-254.4;122.89</t>
  </si>
  <si>
    <t>-332.86;93.95</t>
  </si>
  <si>
    <t>-198.07996;-43.91</t>
  </si>
  <si>
    <t>-370.9;-129.22</t>
  </si>
  <si>
    <t>-7.15;81.73</t>
  </si>
  <si>
    <t>-417.69;132.4</t>
  </si>
  <si>
    <t>-431.2;133.9</t>
  </si>
  <si>
    <t>-344.59;100.99</t>
  </si>
  <si>
    <t>-248.36;37.3</t>
  </si>
  <si>
    <t>-514.83;-35.79</t>
  </si>
  <si>
    <t>-259.14;107.21</t>
  </si>
  <si>
    <t>-1186.34;-97.32</t>
  </si>
  <si>
    <t>SP_Ghost01_0_3800</t>
  </si>
  <si>
    <t>-162.75;50.35</t>
  </si>
  <si>
    <t>-602.05;-187.35</t>
  </si>
  <si>
    <t>-352.15;24.2</t>
  </si>
  <si>
    <t>-255.78998;112.86</t>
  </si>
  <si>
    <t>-252.41;-75.7</t>
  </si>
  <si>
    <t>-284.4;185.1</t>
  </si>
  <si>
    <t>-299.7;115.39</t>
  </si>
  <si>
    <t>-373.06;62.19</t>
  </si>
  <si>
    <t>-606.15;-69.62</t>
  </si>
  <si>
    <t>-161.96;130.13</t>
  </si>
  <si>
    <t>-514.73;65.65</t>
  </si>
  <si>
    <t>SP_SpiderSmall_0_5000</t>
  </si>
  <si>
    <t>-232.45;129.1</t>
  </si>
  <si>
    <t>-17.11;31.37</t>
  </si>
  <si>
    <t>-450.48;29.9</t>
  </si>
  <si>
    <t>-503.2;-146.52</t>
  </si>
  <si>
    <t>-174.66;131.81</t>
  </si>
  <si>
    <t>-593.1;-149.6</t>
  </si>
  <si>
    <t>-300.05;-112.61</t>
  </si>
  <si>
    <t>-590.48;89.08</t>
  </si>
  <si>
    <t>-354.11;94.06</t>
  </si>
  <si>
    <t>179.7;148.81</t>
  </si>
  <si>
    <t>-485.88;141.91</t>
  </si>
  <si>
    <t>-344.7;7.0999985</t>
  </si>
  <si>
    <t>-362.42;-24.75</t>
  </si>
  <si>
    <t>SP_Sheep_4200_0</t>
  </si>
  <si>
    <t>-204.42;94.36</t>
  </si>
  <si>
    <t>-543.8;93.1</t>
  </si>
  <si>
    <t>-559.6;66.7</t>
  </si>
  <si>
    <t>-299.87;65.54</t>
  </si>
  <si>
    <t>24.87;168.06</t>
  </si>
  <si>
    <t>SP_Canary_Mix_Flock_0_15000</t>
  </si>
  <si>
    <t>-454.59;-45.46</t>
  </si>
  <si>
    <t>-93.25;156.7</t>
  </si>
  <si>
    <t>SP_Archer02_Static_15000_0</t>
  </si>
  <si>
    <t>-464.41;85.39</t>
  </si>
  <si>
    <t>-232.14;63.8</t>
  </si>
  <si>
    <t>-220.7;70.9</t>
  </si>
  <si>
    <t>-264.87;-39.15</t>
  </si>
  <si>
    <t>-276.03;32.19</t>
  </si>
  <si>
    <t>SP_EnemyTier0_7000_0</t>
  </si>
  <si>
    <t>-182.96997;-42.42</t>
  </si>
  <si>
    <t>-209.4;18.21</t>
  </si>
  <si>
    <t>-67.87;124.27</t>
  </si>
  <si>
    <t>-342.6;42.7</t>
  </si>
  <si>
    <t>-29.61;109.12</t>
  </si>
  <si>
    <t>SP_BadFarmer_4100_0</t>
  </si>
  <si>
    <t>-21.48;3.41</t>
  </si>
  <si>
    <t>-363.22;133.93</t>
  </si>
  <si>
    <t>-406.36;7.47</t>
  </si>
  <si>
    <t>-514.76;-170.22</t>
  </si>
  <si>
    <t>-157.83;84.55</t>
  </si>
  <si>
    <t>-182.78998;55.06</t>
  </si>
  <si>
    <t>-498.2;-59.08</t>
  </si>
  <si>
    <t>-200.6;14.5</t>
  </si>
  <si>
    <t>-171.87;-67.1</t>
  </si>
  <si>
    <t>273.8;184.2</t>
  </si>
  <si>
    <t>-103.78998;-54.21</t>
  </si>
  <si>
    <t>SP_Archer01_Static_14000_0</t>
  </si>
  <si>
    <t>-486.28;69.76</t>
  </si>
  <si>
    <t>-117.57;10.67</t>
  </si>
  <si>
    <t>-345.44;122.56</t>
  </si>
  <si>
    <t>-468.52;-213.68</t>
  </si>
  <si>
    <t>-436.7;201.5</t>
  </si>
  <si>
    <t>-476.25;48.8</t>
  </si>
  <si>
    <t>SP_EnemyTier3_8000_0</t>
  </si>
  <si>
    <t>-422.8;122</t>
  </si>
  <si>
    <t>-247.37;-5.13</t>
  </si>
  <si>
    <t>-484.65;119.62</t>
  </si>
  <si>
    <t>-7.03;98.76</t>
  </si>
  <si>
    <t>-421.46;-42.77</t>
  </si>
  <si>
    <t>-365.41;46.87</t>
  </si>
  <si>
    <t>-504.4;-156.14</t>
  </si>
  <si>
    <t>-48.59;94.41</t>
  </si>
  <si>
    <t>-388;-135.59</t>
  </si>
  <si>
    <t>81.3;121.27</t>
  </si>
  <si>
    <t>-189.50995;-129.44</t>
  </si>
  <si>
    <t>-325.09998;30.46</t>
  </si>
  <si>
    <t>-410.11;-46.68</t>
  </si>
  <si>
    <t>SP_MineMedium_Static_27000_0</t>
  </si>
  <si>
    <t>-556.4;0.1</t>
  </si>
  <si>
    <t>-112;156</t>
  </si>
  <si>
    <t>355.77;220.55</t>
  </si>
  <si>
    <t>-440.2;105.9</t>
  </si>
  <si>
    <t>-102.66;43.82</t>
  </si>
  <si>
    <t>-469.6;133.15</t>
  </si>
  <si>
    <t>-501.39;-30.19</t>
  </si>
  <si>
    <t>-286.3;48.67</t>
  </si>
  <si>
    <t>-514.4;73.9</t>
  </si>
  <si>
    <t>-517.23;-77.19</t>
  </si>
  <si>
    <t>6.4;140.9</t>
  </si>
  <si>
    <t>-597.34;-147.27</t>
  </si>
  <si>
    <t>SP_Canary_Random_Flock_2400_0</t>
  </si>
  <si>
    <t>-114.51;55.74</t>
  </si>
  <si>
    <t>110.48999;159</t>
  </si>
  <si>
    <t>-178.58;28.767826</t>
  </si>
  <si>
    <t>-147.3;123.3</t>
  </si>
  <si>
    <t>-98.90021;196.90001</t>
  </si>
  <si>
    <t>-459.6;30.9</t>
  </si>
  <si>
    <t>-212.08;42.87</t>
  </si>
  <si>
    <t>-335.51;-104.15</t>
  </si>
  <si>
    <t>-306.3;138.59</t>
  </si>
  <si>
    <t>-568.74;-64.5</t>
  </si>
  <si>
    <t>12.5;73.4</t>
  </si>
  <si>
    <t>SP_Archer02_2250_0</t>
  </si>
  <si>
    <t>-318.46;-9.87</t>
  </si>
  <si>
    <t>-196.55;-125.35</t>
  </si>
  <si>
    <t>SP_Kamikaze_28000_0</t>
  </si>
  <si>
    <t>-285.9;-89.8</t>
  </si>
  <si>
    <t>-203.38;-117.77</t>
  </si>
  <si>
    <t>334.43;188.7</t>
  </si>
  <si>
    <t>-436.5;-62.7</t>
  </si>
  <si>
    <t>-112.58002;-75.56</t>
  </si>
  <si>
    <t>-47;85.3</t>
  </si>
  <si>
    <t>-203.78;-143.1</t>
  </si>
  <si>
    <t>-541.69;-84.01</t>
  </si>
  <si>
    <t>-274;69</t>
  </si>
  <si>
    <t>-488.2;55.7</t>
  </si>
  <si>
    <t>-614.29;-78.2</t>
  </si>
  <si>
    <t>-279.3;42.2</t>
  </si>
  <si>
    <t>SP_Canary03_Flock_0_7000</t>
  </si>
  <si>
    <t>-532.08;-144.54</t>
  </si>
  <si>
    <t>-15.8;65.9</t>
  </si>
  <si>
    <t>3.66;97.94</t>
  </si>
  <si>
    <t>-281.79;166.79</t>
  </si>
  <si>
    <t>-351.3;123.4</t>
  </si>
  <si>
    <t>-326.62;60.93</t>
  </si>
  <si>
    <t>-138.57;-80.06</t>
  </si>
  <si>
    <t>-545.7;112.6</t>
  </si>
  <si>
    <t>-348.66;-24.67</t>
  </si>
  <si>
    <t>SP_Canary_Random_Flock_2500_0</t>
  </si>
  <si>
    <t>-514.35;96.55</t>
  </si>
  <si>
    <t>166.4;152.4</t>
  </si>
  <si>
    <t>-525.2;101.22</t>
  </si>
  <si>
    <t>-612.19;-123.3</t>
  </si>
  <si>
    <t>SP_Ghost01_0_1800</t>
  </si>
  <si>
    <t>-268.33;43.58</t>
  </si>
  <si>
    <t>-473.3;118.5</t>
  </si>
  <si>
    <t>-156.9;105.4</t>
  </si>
  <si>
    <t>SP_Troll_12000_0</t>
  </si>
  <si>
    <t>-329.4;24.7</t>
  </si>
  <si>
    <t>-525.74;127.54</t>
  </si>
  <si>
    <t>-253.5;67.9</t>
  </si>
  <si>
    <t>189.3;237.7</t>
  </si>
  <si>
    <t>-438.40002;115.5</t>
  </si>
  <si>
    <t>SP_SpiderSmall_0_4500</t>
  </si>
  <si>
    <t>-221.79;130.54</t>
  </si>
  <si>
    <t>-558.03;-70.5</t>
  </si>
  <si>
    <t>-478.1;11.2</t>
  </si>
  <si>
    <t>-147.52;108.72</t>
  </si>
  <si>
    <t>-428.1;22.7</t>
  </si>
  <si>
    <t>-594.63;11.7</t>
  </si>
  <si>
    <t>-454.37;92.51</t>
  </si>
  <si>
    <t>-454;170.2</t>
  </si>
  <si>
    <t>-461.3;0</t>
  </si>
  <si>
    <t>-342;70.5</t>
  </si>
  <si>
    <t>-642.41;-92.35</t>
  </si>
  <si>
    <t>-149.38;108.78</t>
  </si>
  <si>
    <t>-518.35004;137.79</t>
  </si>
  <si>
    <t>-334.2;40.3</t>
  </si>
  <si>
    <t>-403.1;115.53</t>
  </si>
  <si>
    <t>-306.79004;24.98</t>
  </si>
  <si>
    <t>-457.41;100.87</t>
  </si>
  <si>
    <t>SP_Villager_Mix_0_4000</t>
  </si>
  <si>
    <t>-303.59;24.92</t>
  </si>
  <si>
    <t>-231.09;-149.39</t>
  </si>
  <si>
    <t>-259.75;-75.7</t>
  </si>
  <si>
    <t>-562.36;50.53</t>
  </si>
  <si>
    <t>-295.82;51.2</t>
  </si>
  <si>
    <t>261.5;176.78</t>
  </si>
  <si>
    <t>-381.1;117.32</t>
  </si>
  <si>
    <t>SP_EnemyTier0_4500_0</t>
  </si>
  <si>
    <t>-343.13;113.7</t>
  </si>
  <si>
    <t>-264.99;53.59</t>
  </si>
  <si>
    <t>-402.9;-153.9</t>
  </si>
  <si>
    <t>-85.21;78.9</t>
  </si>
  <si>
    <t>-229.2;148.3</t>
  </si>
  <si>
    <t>357.97;220.55</t>
  </si>
  <si>
    <t>-473.2;-59.1</t>
  </si>
  <si>
    <t>-369.91;-43.48</t>
  </si>
  <si>
    <t>SP_Cow_0_18000</t>
  </si>
  <si>
    <t>-493.07;11.48</t>
  </si>
  <si>
    <t>-341.77;90.56</t>
  </si>
  <si>
    <t>-188.29999;-84</t>
  </si>
  <si>
    <t>-281.96;58.07</t>
  </si>
  <si>
    <t>-413.37;-162.63</t>
  </si>
  <si>
    <t>-398.2;-130.5</t>
  </si>
  <si>
    <t>-488.8;101.6</t>
  </si>
  <si>
    <t>SP_Troll_40000_0</t>
  </si>
  <si>
    <t>-359.4;23.1</t>
  </si>
  <si>
    <t>-515.78;110.1</t>
  </si>
  <si>
    <t>-476.45;133.29</t>
  </si>
  <si>
    <t>155;230.4</t>
  </si>
  <si>
    <t>-226.4;11.96</t>
  </si>
  <si>
    <t>-101.07;-33.2</t>
  </si>
  <si>
    <t>-465.59;85.34</t>
  </si>
  <si>
    <t>-451.61;-44.09</t>
  </si>
  <si>
    <t>-657.89;-165.48</t>
  </si>
  <si>
    <t>-459.9;150.6</t>
  </si>
  <si>
    <t>-284.25;95.17</t>
  </si>
  <si>
    <t>312.1;176.99998</t>
  </si>
  <si>
    <t>-339.39;37.53</t>
  </si>
  <si>
    <t>-120.28;108.08</t>
  </si>
  <si>
    <t>-220.8;97.11</t>
  </si>
  <si>
    <t>-225.28;-145.83</t>
  </si>
  <si>
    <t>SP_Ghost02_Static_6000_0</t>
  </si>
  <si>
    <t>6.5600004;77.43</t>
  </si>
  <si>
    <t>-29.4;164.2</t>
  </si>
  <si>
    <t>SP_Archer01_Static_8500_0</t>
  </si>
  <si>
    <t>-139.98;-18.06</t>
  </si>
  <si>
    <t>SP_LionBird_900_0</t>
  </si>
  <si>
    <t>-105.609985;-44.79</t>
  </si>
  <si>
    <t>SP_Canary_Random_Flock_4500_0</t>
  </si>
  <si>
    <t>-36.8;52.2</t>
  </si>
  <si>
    <t>-178.32;79.1</t>
  </si>
  <si>
    <t>-225;105.3</t>
  </si>
  <si>
    <t>-149;159</t>
  </si>
  <si>
    <t>SP_SpiderRed_12100_0</t>
  </si>
  <si>
    <t>-2.6;26.4</t>
  </si>
  <si>
    <t>-523.5;159.4</t>
  </si>
  <si>
    <t>-329.53;-143.73</t>
  </si>
  <si>
    <t>-326.03;24.92</t>
  </si>
  <si>
    <t>50.2;174.1</t>
  </si>
  <si>
    <t>SP_EnemyTier3_11000_0</t>
  </si>
  <si>
    <t>-177.9;115.7</t>
  </si>
  <si>
    <t>-427.02255;-161.32997</t>
  </si>
  <si>
    <t>-543.97;36.01</t>
  </si>
  <si>
    <t>-20.659973;131.68</t>
  </si>
  <si>
    <t>-509.12;40.8</t>
  </si>
  <si>
    <t>SP_Canary_Random_Flock_3000_0</t>
  </si>
  <si>
    <t>-194.87;-149.39</t>
  </si>
  <si>
    <t>-573.24;101.2</t>
  </si>
  <si>
    <t>-468.49;31.2</t>
  </si>
  <si>
    <t>-82.58002;18.33</t>
  </si>
  <si>
    <t>-57.1;147.7</t>
  </si>
  <si>
    <t>-309.85;24.49</t>
  </si>
  <si>
    <t>-443.29;47.14</t>
  </si>
  <si>
    <t>SP_SpiderRed_16000_0</t>
  </si>
  <si>
    <t>-178.14;35.87</t>
  </si>
  <si>
    <t>-269.88;-26.32</t>
  </si>
  <si>
    <t>-441.15;-234.16</t>
  </si>
  <si>
    <t>-330.71;83.14</t>
  </si>
  <si>
    <t>-130.94;98.87</t>
  </si>
  <si>
    <t>-590.84;95.35</t>
  </si>
  <si>
    <t>-434;79.1</t>
  </si>
  <si>
    <t>-169.8;-0.6</t>
  </si>
  <si>
    <t>SP_Ghost01_6000_17000</t>
  </si>
  <si>
    <t>-29.8;50.4</t>
  </si>
  <si>
    <t>-125.27997;-22.27</t>
  </si>
  <si>
    <t>-243.2;40.6</t>
  </si>
  <si>
    <t>-411.37;144.75</t>
  </si>
  <si>
    <t>-116.29;-37.8</t>
  </si>
  <si>
    <t>-526.7001;6</t>
  </si>
  <si>
    <t>-341.68;-68.49</t>
  </si>
  <si>
    <t>-535.9;-58.9</t>
  </si>
  <si>
    <t>-478.56;80.54</t>
  </si>
  <si>
    <t>-135.71;-72.1</t>
  </si>
  <si>
    <t>-481.68;56.89</t>
  </si>
  <si>
    <t>-316.8;43.9</t>
  </si>
  <si>
    <t>-218.44995;-62.97</t>
  </si>
  <si>
    <t>SP_Canary01_Flock_7000_0</t>
  </si>
  <si>
    <t>-173.09998;-92.2</t>
  </si>
  <si>
    <t>SP_Canary_Mix_Flock_0_35000</t>
  </si>
  <si>
    <t>-61.640015;77.31</t>
  </si>
  <si>
    <t>-198;111.2</t>
  </si>
  <si>
    <t>-484.5;61.87</t>
  </si>
  <si>
    <t>-605.2;-172.08</t>
  </si>
  <si>
    <t>-33.3;46.1</t>
  </si>
  <si>
    <t>-521.7999;108.2</t>
  </si>
  <si>
    <t>87.4;165</t>
  </si>
  <si>
    <t>SP_Horse_6300_0</t>
  </si>
  <si>
    <t>-38.58;4.5</t>
  </si>
  <si>
    <t>-243.27;90.98</t>
  </si>
  <si>
    <t>-528;-198.5</t>
  </si>
  <si>
    <t>141.20001;187.52</t>
  </si>
  <si>
    <t>SP_MineBig_Static_20000_0</t>
  </si>
  <si>
    <t>-51.3;111.5</t>
  </si>
  <si>
    <t>8.52;85.67</t>
  </si>
  <si>
    <t>-510.01;81.06</t>
  </si>
  <si>
    <t>-1212.87;-117.11</t>
  </si>
  <si>
    <t>-130.29999;146.52</t>
  </si>
  <si>
    <t>-424.72;83.51</t>
  </si>
  <si>
    <t>-265.29;74.73</t>
  </si>
  <si>
    <t>-116.59;10.03</t>
  </si>
  <si>
    <t>-130.97;-76.4</t>
  </si>
  <si>
    <t>-635.4;-191.5</t>
  </si>
  <si>
    <t>-106.9;159.4</t>
  </si>
  <si>
    <t>-596.02;-179.36</t>
  </si>
  <si>
    <t>-303.60004;138.7</t>
  </si>
  <si>
    <t>-366.92;91.56</t>
  </si>
  <si>
    <t>-376.57;53.12</t>
  </si>
  <si>
    <t>-498.2;-146.4</t>
  </si>
  <si>
    <t>-301.57;62.29</t>
  </si>
  <si>
    <t>-314.5;40.4</t>
  </si>
  <si>
    <t>-302.09;47.38</t>
  </si>
  <si>
    <t>SP_Villager01_0_22000</t>
  </si>
  <si>
    <t>-291.95;-9.79</t>
  </si>
  <si>
    <t>SP_Canary_Mix_Flock_0_23000</t>
  </si>
  <si>
    <t>-493.47998;141.91</t>
  </si>
  <si>
    <t>-514.06;83.67</t>
  </si>
  <si>
    <t>-517.52;3.19</t>
  </si>
  <si>
    <t>-542.84;50.03</t>
  </si>
  <si>
    <t>-362.44;-148.81</t>
  </si>
  <si>
    <t>SP_Canary_Random_Flock_0_16000</t>
  </si>
  <si>
    <t>-526.46;-13</t>
  </si>
  <si>
    <t>SP_EnemyTier4_25000_0</t>
  </si>
  <si>
    <t>-1.9;58.7</t>
  </si>
  <si>
    <t>-244.6;75.77</t>
  </si>
  <si>
    <t>-440.56;-136.39</t>
  </si>
  <si>
    <t>SP_MineMedium_Static_12000_0</t>
  </si>
  <si>
    <t>-226.19;59.33</t>
  </si>
  <si>
    <t>246.57;242.8</t>
  </si>
  <si>
    <t>-220.22998;-140.29</t>
  </si>
  <si>
    <t>SP_Ghost02_4200_0</t>
  </si>
  <si>
    <t>-511.51;39.542</t>
  </si>
  <si>
    <t>SP_Piranha_8000_0</t>
  </si>
  <si>
    <t>SP_EnemyTier0_1200_6900</t>
  </si>
  <si>
    <t>-14.7699585;126.81</t>
  </si>
  <si>
    <t>-379.74;56.09</t>
  </si>
  <si>
    <t>-428.57;28.8</t>
  </si>
  <si>
    <t>-90.52;40.65</t>
  </si>
  <si>
    <t>SP_SpiderSmall_0_26000</t>
  </si>
  <si>
    <t>-243.81;125.27</t>
  </si>
  <si>
    <t>-363.7;59.38</t>
  </si>
  <si>
    <t>87.78;122.5</t>
  </si>
  <si>
    <t>-566.01;7.72</t>
  </si>
  <si>
    <t>-431.12;50.98</t>
  </si>
  <si>
    <t>-208.3;157.8</t>
  </si>
  <si>
    <t>-109.05;8.32</t>
  </si>
  <si>
    <t>SP_Piranha_10000_0</t>
  </si>
  <si>
    <t>-202.16998;-58.19</t>
  </si>
  <si>
    <t>-7.39;103.98</t>
  </si>
  <si>
    <t>-120.7;18.7</t>
  </si>
  <si>
    <t>-460.05;65.98</t>
  </si>
  <si>
    <t>SP_Villager01_0_27000</t>
  </si>
  <si>
    <t>-426.78;42.19</t>
  </si>
  <si>
    <t>-28.61;4.5</t>
  </si>
  <si>
    <t>-504.9;158.2</t>
  </si>
  <si>
    <t>-410.3;12.8</t>
  </si>
  <si>
    <t>-112.6;78.57</t>
  </si>
  <si>
    <t>260.97;228.5</t>
  </si>
  <si>
    <t>SP_MineMedium_Static_17000_0</t>
  </si>
  <si>
    <t>-157.59998;-40.5</t>
  </si>
  <si>
    <t>-472.6;126.2</t>
  </si>
  <si>
    <t>-202.8;159.4</t>
  </si>
  <si>
    <t>10;71.8</t>
  </si>
  <si>
    <t>-533.19;169.7</t>
  </si>
  <si>
    <t>SP_SpiderGreenTurret_7000_0</t>
  </si>
  <si>
    <t>-261.44;-36.81</t>
  </si>
  <si>
    <t>-288.7;-73.5</t>
  </si>
  <si>
    <t>-111.94;-17.47</t>
  </si>
  <si>
    <t>-204.5;109.8</t>
  </si>
  <si>
    <t>-426.5;-16.5</t>
  </si>
  <si>
    <t>-294.1;6.5</t>
  </si>
  <si>
    <t>-148;-70.16</t>
  </si>
  <si>
    <t>SP_MineBig_15500_0</t>
  </si>
  <si>
    <t>-463.3;40.6</t>
  </si>
  <si>
    <t>168.4;16.6</t>
  </si>
  <si>
    <t>-273.61;27.16</t>
  </si>
  <si>
    <t>-171.21997;-95.21</t>
  </si>
  <si>
    <t>-236.53;29.39</t>
  </si>
  <si>
    <t>-364.9;43.2</t>
  </si>
  <si>
    <t>-101.37;88.19</t>
  </si>
  <si>
    <t>-377.81;82.53</t>
  </si>
  <si>
    <t>-643.8;-196</t>
  </si>
  <si>
    <t>-444;139.95</t>
  </si>
  <si>
    <t>243.5;228.1</t>
  </si>
  <si>
    <t>-589.2;21.4</t>
  </si>
  <si>
    <t>SP_Worker_Mix_7000_0</t>
  </si>
  <si>
    <t>-358.12;160.5</t>
  </si>
  <si>
    <t>-433.84998;100.38</t>
  </si>
  <si>
    <t>-344.65;87.14</t>
  </si>
  <si>
    <t>-48.55;54.41</t>
  </si>
  <si>
    <t>-590.83997;95.35</t>
  </si>
  <si>
    <t>-551.09;60</t>
  </si>
  <si>
    <t>-156.1;-3.3</t>
  </si>
  <si>
    <t>-277.9;72.3</t>
  </si>
  <si>
    <t>-294.21;52.43</t>
  </si>
  <si>
    <t>-367.48;44.42</t>
  </si>
  <si>
    <t>-175.55;63.5</t>
  </si>
  <si>
    <t>-296.92004;-9.79</t>
  </si>
  <si>
    <t>-485.5;62.7</t>
  </si>
  <si>
    <t>-433.45;146.33</t>
  </si>
  <si>
    <t>-301.3;-23.4</t>
  </si>
  <si>
    <t>17.43;167.96</t>
  </si>
  <si>
    <t>204.30002;225.7</t>
  </si>
  <si>
    <t>-443.21;85.73</t>
  </si>
  <si>
    <t>-1179.72;-108.82</t>
  </si>
  <si>
    <t>-462.3;-83.1</t>
  </si>
  <si>
    <t>SP_MineBig_Static_40000_0</t>
  </si>
  <si>
    <t>-61.9;86.5</t>
  </si>
  <si>
    <t>-208.25;121.27</t>
  </si>
  <si>
    <t>-261.71;64.6</t>
  </si>
  <si>
    <t>-47.30017;200.8</t>
  </si>
  <si>
    <t>-409.07;-165.22</t>
  </si>
  <si>
    <t>-520.2001;82</t>
  </si>
  <si>
    <t>-80.4;32.9</t>
  </si>
  <si>
    <t>-473.7;-30.27</t>
  </si>
  <si>
    <t>-67.92;66.15</t>
  </si>
  <si>
    <t>-480.31;56.710003</t>
  </si>
  <si>
    <t>-31.37;85.96</t>
  </si>
  <si>
    <t>-226.90002;63.9</t>
  </si>
  <si>
    <t>-452.27;124.09</t>
  </si>
  <si>
    <t>359;48.8</t>
  </si>
  <si>
    <t>-59.67;105.9</t>
  </si>
  <si>
    <t>-493.1;27</t>
  </si>
  <si>
    <t>-240.72;118.34</t>
  </si>
  <si>
    <t>-106.44;37.52</t>
  </si>
  <si>
    <t>355.9;223.4</t>
  </si>
  <si>
    <t>SP_DrunkenMan_0_8000</t>
  </si>
  <si>
    <t>-300.98;24.99</t>
  </si>
  <si>
    <t>SP_Ghost02_4000_0</t>
  </si>
  <si>
    <t>-64.45;59.9</t>
  </si>
  <si>
    <t>-271.52002;11.14</t>
  </si>
  <si>
    <t>44;199.68</t>
  </si>
  <si>
    <t>-304.34;86.95</t>
  </si>
  <si>
    <t>-449.6;171.9</t>
  </si>
  <si>
    <t>-241.8;96.87</t>
  </si>
  <si>
    <t>-208.41998;-38.47</t>
  </si>
  <si>
    <t>-307.13;-9.91</t>
  </si>
  <si>
    <t>-519.99;-51.82</t>
  </si>
  <si>
    <t>-47.98;128.04</t>
  </si>
  <si>
    <t>-190.19995;-90.2</t>
  </si>
  <si>
    <t>-321.75146;20.822514</t>
  </si>
  <si>
    <t>-484;73.8</t>
  </si>
  <si>
    <t>-62.7;149.9</t>
  </si>
  <si>
    <t>-440.63;-75.03</t>
  </si>
  <si>
    <t>-387.72;126.1</t>
  </si>
  <si>
    <t>-193.58997;-112.28</t>
  </si>
  <si>
    <t>SP_SpiderRed_2800_0</t>
  </si>
  <si>
    <t>-0.4;40.7</t>
  </si>
  <si>
    <t>SP_Archer01_Static_17000_0</t>
  </si>
  <si>
    <t>-209.70001;29.79</t>
  </si>
  <si>
    <t>-70.18;114.44</t>
  </si>
  <si>
    <t>-494.51;84.35</t>
  </si>
  <si>
    <t>SP_BatBig_Flock_7500_0</t>
  </si>
  <si>
    <t>-537.71;-35.01</t>
  </si>
  <si>
    <t>-331.83;-55.17</t>
  </si>
  <si>
    <t>207.90002;225.7</t>
  </si>
  <si>
    <t>-236.32;100.43</t>
  </si>
  <si>
    <t>-489.94;35.07</t>
  </si>
  <si>
    <t>-590.56;99.39</t>
  </si>
  <si>
    <t>SP_Ghost03_Static_24000_0</t>
  </si>
  <si>
    <t>-287.21;-66.29</t>
  </si>
  <si>
    <t>-236;71.4</t>
  </si>
  <si>
    <t>SP_Ghost01_Static_3500_0</t>
  </si>
  <si>
    <t>-272.4;85</t>
  </si>
  <si>
    <t>SP_witch_40000_0</t>
  </si>
  <si>
    <t>-409.1;-49.6</t>
  </si>
  <si>
    <t>-437.89;116.35</t>
  </si>
  <si>
    <t>118.9;197.8</t>
  </si>
  <si>
    <t>-43.88;106.3</t>
  </si>
  <si>
    <t>-97.03;61.74</t>
  </si>
  <si>
    <t>-384.7;39.96</t>
  </si>
  <si>
    <t>-203.69995;-89.5</t>
  </si>
  <si>
    <t>SP_Canary_Mix_Flock_27000_0</t>
  </si>
  <si>
    <t>-346.99;-14.23</t>
  </si>
  <si>
    <t>-367.08;-41.09</t>
  </si>
  <si>
    <t>-290.1;-107.38</t>
  </si>
  <si>
    <t>SP_Canary_Random_Flock_0_23000</t>
  </si>
  <si>
    <t>-582.5;92.8</t>
  </si>
  <si>
    <t>-145.6;126.5</t>
  </si>
  <si>
    <t>-6.3;17.3</t>
  </si>
  <si>
    <t>-494.29;-156.3</t>
  </si>
  <si>
    <t>-414.7;7.3</t>
  </si>
  <si>
    <t>347.2;93</t>
  </si>
  <si>
    <t>-608.05;-70.61</t>
  </si>
  <si>
    <t>-387.40002;49.5</t>
  </si>
  <si>
    <t>-209.6;15.97</t>
  </si>
  <si>
    <t>-130.73;5.56</t>
  </si>
  <si>
    <t>-464;135.2</t>
  </si>
  <si>
    <t>-337.54;115.53</t>
  </si>
  <si>
    <t>-218.28;-133.07</t>
  </si>
  <si>
    <t>SP_Archer02_2600_0</t>
  </si>
  <si>
    <t>-74.3;4.5</t>
  </si>
  <si>
    <t>-257.84;119.04</t>
  </si>
  <si>
    <t>SP_Sheep_2800_0</t>
  </si>
  <si>
    <t>-267.2;-10.43</t>
  </si>
  <si>
    <t>SP_Ghost01_14000_0</t>
  </si>
  <si>
    <t>-474;-45.62</t>
  </si>
  <si>
    <t>-184.4;105</t>
  </si>
  <si>
    <t>-336.5;59.2</t>
  </si>
  <si>
    <t>-499.98;10.94</t>
  </si>
  <si>
    <t>-404.21;16.65</t>
  </si>
  <si>
    <t>-97.19;103.58</t>
  </si>
  <si>
    <t>-454.56003;40.7</t>
  </si>
  <si>
    <t>-38.71;136.68</t>
  </si>
  <si>
    <t>-96.25;-58.62</t>
  </si>
  <si>
    <t>-72.39996;-126.6</t>
  </si>
  <si>
    <t>-496;-195.5</t>
  </si>
  <si>
    <t>327.9;166.7</t>
  </si>
  <si>
    <t>-436.06;27.49</t>
  </si>
  <si>
    <t>-118.7;-9.800003</t>
  </si>
  <si>
    <t>-385.44998;61.87</t>
  </si>
  <si>
    <t>-321.51;62.14</t>
  </si>
  <si>
    <t>-321.46;-89.88</t>
  </si>
  <si>
    <t>67.2;188.72</t>
  </si>
  <si>
    <t>115;240.6</t>
  </si>
  <si>
    <t>11.81;81.64</t>
  </si>
  <si>
    <t>-385.4;168.4</t>
  </si>
  <si>
    <t>-352.23;-34.27</t>
  </si>
  <si>
    <t>-265.3;19.8</t>
  </si>
  <si>
    <t>-419.57;-10.12</t>
  </si>
  <si>
    <t>-301.23;9.68</t>
  </si>
  <si>
    <t>-549.57;-84.39</t>
  </si>
  <si>
    <t>-465.2;-64.04</t>
  </si>
  <si>
    <t>1.23;117.21</t>
  </si>
  <si>
    <t>-478.92;77.68</t>
  </si>
  <si>
    <t>SP_Canary03_Flock_0_15000</t>
  </si>
  <si>
    <t>-299.8;20.68</t>
  </si>
  <si>
    <t>SP_Ghost02_Static_2800_0</t>
  </si>
  <si>
    <t>-1.71;90.46</t>
  </si>
  <si>
    <t>129.4;159.4</t>
  </si>
  <si>
    <t>-366.73;-27.68</t>
  </si>
  <si>
    <t>260;248.98</t>
  </si>
  <si>
    <t>-298;30.3</t>
  </si>
  <si>
    <t>-210.41;51.99</t>
  </si>
  <si>
    <t>-176.68;29.76</t>
  </si>
  <si>
    <t>-209.6;19.9</t>
  </si>
  <si>
    <t>-69.3;159.4</t>
  </si>
  <si>
    <t>-121.96;-60</t>
  </si>
  <si>
    <t>-168.45001;-62.98</t>
  </si>
  <si>
    <t>-87.07001;84.99</t>
  </si>
  <si>
    <t>-295.4;-137.3</t>
  </si>
  <si>
    <t>-504.42;46.89</t>
  </si>
  <si>
    <t>-149.7;53.8</t>
  </si>
  <si>
    <t>SP_Canary_Random_Flock_0_15000</t>
  </si>
  <si>
    <t>-499.11;77.22</t>
  </si>
  <si>
    <t>SP_SpiderSmallTurret_6000_0</t>
  </si>
  <si>
    <t>-486.03;-66.17</t>
  </si>
  <si>
    <t>-391.48;8.9</t>
  </si>
  <si>
    <t>SP_EnemyTier2_9500_0</t>
  </si>
  <si>
    <t>-284.68;17.45</t>
  </si>
  <si>
    <t>-148.1;110.2</t>
  </si>
  <si>
    <t>-259.1;32.3</t>
  </si>
  <si>
    <t>143.08;135.6</t>
  </si>
  <si>
    <t>-211.04;122.96</t>
  </si>
  <si>
    <t>-166.63;36.91</t>
  </si>
  <si>
    <t>-242.6;118.3</t>
  </si>
  <si>
    <t>-248.31;29.32</t>
  </si>
  <si>
    <t>-536.5;111.79</t>
  </si>
  <si>
    <t>-532.34;128.43</t>
  </si>
  <si>
    <t>-1184;-127.6</t>
  </si>
  <si>
    <t>SP_witch_15000_0</t>
  </si>
  <si>
    <t>-295.1;49.4</t>
  </si>
  <si>
    <t>-401.44;-64.28</t>
  </si>
  <si>
    <t>-327.12;110.23</t>
  </si>
  <si>
    <t>-536.39;-10.07</t>
  </si>
  <si>
    <t>-502.37;26.51</t>
  </si>
  <si>
    <t>-369.24;52.51</t>
  </si>
  <si>
    <t>-417.06;62.05</t>
  </si>
  <si>
    <t>-296.23;116.27</t>
  </si>
  <si>
    <t>-50.4;61.8</t>
  </si>
  <si>
    <t>-501.63;95.9</t>
  </si>
  <si>
    <t>-33.965134;106.411285</t>
  </si>
  <si>
    <t>-390.37;-61.13</t>
  </si>
  <si>
    <t>-303.89;16.29</t>
  </si>
  <si>
    <t>-103.71997;-58.36</t>
  </si>
  <si>
    <t>-175.8;159.4</t>
  </si>
  <si>
    <t>-435.9;-56.32</t>
  </si>
  <si>
    <t>SP_MineBig_Static_45000_0</t>
  </si>
  <si>
    <t>-54.4;94.9</t>
  </si>
  <si>
    <t>-319.09998;47.53</t>
  </si>
  <si>
    <t>-275.9;37.6</t>
  </si>
  <si>
    <t>-489.73004;55.81</t>
  </si>
  <si>
    <t>-401.32;142.93</t>
  </si>
  <si>
    <t>-239.3;159</t>
  </si>
  <si>
    <t>-525.35;142.95</t>
  </si>
  <si>
    <t>-75;55.01</t>
  </si>
  <si>
    <t>-173.12;-102.52</t>
  </si>
  <si>
    <t>SP_Canary04_Flock_0_27000</t>
  </si>
  <si>
    <t>-283.80002;40.9</t>
  </si>
  <si>
    <t>-394.67;24.54</t>
  </si>
  <si>
    <t>-448.9;-218.5</t>
  </si>
  <si>
    <t>-276.89;-156.65</t>
  </si>
  <si>
    <t>-58.119995;100.76</t>
  </si>
  <si>
    <t>-447.7;36.4</t>
  </si>
  <si>
    <t>-553.58;-58.58</t>
  </si>
  <si>
    <t>-22.6;14.5</t>
  </si>
  <si>
    <t>-311.2;3</t>
  </si>
  <si>
    <t>-460.62;63.19</t>
  </si>
  <si>
    <t>-266.1;68.1</t>
  </si>
  <si>
    <t>SP_DrunkenMan_9000_0</t>
  </si>
  <si>
    <t>-302.61;43.5</t>
  </si>
  <si>
    <t>120.98999;163.72</t>
  </si>
  <si>
    <t>-403.65;-61.05</t>
  </si>
  <si>
    <t>-526.04;-84.51</t>
  </si>
  <si>
    <t>-531.9;51.25</t>
  </si>
  <si>
    <t>187.4;140.4</t>
  </si>
  <si>
    <t>-175.5;158.4</t>
  </si>
  <si>
    <t>-251.5;58.9</t>
  </si>
  <si>
    <t>-544.73;-59.6</t>
  </si>
  <si>
    <t>-648.94;-196.79</t>
  </si>
  <si>
    <t>-94.81995;-54.42</t>
  </si>
  <si>
    <t>-369.8;63</t>
  </si>
  <si>
    <t>-233.84;60.21</t>
  </si>
  <si>
    <t>-128.96;115.69</t>
  </si>
  <si>
    <t>-395.9;130.3</t>
  </si>
  <si>
    <t>-423.5;42.38</t>
  </si>
  <si>
    <t>-1166.4;-103.9</t>
  </si>
  <si>
    <t>-482.2;-193.3</t>
  </si>
  <si>
    <t>-22.89;110.42</t>
  </si>
  <si>
    <t>-429.52;-72.27</t>
  </si>
  <si>
    <t>-556.67;117.42</t>
  </si>
  <si>
    <t>-444.6;163.5</t>
  </si>
  <si>
    <t>SP_Canary_Mix_Flock_0_14000</t>
  </si>
  <si>
    <t>-363.83;-44.39</t>
  </si>
  <si>
    <t>-524;48.4</t>
  </si>
  <si>
    <t>-579.11;83.64</t>
  </si>
  <si>
    <t>-490.09;-7.2</t>
  </si>
  <si>
    <t>-135.08;-88.17</t>
  </si>
  <si>
    <t>-492.1;119.62</t>
  </si>
  <si>
    <t>-254.85;131.98</t>
  </si>
  <si>
    <t>-548.3;111.06</t>
  </si>
  <si>
    <t>362.37;220.55</t>
  </si>
  <si>
    <t>-345.37;-54.63</t>
  </si>
  <si>
    <t>-202.65;46.7</t>
  </si>
  <si>
    <t>55.2;204.7</t>
  </si>
  <si>
    <t>-388.58;105.86</t>
  </si>
  <si>
    <t>-392.02;-35.86</t>
  </si>
  <si>
    <t>330.30002;208.6</t>
  </si>
  <si>
    <t>-121.44;10.7</t>
  </si>
  <si>
    <t>-540.8;56.8</t>
  </si>
  <si>
    <t>-28.97;55.42</t>
  </si>
  <si>
    <t>-172.82;50.24</t>
  </si>
  <si>
    <t>SP_MineBig_Static_15000_0</t>
  </si>
  <si>
    <t>-254.1;74.7</t>
  </si>
  <si>
    <t>-459.61;-217.17</t>
  </si>
  <si>
    <t>SP_EnemyTier4_17000_0</t>
  </si>
  <si>
    <t>-253.79999;75.3</t>
  </si>
  <si>
    <t>-185.03;23.41</t>
  </si>
  <si>
    <t>-149.3;125.5</t>
  </si>
  <si>
    <t>-84.8;156</t>
  </si>
  <si>
    <t>-285.20004;200.8</t>
  </si>
  <si>
    <t>-480.92;78.25</t>
  </si>
  <si>
    <t>-160.02997;-33.93</t>
  </si>
  <si>
    <t>-515.8;-58.4</t>
  </si>
  <si>
    <t>-307.54;24.49</t>
  </si>
  <si>
    <t>-169.36;45.12</t>
  </si>
  <si>
    <t>-351.3;55.97</t>
  </si>
  <si>
    <t>-403.59;-163.37</t>
  </si>
  <si>
    <t>320.90002;188.8</t>
  </si>
  <si>
    <t>-1173.76;-109.12</t>
  </si>
  <si>
    <t>-525.59;-28</t>
  </si>
  <si>
    <t>-274.4;156</t>
  </si>
  <si>
    <t>-300.9;-154.07996</t>
  </si>
  <si>
    <t>-150;110.5</t>
  </si>
  <si>
    <t>SP_EnemyTier0_0_6900</t>
  </si>
  <si>
    <t>-19.589966;129.3</t>
  </si>
  <si>
    <t>-42.4;45.3</t>
  </si>
  <si>
    <t>-502.1;124</t>
  </si>
  <si>
    <t>-154.73999;-74.48</t>
  </si>
  <si>
    <t>-276.13;45.33</t>
  </si>
  <si>
    <t>SP_Sheep_0_25000</t>
  </si>
  <si>
    <t>-424.25;41.96</t>
  </si>
  <si>
    <t>-170.32;29.9</t>
  </si>
  <si>
    <t>-132.68;64.48</t>
  </si>
  <si>
    <t>SP_Crow_Flock_0_20000</t>
  </si>
  <si>
    <t>-288.7;81.5</t>
  </si>
  <si>
    <t>-475.94;107.2</t>
  </si>
  <si>
    <t>-365.52;34.32</t>
  </si>
  <si>
    <t>-361.6;132.77</t>
  </si>
  <si>
    <t>SP_SpiderSmallTurret_0_14000</t>
  </si>
  <si>
    <t>-527.25;-51.46</t>
  </si>
  <si>
    <t>SP_GoodJunkBottle_14000_0</t>
  </si>
  <si>
    <t>-503.9;-187.71</t>
  </si>
  <si>
    <t>384.7;91.6</t>
  </si>
  <si>
    <t>-331.20996;2.42</t>
  </si>
  <si>
    <t>-517.5;-153.31</t>
  </si>
  <si>
    <t>-264.61;39.09</t>
  </si>
  <si>
    <t>-385.85;137.13</t>
  </si>
  <si>
    <t>-178.89001;53.37</t>
  </si>
  <si>
    <t>-428.9713;-23.50378</t>
  </si>
  <si>
    <t>SP_Archer02_17000_0</t>
  </si>
  <si>
    <t>-293.25;25.6</t>
  </si>
  <si>
    <t>-155.18;37.17</t>
  </si>
  <si>
    <t>-162.39996;-97.01</t>
  </si>
  <si>
    <t>-470.7;162.1</t>
  </si>
  <si>
    <t>-1210.64;-121.55</t>
  </si>
  <si>
    <t>-185.3;111.7</t>
  </si>
  <si>
    <t>-447.48;-47.74</t>
  </si>
  <si>
    <t>-164.3;109.4</t>
  </si>
  <si>
    <t>-237.3;144</t>
  </si>
  <si>
    <t>-413.6;147</t>
  </si>
  <si>
    <t>505.31;87.71</t>
  </si>
  <si>
    <t>-315.4;144.6</t>
  </si>
  <si>
    <t>-437.48;-39.84</t>
  </si>
  <si>
    <t>-256.94;60.85</t>
  </si>
  <si>
    <t>-407.43;75.24</t>
  </si>
  <si>
    <t>SP_Canary_Mix_Flock_8000_0</t>
  </si>
  <si>
    <t>-459.01;103.91</t>
  </si>
  <si>
    <t>-629.8;-112.6</t>
  </si>
  <si>
    <t>-497;-7.93</t>
  </si>
  <si>
    <t>-211.16;17.64</t>
  </si>
  <si>
    <t>SP_GoodWitch_0_15000</t>
  </si>
  <si>
    <t>SP_Troll_22000_0</t>
  </si>
  <si>
    <t>-249.9;108.9</t>
  </si>
  <si>
    <t>SP_Archer01_15000_0</t>
  </si>
  <si>
    <t>-456.33;42.07</t>
  </si>
  <si>
    <t>-426.6;119.87</t>
  </si>
  <si>
    <t>-581.3;31.2</t>
  </si>
  <si>
    <t>-258.09;111.06</t>
  </si>
  <si>
    <t>-576.84;106.48</t>
  </si>
  <si>
    <t>-162.37;35.48</t>
  </si>
  <si>
    <t>-517.5;75.8</t>
  </si>
  <si>
    <t>-309.55;69.1</t>
  </si>
  <si>
    <t>-543.2;-165.3</t>
  </si>
  <si>
    <t>-361.89;73.61</t>
  </si>
  <si>
    <t>SP_SpiderGreenTurret_9500_0</t>
  </si>
  <si>
    <t>-520.71;-58.05</t>
  </si>
  <si>
    <t>325.08;188.7</t>
  </si>
  <si>
    <t>-452.71;56.54</t>
  </si>
  <si>
    <t>-611.13;-121.18</t>
  </si>
  <si>
    <t>-1220.26;-114.33</t>
  </si>
  <si>
    <t>SP_EnemyTier0_2900_0</t>
  </si>
  <si>
    <t>-257;24</t>
  </si>
  <si>
    <t>-10.73;95.48</t>
  </si>
  <si>
    <t>SP_SpiderSmall_0_23000</t>
  </si>
  <si>
    <t>-423.43;82.85</t>
  </si>
  <si>
    <t>-230.73999;-63.1</t>
  </si>
  <si>
    <t>-225.83;38.71</t>
  </si>
  <si>
    <t>-533.67;18.49</t>
  </si>
  <si>
    <t>-586.06;-111.9</t>
  </si>
  <si>
    <t>-260.2;95.4</t>
  </si>
  <si>
    <t>-183.70001;147.71</t>
  </si>
  <si>
    <t>-290.1;196.90001</t>
  </si>
  <si>
    <t>0.5;168.2</t>
  </si>
  <si>
    <t>-196.25995;-55.23</t>
  </si>
  <si>
    <t>-540.36;123.74</t>
  </si>
  <si>
    <t>180.9;205.1</t>
  </si>
  <si>
    <t>-389;117.9</t>
  </si>
  <si>
    <t>284.64;74.939995</t>
  </si>
  <si>
    <t>1.02;67.31</t>
  </si>
  <si>
    <t>-537.46;88.1</t>
  </si>
  <si>
    <t>-202.59998;57.7</t>
  </si>
  <si>
    <t>-204.1;69.2</t>
  </si>
  <si>
    <t>SP_Villager01_Static_0_4000</t>
  </si>
  <si>
    <t>-388.08;55.82</t>
  </si>
  <si>
    <t>SP_MineBig_26000_0</t>
  </si>
  <si>
    <t>-527.1;-2</t>
  </si>
  <si>
    <t>-495.5;80.8</t>
  </si>
  <si>
    <t>-67.02002;31.75</t>
  </si>
  <si>
    <t>-490.63;-228.45</t>
  </si>
  <si>
    <t>-247.03;52.63</t>
  </si>
  <si>
    <t>SP_Vulture_28000_0</t>
  </si>
  <si>
    <t>-337.56;-46.45</t>
  </si>
  <si>
    <t>-472.34;-268.88</t>
  </si>
  <si>
    <t>249.9;105.9</t>
  </si>
  <si>
    <t>208.9;146.7</t>
  </si>
  <si>
    <t>-388.17;103.01</t>
  </si>
  <si>
    <t>-238.5;9.11</t>
  </si>
  <si>
    <t>-509.26;-83.77</t>
  </si>
  <si>
    <t>SP_EnemyTier3_16250_0</t>
  </si>
  <si>
    <t>-261.2;80.9</t>
  </si>
  <si>
    <t>-258.7;133.4</t>
  </si>
  <si>
    <t>-505.8;-185.11</t>
  </si>
  <si>
    <t>-3.2999878;120.8</t>
  </si>
  <si>
    <t>59.9;141.9</t>
  </si>
  <si>
    <t>-195.78998;135.94</t>
  </si>
  <si>
    <t>-224.1;1.6</t>
  </si>
  <si>
    <t>SP_BatBig_Flock_6750_0</t>
  </si>
  <si>
    <t>-249.3;-66</t>
  </si>
  <si>
    <t>-447.77;55.57</t>
  </si>
  <si>
    <t>-7.54;45.19</t>
  </si>
  <si>
    <t>-116.04;-58.92</t>
  </si>
  <si>
    <t>-378.21;64.28</t>
  </si>
  <si>
    <t>-1.6;216.6</t>
  </si>
  <si>
    <t>-491.6;-33.34</t>
  </si>
  <si>
    <t>-296.7;85.7</t>
  </si>
  <si>
    <t>-297.61;24.92</t>
  </si>
  <si>
    <t>-636.94;-184.26</t>
  </si>
  <si>
    <t>-304.98;62.6</t>
  </si>
  <si>
    <t>-371.00006;40.1</t>
  </si>
  <si>
    <t>-176.25;20.65</t>
  </si>
  <si>
    <t>SP_Canary02_Flock_0_15000</t>
  </si>
  <si>
    <t>-90.900024;-46.46</t>
  </si>
  <si>
    <t>-607.9;-78.7</t>
  </si>
  <si>
    <t>SP_FairyBig_1200_0</t>
  </si>
  <si>
    <t>-154;116</t>
  </si>
  <si>
    <t>SP_Worker_Mix_6000_0</t>
  </si>
  <si>
    <t>-387.14;112.8</t>
  </si>
  <si>
    <t>132.2;113.3</t>
  </si>
  <si>
    <t>121.7;240.6</t>
  </si>
  <si>
    <t>SP_Ghost03_18000_0</t>
  </si>
  <si>
    <t>-98.1;75</t>
  </si>
  <si>
    <t>271.90002;228.5</t>
  </si>
  <si>
    <t>-487.5;149.3</t>
  </si>
  <si>
    <t>-538.5;-178.3</t>
  </si>
  <si>
    <t>SP_SpiderGreenTurret_7500_0</t>
  </si>
  <si>
    <t>-323.2;-42.18</t>
  </si>
  <si>
    <t>-477.63;78.61</t>
  </si>
  <si>
    <t>-229.8;111.3</t>
  </si>
  <si>
    <t>-506.5;167.9</t>
  </si>
  <si>
    <t>SP_Canary01_Flock_0_17000</t>
  </si>
  <si>
    <t>-454.85;0.53</t>
  </si>
  <si>
    <t>-620.2;-209.4</t>
  </si>
  <si>
    <t>-428.87;15.9</t>
  </si>
  <si>
    <t>-550.94;-84.3</t>
  </si>
  <si>
    <t>-217.18;-124.4</t>
  </si>
  <si>
    <t>SP_Sheep_0_20000</t>
  </si>
  <si>
    <t>-185.41;-14</t>
  </si>
  <si>
    <t>-275.38;58.12</t>
  </si>
  <si>
    <t>-1186.3;-90.1</t>
  </si>
  <si>
    <t>-511.1;68.7</t>
  </si>
  <si>
    <t>SP_MineMedium_Static_8100_0</t>
  </si>
  <si>
    <t>-82.67;52.73</t>
  </si>
  <si>
    <t>-501.90002;62.2</t>
  </si>
  <si>
    <t>-514.37;56.84</t>
  </si>
  <si>
    <t>-296.48;33.09</t>
  </si>
  <si>
    <t>212.20001;225.7</t>
  </si>
  <si>
    <t>137.4;111.9</t>
  </si>
  <si>
    <t>-206.24;72.09</t>
  </si>
  <si>
    <t>331.2;188.3</t>
  </si>
  <si>
    <t>-462.81;95.6</t>
  </si>
  <si>
    <t>-492.8;128.8</t>
  </si>
  <si>
    <t>-425.8;165.5</t>
  </si>
  <si>
    <t>-624.2;-209.4</t>
  </si>
  <si>
    <t>-308.46;92.4</t>
  </si>
  <si>
    <t>SP_Canary01_Flock_4000_0</t>
  </si>
  <si>
    <t>-30.140015;120.4</t>
  </si>
  <si>
    <t>-532.81;-63.61</t>
  </si>
  <si>
    <t>-11.7;201.80002</t>
  </si>
  <si>
    <t>-152.2;100.5</t>
  </si>
  <si>
    <t>-547.9;80.2</t>
  </si>
  <si>
    <t>-4.85;86.63</t>
  </si>
  <si>
    <t>-79.18;38.02</t>
  </si>
  <si>
    <t>SP_SeatVillager_2000_0</t>
  </si>
  <si>
    <t>-135.19;-83.9</t>
  </si>
  <si>
    <t>-107.2;81.3</t>
  </si>
  <si>
    <t>-409.7;1.5</t>
  </si>
  <si>
    <t>-86.99;35.32</t>
  </si>
  <si>
    <t>-312.87;97.89</t>
  </si>
  <si>
    <t>-497.34;55.7</t>
  </si>
  <si>
    <t>-315.3;97.01</t>
  </si>
  <si>
    <t>SP_Canary_Mix_Flock_0_16000</t>
  </si>
  <si>
    <t>-434.44;-47.7</t>
  </si>
  <si>
    <t>-269;78.4</t>
  </si>
  <si>
    <t>-426.2;197.6</t>
  </si>
  <si>
    <t>-285.59998;85.7</t>
  </si>
  <si>
    <t>-108.38;59.1</t>
  </si>
  <si>
    <t>28.2;184</t>
  </si>
  <si>
    <t>-245.5;112.8</t>
  </si>
  <si>
    <t>-311.07;-2.2</t>
  </si>
  <si>
    <t>-318.43;-30.59</t>
  </si>
  <si>
    <t>-662.15;-185</t>
  </si>
  <si>
    <t>-36.9;4.07</t>
  </si>
  <si>
    <t>236.15;211.3</t>
  </si>
  <si>
    <t>-489.5;-85</t>
  </si>
  <si>
    <t>-25.85;146.51</t>
  </si>
  <si>
    <t>324.6;188.3</t>
  </si>
  <si>
    <t>-396;105.3</t>
  </si>
  <si>
    <t>-343.84;-38.3</t>
  </si>
  <si>
    <t>-558.48;101.89</t>
  </si>
  <si>
    <t>-510.25635;-144.90561</t>
  </si>
  <si>
    <t>SP_SpiderSmall_3100_0</t>
  </si>
  <si>
    <t>-2.78;30.34</t>
  </si>
  <si>
    <t>-403.67;106.21</t>
  </si>
  <si>
    <t>-244.6;60.9</t>
  </si>
  <si>
    <t>-268.53;98.87</t>
  </si>
  <si>
    <t>-1195.79;-98.2</t>
  </si>
  <si>
    <t>-78.31;2.63</t>
  </si>
  <si>
    <t>SP_Worker_Mix_5000_0</t>
  </si>
  <si>
    <t>-402.72;103.63</t>
  </si>
  <si>
    <t>189;213.5</t>
  </si>
  <si>
    <t>-200.56;104.88</t>
  </si>
  <si>
    <t>SP_EnemyTier2_0_16000</t>
  </si>
  <si>
    <t>-266.08;79.3</t>
  </si>
  <si>
    <t>-310.3;216.6</t>
  </si>
  <si>
    <t>-484.4281;-145.48059</t>
  </si>
  <si>
    <t>-398.7;108.2</t>
  </si>
  <si>
    <t>-118.869995;71.56</t>
  </si>
  <si>
    <t>-231.95;29.72</t>
  </si>
  <si>
    <t>-293.85;-122.8</t>
  </si>
  <si>
    <t>-357.71;-22.38</t>
  </si>
  <si>
    <t>261.3;170.7</t>
  </si>
  <si>
    <t>-490.6;-154.4</t>
  </si>
  <si>
    <t>-468.7;112.7</t>
  </si>
  <si>
    <t>-145.4;128.4</t>
  </si>
  <si>
    <t>SP_Canary_Random_Flock_1100_0</t>
  </si>
  <si>
    <t>-651.92;-161.97</t>
  </si>
  <si>
    <t>-468;-4.55</t>
  </si>
  <si>
    <t>-516.74;-65.17</t>
  </si>
  <si>
    <t>-553.9;-84.39</t>
  </si>
  <si>
    <t>-421;15.5</t>
  </si>
  <si>
    <t>-403.2;-133.3</t>
  </si>
  <si>
    <t>-368.1;48.5</t>
  </si>
  <si>
    <t>-382.8;143.73</t>
  </si>
  <si>
    <t>-377.7;143.45</t>
  </si>
  <si>
    <t>-577.57;64.64</t>
  </si>
  <si>
    <t>-326.5;204.5</t>
  </si>
  <si>
    <t>-178.12;37.58</t>
  </si>
  <si>
    <t>-364.29;-134.26</t>
  </si>
  <si>
    <t>SP_EnemyTier2_10000_0</t>
  </si>
  <si>
    <t>-55.2;17.45</t>
  </si>
  <si>
    <t>SP_BatBig_Flock_4000_0</t>
  </si>
  <si>
    <t>-221;-104</t>
  </si>
  <si>
    <t>-387.1;-69.33</t>
  </si>
  <si>
    <t>-403.1;33.8</t>
  </si>
  <si>
    <t>-493.5;-49.5</t>
  </si>
  <si>
    <t>-264.87;-34.8</t>
  </si>
  <si>
    <t>SP_Archer02_2500_0</t>
  </si>
  <si>
    <t>-530.69;-84.3</t>
  </si>
  <si>
    <t>-539.11;98.05</t>
  </si>
  <si>
    <t>-326.9;133.96</t>
  </si>
  <si>
    <t>238.5;199</t>
  </si>
  <si>
    <t>-348.8;59.83</t>
  </si>
  <si>
    <t>-204.1;74.1</t>
  </si>
  <si>
    <t>-42.7;159</t>
  </si>
  <si>
    <t>-301.53;87.81</t>
  </si>
  <si>
    <t>-258.34;120.37</t>
  </si>
  <si>
    <t>-425.6;64.2</t>
  </si>
  <si>
    <t>343.1;188.3</t>
  </si>
  <si>
    <t>-12.76;102.51</t>
  </si>
  <si>
    <t>SP_BadWitch_10000_0</t>
  </si>
  <si>
    <t>-472.46;-83.8</t>
  </si>
  <si>
    <t>SP_Villager02_16000_0</t>
  </si>
  <si>
    <t>-102.1;156</t>
  </si>
  <si>
    <t>-502;162.7</t>
  </si>
  <si>
    <t>-457.3;12.69</t>
  </si>
  <si>
    <t>-241;75.8</t>
  </si>
  <si>
    <t>-310.86;69.3</t>
  </si>
  <si>
    <t>-348.42;125.14</t>
  </si>
  <si>
    <t>-483.63;62.41</t>
  </si>
  <si>
    <t>-399.8;4.3</t>
  </si>
  <si>
    <t>-416.16;14.08</t>
  </si>
  <si>
    <t>-636.94;-158.71</t>
  </si>
  <si>
    <t>-313.86;72.11</t>
  </si>
  <si>
    <t>-179.40002;48.57</t>
  </si>
  <si>
    <t>SP_Cow_2800_0</t>
  </si>
  <si>
    <t>-213.46;-13.59</t>
  </si>
  <si>
    <t>-187.1;172.7</t>
  </si>
  <si>
    <t>-419.7;-32.8</t>
  </si>
  <si>
    <t>-103.35;94.14</t>
  </si>
  <si>
    <t>-237.4;88.7</t>
  </si>
  <si>
    <t>SP_Canary01_Flock_0_21000</t>
  </si>
  <si>
    <t>-482.5;43.8</t>
  </si>
  <si>
    <t>-319;145.6</t>
  </si>
  <si>
    <t>-336.27;24.49</t>
  </si>
  <si>
    <t>-572.5;-176.67</t>
  </si>
  <si>
    <t>-110.77;103.96</t>
  </si>
  <si>
    <t>-247.8;42.3</t>
  </si>
  <si>
    <t>269.90002;228.5</t>
  </si>
  <si>
    <t>-352;78.93</t>
  </si>
  <si>
    <t>-138.60999;71.97</t>
  </si>
  <si>
    <t>255.1;258.38</t>
  </si>
  <si>
    <t>-293.46;55.68</t>
  </si>
  <si>
    <t>-120;111.49</t>
  </si>
  <si>
    <t>-176.77;188.59</t>
  </si>
  <si>
    <t>-248.82;83.14</t>
  </si>
  <si>
    <t>-558.31;47.3</t>
  </si>
  <si>
    <t>346.40002;188.8</t>
  </si>
  <si>
    <t>-414.58;-13.5</t>
  </si>
  <si>
    <t>-453.1;69.96</t>
  </si>
  <si>
    <t>-158.4;51.1</t>
  </si>
  <si>
    <t>SP_MineMedium_Static_16100_0</t>
  </si>
  <si>
    <t>-107.5;-62.9</t>
  </si>
  <si>
    <t>253.2;102.9</t>
  </si>
  <si>
    <t>-233.79999;-48.6</t>
  </si>
  <si>
    <t>-407.97;-64.2</t>
  </si>
  <si>
    <t>-373.55;81.72</t>
  </si>
  <si>
    <t>-565.2;-171.4</t>
  </si>
  <si>
    <t>-440;78.39</t>
  </si>
  <si>
    <t>-166.4;195.9</t>
  </si>
  <si>
    <t>-116.19;75.12</t>
  </si>
  <si>
    <t>-196.71;70.13</t>
  </si>
  <si>
    <t>111.9;240.6</t>
  </si>
  <si>
    <t>-237.26;89.17</t>
  </si>
  <si>
    <t>-125.7;72.2</t>
  </si>
  <si>
    <t>-298.79;59.81</t>
  </si>
  <si>
    <t>SP_MineBig_Static_18000_0</t>
  </si>
  <si>
    <t>-98.49;50.05</t>
  </si>
  <si>
    <t>SP_Troll_9500_0</t>
  </si>
  <si>
    <t>-583.61;-111.28</t>
  </si>
  <si>
    <t>-492.35;-54.79</t>
  </si>
  <si>
    <t>SP_Sheep_0_17000</t>
  </si>
  <si>
    <t>-346.14;24.49</t>
  </si>
  <si>
    <t>-214.40997;-81.48</t>
  </si>
  <si>
    <t>-371.31;131.34</t>
  </si>
  <si>
    <t>349.8;197.4</t>
  </si>
  <si>
    <t>SP_Piranha_4000_0</t>
  </si>
  <si>
    <t>-33.76;4.5</t>
  </si>
  <si>
    <t>-438.9;-164.7</t>
  </si>
  <si>
    <t>335.5;222.1</t>
  </si>
  <si>
    <t>-370.87;66.48</t>
  </si>
  <si>
    <t>-186.09998;-92.1</t>
  </si>
  <si>
    <t>-217.64;76.98</t>
  </si>
  <si>
    <t>-109.76;-0.36</t>
  </si>
  <si>
    <t>-184.86;55.18</t>
  </si>
  <si>
    <t>-343;79.81</t>
  </si>
  <si>
    <t>-486.4;-62.5</t>
  </si>
  <si>
    <t>-588.43;-202</t>
  </si>
  <si>
    <t>-534.55;-24.76</t>
  </si>
  <si>
    <t>-462.46;-9.91</t>
  </si>
  <si>
    <t>-353.3;-44.56</t>
  </si>
  <si>
    <t>-1185.06;-119.69</t>
  </si>
  <si>
    <t>-375.61;160.5</t>
  </si>
  <si>
    <t>SP_witch_28000_0</t>
  </si>
  <si>
    <t>-453.76;-56.03</t>
  </si>
  <si>
    <t>SP_Villager02_Static_0_8000</t>
  </si>
  <si>
    <t>-389.52;9.12</t>
  </si>
  <si>
    <t>-212.85;32.33</t>
  </si>
  <si>
    <t>189.1;200.8</t>
  </si>
  <si>
    <t>-508.16;76.84</t>
  </si>
  <si>
    <t>-503.41;-84.11</t>
  </si>
  <si>
    <t>-215.19;-141.76</t>
  </si>
  <si>
    <t>SP_Archer01_Static_5000_0</t>
  </si>
  <si>
    <t>-321;101.92</t>
  </si>
  <si>
    <t>-427.61;98.3</t>
  </si>
  <si>
    <t>-335.15;-99.64</t>
  </si>
  <si>
    <t>-441.09;-177.19</t>
  </si>
  <si>
    <t>-535.3;26.77</t>
  </si>
  <si>
    <t>-473.08;-183.65</t>
  </si>
  <si>
    <t>-374.78;80.09</t>
  </si>
  <si>
    <t>103.1;220.4</t>
  </si>
  <si>
    <t>-150.81995;-82.36</t>
  </si>
  <si>
    <t>-370.84;112.17</t>
  </si>
  <si>
    <t>SP_Villager01_2100_0</t>
  </si>
  <si>
    <t>-51.02;4.3</t>
  </si>
  <si>
    <t>-305.62;65.18</t>
  </si>
  <si>
    <t>-378.61;42.38</t>
  </si>
  <si>
    <t>-513;-188.01</t>
  </si>
  <si>
    <t>-227.61;35.93</t>
  </si>
  <si>
    <t>-432.99;42.77</t>
  </si>
  <si>
    <t>-105.94;60.54</t>
  </si>
  <si>
    <t>-455.17;39.8</t>
  </si>
  <si>
    <t>-624.9;-198.4</t>
  </si>
  <si>
    <t>-530.05646;-153.47684</t>
  </si>
  <si>
    <t>-328.73932;-68.4974</t>
  </si>
  <si>
    <t>-197.01996;-50.66</t>
  </si>
  <si>
    <t>-613.4;-163.6</t>
  </si>
  <si>
    <t>SP_Canary01_Flock_0_14000</t>
  </si>
  <si>
    <t>-484.79993;15.9</t>
  </si>
  <si>
    <t>-410.72;28.94</t>
  </si>
  <si>
    <t>-423.3;-64.9</t>
  </si>
  <si>
    <t>-515.31;106.67</t>
  </si>
  <si>
    <t>-313.89;-56.77</t>
  </si>
  <si>
    <t>-325.6;8.5</t>
  </si>
  <si>
    <t>SP_EnemyTier0_5000_0</t>
  </si>
  <si>
    <t>-173.53003;-46.67</t>
  </si>
  <si>
    <t>-289.6;54.1</t>
  </si>
  <si>
    <t>-101.97;80.92</t>
  </si>
  <si>
    <t>-138.5;163.72</t>
  </si>
  <si>
    <t>270.5;253.7</t>
  </si>
  <si>
    <t>-495.7;-31.67</t>
  </si>
  <si>
    <t>-248.85;115</t>
  </si>
  <si>
    <t>-317.74;87.42</t>
  </si>
  <si>
    <t>SP_Ghost01_8250_0</t>
  </si>
  <si>
    <t>-78.24;28.18</t>
  </si>
  <si>
    <t>SP_Canary_Random_Flock_0_25000</t>
  </si>
  <si>
    <t>-335.7;102.5</t>
  </si>
  <si>
    <t>SP_EnemyTier3_20000_0</t>
  </si>
  <si>
    <t>-434.18;-153.26</t>
  </si>
  <si>
    <t>125.7;227.5</t>
  </si>
  <si>
    <t>SP_Archer02_Static_16000_0</t>
  </si>
  <si>
    <t>-401.9;-41.09</t>
  </si>
  <si>
    <t>-533;61.5</t>
  </si>
  <si>
    <t>SP_Canary01_Flock_0_23000</t>
  </si>
  <si>
    <t>-487.5;110.3</t>
  </si>
  <si>
    <t>SP_Sheep_1400_0</t>
  </si>
  <si>
    <t>-305.07;-10.55</t>
  </si>
  <si>
    <t>-626.6;-185.2</t>
  </si>
  <si>
    <t>-600.91;-122.59</t>
  </si>
  <si>
    <t>-354.6;47.3</t>
  </si>
  <si>
    <t>-325.3;82.9</t>
  </si>
  <si>
    <t>16.11;72.95</t>
  </si>
  <si>
    <t>SP_Kamikaze_6000_0</t>
  </si>
  <si>
    <t>-413.96;110.85</t>
  </si>
  <si>
    <t>-35.9;40.84</t>
  </si>
  <si>
    <t>SP_Archer02_18000_0</t>
  </si>
  <si>
    <t>-25.88;41.12</t>
  </si>
  <si>
    <t>CASTLE</t>
  </si>
  <si>
    <t>SP_Archer02_Static_30000_0</t>
  </si>
  <si>
    <t>499.80002;-9.73</t>
  </si>
  <si>
    <t>424.7;-207.5</t>
  </si>
  <si>
    <t>401.17;-151.14</t>
  </si>
  <si>
    <t>SP_Canary_Random_Flock_0_14000</t>
  </si>
  <si>
    <t>585.08;8.36</t>
  </si>
  <si>
    <t>607.43005;72.03</t>
  </si>
  <si>
    <t>492.01;-306.14</t>
  </si>
  <si>
    <t>686.93;-230.52</t>
  </si>
  <si>
    <t>586.13;101.12</t>
  </si>
  <si>
    <t>164.8;-198</t>
  </si>
  <si>
    <t>3.32;92.87</t>
  </si>
  <si>
    <t>29.11;-147.96</t>
  </si>
  <si>
    <t>527.99005;-63.7</t>
  </si>
  <si>
    <t>412.84;-242.8</t>
  </si>
  <si>
    <t>SP_SpiderSmallTurret_0_37000</t>
  </si>
  <si>
    <t>242.74;-348.65002</t>
  </si>
  <si>
    <t>SP_SpiderGreenTurret_29000_0</t>
  </si>
  <si>
    <t>254.06;-345.96</t>
  </si>
  <si>
    <t>SP_BadJunk_38000_0</t>
  </si>
  <si>
    <t>598.74005;11.97</t>
  </si>
  <si>
    <t>561.29;109.72</t>
  </si>
  <si>
    <t>594.16003;75.98</t>
  </si>
  <si>
    <t>SP_Canary_Mix_Flock_21000_0</t>
  </si>
  <si>
    <t>528.9;53.47</t>
  </si>
  <si>
    <t>SP_BadJunk_10000_0</t>
  </si>
  <si>
    <t>516.64;44.65</t>
  </si>
  <si>
    <t>433.41;-204.90999</t>
  </si>
  <si>
    <t>676.84;-287.63</t>
  </si>
  <si>
    <t>135.08002;-14.18</t>
  </si>
  <si>
    <t>592.82;-72.89</t>
  </si>
  <si>
    <t>SP_Worker_Mix_0_46000</t>
  </si>
  <si>
    <t>68.380005;-36.15</t>
  </si>
  <si>
    <t>574.80005;0.36</t>
  </si>
  <si>
    <t>281.59;-296.59998</t>
  </si>
  <si>
    <t>SP_Miner01_Mix_0_28000</t>
  </si>
  <si>
    <t>443.34;-188.59</t>
  </si>
  <si>
    <t>581.10004;67.6</t>
  </si>
  <si>
    <t>249.27002;-51.79</t>
  </si>
  <si>
    <t>41.44;-94.27</t>
  </si>
  <si>
    <t>178.10004;-67.7</t>
  </si>
  <si>
    <t>576.59;-240.53</t>
  </si>
  <si>
    <t>SP_Ghost01_0_27000</t>
  </si>
  <si>
    <t>171.2;-47.71</t>
  </si>
  <si>
    <t>SP_BatSmall01_Flock_14000_0</t>
  </si>
  <si>
    <t>601.09;-29.61</t>
  </si>
  <si>
    <t>-497.4;-339.52</t>
  </si>
  <si>
    <t>117.73;-182.22</t>
  </si>
  <si>
    <t>443.96002;-51.36</t>
  </si>
  <si>
    <t>SP_MineSmall_Static_0_25000</t>
  </si>
  <si>
    <t>578.30005;63.6</t>
  </si>
  <si>
    <t>680.64;-229.12</t>
  </si>
  <si>
    <t>525.2;-49.38</t>
  </si>
  <si>
    <t>745.89;-263.41</t>
  </si>
  <si>
    <t>225.69;-189.2</t>
  </si>
  <si>
    <t>SP_Miner01_Mix_0_35000</t>
  </si>
  <si>
    <t>579.4;-275.7</t>
  </si>
  <si>
    <t>573.4;97</t>
  </si>
  <si>
    <t>SP_BadJunk_13000_0</t>
  </si>
  <si>
    <t>543.85004;43.4</t>
  </si>
  <si>
    <t>444.4;41.29</t>
  </si>
  <si>
    <t>416.28;-327.95</t>
  </si>
  <si>
    <t>33.42;-163.4</t>
  </si>
  <si>
    <t>702.4;165.6</t>
  </si>
  <si>
    <t>SP_SpiderRed_19000_0</t>
  </si>
  <si>
    <t>499.40002;-53.12</t>
  </si>
  <si>
    <t>SP_Bomber_0_46000</t>
  </si>
  <si>
    <t>43.640015;-43.09</t>
  </si>
  <si>
    <t>112.2;-298.8</t>
  </si>
  <si>
    <t>154.57004;-46.3</t>
  </si>
  <si>
    <t>607.04;-231.73</t>
  </si>
  <si>
    <t>-69.43;-279.32</t>
  </si>
  <si>
    <t>267.40002;-71.7</t>
  </si>
  <si>
    <t>289.43;-357.04</t>
  </si>
  <si>
    <t>534.31;72.61</t>
  </si>
  <si>
    <t>SP_Piranha_46000_0</t>
  </si>
  <si>
    <t>426.6;-282.6</t>
  </si>
  <si>
    <t>620.9;188.8</t>
  </si>
  <si>
    <t>303.74002;-39.31</t>
  </si>
  <si>
    <t>546.2;-153.5</t>
  </si>
  <si>
    <t>627.9;199.2</t>
  </si>
  <si>
    <t>38.76;-119.33</t>
  </si>
  <si>
    <t>-28.93;-300.34</t>
  </si>
  <si>
    <t>495.51;45.69</t>
  </si>
  <si>
    <t>485.32;127.9</t>
  </si>
  <si>
    <t>472.71002;-69.12</t>
  </si>
  <si>
    <t>5.47;84.41</t>
  </si>
  <si>
    <t>442.87;-168.14</t>
  </si>
  <si>
    <t>545.8;186.4</t>
  </si>
  <si>
    <t>581.10004;52.6</t>
  </si>
  <si>
    <t>235.76001;-31.46</t>
  </si>
  <si>
    <t>SP_GoodJunkBottle_34000_0</t>
  </si>
  <si>
    <t>736.67;-335.75</t>
  </si>
  <si>
    <t>SP_Miner01_Mix_0_33000</t>
  </si>
  <si>
    <t>441.06;-329.84</t>
  </si>
  <si>
    <t>628.82;-141.91</t>
  </si>
  <si>
    <t>689.7;-257.7</t>
  </si>
  <si>
    <t>339.37003;-48.29</t>
  </si>
  <si>
    <t>368.18002;-77.41</t>
  </si>
  <si>
    <t>189.98001;-29.22</t>
  </si>
  <si>
    <t>514.2;-10.71</t>
  </si>
  <si>
    <t>SP_StingrayLarge_28000_0</t>
  </si>
  <si>
    <t>486.10004;177.8</t>
  </si>
  <si>
    <t>604.08;-191.39</t>
  </si>
  <si>
    <t>614;45.2</t>
  </si>
  <si>
    <t>746;-246.64</t>
  </si>
  <si>
    <t>745.38745;-346.65643</t>
  </si>
  <si>
    <t>116.6;-348.2</t>
  </si>
  <si>
    <t>517.5;127.4</t>
  </si>
  <si>
    <t>SP_MineSmall_Static_22000_0</t>
  </si>
  <si>
    <t>181.2;-79.7</t>
  </si>
  <si>
    <t>SP_DrunkenMan_0_25000</t>
  </si>
  <si>
    <t>205.38;-206.49</t>
  </si>
  <si>
    <t>-48.6;-239</t>
  </si>
  <si>
    <t>SP_Fish_Random_Generic_24000_0</t>
  </si>
  <si>
    <t>610.6;176.9</t>
  </si>
  <si>
    <t>SP_BadJunk_20000_0</t>
  </si>
  <si>
    <t>439.63;117.46</t>
  </si>
  <si>
    <t>SP_EnemyTier2_35000_0</t>
  </si>
  <si>
    <t>638.95;20.08</t>
  </si>
  <si>
    <t>SP_StingrayLarge_30000_0</t>
  </si>
  <si>
    <t>487.42;-311.74</t>
  </si>
  <si>
    <t>723.05;-311.51</t>
  </si>
  <si>
    <t>587.4;-219.5</t>
  </si>
  <si>
    <t>674;103.1</t>
  </si>
  <si>
    <t>SP_FairySmall_14000_0</t>
  </si>
  <si>
    <t>558.62;54.49</t>
  </si>
  <si>
    <t>511.30005;207.3</t>
  </si>
  <si>
    <t>SP_Crocodile_20000_0</t>
  </si>
  <si>
    <t>556.67004;-76.24</t>
  </si>
  <si>
    <t>342.75003;-18.06</t>
  </si>
  <si>
    <t>599.95;144.86</t>
  </si>
  <si>
    <t>539.30005;82.2</t>
  </si>
  <si>
    <t>SP_BadJunk_16000_0</t>
  </si>
  <si>
    <t>567.9;67.6</t>
  </si>
  <si>
    <t>SP_LionBird_0_40000</t>
  </si>
  <si>
    <t>117.350006;-215.31</t>
  </si>
  <si>
    <t>429.50003;109.1</t>
  </si>
  <si>
    <t>720.69995;195.8</t>
  </si>
  <si>
    <t>610.1;-283.8</t>
  </si>
  <si>
    <t>594.32;12.34</t>
  </si>
  <si>
    <t>738.49994;186.8</t>
  </si>
  <si>
    <t>617.4;194</t>
  </si>
  <si>
    <t>635.2;10</t>
  </si>
  <si>
    <t>571.46;-249.38</t>
  </si>
  <si>
    <t>SP_BatBig_Flock_42000_0</t>
  </si>
  <si>
    <t>226.3;-335.8</t>
  </si>
  <si>
    <t>455.48;49.8</t>
  </si>
  <si>
    <t>571.1;-302.03</t>
  </si>
  <si>
    <t>565.9;-329.4</t>
  </si>
  <si>
    <t>507.68;-156.78</t>
  </si>
  <si>
    <t>177.71;-172.92</t>
  </si>
  <si>
    <t>SP_Miner01_Mix_0_24000</t>
  </si>
  <si>
    <t>97.96;-186.77</t>
  </si>
  <si>
    <t>242.57999;-320.85</t>
  </si>
  <si>
    <t>415.1;-96.4</t>
  </si>
  <si>
    <t>223.40002;-74.3</t>
  </si>
  <si>
    <t>174.53003;-173.70001</t>
  </si>
  <si>
    <t>SP_Fish_Random_Generic_26000_0</t>
  </si>
  <si>
    <t>548.1;207</t>
  </si>
  <si>
    <t>245.02002;-33.31</t>
  </si>
  <si>
    <t>301.60004;-50</t>
  </si>
  <si>
    <t>266.7;-316.29</t>
  </si>
  <si>
    <t>SP_Soldier01_Static_30000_0</t>
  </si>
  <si>
    <t>617.06;-10.7</t>
  </si>
  <si>
    <t>524.48004;40.58</t>
  </si>
  <si>
    <t>446.1;193.8</t>
  </si>
  <si>
    <t>714.89;-307.94</t>
  </si>
  <si>
    <t>583.48;-159.64</t>
  </si>
  <si>
    <t>606.2;93.5</t>
  </si>
  <si>
    <t>696.3;195.7</t>
  </si>
  <si>
    <t>83.05;-351.45</t>
  </si>
  <si>
    <t>269.1;-179.54</t>
  </si>
  <si>
    <t>691.30005;161.5</t>
  </si>
  <si>
    <t>SP_SpiderSmallTurret_43000_0</t>
  </si>
  <si>
    <t>126.17001;-31.34</t>
  </si>
  <si>
    <t>423.4;-204.92</t>
  </si>
  <si>
    <t>SP_MineSmall_Static_0_45000</t>
  </si>
  <si>
    <t>656.5;63</t>
  </si>
  <si>
    <t>SP_SpiderSmall_17000_0</t>
  </si>
  <si>
    <t>529.79004;-50.49</t>
  </si>
  <si>
    <t>237.58;-143.24</t>
  </si>
  <si>
    <t>571.10004;146.34</t>
  </si>
  <si>
    <t>589.1;192.9</t>
  </si>
  <si>
    <t>SP_EnemyTier1_0_14000</t>
  </si>
  <si>
    <t>419.50003;-35.54</t>
  </si>
  <si>
    <t>SP_SpiderRed_22000_0</t>
  </si>
  <si>
    <t>410.17004;25.87</t>
  </si>
  <si>
    <t>329.78;-191.11998</t>
  </si>
  <si>
    <t>480.69003;-75.55</t>
  </si>
  <si>
    <t>497.90002;36.2</t>
  </si>
  <si>
    <t>316.1;-159.2</t>
  </si>
  <si>
    <t>395.9;-177</t>
  </si>
  <si>
    <t>728.53;-262.1</t>
  </si>
  <si>
    <t>291.7;-217</t>
  </si>
  <si>
    <t>SP_Rat_14000_0</t>
  </si>
  <si>
    <t>585.83;-58.53</t>
  </si>
  <si>
    <t>705.33997;-214.54001</t>
  </si>
  <si>
    <t>502.91;-269.54</t>
  </si>
  <si>
    <t>502.30002;46.4</t>
  </si>
  <si>
    <t>288.5;-219.2</t>
  </si>
  <si>
    <t>595.39;123.33</t>
  </si>
  <si>
    <t>552.96;-255.78998</t>
  </si>
  <si>
    <t>-5.95;-312.84</t>
  </si>
  <si>
    <t>SP_EnemyTier4_42000_0</t>
  </si>
  <si>
    <t>555.2;-314.43</t>
  </si>
  <si>
    <t>474;160.9</t>
  </si>
  <si>
    <t>324.3;-193.1</t>
  </si>
  <si>
    <t>227.76;-189.2</t>
  </si>
  <si>
    <t>403.29;-213.9</t>
  </si>
  <si>
    <t>285.09998;-298.82996</t>
  </si>
  <si>
    <t>518.26;-7.14</t>
  </si>
  <si>
    <t>588.8;67.9</t>
  </si>
  <si>
    <t>119.23001;-30.46</t>
  </si>
  <si>
    <t>593.2;-310</t>
  </si>
  <si>
    <t>640.85;81.32</t>
  </si>
  <si>
    <t>SP_SpiderSmall_33000_0</t>
  </si>
  <si>
    <t>335.56003;-47.72</t>
  </si>
  <si>
    <t>SP_BatSmall01_Flock_12000_0</t>
  </si>
  <si>
    <t>425.03003;-20.89</t>
  </si>
  <si>
    <t>486.79004;-59.02</t>
  </si>
  <si>
    <t>SP_SpiderSmall_36000_0</t>
  </si>
  <si>
    <t>367.15002;-49.23</t>
  </si>
  <si>
    <t>393.88;-47.55</t>
  </si>
  <si>
    <t>732.18;-331.08</t>
  </si>
  <si>
    <t>SP_SpiderSmall_31000_0</t>
  </si>
  <si>
    <t>327.60004;-49.63</t>
  </si>
  <si>
    <t>-3.4;-292.4</t>
  </si>
  <si>
    <t>SP_Worker_Mix_0_45000</t>
  </si>
  <si>
    <t>106.20001;-32.07</t>
  </si>
  <si>
    <t>51.899994;-287.9</t>
  </si>
  <si>
    <t>488.07;121.63</t>
  </si>
  <si>
    <t>497.16;103.7</t>
  </si>
  <si>
    <t>271.53003;-51.55</t>
  </si>
  <si>
    <t>739.7;-276.09387</t>
  </si>
  <si>
    <t>407.29004;-25.67</t>
  </si>
  <si>
    <t>SP_BadJunk_19000_0</t>
  </si>
  <si>
    <t>552.7;61.7</t>
  </si>
  <si>
    <t>632.67;94.78</t>
  </si>
  <si>
    <t>131.19;-220.7</t>
  </si>
  <si>
    <t>183.2;-282.83</t>
  </si>
  <si>
    <t>180.29999;-319.01</t>
  </si>
  <si>
    <t>643.05;-287.63</t>
  </si>
  <si>
    <t>-53.73;-292.35</t>
  </si>
  <si>
    <t>418.63;-241.8</t>
  </si>
  <si>
    <t>607.8;191.3</t>
  </si>
  <si>
    <t>117.26001;-193.72998</t>
  </si>
  <si>
    <t>490.10004;-10.7</t>
  </si>
  <si>
    <t>SP_SpiderSmallTurret_0_43000</t>
  </si>
  <si>
    <t>262.36002;-346.18002</t>
  </si>
  <si>
    <t>560;135.5</t>
  </si>
  <si>
    <t>249.03;-324.77</t>
  </si>
  <si>
    <t>515.9;-10.69</t>
  </si>
  <si>
    <t>317.2;-160.7</t>
  </si>
  <si>
    <t>SP_Archer02_Static_23000_0</t>
  </si>
  <si>
    <t>57.149994;-131.99</t>
  </si>
  <si>
    <t>432.50003;116.9</t>
  </si>
  <si>
    <t>438.96997;-202.68999</t>
  </si>
  <si>
    <t>394.99997;-173.8</t>
  </si>
  <si>
    <t>140.45;-191.15</t>
  </si>
  <si>
    <t>678.51;-224.98</t>
  </si>
  <si>
    <t>SP_Fish_Random_Generic_16000_0</t>
  </si>
  <si>
    <t>738.71;-289.58002</t>
  </si>
  <si>
    <t>386.28;-314.69</t>
  </si>
  <si>
    <t>172.35;-170.7</t>
  </si>
  <si>
    <t>672.60004;113.1</t>
  </si>
  <si>
    <t>632.1;-139.92</t>
  </si>
  <si>
    <t>729.39;-339.51</t>
  </si>
  <si>
    <t>SP_Piranha_30000_0</t>
  </si>
  <si>
    <t>237.68002;-89.3</t>
  </si>
  <si>
    <t>761.5;-301.12</t>
  </si>
  <si>
    <t>583.5;10.91</t>
  </si>
  <si>
    <t>545.33;-179.18</t>
  </si>
  <si>
    <t>SP_Canary_Random_Flock_0_40000</t>
  </si>
  <si>
    <t>459.63004;-27.23</t>
  </si>
  <si>
    <t>696.21;-218.56</t>
  </si>
  <si>
    <t>723.61;-269.76</t>
  </si>
  <si>
    <t>SP_StingrayLarge_36000_0</t>
  </si>
  <si>
    <t>210.3;-330.2</t>
  </si>
  <si>
    <t>685.83;125.68</t>
  </si>
  <si>
    <t>732.11;-294.29</t>
  </si>
  <si>
    <t>769.47;-342.23</t>
  </si>
  <si>
    <t>242.29999;-103.46</t>
  </si>
  <si>
    <t>10.66;-318.13</t>
  </si>
  <si>
    <t>SP_Driller_38000_0</t>
  </si>
  <si>
    <t>545.1;-221.24</t>
  </si>
  <si>
    <t>684.51;-218.67</t>
  </si>
  <si>
    <t>240.5;-259.9</t>
  </si>
  <si>
    <t>441.15;-205.69</t>
  </si>
  <si>
    <t>36.6;-129.3</t>
  </si>
  <si>
    <t>603.9;24.6</t>
  </si>
  <si>
    <t>335.99002;-13.55</t>
  </si>
  <si>
    <t>353.6;-186.7</t>
  </si>
  <si>
    <t>276.50003;-83.1</t>
  </si>
  <si>
    <t>441.32;-169.65</t>
  </si>
  <si>
    <t>469.3;-195.8</t>
  </si>
  <si>
    <t>653.2;189.6</t>
  </si>
  <si>
    <t>622.80005;39.68</t>
  </si>
  <si>
    <t>486.93;-274.93</t>
  </si>
  <si>
    <t>SP_BadJunk_40000_0</t>
  </si>
  <si>
    <t>358.59;-170.51</t>
  </si>
  <si>
    <t>-14.07;70.74</t>
  </si>
  <si>
    <t>753.1;-336.7</t>
  </si>
  <si>
    <t>530.53;-54.67</t>
  </si>
  <si>
    <t>710.3;184.50002</t>
  </si>
  <si>
    <t>295.2;-340.6</t>
  </si>
  <si>
    <t>556.37;-255.79</t>
  </si>
  <si>
    <t>596.6;-314</t>
  </si>
  <si>
    <t>616.1;-240.78</t>
  </si>
  <si>
    <t>SP_MineBig_46000_0</t>
  </si>
  <si>
    <t>666.2;68.66</t>
  </si>
  <si>
    <t>475.4;-179.6</t>
  </si>
  <si>
    <t>SP_StingrayLarge_37000_0</t>
  </si>
  <si>
    <t>653.3;-216.47</t>
  </si>
  <si>
    <t>601.65;-47.05</t>
  </si>
  <si>
    <t>139.54004;-12.28</t>
  </si>
  <si>
    <t>749.06;-264.94</t>
  </si>
  <si>
    <t>SP_SpiderSmallTurret_29000_0</t>
  </si>
  <si>
    <t>119.74002;-33.94</t>
  </si>
  <si>
    <t>537.30005;38.65</t>
  </si>
  <si>
    <t>20.905273;86.433975</t>
  </si>
  <si>
    <t>702.05;-261.63</t>
  </si>
  <si>
    <t>'PF_PoisonFlower'</t>
  </si>
  <si>
    <t>-39.94;90.7</t>
  </si>
  <si>
    <t>149.18;-191.23</t>
  </si>
  <si>
    <t>233.95;-39.87</t>
  </si>
  <si>
    <t>SP_Crocodile_18000_0</t>
  </si>
  <si>
    <t>518.37;-72.94</t>
  </si>
  <si>
    <t>119.48;-205.61</t>
  </si>
  <si>
    <t>128.48;-341.83</t>
  </si>
  <si>
    <t>575.53;-58.12</t>
  </si>
  <si>
    <t>292.2;-117.7</t>
  </si>
  <si>
    <t>140.3;-206.45</t>
  </si>
  <si>
    <t>SP_BadJunk_45000_0</t>
  </si>
  <si>
    <t>491.54004;-27.5</t>
  </si>
  <si>
    <t>23.57;-319.04</t>
  </si>
  <si>
    <t>537.30005;-61.4</t>
  </si>
  <si>
    <t>172.98004;-175.21</t>
  </si>
  <si>
    <t>248.3;-171.4</t>
  </si>
  <si>
    <t>SP_Spartakus_30000_0</t>
  </si>
  <si>
    <t>562.76;-271.16</t>
  </si>
  <si>
    <t>402.60004;-66.7</t>
  </si>
  <si>
    <t>208.05;-206.49</t>
  </si>
  <si>
    <t>468.16;20.76</t>
  </si>
  <si>
    <t>SP_Guardian_15000_0</t>
  </si>
  <si>
    <t>358.90002;-32.5</t>
  </si>
  <si>
    <t>SP_MineBig_Static_24000_0</t>
  </si>
  <si>
    <t>519.47;-57.59</t>
  </si>
  <si>
    <t>594.13995;-156.11998</t>
  </si>
  <si>
    <t>SP_Ghost03_Static_38500_0</t>
  </si>
  <si>
    <t>152.26;-25.49</t>
  </si>
  <si>
    <t>666;182.7</t>
  </si>
  <si>
    <t>SP_SpiderRed_29000_0</t>
  </si>
  <si>
    <t>332.30002;-47.73</t>
  </si>
  <si>
    <t>SP_GoodJunkBottle_25000_0</t>
  </si>
  <si>
    <t>304.1;-95.5</t>
  </si>
  <si>
    <t>63.9;-290.6</t>
  </si>
  <si>
    <t>584;12.22</t>
  </si>
  <si>
    <t>588.6;-153.09999</t>
  </si>
  <si>
    <t>446.11;107.119995</t>
  </si>
  <si>
    <t>426.00003;90.9</t>
  </si>
  <si>
    <t>78.54001;-71.52</t>
  </si>
  <si>
    <t>691.5;154.2</t>
  </si>
  <si>
    <t>183.33;-345.15</t>
  </si>
  <si>
    <t>524.1;-213</t>
  </si>
  <si>
    <t>SP_SpiderSmallTurret_0_40000</t>
  </si>
  <si>
    <t>119.67001;-29.49</t>
  </si>
  <si>
    <t>SP_BatBig_Flock_44000_0</t>
  </si>
  <si>
    <t>228.39;-337.25</t>
  </si>
  <si>
    <t>290.30002;-92.2</t>
  </si>
  <si>
    <t>579.29;43.26</t>
  </si>
  <si>
    <t>532.6;-253.90001</t>
  </si>
  <si>
    <t>549.06;-296.81</t>
  </si>
  <si>
    <t>725.7;-222.78</t>
  </si>
  <si>
    <t>340.84003;-19.51</t>
  </si>
  <si>
    <t>279.5;-157.77</t>
  </si>
  <si>
    <t>630;36.6</t>
  </si>
  <si>
    <t>140.90002;-13.68</t>
  </si>
  <si>
    <t>220.8;-150.5</t>
  </si>
  <si>
    <t>211.8;-37.699997</t>
  </si>
  <si>
    <t>SP_Crow_Flock_24000_0</t>
  </si>
  <si>
    <t>230.20001;-44.87</t>
  </si>
  <si>
    <t>459.5;139.16</t>
  </si>
  <si>
    <t>SP_Crocodile_29000_0</t>
  </si>
  <si>
    <t>154.04004;-34.19</t>
  </si>
  <si>
    <t>421.80002;-20.65</t>
  </si>
  <si>
    <t>672;-238.4</t>
  </si>
  <si>
    <t>747.18;-245.53</t>
  </si>
  <si>
    <t>575.30005;156.6</t>
  </si>
  <si>
    <t>666.1;-287.6</t>
  </si>
  <si>
    <t>SP_GoodJunkBottle_38000_0</t>
  </si>
  <si>
    <t>751.41;-340.15</t>
  </si>
  <si>
    <t>591;89.81</t>
  </si>
  <si>
    <t>54.61;-325.27</t>
  </si>
  <si>
    <t>426.90002;-81.4</t>
  </si>
  <si>
    <t>SP_Worker_Mix_23000_0</t>
  </si>
  <si>
    <t>104.600006;-32.5</t>
  </si>
  <si>
    <t>543.1;-263.9</t>
  </si>
  <si>
    <t>SP_Kamikaze_21000_0</t>
  </si>
  <si>
    <t>61.130035;-24.77</t>
  </si>
  <si>
    <t>564.47;-335.18</t>
  </si>
  <si>
    <t>500.26;-73</t>
  </si>
  <si>
    <t>30.450012;-162.68</t>
  </si>
  <si>
    <t>SP_MineSmall_Static_0_35000</t>
  </si>
  <si>
    <t>407.82;-35.98</t>
  </si>
  <si>
    <t>256.2;-329.8</t>
  </si>
  <si>
    <t>440.80002;19.2</t>
  </si>
  <si>
    <t>426.40002;-76.5</t>
  </si>
  <si>
    <t>SP_Archer02_Static_26000_0</t>
  </si>
  <si>
    <t>473.7;8.7</t>
  </si>
  <si>
    <t>SP_Fish_Random_Generic_14000_0</t>
  </si>
  <si>
    <t>555.57;-69.37</t>
  </si>
  <si>
    <t>759.92;-330.44</t>
  </si>
  <si>
    <t>199.25003;-61.21</t>
  </si>
  <si>
    <t>25.170044;-73.91</t>
  </si>
  <si>
    <t>spiderWeb</t>
  </si>
  <si>
    <t>522.7;3.2</t>
  </si>
  <si>
    <t>SP_StingraySmall_0_30000</t>
  </si>
  <si>
    <t>550.52;-166.08</t>
  </si>
  <si>
    <t>155.9;-311.79</t>
  </si>
  <si>
    <t>403.17;-332.7</t>
  </si>
  <si>
    <t>SP_DrunkenMan_0_21000</t>
  </si>
  <si>
    <t>348.67004;-32.37</t>
  </si>
  <si>
    <t>SP_SpiderSmallTurret_0_31000</t>
  </si>
  <si>
    <t>23.79004;-85.13</t>
  </si>
  <si>
    <t>SP_OwlBig_35000_0</t>
  </si>
  <si>
    <t>38.809998;-76.94</t>
  </si>
  <si>
    <t>552.4;161.8</t>
  </si>
  <si>
    <t>-67.1;-271.5</t>
  </si>
  <si>
    <t>518.4;-209</t>
  </si>
  <si>
    <t>3.07;-311.12</t>
  </si>
  <si>
    <t>715.64;-313.6</t>
  </si>
  <si>
    <t>442.32;-283.67</t>
  </si>
  <si>
    <t>86.8;-343.3</t>
  </si>
  <si>
    <t>100.17001;-64.32</t>
  </si>
  <si>
    <t>559.18;-250.5</t>
  </si>
  <si>
    <t>SP_Ghost01_18000_0</t>
  </si>
  <si>
    <t>633.8;43.02</t>
  </si>
  <si>
    <t>308.41003;-40.55</t>
  </si>
  <si>
    <t>420.94;3.52</t>
  </si>
  <si>
    <t>770.68;-304.2</t>
  </si>
  <si>
    <t>486.78;139.16</t>
  </si>
  <si>
    <t>503.2;-63.7</t>
  </si>
  <si>
    <t>265.50003;-77.6</t>
  </si>
  <si>
    <t>SP_Crocodile_22000_0</t>
  </si>
  <si>
    <t>371.49002;-51.11</t>
  </si>
  <si>
    <t>458.13;-162.64</t>
  </si>
  <si>
    <t>578.9;148.7</t>
  </si>
  <si>
    <t>SP_SpiderSmallTurret_0_39000</t>
  </si>
  <si>
    <t>251.82;-351.89</t>
  </si>
  <si>
    <t>148.11002;-91.39</t>
  </si>
  <si>
    <t>752.14;-251.77</t>
  </si>
  <si>
    <t>275.12;-292.43</t>
  </si>
  <si>
    <t>494.16003;-24.05</t>
  </si>
  <si>
    <t>430.39;-304.22</t>
  </si>
  <si>
    <t>448.37997;-143.84999</t>
  </si>
  <si>
    <t>455.60004;10.8</t>
  </si>
  <si>
    <t>SP_Vulture_17000_0</t>
  </si>
  <si>
    <t>643.7;92.1</t>
  </si>
  <si>
    <t>726.66;-279.33</t>
  </si>
  <si>
    <t>142.15002;-22.15</t>
  </si>
  <si>
    <t>729.94;-233.76</t>
  </si>
  <si>
    <t>201.46;-206.38</t>
  </si>
  <si>
    <t>681;190.6</t>
  </si>
  <si>
    <t>486.49002;63.43</t>
  </si>
  <si>
    <t>731.36;-227.82</t>
  </si>
  <si>
    <t>SP_StingrayLarge_50000_0</t>
  </si>
  <si>
    <t>735.96;-333.68</t>
  </si>
  <si>
    <t>PF_BarrelGroup_2</t>
  </si>
  <si>
    <t>-513.3421;-288.99496</t>
  </si>
  <si>
    <t>244.28;-322.45</t>
  </si>
  <si>
    <t>SP_Fish_Random_Generic_22000_0</t>
  </si>
  <si>
    <t>SP_SpiderSmallTurret_38000_0</t>
  </si>
  <si>
    <t>124.22003;-33.28</t>
  </si>
  <si>
    <t>365.62;-242.59</t>
  </si>
  <si>
    <t>562.29004;-12.06</t>
  </si>
  <si>
    <t>194.53003;-75.28</t>
  </si>
  <si>
    <t>570.7;-181.71</t>
  </si>
  <si>
    <t>SP_Shieldman_46000_0</t>
  </si>
  <si>
    <t>567.63;-10.83</t>
  </si>
  <si>
    <t>713.7;-260.4</t>
  </si>
  <si>
    <t>145.91003;-89.69</t>
  </si>
  <si>
    <t>223.5;-189.2</t>
  </si>
  <si>
    <t>SP_StingraySmall_0_40000</t>
  </si>
  <si>
    <t>766.05;-342.46</t>
  </si>
  <si>
    <t>429.44;68.34</t>
  </si>
  <si>
    <t>445.51;-28.08</t>
  </si>
  <si>
    <t>412.80002;-82.5</t>
  </si>
  <si>
    <t>717.2;148.40001</t>
  </si>
  <si>
    <t>578.68;-266.72</t>
  </si>
  <si>
    <t>38.7;-175.5</t>
  </si>
  <si>
    <t>640.51;-303.25</t>
  </si>
  <si>
    <t>SP_Soldier01_23000_0</t>
  </si>
  <si>
    <t>406.80002;-10.14</t>
  </si>
  <si>
    <t>SP_Ghost02_29000_0</t>
  </si>
  <si>
    <t>169.2;-41.9</t>
  </si>
  <si>
    <t>SP_CageHard_38000_0</t>
  </si>
  <si>
    <t>580.07;-278.71</t>
  </si>
  <si>
    <t>535.9;-150.36</t>
  </si>
  <si>
    <t>254.03;-322.35</t>
  </si>
  <si>
    <t>389.06003;-48.9</t>
  </si>
  <si>
    <t>250.04;-346.76</t>
  </si>
  <si>
    <t>398.99;-148.13998</t>
  </si>
  <si>
    <t>617.39;-137.14</t>
  </si>
  <si>
    <t>341.7;-50.01</t>
  </si>
  <si>
    <t>SP_Miner01_Mix_0_30000</t>
  </si>
  <si>
    <t>179.79999;-351.4</t>
  </si>
  <si>
    <t>603.71;-270.51</t>
  </si>
  <si>
    <t>SP_Ghost03_Static_36000_0</t>
  </si>
  <si>
    <t>226.2;-50.2</t>
  </si>
  <si>
    <t>SP_SpiderRed_18000_0</t>
  </si>
  <si>
    <t>520.94;-49.18</t>
  </si>
  <si>
    <t>34.36;-148.25</t>
  </si>
  <si>
    <t>364.71;-188.98</t>
  </si>
  <si>
    <t>SP_Hawk_14000_0</t>
  </si>
  <si>
    <t>409.72003;115.6</t>
  </si>
  <si>
    <t>500.24002;38.17</t>
  </si>
  <si>
    <t>514.4;-128.6</t>
  </si>
  <si>
    <t>554.5;102.5</t>
  </si>
  <si>
    <t>SP_SpiderSmall_29000_0</t>
  </si>
  <si>
    <t>239.56003;-30.14</t>
  </si>
  <si>
    <t>433.92;64.41</t>
  </si>
  <si>
    <t>79.69003;-34.63</t>
  </si>
  <si>
    <t>498.50003;126.13</t>
  </si>
  <si>
    <t>654.2;176.9</t>
  </si>
  <si>
    <t>SP_DrunkenMan_0_17000</t>
  </si>
  <si>
    <t>558.88;-11.31</t>
  </si>
  <si>
    <t>425.73004;-19.4</t>
  </si>
  <si>
    <t>232.69003;-82.93</t>
  </si>
  <si>
    <t>444.7;6.9</t>
  </si>
  <si>
    <t>460.60004;-42.9</t>
  </si>
  <si>
    <t>156.74;-41.38</t>
  </si>
  <si>
    <t>SP_Spartakus_28000_0</t>
  </si>
  <si>
    <t>361.1;-241.45</t>
  </si>
  <si>
    <t>SP_SpiderSmall_22000_0</t>
  </si>
  <si>
    <t>405.30002;14.87</t>
  </si>
  <si>
    <t>511.14;19.67</t>
  </si>
  <si>
    <t>SP_BadJunk_23000_0</t>
  </si>
  <si>
    <t>542.42004;41.4</t>
  </si>
  <si>
    <t>687.91;129.02</t>
  </si>
  <si>
    <t>474.82;-177.65</t>
  </si>
  <si>
    <t>659.03;-209.49</t>
  </si>
  <si>
    <t>SP_Canary_Random_Flock_18100_0</t>
  </si>
  <si>
    <t>608.14;-156.06999</t>
  </si>
  <si>
    <t>387.91;-146.5</t>
  </si>
  <si>
    <t>527.9;13.7</t>
  </si>
  <si>
    <t>470.3;157.7</t>
  </si>
  <si>
    <t>681.28436;-262.22687</t>
  </si>
  <si>
    <t>548.3;-241.6</t>
  </si>
  <si>
    <t>492.66003;-22.58</t>
  </si>
  <si>
    <t>115.7;-210.23</t>
  </si>
  <si>
    <t>509.77;-153.9</t>
  </si>
  <si>
    <t>599.25;-44.87</t>
  </si>
  <si>
    <t>586.36005;9.27</t>
  </si>
  <si>
    <t>-22.79;90.58</t>
  </si>
  <si>
    <t>616.09;-150.4</t>
  </si>
  <si>
    <t>SP_SpiderSmall_19000_0</t>
  </si>
  <si>
    <t>556.75;-53.79</t>
  </si>
  <si>
    <t>SP_Fish_Random_Generic_13000_35000</t>
  </si>
  <si>
    <t>545.22003;-68.05</t>
  </si>
  <si>
    <t>653.2;-288.2</t>
  </si>
  <si>
    <t>546.2;-252.8</t>
  </si>
  <si>
    <t>528.39;107.44</t>
  </si>
  <si>
    <t>621.3;-319.26</t>
  </si>
  <si>
    <t>SP_LionBird_0_30000</t>
  </si>
  <si>
    <t>357.37003;-55.03</t>
  </si>
  <si>
    <t>SP_Villager01_22000_0</t>
  </si>
  <si>
    <t>565.56;-58.12</t>
  </si>
  <si>
    <t>551.7;57.5</t>
  </si>
  <si>
    <t>690.31;-212.62</t>
  </si>
  <si>
    <t>410.40002;-10.14</t>
  </si>
  <si>
    <t>254.40002;-72.5</t>
  </si>
  <si>
    <t>310.2;-162.1</t>
  </si>
  <si>
    <t>-441.6;-351.91</t>
  </si>
  <si>
    <t>SP_BadJunk_35000_0</t>
  </si>
  <si>
    <t>571.60004;54.8</t>
  </si>
  <si>
    <t>-1.26;113.97</t>
  </si>
  <si>
    <t>508.2;50.8</t>
  </si>
  <si>
    <t>421.03;-151.49</t>
  </si>
  <si>
    <t>658.2;-260.1</t>
  </si>
  <si>
    <t>49.21;-117.42</t>
  </si>
  <si>
    <t>576.62;-264.02</t>
  </si>
  <si>
    <t>506.29;-272.7</t>
  </si>
  <si>
    <t>667.9;-327.3</t>
  </si>
  <si>
    <t>545.08;42.36</t>
  </si>
  <si>
    <t>31.1;-335.6</t>
  </si>
  <si>
    <t>585.49005;12.28</t>
  </si>
  <si>
    <t>SP_SpiderSmallTurret_40000_0</t>
  </si>
  <si>
    <t>127.650024;-31.17</t>
  </si>
  <si>
    <t>106.1;-285.3</t>
  </si>
  <si>
    <t>98.29001;-108.200005</t>
  </si>
  <si>
    <t>319.58;-145.79</t>
  </si>
  <si>
    <t>SP_Ghost02_35000_0</t>
  </si>
  <si>
    <t>567.32;13.22</t>
  </si>
  <si>
    <t>599.30005;-72.8</t>
  </si>
  <si>
    <t>48.180023;-65.55</t>
  </si>
  <si>
    <t>297.9;-344.5</t>
  </si>
  <si>
    <t>SP_Driller_32000_0</t>
  </si>
  <si>
    <t>606.72;-269.77</t>
  </si>
  <si>
    <t>643.2;179.2</t>
  </si>
  <si>
    <t>-530.96;-339.52</t>
  </si>
  <si>
    <t>151.32004;-32.5</t>
  </si>
  <si>
    <t>389.31;-206.21</t>
  </si>
  <si>
    <t>29.369995;-50</t>
  </si>
  <si>
    <t>261.1;-320.51</t>
  </si>
  <si>
    <t>721.28;-218.34</t>
  </si>
  <si>
    <t>595.30005;61.5</t>
  </si>
  <si>
    <t>SP_SpiderSmallTurret_0_45000</t>
  </si>
  <si>
    <t>264.80002;-348.00003</t>
  </si>
  <si>
    <t>SP_Fish_Random_Generic_12000_0</t>
  </si>
  <si>
    <t>261.1;-319.09003</t>
  </si>
  <si>
    <t>SP_SpiderSmall_26000_0</t>
  </si>
  <si>
    <t>233.76001;-32.46</t>
  </si>
  <si>
    <t>SP_SpiderSmallTurret_0_35000</t>
  </si>
  <si>
    <t>244.87;-347.13</t>
  </si>
  <si>
    <t>SP_GoodJunkBottle_30000_0</t>
  </si>
  <si>
    <t>394.4;-103</t>
  </si>
  <si>
    <t>542.47003;-63.7</t>
  </si>
  <si>
    <t>SP_SpiderRed_24000_0</t>
  </si>
  <si>
    <t>408.89;20.41</t>
  </si>
  <si>
    <t>477.9;169.9</t>
  </si>
  <si>
    <t>70.570015;-70</t>
  </si>
  <si>
    <t>-24;-301.17</t>
  </si>
  <si>
    <t>-487.27;-339.69</t>
  </si>
  <si>
    <t>176.64;-346.88</t>
  </si>
  <si>
    <t>158.91;-220.06</t>
  </si>
  <si>
    <t>690.5;186.8</t>
  </si>
  <si>
    <t>579.78;-58.7</t>
  </si>
  <si>
    <t>79.2;-286.8</t>
  </si>
  <si>
    <t>SP_Kamikaze_19000_0</t>
  </si>
  <si>
    <t>94.80002;-60.62</t>
  </si>
  <si>
    <t>110.7;-348.7</t>
  </si>
  <si>
    <t>307.7;-342.4</t>
  </si>
  <si>
    <t>458.76;-50.21</t>
  </si>
  <si>
    <t>267.6;-322</t>
  </si>
  <si>
    <t>231.79;-58.8</t>
  </si>
  <si>
    <t>173.9;-352.8</t>
  </si>
  <si>
    <t>SP_Spartakus_24000_0</t>
  </si>
  <si>
    <t>-38.8;-300.5</t>
  </si>
  <si>
    <t>770.08;-339.61</t>
  </si>
  <si>
    <t>704.36993;-218.18001</t>
  </si>
  <si>
    <t>249.58002;-34.54</t>
  </si>
  <si>
    <t>545.2;-231.2</t>
  </si>
  <si>
    <t>140.23001;-26.61</t>
  </si>
  <si>
    <t>499.73;-278.43</t>
  </si>
  <si>
    <t>116.71997;-210.79999</t>
  </si>
  <si>
    <t>421.03;-175.79</t>
  </si>
  <si>
    <t>167.39001;-54.7</t>
  </si>
  <si>
    <t>248.9;-302.9</t>
  </si>
  <si>
    <t>537.30005;12.23</t>
  </si>
  <si>
    <t>569.80005;192.8</t>
  </si>
  <si>
    <t>141.56003;-17.52</t>
  </si>
  <si>
    <t>328.1;-211.8</t>
  </si>
  <si>
    <t>434.8;-292.30002</t>
  </si>
  <si>
    <t>153.09003;-28.21</t>
  </si>
  <si>
    <t>518.26;-13.5</t>
  </si>
  <si>
    <t>89.48;-187.15</t>
  </si>
  <si>
    <t>639.17;46.89</t>
  </si>
  <si>
    <t>SP_MineMedium_20000_0</t>
  </si>
  <si>
    <t>390.35;-35.72</t>
  </si>
  <si>
    <t>SP_BadJunk_21000_0</t>
  </si>
  <si>
    <t>571;37.5</t>
  </si>
  <si>
    <t>SP_Ghost03_32000_0</t>
  </si>
  <si>
    <t>355.6;-53.6</t>
  </si>
  <si>
    <t>SP_BadJunk_18000_0</t>
  </si>
  <si>
    <t>501.60004;62.7</t>
  </si>
  <si>
    <t>707;188.5</t>
  </si>
  <si>
    <t>137.13;-172.91</t>
  </si>
  <si>
    <t>236.7;-49</t>
  </si>
  <si>
    <t>519.9;-196.1</t>
  </si>
  <si>
    <t>452.25;-341.65</t>
  </si>
  <si>
    <t>501.46002;33.92</t>
  </si>
  <si>
    <t>595.38;13.71</t>
  </si>
  <si>
    <t>75.70001;-108.98</t>
  </si>
  <si>
    <t>368.78;-34.81</t>
  </si>
  <si>
    <t>63.91;-325.4</t>
  </si>
  <si>
    <t>260.99997;-288.81998</t>
  </si>
  <si>
    <t>282.57;-175.29</t>
  </si>
  <si>
    <t>354.52002;-54.97</t>
  </si>
  <si>
    <t>665.30005;173.9</t>
  </si>
  <si>
    <t>PF_Cart</t>
  </si>
  <si>
    <t>-134.34;-12.79</t>
  </si>
  <si>
    <t>553.6;17.7</t>
  </si>
  <si>
    <t>446.05;-167.35999</t>
  </si>
  <si>
    <t>97.68002;-84.3</t>
  </si>
  <si>
    <t>SP_MineSmall_Static_0_40000</t>
  </si>
  <si>
    <t>595.5;38.8</t>
  </si>
  <si>
    <t>393.05;-241.21</t>
  </si>
  <si>
    <t>-30.83;-300.03</t>
  </si>
  <si>
    <t>555.1;-269.7</t>
  </si>
  <si>
    <t>594.48;135.43</t>
  </si>
  <si>
    <t>178.86;-343.85</t>
  </si>
  <si>
    <t>408.93002;108.8</t>
  </si>
  <si>
    <t>652.1;-291.6</t>
  </si>
  <si>
    <t>724.58;-286.08</t>
  </si>
  <si>
    <t>183.51;-321.1</t>
  </si>
  <si>
    <t>417.2;-147</t>
  </si>
  <si>
    <t>178.27;-53.39</t>
  </si>
  <si>
    <t>509.17;-57.59</t>
  </si>
  <si>
    <t>438.33;-186.69</t>
  </si>
  <si>
    <t>585.24005;13.77</t>
  </si>
  <si>
    <t>SP_GoodJunkBottle_36000_0</t>
  </si>
  <si>
    <t>743.35;-339.58</t>
  </si>
  <si>
    <t>SP_Fish_Random_Generic_0_45000</t>
  </si>
  <si>
    <t>120.36;-211.26</t>
  </si>
  <si>
    <t>497.40002;2.86</t>
  </si>
  <si>
    <t>623.2;28</t>
  </si>
  <si>
    <t>562.95;69.05</t>
  </si>
  <si>
    <t>286.43;-335.8</t>
  </si>
  <si>
    <t>205.25;-59.61</t>
  </si>
  <si>
    <t>324.41998;-188.89998</t>
  </si>
  <si>
    <t>32;-80.4</t>
  </si>
  <si>
    <t>-63.34;-286.31</t>
  </si>
  <si>
    <t>670.86;-227.08</t>
  </si>
  <si>
    <t>507.39;-153.48</t>
  </si>
  <si>
    <t>598.21;120.44</t>
  </si>
  <si>
    <t>605.8;-314.8</t>
  </si>
  <si>
    <t>245.97003;-33.32</t>
  </si>
  <si>
    <t>569.75;75.59</t>
  </si>
  <si>
    <t>443.28;-333.94</t>
  </si>
  <si>
    <t>427.71;-326.29</t>
  </si>
  <si>
    <t>720.93;-226.43</t>
  </si>
  <si>
    <t>30.28003;-89.38</t>
  </si>
  <si>
    <t>SP_MineBig_Static_37000_0</t>
  </si>
  <si>
    <t>414.40002;-57.59</t>
  </si>
  <si>
    <t>576.15;18.43</t>
  </si>
  <si>
    <t>422.62;-226.39</t>
  </si>
  <si>
    <t>SP_EnemyTier4_35000_0</t>
  </si>
  <si>
    <t>478.50003;39.6</t>
  </si>
  <si>
    <t>430.30002;51.5</t>
  </si>
  <si>
    <t>597.12;11.35</t>
  </si>
  <si>
    <t>368.75;-242.59</t>
  </si>
  <si>
    <t>608.96;-145.79</t>
  </si>
  <si>
    <t>509;192.8</t>
  </si>
  <si>
    <t>599.74;-20.13</t>
  </si>
  <si>
    <t>374.03003;-29.4</t>
  </si>
  <si>
    <t>'PF_Barrel_01'</t>
  </si>
  <si>
    <t>37.75;-95.07001</t>
  </si>
  <si>
    <t>SP_Archer02_35000_0</t>
  </si>
  <si>
    <t>476.7;212</t>
  </si>
  <si>
    <t>433.07;-289.03</t>
  </si>
  <si>
    <t>502.10004;14</t>
  </si>
  <si>
    <t>411.92004;9.73</t>
  </si>
  <si>
    <t>SP_Hawk_16000_0</t>
  </si>
  <si>
    <t>529.76;118.42</t>
  </si>
  <si>
    <t>SP_Kamikaze_17000_0</t>
  </si>
  <si>
    <t>96.26001;-24.52</t>
  </si>
  <si>
    <t>523.3;-265.4</t>
  </si>
  <si>
    <t>39.29;-176.17</t>
  </si>
  <si>
    <t>470.2;-12.2</t>
  </si>
  <si>
    <t>511.11;-154.35</t>
  </si>
  <si>
    <t>SP_MineSmall_Static_30000_0</t>
  </si>
  <si>
    <t>479.14;32.68</t>
  </si>
  <si>
    <t>442.24002;23.35</t>
  </si>
  <si>
    <t>260.9;-304.37997</t>
  </si>
  <si>
    <t>495.63004;-57.74</t>
  </si>
  <si>
    <t>89.01001;-66.5</t>
  </si>
  <si>
    <t>554.4;54.3</t>
  </si>
  <si>
    <t>390.2;-44.54</t>
  </si>
  <si>
    <t>420.40002;69.95</t>
  </si>
  <si>
    <t>542.86005;12.68</t>
  </si>
  <si>
    <t>428.80002;55.1</t>
  </si>
  <si>
    <t>SP_BadJunk_11000_0</t>
  </si>
  <si>
    <t>535.56;29.1</t>
  </si>
  <si>
    <t>319.1;-162.4</t>
  </si>
  <si>
    <t>551.30005;139.4</t>
  </si>
  <si>
    <t>505.47;64.88</t>
  </si>
  <si>
    <t>596.72;-156.81999</t>
  </si>
  <si>
    <t>216.4;-350.8</t>
  </si>
  <si>
    <t>202.50003;-38.8</t>
  </si>
  <si>
    <t>578.2;75.49</t>
  </si>
  <si>
    <t>129.69003;-13.87</t>
  </si>
  <si>
    <t>599.29004;-63.7</t>
  </si>
  <si>
    <t>468.1;-193.3</t>
  </si>
  <si>
    <t>359.7;-223.6</t>
  </si>
  <si>
    <t>SP_BadJunk_50000_0</t>
  </si>
  <si>
    <t>770.57996;-340.69998</t>
  </si>
  <si>
    <t>346.47003;-21.6</t>
  </si>
  <si>
    <t>443.35;-242.5</t>
  </si>
  <si>
    <t>448.08002;-26.68</t>
  </si>
  <si>
    <t>SP_Spartakus_22000_0</t>
  </si>
  <si>
    <t>90.660034;-32.96</t>
  </si>
  <si>
    <t>619.11005;-10.22</t>
  </si>
  <si>
    <t>SP_FairySmall_25000_0</t>
  </si>
  <si>
    <t>421.10004;-51.36</t>
  </si>
  <si>
    <t>147.56003;-14.77</t>
  </si>
  <si>
    <t>595.9;199.3</t>
  </si>
  <si>
    <t>555.4;-296.35</t>
  </si>
  <si>
    <t>772.3025;-295.466</t>
  </si>
  <si>
    <t>SP_Fish_Random_Generic_32000_0</t>
  </si>
  <si>
    <t>529.21;-62.93</t>
  </si>
  <si>
    <t>582.80005;151.6</t>
  </si>
  <si>
    <t>558.7;195.8</t>
  </si>
  <si>
    <t>SP_Kamikaze_30000_0</t>
  </si>
  <si>
    <t>104.75;-179.29</t>
  </si>
  <si>
    <t>695.2;176</t>
  </si>
  <si>
    <t>759.96;-339.82</t>
  </si>
  <si>
    <t>259.50998;-304.37997</t>
  </si>
  <si>
    <t>SP_BatSmall01_Flock_0_45000</t>
  </si>
  <si>
    <t>52.650024;-78.71</t>
  </si>
  <si>
    <t>658.31;-324.18</t>
  </si>
  <si>
    <t>76.76001;-108.130005</t>
  </si>
  <si>
    <t>613.8;170.7</t>
  </si>
  <si>
    <t>599.1;-301.6</t>
  </si>
  <si>
    <t>596.51;-20.62</t>
  </si>
  <si>
    <t>SP_Guardian_30000_0</t>
  </si>
  <si>
    <t>156.58002;-353.6</t>
  </si>
  <si>
    <t>644.9;200.5</t>
  </si>
  <si>
    <t>636.01;7.07</t>
  </si>
  <si>
    <t>393.81003;-25.44</t>
  </si>
  <si>
    <t>121.3;-301.4</t>
  </si>
  <si>
    <t>480.7;154.9</t>
  </si>
  <si>
    <t>122.27002;-35.06</t>
  </si>
  <si>
    <t>485.3;194.8</t>
  </si>
  <si>
    <t>SP_GoodJunkBottle_37000_0</t>
  </si>
  <si>
    <t>341.9;-87.2</t>
  </si>
  <si>
    <t>347.81003;-45.41</t>
  </si>
  <si>
    <t>596.53;-136.18</t>
  </si>
  <si>
    <t>420.00003;108.5</t>
  </si>
  <si>
    <t>SP_Miner01_Mix_0_31000</t>
  </si>
  <si>
    <t>112.7;-338.5</t>
  </si>
  <si>
    <t>510.7;28.6</t>
  </si>
  <si>
    <t>645.43005;141.71</t>
  </si>
  <si>
    <t>542.88;85.6</t>
  </si>
  <si>
    <t>265.98;-320.74</t>
  </si>
  <si>
    <t>649.97;-323.02</t>
  </si>
  <si>
    <t>478.03;178.3</t>
  </si>
  <si>
    <t>682;-309.2</t>
  </si>
  <si>
    <t>264.12;-318.62</t>
  </si>
  <si>
    <t>SP_SpiderGreenTurret_31000_0</t>
  </si>
  <si>
    <t>262.49;-351.93</t>
  </si>
  <si>
    <t>175.54;-341.97</t>
  </si>
  <si>
    <t>SP_MineMedium_Static_26000_0</t>
  </si>
  <si>
    <t>486.6;-281.89</t>
  </si>
  <si>
    <t>432.8;-301.7</t>
  </si>
  <si>
    <t>421.10004;-50.1</t>
  </si>
  <si>
    <t>309.57;-40.36</t>
  </si>
  <si>
    <t>586.02;119.64</t>
  </si>
  <si>
    <t>523.6;-186.3</t>
  </si>
  <si>
    <t>SP_MineMedium_Static_40000_0</t>
  </si>
  <si>
    <t>605.21;-295.4</t>
  </si>
  <si>
    <t>SP_Archer02_Static_22000_0</t>
  </si>
  <si>
    <t>133.99002;-15.49</t>
  </si>
  <si>
    <t>645.08;66.9</t>
  </si>
  <si>
    <t>526.94;-10.9</t>
  </si>
  <si>
    <t>SP_MineMedium_Static_14000_0</t>
  </si>
  <si>
    <t>409.43002;-46.84</t>
  </si>
  <si>
    <t>741.79;-240.81</t>
  </si>
  <si>
    <t>433.89;-172.56</t>
  </si>
  <si>
    <t>638.86;10.19</t>
  </si>
  <si>
    <t>672.80005;45.4</t>
  </si>
  <si>
    <t>681.19;-317.89</t>
  </si>
  <si>
    <t>-417.7;-343.1</t>
  </si>
  <si>
    <t>550.73;36.55</t>
  </si>
  <si>
    <t>198.08002;-85.21</t>
  </si>
  <si>
    <t>573.30005;-1.47</t>
  </si>
  <si>
    <t>SP_GoodJunkBottle_20000_0</t>
  </si>
  <si>
    <t>766.72;-336.47</t>
  </si>
  <si>
    <t>SP_Vulture_30000_0</t>
  </si>
  <si>
    <t>495.84003;25.38</t>
  </si>
  <si>
    <t>SP_OwlBig_0_45000</t>
  </si>
  <si>
    <t>42.900024;-42.9</t>
  </si>
  <si>
    <t>341.7;-192.3</t>
  </si>
  <si>
    <t>756;-300.5</t>
  </si>
  <si>
    <t>78.750015;-24.28</t>
  </si>
  <si>
    <t>614.35;115.81</t>
  </si>
  <si>
    <t>422.80002;-58.37</t>
  </si>
  <si>
    <t>665.11005;35.21</t>
  </si>
  <si>
    <t>204.74002;-61.21</t>
  </si>
  <si>
    <t>382.99;-315.12</t>
  </si>
  <si>
    <t>657.00006;154.2</t>
  </si>
  <si>
    <t>271.32004;-49.97</t>
  </si>
  <si>
    <t>387.00003;-98.5</t>
  </si>
  <si>
    <t>344.93002;-25.54</t>
  </si>
  <si>
    <t>597.2;-29.6</t>
  </si>
  <si>
    <t>48.98;-336.23</t>
  </si>
  <si>
    <t>418.75;-188.7</t>
  </si>
  <si>
    <t>490.2;-198.6</t>
  </si>
  <si>
    <t>-43.96;90.64</t>
  </si>
  <si>
    <t>640.4;140</t>
  </si>
  <si>
    <t>252;-189.1</t>
  </si>
  <si>
    <t>79.000015;-107.590004</t>
  </si>
  <si>
    <t>594.33;140.68</t>
  </si>
  <si>
    <t>544.2;30.8</t>
  </si>
  <si>
    <t>24.930298;86.86718</t>
  </si>
  <si>
    <t>659.03;-199.51</t>
  </si>
  <si>
    <t>518.7;55.5</t>
  </si>
  <si>
    <t>124.620026;-28.32</t>
  </si>
  <si>
    <t>SP_Crocodile_35000_0</t>
  </si>
  <si>
    <t>294.30002;-110.7</t>
  </si>
  <si>
    <t>344.686;-33.257996</t>
  </si>
  <si>
    <t>175;-317.2</t>
  </si>
  <si>
    <t>387.15;-320.66</t>
  </si>
  <si>
    <t>433.7;-322.55</t>
  </si>
  <si>
    <t>84.26001;-104.53</t>
  </si>
  <si>
    <t>61.920013;-22.63</t>
  </si>
  <si>
    <t>661.4;82.5</t>
  </si>
  <si>
    <t>SP_SpiderSmall_23000_0</t>
  </si>
  <si>
    <t>543.66003;-53.63</t>
  </si>
  <si>
    <t>226.3;-149</t>
  </si>
  <si>
    <t>278.23;-173.88</t>
  </si>
  <si>
    <t>458.32;-23.95</t>
  </si>
  <si>
    <t>220.79999;-170.4</t>
  </si>
  <si>
    <t>SP_EnemyTier2_25000_0</t>
  </si>
  <si>
    <t>493.60004;19.4</t>
  </si>
  <si>
    <t>SP_EnemyTier3_38000_0</t>
  </si>
  <si>
    <t>726.8;-311.63</t>
  </si>
  <si>
    <t>SP_Villager01_19000_0</t>
  </si>
  <si>
    <t>539.14;-61.4</t>
  </si>
  <si>
    <t>729.7;-319.84</t>
  </si>
  <si>
    <t>638.7;171.1</t>
  </si>
  <si>
    <t>670.22;-304.1</t>
  </si>
  <si>
    <t>357.81;-101.95</t>
  </si>
  <si>
    <t>529.1;200</t>
  </si>
  <si>
    <t>479.39;-22.56</t>
  </si>
  <si>
    <t>134.08002;-26.98</t>
  </si>
  <si>
    <t>SP_MineBig_Static_42000_0</t>
  </si>
  <si>
    <t>458.27002;-28.66</t>
  </si>
  <si>
    <t>553.66;-149.45</t>
  </si>
  <si>
    <t>430.77;-224.28</t>
  </si>
  <si>
    <t>386.58;-162.21</t>
  </si>
  <si>
    <t>471.48004;-27.96</t>
  </si>
  <si>
    <t>325.05002;-193.40999</t>
  </si>
  <si>
    <t>622.47003;70.4</t>
  </si>
  <si>
    <t>SP_Piranha_28000_0</t>
  </si>
  <si>
    <t>676.27;-310.3</t>
  </si>
  <si>
    <t>378.33;-36.59</t>
  </si>
  <si>
    <t>93.84;-188.47</t>
  </si>
  <si>
    <t>52.330017;-78.87</t>
  </si>
  <si>
    <t>581.6;-328.6</t>
  </si>
  <si>
    <t>SP_SpiderSmallTurret_37000_0</t>
  </si>
  <si>
    <t>125.76001;-24.12</t>
  </si>
  <si>
    <t>756.30005;-309.84</t>
  </si>
  <si>
    <t>316.45;-50.25</t>
  </si>
  <si>
    <t>545.2;24.3</t>
  </si>
  <si>
    <t>140.00003;-21.83</t>
  </si>
  <si>
    <t>481.39;-45.05</t>
  </si>
  <si>
    <t>433.57;-242.14</t>
  </si>
  <si>
    <t>166.5;-209.4</t>
  </si>
  <si>
    <t>531.4;130.6</t>
  </si>
  <si>
    <t>671.52;-234.61</t>
  </si>
  <si>
    <t>570.7;-227.97</t>
  </si>
  <si>
    <t>333.75;-236.26</t>
  </si>
  <si>
    <t>450.32;-333.89</t>
  </si>
  <si>
    <t>541.60004;60.1</t>
  </si>
  <si>
    <t>751.77;-299.43</t>
  </si>
  <si>
    <t>SP_Fish_Random_Generic_18000_0</t>
  </si>
  <si>
    <t>598.02;-74.55</t>
  </si>
  <si>
    <t>SP_Miner01_Mix_0_26000</t>
  </si>
  <si>
    <t>345;-235.6</t>
  </si>
  <si>
    <t>76.610016;-100.78</t>
  </si>
  <si>
    <t>512.5;-254.2</t>
  </si>
  <si>
    <t>146.3;-339.4</t>
  </si>
  <si>
    <t>428.90002;-78</t>
  </si>
  <si>
    <t>SP_Miner01_Mix_0_45000</t>
  </si>
  <si>
    <t>668.79;-248.65</t>
  </si>
  <si>
    <t>SP_BadJunk_12000_0</t>
  </si>
  <si>
    <t>499.8;28</t>
  </si>
  <si>
    <t>71.880005;-36.130005</t>
  </si>
  <si>
    <t>773.43;-312.67</t>
  </si>
  <si>
    <t>541.03;-299.65</t>
  </si>
  <si>
    <t>541.97003;-61</t>
  </si>
  <si>
    <t>SP_MineSmall_Static_20000_0</t>
  </si>
  <si>
    <t>288.04004;-87.23</t>
  </si>
  <si>
    <t>SP_SpiderGreenTurret_45000_0</t>
  </si>
  <si>
    <t>134.51001;-19.31</t>
  </si>
  <si>
    <t>540;-177.82</t>
  </si>
  <si>
    <t>583.6;-270.2</t>
  </si>
  <si>
    <t>287.90002;-70.5</t>
  </si>
  <si>
    <t>SP_StingrayLarge_33000_0</t>
  </si>
  <si>
    <t>645.57;-332.04</t>
  </si>
  <si>
    <t>432.30002;77.2</t>
  </si>
  <si>
    <t>453.10004;28.1</t>
  </si>
  <si>
    <t>521.16003;43.85</t>
  </si>
  <si>
    <t>587.2;42.3</t>
  </si>
  <si>
    <t>476.96002;-19.93</t>
  </si>
  <si>
    <t>SP_Kamikaze_42000_0</t>
  </si>
  <si>
    <t>355.95;-168.53</t>
  </si>
  <si>
    <t>SP_MineSmall_Static_25000_0</t>
  </si>
  <si>
    <t>236.6;-85.6</t>
  </si>
  <si>
    <t>426.8;-232.54</t>
  </si>
  <si>
    <t>581.38;-10.22</t>
  </si>
  <si>
    <t>615.49;165.57</t>
  </si>
  <si>
    <t>SP_EnemyTier2_18000_0</t>
  </si>
  <si>
    <t>432.90002;-50.56</t>
  </si>
  <si>
    <t>131.63004;-11.03</t>
  </si>
  <si>
    <t>409.48004;-23.43</t>
  </si>
  <si>
    <t>569.04;-254.27</t>
  </si>
  <si>
    <t>247.02002;-32.03</t>
  </si>
  <si>
    <t>132.33;-299.33</t>
  </si>
  <si>
    <t>621.7;173.9</t>
  </si>
  <si>
    <t>SP_Miner03_Mix_0_30000</t>
  </si>
  <si>
    <t>-54.95;-259.03</t>
  </si>
  <si>
    <t>51.2;-176.1</t>
  </si>
  <si>
    <t>SP_Villager_Mix_0_25000</t>
  </si>
  <si>
    <t>510.06003;-10.71</t>
  </si>
  <si>
    <t>386.36993;-170.48999</t>
  </si>
  <si>
    <t>140.43002;-11.35</t>
  </si>
  <si>
    <t>34.309998;-70.01</t>
  </si>
  <si>
    <t>640.2;192.8</t>
  </si>
  <si>
    <t>498.89996;203</t>
  </si>
  <si>
    <t>517.03;-278.62</t>
  </si>
  <si>
    <t>192.20001;-48.4</t>
  </si>
  <si>
    <t>98.33002;-32.01</t>
  </si>
  <si>
    <t>SP_Worker_Mix_0_38000</t>
  </si>
  <si>
    <t>362.2;-143.4</t>
  </si>
  <si>
    <t>144.31;-191.09</t>
  </si>
  <si>
    <t>624.60004;60.72</t>
  </si>
  <si>
    <t>399.62003;-152.65</t>
  </si>
  <si>
    <t>-5.57;-303.2</t>
  </si>
  <si>
    <t>448.39;-46.07</t>
  </si>
  <si>
    <t>441.60004;-34.1</t>
  </si>
  <si>
    <t>20.61;-335</t>
  </si>
  <si>
    <t>611.82;17.6</t>
  </si>
  <si>
    <t>407.10004;-21.25</t>
  </si>
  <si>
    <t>693.31;-220.65</t>
  </si>
  <si>
    <t>717.36;-223.94</t>
  </si>
  <si>
    <t>337.7;-215.7</t>
  </si>
  <si>
    <t>538.96;85.42</t>
  </si>
  <si>
    <t>-36.94;-299.6</t>
  </si>
  <si>
    <t>SP_BatBig_Flock_17000_0</t>
  </si>
  <si>
    <t>599.42004;-25.13</t>
  </si>
  <si>
    <t>686.09;-309.17</t>
  </si>
  <si>
    <t>433.4;-335.1</t>
  </si>
  <si>
    <t>210.90002;-61.21</t>
  </si>
  <si>
    <t>265.86;-356.34</t>
  </si>
  <si>
    <t>100.5;-347.1</t>
  </si>
  <si>
    <t>368.31003;-49.5</t>
  </si>
  <si>
    <t>596.4;-42.7</t>
  </si>
  <si>
    <t>255;-237.1</t>
  </si>
  <si>
    <t>578.50006;204.6</t>
  </si>
  <si>
    <t>590.9;-258.4</t>
  </si>
  <si>
    <t>151.5;-334.82</t>
  </si>
  <si>
    <t>420.77;-296.4</t>
  </si>
  <si>
    <t>-46.56;131.93</t>
  </si>
  <si>
    <t>753.4;-309.9</t>
  </si>
  <si>
    <t>SP_SpiderRed_21000_0</t>
  </si>
  <si>
    <t>337.2;-15.68</t>
  </si>
  <si>
    <t>415.40002;-85.399994</t>
  </si>
  <si>
    <t>SP_Rat_17000_0</t>
  </si>
  <si>
    <t>583.63;-58.5</t>
  </si>
  <si>
    <t>SP_Fish_Random_Generic_17000_0</t>
  </si>
  <si>
    <t>600.62;-67.79</t>
  </si>
  <si>
    <t>258.73;-322.34</t>
  </si>
  <si>
    <t>522.99005;-10.9</t>
  </si>
  <si>
    <t>SP_Villager_Mix_0_20000</t>
  </si>
  <si>
    <t>SP_Kamikaze_35000_0</t>
  </si>
  <si>
    <t>445.1;-330.4</t>
  </si>
  <si>
    <t>442.8;-148.2</t>
  </si>
  <si>
    <t>595.44;10.98</t>
  </si>
  <si>
    <t>SP_MineSmall_0_45000</t>
  </si>
  <si>
    <t>666.2;68.5</t>
  </si>
  <si>
    <t>150.79004;-17.99</t>
  </si>
  <si>
    <t>304.8;-156.8</t>
  </si>
  <si>
    <t>276.38;-157.65</t>
  </si>
  <si>
    <t>760.97;-341.85</t>
  </si>
  <si>
    <t>332.28;-57.47</t>
  </si>
  <si>
    <t>SP_BatBig_Flock_41000_0</t>
  </si>
  <si>
    <t>359.16003;-28.07</t>
  </si>
  <si>
    <t>571.57;-63.7</t>
  </si>
  <si>
    <t>SP_SpiderSmallTurret_34000_0</t>
  </si>
  <si>
    <t>249.87003;-29.25</t>
  </si>
  <si>
    <t>84.3;-350.30002</t>
  </si>
  <si>
    <t>SP_Archer02_Static_17000_0</t>
  </si>
  <si>
    <t>482.31003;8.51</t>
  </si>
  <si>
    <t>510.50003;111.2</t>
  </si>
  <si>
    <t>767.1;-291.42</t>
  </si>
  <si>
    <t>SP_Worker_Mix_20000_46000</t>
  </si>
  <si>
    <t>65.74002;-36.07</t>
  </si>
  <si>
    <t>SP_SpiderSmallTurret_32000_0</t>
  </si>
  <si>
    <t>122.410034;-33.82</t>
  </si>
  <si>
    <t>624.11005;3.94</t>
  </si>
  <si>
    <t>611.8;-256.1</t>
  </si>
  <si>
    <t>446.5;100.77</t>
  </si>
  <si>
    <t>270.63004;-58.8</t>
  </si>
  <si>
    <t>17.4;-274.7</t>
  </si>
  <si>
    <t>349.9;-62.6</t>
  </si>
  <si>
    <t>332.9;-149</t>
  </si>
  <si>
    <t>477.24002;126.44</t>
  </si>
  <si>
    <t>616.8;56</t>
  </si>
  <si>
    <t>SP_Spartakus_18000_0</t>
  </si>
  <si>
    <t>65.74002;-69.5</t>
  </si>
  <si>
    <t>741.13;-294.02</t>
  </si>
  <si>
    <t>156.83;-220.06</t>
  </si>
  <si>
    <t>478.79996;198.1</t>
  </si>
  <si>
    <t>SP_Villager_Mix_0_27000</t>
  </si>
  <si>
    <t>572.49005;-10</t>
  </si>
  <si>
    <t>749.28;-296.15</t>
  </si>
  <si>
    <t>97.78003;-18.06</t>
  </si>
  <si>
    <t>650.5;-289.8</t>
  </si>
  <si>
    <t>477.98;-343.07</t>
  </si>
  <si>
    <t>358.44;-187.9</t>
  </si>
  <si>
    <t>133.51001;-28.06</t>
  </si>
  <si>
    <t>122.07999;-213.01999</t>
  </si>
  <si>
    <t>SP_PufferBird_18000_40000</t>
  </si>
  <si>
    <t>355.77002;-27.63</t>
  </si>
  <si>
    <t>-44.74597;73.36548</t>
  </si>
  <si>
    <t>SP_SpiderSmall_27000_0</t>
  </si>
  <si>
    <t>250.00003;-37.47</t>
  </si>
  <si>
    <t>666.6;-314.2</t>
  </si>
  <si>
    <t>679;-302.2</t>
  </si>
  <si>
    <t>534.03;-61.34</t>
  </si>
  <si>
    <t>361.43;-357.52</t>
  </si>
  <si>
    <t>138.65002;-11.49</t>
  </si>
  <si>
    <t>SP_Spartakus_20000_0</t>
  </si>
  <si>
    <t>75.77002;-35.6</t>
  </si>
  <si>
    <t>175.7;-46.7</t>
  </si>
  <si>
    <t>SP_Ghost01_0_34000</t>
  </si>
  <si>
    <t>215.8;-42.1</t>
  </si>
  <si>
    <t>331.19;-234.54</t>
  </si>
  <si>
    <t>SP_Canary_Random_Flock_15000_0</t>
  </si>
  <si>
    <t>457.58002;-36.56</t>
  </si>
  <si>
    <t>301.06003;-38.99</t>
  </si>
  <si>
    <t>496.60004;42.35</t>
  </si>
  <si>
    <t>669.30005;57.6</t>
  </si>
  <si>
    <t>SP_Guardian_45000_0</t>
  </si>
  <si>
    <t>140.3;-219.2</t>
  </si>
  <si>
    <t>482.60004;-56.91</t>
  </si>
  <si>
    <t>500.03;-278.43</t>
  </si>
  <si>
    <t>SP_Villager_Mix_0_31000</t>
  </si>
  <si>
    <t>469.88004;-10.64</t>
  </si>
  <si>
    <t>350.89;-186.7</t>
  </si>
  <si>
    <t>SP_SpiderSmallTurret_27000_0</t>
  </si>
  <si>
    <t>121.10004;-33.19</t>
  </si>
  <si>
    <t>SP_SpiderRed_17000_0</t>
  </si>
  <si>
    <t>482.66003;-27.73</t>
  </si>
  <si>
    <t>104.9;-86.43</t>
  </si>
  <si>
    <t>451.30002;16.3</t>
  </si>
  <si>
    <t>544.88;23.97</t>
  </si>
  <si>
    <t>720.2;189.6</t>
  </si>
  <si>
    <t>70;-37.48001</t>
  </si>
  <si>
    <t>439.29004;54.5</t>
  </si>
  <si>
    <t>101.95;-95.85</t>
  </si>
  <si>
    <t>402.37;-322.1</t>
  </si>
  <si>
    <t>566.27;-248.45</t>
  </si>
  <si>
    <t>260.90002;-80.4</t>
  </si>
  <si>
    <t>690.42;127.28</t>
  </si>
  <si>
    <t>404;-357.2</t>
  </si>
  <si>
    <t>SP_StingraySmall_0_32000</t>
  </si>
  <si>
    <t>726.87;-324.09</t>
  </si>
  <si>
    <t>420.99002;84.74</t>
  </si>
  <si>
    <t>532.06;59.17</t>
  </si>
  <si>
    <t>SP_Fish_Random_Generic_30000_0</t>
  </si>
  <si>
    <t>-64.36124;73.34481</t>
  </si>
  <si>
    <t>142.28003;-27.53</t>
  </si>
  <si>
    <t>750.11;-334.1</t>
  </si>
  <si>
    <t>665.48;-272.66</t>
  </si>
  <si>
    <t>243.1;-51.82</t>
  </si>
  <si>
    <t>661.82;-331.28</t>
  </si>
  <si>
    <t>4.6;-287.68</t>
  </si>
  <si>
    <t>569.5;103.28</t>
  </si>
  <si>
    <t>SP_Soldier01_25000_0</t>
  </si>
  <si>
    <t>536.53;-11.13</t>
  </si>
  <si>
    <t>252.80997;-303.41998</t>
  </si>
  <si>
    <t>138.44;-190.64</t>
  </si>
  <si>
    <t>SP_SpiderSmallTurret_36000_0</t>
  </si>
  <si>
    <t>251.05002;-31.54</t>
  </si>
  <si>
    <t>540.81;-61</t>
  </si>
  <si>
    <t>271.40002;-54.99</t>
  </si>
  <si>
    <t>398.4;-174.3</t>
  </si>
  <si>
    <t>763.48;-338.8</t>
  </si>
  <si>
    <t>-109.29999;-350.47</t>
  </si>
  <si>
    <t>571.01;88.55</t>
  </si>
  <si>
    <t>535.16;-193.66</t>
  </si>
  <si>
    <t>122.26001;-30.4</t>
  </si>
  <si>
    <t>554.7;29.4</t>
  </si>
  <si>
    <t>515.69;-50.13</t>
  </si>
  <si>
    <t>59.350037;-96.25</t>
  </si>
  <si>
    <t>472.16003;62.56</t>
  </si>
  <si>
    <t>579.8;105.2</t>
  </si>
  <si>
    <t>587.74;-148.75</t>
  </si>
  <si>
    <t>528.9;51.41</t>
  </si>
  <si>
    <t>SP_SpiderSmallTurret_26000_0</t>
  </si>
  <si>
    <t>121.73001;-25.26</t>
  </si>
  <si>
    <t>597.5;47</t>
  </si>
  <si>
    <t>647.58;78.7</t>
  </si>
  <si>
    <t>437.72003;61.63</t>
  </si>
  <si>
    <t>601.68005;-57.89</t>
  </si>
  <si>
    <t>SP_Archer02_Static_19000_30000</t>
  </si>
  <si>
    <t>673.64996;-221.8</t>
  </si>
  <si>
    <t>233.9;-265.7</t>
  </si>
  <si>
    <t>475.56;17.86</t>
  </si>
  <si>
    <t>225.42;-339.26</t>
  </si>
  <si>
    <t>SP_Fish_Random_Generic_20000_0</t>
  </si>
  <si>
    <t>384.80002;-93.3</t>
  </si>
  <si>
    <t>314.8;-206.1</t>
  </si>
  <si>
    <t>153.53;-93.86</t>
  </si>
  <si>
    <t>SP_Canary_Random_Flock_16100_0</t>
  </si>
  <si>
    <t>610.64;-4.1</t>
  </si>
  <si>
    <t>287.32;-178.6</t>
  </si>
  <si>
    <t>679.1;-222.38</t>
  </si>
  <si>
    <t>-62.399994;-247.40001</t>
  </si>
  <si>
    <t>SP_Miner01_Mix_0_32000</t>
  </si>
  <si>
    <t>576.5;186.8</t>
  </si>
  <si>
    <t>208.7;-328.4</t>
  </si>
  <si>
    <t>485.03;21.19</t>
  </si>
  <si>
    <t>545.4;-318.9</t>
  </si>
  <si>
    <t>608.44;-138.46</t>
  </si>
  <si>
    <t>535.1;20.8</t>
  </si>
  <si>
    <t>202.42001;-51.02</t>
  </si>
  <si>
    <t>SP_Miner02_Mix_0_24000</t>
  </si>
  <si>
    <t>105.64;-188.19</t>
  </si>
  <si>
    <t>543.4;170.7</t>
  </si>
  <si>
    <t>402.17004;6.35</t>
  </si>
  <si>
    <t>SP_SpiderGreenTurret_42000_0</t>
  </si>
  <si>
    <t>257.86;-351.05</t>
  </si>
  <si>
    <t>SP_Fish_Random_Generic_28000_0</t>
  </si>
  <si>
    <t>220.01001;-79.3</t>
  </si>
  <si>
    <t>163.8;-211.9</t>
  </si>
  <si>
    <t>239.36;-308.23</t>
  </si>
  <si>
    <t>53.399994;-145.8</t>
  </si>
  <si>
    <t>125.19003;-27.04</t>
  </si>
  <si>
    <t>786.69;-335.24</t>
  </si>
  <si>
    <t>543.80005;80.7</t>
  </si>
  <si>
    <t>387.6;-243.49</t>
  </si>
  <si>
    <t>558.7;-269.7</t>
  </si>
  <si>
    <t>545.9;-287.3</t>
  </si>
  <si>
    <t>523.65;29.02</t>
  </si>
  <si>
    <t>597.3;-150.6</t>
  </si>
  <si>
    <t>-49.2;-271.5</t>
  </si>
  <si>
    <t>163.29999;-343</t>
  </si>
  <si>
    <t>156.33002;-46.3</t>
  </si>
  <si>
    <t>330.07;-53.37</t>
  </si>
  <si>
    <t>617.2;-1.2</t>
  </si>
  <si>
    <t>712.94684;-269.81378</t>
  </si>
  <si>
    <t>42.8;-331.2</t>
  </si>
  <si>
    <t>458.63004;68.81</t>
  </si>
  <si>
    <t>729.3;192.8</t>
  </si>
  <si>
    <t>411.15002;-24.45</t>
  </si>
  <si>
    <t>499.80002;106.5</t>
  </si>
  <si>
    <t>593.5;182.5</t>
  </si>
  <si>
    <t>SP_SpiderSmallTurret_41000_0</t>
  </si>
  <si>
    <t>24.190002;-87.99</t>
  </si>
  <si>
    <t>612.4;202.7</t>
  </si>
  <si>
    <t>431.7;-152.8</t>
  </si>
  <si>
    <t>243.13004;-93.43</t>
  </si>
  <si>
    <t>SP_GoblinWarMachine_38000_0</t>
  </si>
  <si>
    <t>528.96;-166.08</t>
  </si>
  <si>
    <t>257.90002;-77.6</t>
  </si>
  <si>
    <t>721.78;-302.26</t>
  </si>
  <si>
    <t>118.9;-213.8</t>
  </si>
  <si>
    <t>274.2;-75.4</t>
  </si>
  <si>
    <t>370.97;-35.3</t>
  </si>
  <si>
    <t>SP_Worker_Mix_22000_0</t>
  </si>
  <si>
    <t>85.70001;-33.7</t>
  </si>
  <si>
    <t>SP_SpiderSmallTurret_39000_0</t>
  </si>
  <si>
    <t>127.05002;-31.9</t>
  </si>
  <si>
    <t>527.60004;175.9</t>
  </si>
  <si>
    <t>-138;-12</t>
  </si>
  <si>
    <t>658.5;-215.6</t>
  </si>
  <si>
    <t>717.2;-258.75</t>
  </si>
  <si>
    <t>43.799988;-85.89</t>
  </si>
  <si>
    <t>575.44;-302.78</t>
  </si>
  <si>
    <t>490.6;204.3</t>
  </si>
  <si>
    <t>600.4001;32.4</t>
  </si>
  <si>
    <t>615.4;102.6</t>
  </si>
  <si>
    <t>266.03003;-82.9</t>
  </si>
  <si>
    <t>116.46;-197.68</t>
  </si>
  <si>
    <t>SP_Villager_Mix_0_17000</t>
  </si>
  <si>
    <t>506.39;-10.69</t>
  </si>
  <si>
    <t>200.85999;-292.44</t>
  </si>
  <si>
    <t>468.69995;185.70001</t>
  </si>
  <si>
    <t>-1;-302.8</t>
  </si>
  <si>
    <t>122.900024;-28.22</t>
  </si>
  <si>
    <t>710.61993;-215.50002</t>
  </si>
  <si>
    <t>730.6;200.4</t>
  </si>
  <si>
    <t>734.12;-332.9</t>
  </si>
  <si>
    <t>205.89;-286.56</t>
  </si>
  <si>
    <t>522.10004;2.36</t>
  </si>
  <si>
    <t>646.29;-292.64</t>
  </si>
  <si>
    <t>479.39996;176.9</t>
  </si>
  <si>
    <t>779.85;-322.64</t>
  </si>
  <si>
    <t>11;-309.82</t>
  </si>
  <si>
    <t>396.2;-192.86</t>
  </si>
  <si>
    <t>505.07;-76.41</t>
  </si>
  <si>
    <t>781.94;-338.28</t>
  </si>
  <si>
    <t>523.8;116.03</t>
  </si>
  <si>
    <t>645.64;-194.34</t>
  </si>
  <si>
    <t>450.16;-246.08</t>
  </si>
  <si>
    <t>705.39996;170.7</t>
  </si>
  <si>
    <t>410.89;-21.93</t>
  </si>
  <si>
    <t>SP_MineSmall_Static_14000_0</t>
  </si>
  <si>
    <t>413.82;-55.74</t>
  </si>
  <si>
    <t>412.15;-226.46</t>
  </si>
  <si>
    <t>350.2;-22.5</t>
  </si>
  <si>
    <t>341.41;-211.4</t>
  </si>
  <si>
    <t>425.01;-25.31</t>
  </si>
  <si>
    <t>144.1;-334.5</t>
  </si>
  <si>
    <t>452.38004;54.02</t>
  </si>
  <si>
    <t>433.91;-187.04</t>
  </si>
  <si>
    <t>489.7;45.6</t>
  </si>
  <si>
    <t>567.1;-270.73</t>
  </si>
  <si>
    <t>513.53;-179.6</t>
  </si>
  <si>
    <t>425.1;-334.8</t>
  </si>
  <si>
    <t>593.63;-137.55</t>
  </si>
  <si>
    <t>161.62;-198.78001</t>
  </si>
  <si>
    <t>268.19;-315.38</t>
  </si>
  <si>
    <t>-441.49155;-302.41107</t>
  </si>
  <si>
    <t>SP_SpiderSmall_24000_0</t>
  </si>
  <si>
    <t>410.48004;32.83</t>
  </si>
  <si>
    <t>418.60004;97.3</t>
  </si>
  <si>
    <t>530.39;-62.93</t>
  </si>
  <si>
    <t>773.7519;-296.70947</t>
  </si>
  <si>
    <t>SP_MineBig_41000_0</t>
  </si>
  <si>
    <t>595.4;39.42</t>
  </si>
  <si>
    <t>25.3;-284.9</t>
  </si>
  <si>
    <t>SP_Vulture_40000_0</t>
  </si>
  <si>
    <t>489.78003;14.69</t>
  </si>
  <si>
    <t>660.42;-260.45</t>
  </si>
  <si>
    <t>647.8;-308.7</t>
  </si>
  <si>
    <t>406.6;-103.1</t>
  </si>
  <si>
    <t>427.88;-206.71999</t>
  </si>
  <si>
    <t>276.4;-157.51</t>
  </si>
  <si>
    <t>330.8;-343.4</t>
  </si>
  <si>
    <t>519.53;-57.51</t>
  </si>
  <si>
    <t>SP_SpiderSmallTurret_28000_0</t>
  </si>
  <si>
    <t>125.84003;-29.31</t>
  </si>
  <si>
    <t>SP_Archer02_Static_21000_0</t>
  </si>
  <si>
    <t>473.29004;8.51</t>
  </si>
  <si>
    <t>360.50003;-49.9</t>
  </si>
  <si>
    <t>708.1;-257.1</t>
  </si>
  <si>
    <t>245.63004;-34.11</t>
  </si>
  <si>
    <t>578.8;33.8</t>
  </si>
  <si>
    <t>419.69;-48.46</t>
  </si>
  <si>
    <t>609.60004;25.73</t>
  </si>
  <si>
    <t>553.15;-12.06</t>
  </si>
  <si>
    <t>602.37;-40.8</t>
  </si>
  <si>
    <t>556.16;-182.2</t>
  </si>
  <si>
    <t>252.64;-324.28</t>
  </si>
  <si>
    <t>509.24002;-10.9</t>
  </si>
  <si>
    <t>513.08;-218.99</t>
  </si>
  <si>
    <t>510.67;-278.43</t>
  </si>
  <si>
    <t>537.14;49.24</t>
  </si>
  <si>
    <t>511.00003;166.8</t>
  </si>
  <si>
    <t>SP_Canary_Random_Flock_12100_30000</t>
  </si>
  <si>
    <t>597.60004;7.02</t>
  </si>
  <si>
    <t>447.52997;-145.90999</t>
  </si>
  <si>
    <t>556.80005;141.5</t>
  </si>
  <si>
    <t>601.65;85.77</t>
  </si>
  <si>
    <t>PF_Box</t>
  </si>
  <si>
    <t>518.26;-12.04</t>
  </si>
  <si>
    <t>23.590012;-37.53</t>
  </si>
  <si>
    <t>-1.91;-318.5</t>
  </si>
  <si>
    <t>564.7;-288.45</t>
  </si>
  <si>
    <t>SP_BadJunk_15000_0</t>
  </si>
  <si>
    <t>519.5;31.6</t>
  </si>
  <si>
    <t>442.55;-224.91</t>
  </si>
  <si>
    <t>334.1;-151.5</t>
  </si>
  <si>
    <t>573.44;-150.59</t>
  </si>
  <si>
    <t>736.95;-262.95</t>
  </si>
  <si>
    <t>620.30005;34.28</t>
  </si>
  <si>
    <t>498.54004;55.75</t>
  </si>
  <si>
    <t>501.09998;189.6</t>
  </si>
  <si>
    <t>46.3;-318.86</t>
  </si>
  <si>
    <t>560.8;-318.7</t>
  </si>
  <si>
    <t>600.03;73.53</t>
  </si>
  <si>
    <t>155.1;-338.9</t>
  </si>
  <si>
    <t>528.05;-194.75</t>
  </si>
  <si>
    <t>-500.1;-339.47</t>
  </si>
  <si>
    <t>191.90002;-42.6</t>
  </si>
  <si>
    <t>623.56006;10.28</t>
  </si>
  <si>
    <t>SP_GoblinWarMachine_42000_0</t>
  </si>
  <si>
    <t>570.04;-262</t>
  </si>
  <si>
    <t>492.07;128.57</t>
  </si>
  <si>
    <t>629.2;22.58</t>
  </si>
  <si>
    <t>605.28;84.05</t>
  </si>
  <si>
    <t>602.5;-289.6</t>
  </si>
  <si>
    <t>78.46;-336.2</t>
  </si>
  <si>
    <t>516.6;-269.9</t>
  </si>
  <si>
    <t>560.29;-255.78998</t>
  </si>
  <si>
    <t>246.62003;-37.34</t>
  </si>
  <si>
    <t>188.29999;-311.1</t>
  </si>
  <si>
    <t>-57.9;-270.9</t>
  </si>
  <si>
    <t>603.7;-69.7</t>
  </si>
  <si>
    <t>648.5;13</t>
  </si>
  <si>
    <t>221.00003;-29.8</t>
  </si>
  <si>
    <t>-56.42;77.61</t>
  </si>
  <si>
    <t>187.70001;-52.37</t>
  </si>
  <si>
    <t>568;132.79</t>
  </si>
  <si>
    <t>247.71002;-47.18</t>
  </si>
  <si>
    <t>578.46;-10.69</t>
  </si>
  <si>
    <t>SP_SpiderSmallTurret_0_41000</t>
  </si>
  <si>
    <t>255.82;-355.55</t>
  </si>
  <si>
    <t>537.80005;-10.9</t>
  </si>
  <si>
    <t>196.60004;-29.97</t>
  </si>
  <si>
    <t>295.58;-301.60995</t>
  </si>
  <si>
    <t>SP_Crow_Flock_0_35000</t>
  </si>
  <si>
    <t>235.62003;-56.35</t>
  </si>
  <si>
    <t>473.65;-180.78</t>
  </si>
  <si>
    <t>SP_SpiderRed_27000_0</t>
  </si>
  <si>
    <t>137.19003;-26.32</t>
  </si>
  <si>
    <t>58.11;-317.66</t>
  </si>
  <si>
    <t>374.71;-36.15</t>
  </si>
  <si>
    <t>SP_Bomber_27000_0</t>
  </si>
  <si>
    <t>10.099976;-291.73</t>
  </si>
  <si>
    <t>450.44;-322.62</t>
  </si>
  <si>
    <t>658.39;138.8</t>
  </si>
  <si>
    <t>522.9;-133.7</t>
  </si>
  <si>
    <t>339.08;-234.97</t>
  </si>
  <si>
    <t>442.92;-322.82</t>
  </si>
  <si>
    <t>264.74;-316.69</t>
  </si>
  <si>
    <t>557.10004;157.4</t>
  </si>
  <si>
    <t>475.00003;119.5</t>
  </si>
  <si>
    <t>264.89;-307.59</t>
  </si>
  <si>
    <t>523.69;-278.5</t>
  </si>
  <si>
    <t>570.01;-57.77</t>
  </si>
  <si>
    <t>500.56;100.68</t>
  </si>
  <si>
    <t>685.9;-246.48</t>
  </si>
  <si>
    <t>138.44003;-26.29</t>
  </si>
  <si>
    <t>447.11;-334.96</t>
  </si>
  <si>
    <t>556.96;52.38</t>
  </si>
  <si>
    <t>-61.4;-291.4</t>
  </si>
  <si>
    <t>555.86;-332.62</t>
  </si>
  <si>
    <t>639.10004;182.5</t>
  </si>
  <si>
    <t>640.39;-329.41</t>
  </si>
  <si>
    <t>724.7;-327.7</t>
  </si>
  <si>
    <t>617;185.9</t>
  </si>
  <si>
    <t>203.5;-318.2</t>
  </si>
  <si>
    <t>415.05;-187.7</t>
  </si>
  <si>
    <t>SP_SpiderSmallTurret_33000_0</t>
  </si>
  <si>
    <t>249.78003;-30.75</t>
  </si>
  <si>
    <t>SP_SpiderSmall_32000_0</t>
  </si>
  <si>
    <t>329.60004;-48.67</t>
  </si>
  <si>
    <t>219.92;-271.57</t>
  </si>
  <si>
    <t>355;-351.4</t>
  </si>
  <si>
    <t>204.38004;-82.83</t>
  </si>
  <si>
    <t>425.10004;80.7</t>
  </si>
  <si>
    <t>71.9;-182.2</t>
  </si>
  <si>
    <t>SP_BatBig_Flock_46000_0</t>
  </si>
  <si>
    <t>226.03;-339.07</t>
  </si>
  <si>
    <t>SP_Fish_Random_Generic_21000_0</t>
  </si>
  <si>
    <t>410.7;-76.3</t>
  </si>
  <si>
    <t>355.44;-57.1</t>
  </si>
  <si>
    <t>135.84;-190.79</t>
  </si>
  <si>
    <t>463.64;120.92</t>
  </si>
  <si>
    <t>80.360016;-71.52</t>
  </si>
  <si>
    <t>564.60004;4.05</t>
  </si>
  <si>
    <t>151.59003;-35.85</t>
  </si>
  <si>
    <t>302.73;-302.66</t>
  </si>
  <si>
    <t>508.69;-269.22</t>
  </si>
  <si>
    <t>485.11;-316</t>
  </si>
  <si>
    <t>33.01001;-44.3</t>
  </si>
  <si>
    <t>305.34003;-39.52</t>
  </si>
  <si>
    <t>661.03;-237.3</t>
  </si>
  <si>
    <t>451.14996;-147.12</t>
  </si>
  <si>
    <t>421.65;-233.97</t>
  </si>
  <si>
    <t>99;-354.9</t>
  </si>
  <si>
    <t>550.25;-270.88</t>
  </si>
  <si>
    <t>480.99002;-25.56</t>
  </si>
  <si>
    <t>SP_Ghost01_0_20000</t>
  </si>
  <si>
    <t>204.9;-46.9</t>
  </si>
  <si>
    <t>-28.81;74.45</t>
  </si>
  <si>
    <t>523.30005;73.1</t>
  </si>
  <si>
    <t>462.9;163.9</t>
  </si>
  <si>
    <t>494.88004;-20.82</t>
  </si>
  <si>
    <t>678.00995;-221.14001</t>
  </si>
  <si>
    <t>538.56;-61</t>
  </si>
  <si>
    <t>564.53;-240.88</t>
  </si>
  <si>
    <t>35.350037;-93.21</t>
  </si>
  <si>
    <t>563.67;-289.72</t>
  </si>
  <si>
    <t>713.3;145.5</t>
  </si>
  <si>
    <t>401.8;-163.1</t>
  </si>
  <si>
    <t>-16.91;72.15</t>
  </si>
  <si>
    <t>35.073975;-95.41354</t>
  </si>
  <si>
    <t>SP_Ghost02_21000_0</t>
  </si>
  <si>
    <t>184.17;-42.17</t>
  </si>
  <si>
    <t>648.67;-314.93</t>
  </si>
  <si>
    <t>512.18;-241.58</t>
  </si>
  <si>
    <t>548.7;51.9</t>
  </si>
  <si>
    <t>656.57;61.81</t>
  </si>
  <si>
    <t>SP_Bomber_40000_0</t>
  </si>
  <si>
    <t>573.9;-329.5</t>
  </si>
  <si>
    <t>321.3;-347.5</t>
  </si>
  <si>
    <t>202.73;-352.78003</t>
  </si>
  <si>
    <t>674.92;-226.23</t>
  </si>
  <si>
    <t>SP_Hawk_12000_0</t>
  </si>
  <si>
    <t>409.50003;122.4</t>
  </si>
  <si>
    <t>SP_DrunkenMan_0_16000</t>
  </si>
  <si>
    <t>240.6;-189.5</t>
  </si>
  <si>
    <t>407.7;-190.1</t>
  </si>
  <si>
    <t>659.8;-248.4</t>
  </si>
  <si>
    <t>734.2;-266.85</t>
  </si>
  <si>
    <t>569.47003;27.6</t>
  </si>
  <si>
    <t>309.9;-174.2</t>
  </si>
  <si>
    <t>764.92;-306.19</t>
  </si>
  <si>
    <t>590.5;20.700005</t>
  </si>
  <si>
    <t>47.92;-146.86</t>
  </si>
  <si>
    <t>608.4;51.8</t>
  </si>
  <si>
    <t>466.86002;-37.86</t>
  </si>
  <si>
    <t>534.7;-152.6</t>
  </si>
  <si>
    <t>99.30002;-54.5</t>
  </si>
  <si>
    <t>SP_Fish_Random_Generic_15000_0</t>
  </si>
  <si>
    <t>560.78;-75.7</t>
  </si>
  <si>
    <t>668.1;-262.2</t>
  </si>
  <si>
    <t>653.4;-234.3</t>
  </si>
  <si>
    <t>521.7;211.5</t>
  </si>
  <si>
    <t>640.42;132.29</t>
  </si>
  <si>
    <t>425.39;-187.92</t>
  </si>
  <si>
    <t>111.900024;-50.3</t>
  </si>
  <si>
    <t>185.3;-172.47</t>
  </si>
  <si>
    <t>599.7;189.6</t>
  </si>
  <si>
    <t>21.21997;-149.39</t>
  </si>
  <si>
    <t>-53.02;-286.32</t>
  </si>
  <si>
    <t>584.58;-240.96</t>
  </si>
  <si>
    <t>580.67004;-58.63</t>
  </si>
  <si>
    <t>82.6;-349.1</t>
  </si>
  <si>
    <t>592.39;126.62</t>
  </si>
  <si>
    <t>280.27;-157.85</t>
  </si>
  <si>
    <t>SP_Ghost01_0_18000</t>
  </si>
  <si>
    <t>174.9;-51.3</t>
  </si>
  <si>
    <t>424.81;-241.8</t>
  </si>
  <si>
    <t>601.23;-231.73</t>
  </si>
  <si>
    <t>589.6;-325.4</t>
  </si>
  <si>
    <t>35.79001;-31.91</t>
  </si>
  <si>
    <t>234.39998;-352.94998</t>
  </si>
  <si>
    <t>141.54004;-26.72</t>
  </si>
  <si>
    <t>557.44;-12.06</t>
  </si>
  <si>
    <t>24.360046;-74.67</t>
  </si>
  <si>
    <t>682.7001;148.40001</t>
  </si>
  <si>
    <t>343.63;-32.28</t>
  </si>
  <si>
    <t>423.50003;22.5</t>
  </si>
  <si>
    <t>248.92001;-37.47</t>
  </si>
  <si>
    <t>506.05;-158.93</t>
  </si>
  <si>
    <t>SP_SpiderRed_20000_0</t>
  </si>
  <si>
    <t>336.93002;-21.04</t>
  </si>
  <si>
    <t>312.75003;-42.43</t>
  </si>
  <si>
    <t>410.86;-243.41</t>
  </si>
  <si>
    <t>350.69;-15.63</t>
  </si>
  <si>
    <t>-61.87;-260.38</t>
  </si>
  <si>
    <t>528.54;-172.01</t>
  </si>
  <si>
    <t>447.74997;-148.37</t>
  </si>
  <si>
    <t>134.5;-307.32</t>
  </si>
  <si>
    <t>559;22</t>
  </si>
  <si>
    <t>366.1;-350.1</t>
  </si>
  <si>
    <t>SP_Hawk_18000_0</t>
  </si>
  <si>
    <t>526.87;121.97</t>
  </si>
  <si>
    <t>753.9;-338.02</t>
  </si>
  <si>
    <t>532.10004;41.2</t>
  </si>
  <si>
    <t>226.4;-171.9</t>
  </si>
  <si>
    <t>573.10004;42.5</t>
  </si>
  <si>
    <t>644.34;6.42</t>
  </si>
  <si>
    <t>776.86;-329.21</t>
  </si>
  <si>
    <t>SP_Bomber_24000_0</t>
  </si>
  <si>
    <t>63.340027;-98.68</t>
  </si>
  <si>
    <t>SP_SpiderSmallTurret_42000_0</t>
  </si>
  <si>
    <t>22.160034;-81.44</t>
  </si>
  <si>
    <t>641.55;41.4</t>
  </si>
  <si>
    <t>597.60004;6.89</t>
  </si>
  <si>
    <t>SP_GoodJunkBottle_31000_0</t>
  </si>
  <si>
    <t>173.79999;-76.65</t>
  </si>
  <si>
    <t>637.82;35.49</t>
  </si>
  <si>
    <t>561.52;69.07</t>
  </si>
  <si>
    <t>777.39;-323.8</t>
  </si>
  <si>
    <t>133.44003;-9.53</t>
  </si>
  <si>
    <t>134.52;-220.7</t>
  </si>
  <si>
    <t>444.42;-232.04</t>
  </si>
  <si>
    <t>494.47003;-33.04</t>
  </si>
  <si>
    <t>SP_Kamikaze_46000_0</t>
  </si>
  <si>
    <t>107.46002;-20.16</t>
  </si>
  <si>
    <t>652.5;-211.2</t>
  </si>
  <si>
    <t>587.54004;77.31</t>
  </si>
  <si>
    <t>314.85;-148.08</t>
  </si>
  <si>
    <t>556.30005;136.9</t>
  </si>
  <si>
    <t>574.68005;-10.9</t>
  </si>
  <si>
    <t>575.14;-261.38</t>
  </si>
  <si>
    <t>731.39;-273.72</t>
  </si>
  <si>
    <t>489;-314.7</t>
  </si>
  <si>
    <t>SP_MineBig_28000_0</t>
  </si>
  <si>
    <t>627.2;12.23</t>
  </si>
  <si>
    <t>159.60004;-58.6</t>
  </si>
  <si>
    <t>SP_MineSmall_Static_26000_0</t>
  </si>
  <si>
    <t>168.2;-92</t>
  </si>
  <si>
    <t>516.9;7.2</t>
  </si>
  <si>
    <t>228.24002;-33.67</t>
  </si>
  <si>
    <t>393.03;-333.11</t>
  </si>
  <si>
    <t>183.70001;-188.7</t>
  </si>
  <si>
    <t>442.65;193.8</t>
  </si>
  <si>
    <t>346.43;-33.440002</t>
  </si>
  <si>
    <t>SP_GoodJunkBottle_29000_0</t>
  </si>
  <si>
    <t>226.27002;-85</t>
  </si>
  <si>
    <t>409.08;-174.1</t>
  </si>
  <si>
    <t>238.73;-315.15</t>
  </si>
  <si>
    <t>531.60004;41.5</t>
  </si>
  <si>
    <t>SP_Hawk_24000_0</t>
  </si>
  <si>
    <t>679.80005;116.5</t>
  </si>
  <si>
    <t>SP_Vulture_15000_0</t>
  </si>
  <si>
    <t>536.7;101.5</t>
  </si>
  <si>
    <t>SP_EnemyTier2_45000_0</t>
  </si>
  <si>
    <t>608.48;36.8</t>
  </si>
  <si>
    <t>SP_SpiderSmall_21000_0</t>
  </si>
  <si>
    <t>35.559998;-69.53</t>
  </si>
  <si>
    <t>299.54004;-97.51</t>
  </si>
  <si>
    <t>695.12;-217.32</t>
  </si>
  <si>
    <t>373;-241.24</t>
  </si>
  <si>
    <t>260;-233.6</t>
  </si>
  <si>
    <t>529.5;185.70001</t>
  </si>
  <si>
    <t>409.02;-327.6</t>
  </si>
  <si>
    <t>349.28;-33.380005</t>
  </si>
  <si>
    <t>476.10004;25.09</t>
  </si>
  <si>
    <t>SP_Crocodile_36000_0</t>
  </si>
  <si>
    <t>663.54;-329.27</t>
  </si>
  <si>
    <t>100.3;-187.69</t>
  </si>
  <si>
    <t>43.690002;-118.4</t>
  </si>
  <si>
    <t>589.5;54.7</t>
  </si>
  <si>
    <t>511.01;-50.92</t>
  </si>
  <si>
    <t>660.30005;47.3</t>
  </si>
  <si>
    <t>SP_SpiderSmall_34000_0</t>
  </si>
  <si>
    <t>362.48004;-47.99</t>
  </si>
  <si>
    <t>234.5;-253.5</t>
  </si>
  <si>
    <t>524.64;-69.99</t>
  </si>
  <si>
    <t>52.80002;-65.5</t>
  </si>
  <si>
    <t>593.86005;115.3</t>
  </si>
  <si>
    <t>613.7;-316.3</t>
  </si>
  <si>
    <t>315.25;-57.84</t>
  </si>
  <si>
    <t>440.68997;-165.13998</t>
  </si>
  <si>
    <t>453.99002;-42.17</t>
  </si>
  <si>
    <t>SP_Fish_Random_Generic_19000_0</t>
  </si>
  <si>
    <t>586;31.9</t>
  </si>
  <si>
    <t>411.80002;101.1</t>
  </si>
  <si>
    <t>380.8;-339.3</t>
  </si>
  <si>
    <t>449.3;-283.3</t>
  </si>
  <si>
    <t>389.28003;-54.96</t>
  </si>
  <si>
    <t>175.10004;-32.91</t>
  </si>
  <si>
    <t>676.30005;80.7</t>
  </si>
  <si>
    <t>529.76;-62.42</t>
  </si>
  <si>
    <t>451.17;105.63</t>
  </si>
  <si>
    <t>588.9;123.8</t>
  </si>
  <si>
    <t>463.79004;-55.56</t>
  </si>
  <si>
    <t>SP_Piranha_24000_0</t>
  </si>
  <si>
    <t>363.09003;-73.47</t>
  </si>
  <si>
    <t>122.16;-221.51</t>
  </si>
  <si>
    <t>247.8;-346.06</t>
  </si>
  <si>
    <t>39.570007;-93.48</t>
  </si>
  <si>
    <t>622.5;12</t>
  </si>
  <si>
    <t>342.84;-163.3</t>
  </si>
  <si>
    <t>558.5;-0.6</t>
  </si>
  <si>
    <t>53.96;-115.01</t>
  </si>
  <si>
    <t>SP_EnemyTier3_22000_0</t>
  </si>
  <si>
    <t>454.19003;-45.55</t>
  </si>
  <si>
    <t>618.52;81.05</t>
  </si>
  <si>
    <t>324.55;-355.96</t>
  </si>
  <si>
    <t>663.15;-340.8</t>
  </si>
  <si>
    <t>409.2;-72.5</t>
  </si>
  <si>
    <t>431.2;-53.5</t>
  </si>
  <si>
    <t>534.61;-317.91</t>
  </si>
  <si>
    <t>162.32004;-55.9</t>
  </si>
  <si>
    <t>422.07;-24.9</t>
  </si>
  <si>
    <t>435.7;-304.31</t>
  </si>
  <si>
    <t>444.90002;-31.9</t>
  </si>
  <si>
    <t>281.29;-172.78</t>
  </si>
  <si>
    <t>778.22;-317.46</t>
  </si>
  <si>
    <t>469.83;-49.43</t>
  </si>
  <si>
    <t>505.1;140.17</t>
  </si>
  <si>
    <t>402.2;-9.6</t>
  </si>
  <si>
    <t>163.9;-182.2</t>
  </si>
  <si>
    <t>653.71;-328.63</t>
  </si>
  <si>
    <t>71.47;-336.31</t>
  </si>
  <si>
    <t>499.54004;49.7</t>
  </si>
  <si>
    <t>132.34;-190.61</t>
  </si>
  <si>
    <t>442.16995;-143.68999</t>
  </si>
  <si>
    <t>467.99002;-52.45</t>
  </si>
  <si>
    <t>26.619995;-148.86</t>
  </si>
  <si>
    <t>258.05;-329.11</t>
  </si>
  <si>
    <t>519.80005;-10.69</t>
  </si>
  <si>
    <t>518.61;-129.58</t>
  </si>
  <si>
    <t>656.8;-272.84</t>
  </si>
  <si>
    <t>23.869995;-83.57</t>
  </si>
  <si>
    <t>645.17;130.08</t>
  </si>
  <si>
    <t>400.80002;10.38</t>
  </si>
  <si>
    <t>209.74;-280.66</t>
  </si>
  <si>
    <t>601.86005;-43.1</t>
  </si>
  <si>
    <t>497.51;43.8</t>
  </si>
  <si>
    <t>SP_StingrayLarge_41000_0</t>
  </si>
  <si>
    <t>662.9;-324.58</t>
  </si>
  <si>
    <t>256.7;-327.56998</t>
  </si>
  <si>
    <t>724.81;-272.62</t>
  </si>
  <si>
    <t>94.50003;-56.1</t>
  </si>
  <si>
    <t>450.78;87.69</t>
  </si>
  <si>
    <t>494.68;102.08</t>
  </si>
  <si>
    <t>249.48;-345.56</t>
  </si>
  <si>
    <t>100.00003;-62.55</t>
  </si>
  <si>
    <t>SP_Crocodile_15000_0</t>
  </si>
  <si>
    <t>416.40002;-89</t>
  </si>
  <si>
    <t>268.80002;-66.3</t>
  </si>
  <si>
    <t>28.420044;-37.73</t>
  </si>
  <si>
    <t>615.41003;70.92</t>
  </si>
  <si>
    <t>417.65;-187.2</t>
  </si>
  <si>
    <t>645.2;-220.1</t>
  </si>
  <si>
    <t>500.30002;143.6</t>
  </si>
  <si>
    <t>718.51;-304.11</t>
  </si>
  <si>
    <t>437.85004;-9.32</t>
  </si>
  <si>
    <t>647.37;30.61</t>
  </si>
  <si>
    <t>293.34003;-38.34</t>
  </si>
  <si>
    <t>725.72;-218.07</t>
  </si>
  <si>
    <t>591.11005;121.15</t>
  </si>
  <si>
    <t>408;-357.52</t>
  </si>
  <si>
    <t>538.39996;208.5</t>
  </si>
  <si>
    <t>510.09998;180.70001</t>
  </si>
  <si>
    <t>525.87;65.15</t>
  </si>
  <si>
    <t>SP_BatBig_Flock_23000_0</t>
  </si>
  <si>
    <t>601.45;-28.07</t>
  </si>
  <si>
    <t>601.9;61.3</t>
  </si>
  <si>
    <t>280.00003;-42.7</t>
  </si>
  <si>
    <t>685.9;-261.63</t>
  </si>
  <si>
    <t>161.29999;-312.3</t>
  </si>
  <si>
    <t>476.91003;-56.74</t>
  </si>
  <si>
    <t>SP_SpiderSmallTurret_30000_0</t>
  </si>
  <si>
    <t>128.74002;-24.72</t>
  </si>
  <si>
    <t>475.96002;47.010002</t>
  </si>
  <si>
    <t>696.1;179.7</t>
  </si>
  <si>
    <t>SP_SpiderSmall_18000_0</t>
  </si>
  <si>
    <t>503.54004;-52.87</t>
  </si>
  <si>
    <t>601.4;-261.4</t>
  </si>
  <si>
    <t>392.89;-195.86</t>
  </si>
  <si>
    <t>634.10004;49.98</t>
  </si>
  <si>
    <t>159.58;-202.97</t>
  </si>
  <si>
    <t>609.2;183.54</t>
  </si>
  <si>
    <t>SP_SpiderSmall_28000_0</t>
  </si>
  <si>
    <t>305.42004;-39.6</t>
  </si>
  <si>
    <t>523.81;-10.8</t>
  </si>
  <si>
    <t>269.09;-289.77997</t>
  </si>
  <si>
    <t>654.60004;-0.4</t>
  </si>
  <si>
    <t>353.6;-239.5</t>
  </si>
  <si>
    <t>555.05;-223.9</t>
  </si>
  <si>
    <t>516.5;32.8</t>
  </si>
  <si>
    <t>SP_Worker_Mix_21000_0</t>
  </si>
  <si>
    <t>102.30002;-32.5</t>
  </si>
  <si>
    <t>477.4;-190.3</t>
  </si>
  <si>
    <t>534.39;-10.9</t>
  </si>
  <si>
    <t>641.7;-301.5</t>
  </si>
  <si>
    <t>527.71;-207.13</t>
  </si>
  <si>
    <t>97.5;-343.1</t>
  </si>
  <si>
    <t>596.81;13.09</t>
  </si>
  <si>
    <t>SP_Villager_Mix_0_21000</t>
  </si>
  <si>
    <t>512.65;-10.69</t>
  </si>
  <si>
    <t>26.150024;-73.48</t>
  </si>
  <si>
    <t>247.11002;-29.73</t>
  </si>
  <si>
    <t>625.5;87.8</t>
  </si>
  <si>
    <t>586.3;-230.1</t>
  </si>
  <si>
    <t>467;-196.5</t>
  </si>
  <si>
    <t>232.73;-353.71</t>
  </si>
  <si>
    <t>129.42001;-14.94</t>
  </si>
  <si>
    <t>747.82;-346.9</t>
  </si>
  <si>
    <t>157.48001;-32.93</t>
  </si>
  <si>
    <t>502.36002;55.89</t>
  </si>
  <si>
    <t>443.15002;-38.9</t>
  </si>
  <si>
    <t>266.3;-239.8</t>
  </si>
  <si>
    <t>620.65;-140.20001</t>
  </si>
  <si>
    <t>392.52;-314.1</t>
  </si>
  <si>
    <t>460.07;110.1</t>
  </si>
  <si>
    <t>SP_GoodJunkBottle_32000_0</t>
  </si>
  <si>
    <t>730.4;-331.44</t>
  </si>
  <si>
    <t>127.78;-356.55</t>
  </si>
  <si>
    <t>498.9;-192.6</t>
  </si>
  <si>
    <t>121.58;-202.94</t>
  </si>
  <si>
    <t>430.5;-290.2</t>
  </si>
  <si>
    <t>387.3;-174.6</t>
  </si>
  <si>
    <t>242.21002;-53.96</t>
  </si>
  <si>
    <t>573.46;132.79</t>
  </si>
  <si>
    <t>310.96;-189.63</t>
  </si>
  <si>
    <t>306.10004;-51.9</t>
  </si>
  <si>
    <t>184.18002;-30.36</t>
  </si>
  <si>
    <t>194.85;-317.13</t>
  </si>
  <si>
    <t>283;-212.9</t>
  </si>
  <si>
    <t>627.7;31.78</t>
  </si>
  <si>
    <t>374.05002;-55.49</t>
  </si>
  <si>
    <t>351.7;-207.2</t>
  </si>
  <si>
    <t>611.03;100.7</t>
  </si>
  <si>
    <t>686.8;158.6</t>
  </si>
  <si>
    <t>540.2;176.9</t>
  </si>
  <si>
    <t>-139.95804;-12.41</t>
  </si>
  <si>
    <t>361.90002;-27.63</t>
  </si>
  <si>
    <t>522.55005;-10.69</t>
  </si>
  <si>
    <t>SP_SpiderSmallTurret_35000_0</t>
  </si>
  <si>
    <t>250.39001;-34.15</t>
  </si>
  <si>
    <t>675.4;75.8</t>
  </si>
  <si>
    <t>287.50003;-44.5</t>
  </si>
  <si>
    <t>288.84;-300.99997</t>
  </si>
  <si>
    <t>SP_GoodJunkBottle_33000_0</t>
  </si>
  <si>
    <t>203.70001;-101.1</t>
  </si>
  <si>
    <t>510.57;-239.02</t>
  </si>
  <si>
    <t>SP_Kamikaze_32000_0</t>
  </si>
  <si>
    <t>396.7;-215.3</t>
  </si>
  <si>
    <t>645.96;24.5</t>
  </si>
  <si>
    <t>462.98004;10.68</t>
  </si>
  <si>
    <t>771.26;-311.45</t>
  </si>
  <si>
    <t>491.07;-295.93</t>
  </si>
  <si>
    <t>644.04004;56.12</t>
  </si>
  <si>
    <t>568;89.54</t>
  </si>
  <si>
    <t>703.39;-258.13</t>
  </si>
  <si>
    <t>443.95282;-161.75</t>
  </si>
  <si>
    <t>43.39;-145.8</t>
  </si>
  <si>
    <t>340.55002;-21.55</t>
  </si>
  <si>
    <t>437.73;-224.66</t>
  </si>
  <si>
    <t>558.2;-231.4</t>
  </si>
  <si>
    <t>508.90002;69.6</t>
  </si>
  <si>
    <t>709.7;153.40001</t>
  </si>
  <si>
    <t>551.8;-333.2</t>
  </si>
  <si>
    <t>673.2;95.77</t>
  </si>
  <si>
    <t>56.309998;-114.33</t>
  </si>
  <si>
    <t>356.87;-169.86</t>
  </si>
  <si>
    <t>179.6;-287</t>
  </si>
  <si>
    <t>431.90002;36.5</t>
  </si>
  <si>
    <t>732.4;-303.6</t>
  </si>
  <si>
    <t>575.9;-269.7</t>
  </si>
  <si>
    <t>561.9;189.6</t>
  </si>
  <si>
    <t>SP_Kamikaze_40000_0</t>
  </si>
  <si>
    <t>168.56;-343.02</t>
  </si>
  <si>
    <t>555;7.6</t>
  </si>
  <si>
    <t>39.75;-75.12</t>
  </si>
  <si>
    <t>503.2;-171.8</t>
  </si>
  <si>
    <t>285.1;-222.1</t>
  </si>
  <si>
    <t>SP_MineSmall_Static_24000_0</t>
  </si>
  <si>
    <t>208.9;-91.1</t>
  </si>
  <si>
    <t>SP_Canary_Random_Flock_13000_0</t>
  </si>
  <si>
    <t>462.98004;-40.92</t>
  </si>
  <si>
    <t>657.2;168.7</t>
  </si>
  <si>
    <t>SP_MineBig_30000_0</t>
  </si>
  <si>
    <t>649.2;100.6</t>
  </si>
  <si>
    <t>577.98004;-57.98</t>
  </si>
  <si>
    <t>699.72;-211.02</t>
  </si>
  <si>
    <t>600.35;-280.8</t>
  </si>
  <si>
    <t>639.30005;22.51</t>
  </si>
  <si>
    <t>543.04004;-61.4</t>
  </si>
  <si>
    <t>712.61975;-248.05545</t>
  </si>
  <si>
    <t>491.90002;-10.7</t>
  </si>
  <si>
    <t>400.89;-357.52</t>
  </si>
  <si>
    <t>98.45001;-67.14</t>
  </si>
  <si>
    <t>38.76001;-79.17</t>
  </si>
  <si>
    <t>548.98004;-5.47</t>
  </si>
  <si>
    <t>140.41;-220.2</t>
  </si>
  <si>
    <t>-10.2;-303.74</t>
  </si>
  <si>
    <t>649.2;3.7</t>
  </si>
  <si>
    <t>272.5;-330</t>
  </si>
  <si>
    <t>SP_Villager_Mix_0_19000</t>
  </si>
  <si>
    <t>508.58002;-10.71</t>
  </si>
  <si>
    <t>528.9;52.26</t>
  </si>
  <si>
    <t>-90.1;-350.3</t>
  </si>
  <si>
    <t>518;45.9</t>
  </si>
  <si>
    <t>265.86996;-289.77997</t>
  </si>
  <si>
    <t>59;-331.1</t>
  </si>
  <si>
    <t>529.4;-62.93</t>
  </si>
  <si>
    <t>634;204.6</t>
  </si>
  <si>
    <t>557.5;60.9</t>
  </si>
  <si>
    <t>84.900024;-63.8</t>
  </si>
  <si>
    <t>423.72003;-51.06</t>
  </si>
  <si>
    <t>356;-230.4</t>
  </si>
  <si>
    <t>180.1;-180.7</t>
  </si>
  <si>
    <t>468.13004;-27</t>
  </si>
  <si>
    <t>622.6;50.8</t>
  </si>
  <si>
    <t>254.16;-303.77</t>
  </si>
  <si>
    <t>SP_SpiderGreenTurret_36000_0</t>
  </si>
  <si>
    <t>246.26;-351.67</t>
  </si>
  <si>
    <t>327;-58.83</t>
  </si>
  <si>
    <t>233.87;-325.06</t>
  </si>
  <si>
    <t>-39.97;73.78</t>
  </si>
  <si>
    <t>-5.3460693;115.62939</t>
  </si>
  <si>
    <t>264.36002;-323.74</t>
  </si>
  <si>
    <t>551.30005;173.9</t>
  </si>
  <si>
    <t>21.79004;-85.56</t>
  </si>
  <si>
    <t>297.34003;-39.39</t>
  </si>
  <si>
    <t>566.10004;63.7</t>
  </si>
  <si>
    <t>452.14;-17.86</t>
  </si>
  <si>
    <t>392.89;-191.01</t>
  </si>
  <si>
    <t>594.60004;-48.1</t>
  </si>
  <si>
    <t>314.21997;-143.56999</t>
  </si>
  <si>
    <t>-525.8;-288.2</t>
  </si>
  <si>
    <t>689.42;124.23</t>
  </si>
  <si>
    <t>361.61;-242.59</t>
  </si>
  <si>
    <t>SP_Kamikaze_47000_0</t>
  </si>
  <si>
    <t>70.95001;-22.15</t>
  </si>
  <si>
    <t>128.34003;-23.71</t>
  </si>
  <si>
    <t>263.87;-356.64</t>
  </si>
  <si>
    <t>782.4684;-310.31894</t>
  </si>
  <si>
    <t>647.1;-229.05</t>
  </si>
  <si>
    <t>651.58;94.7</t>
  </si>
  <si>
    <t>235.15;-325.69</t>
  </si>
  <si>
    <t>676.19995;-224.47</t>
  </si>
  <si>
    <t>213.58;-324.17</t>
  </si>
  <si>
    <t>391.44;-327.41</t>
  </si>
  <si>
    <t>-44.299988;-283.3</t>
  </si>
  <si>
    <t>SP_Villager_Mix_0_23000</t>
  </si>
  <si>
    <t>563.59;-10.71</t>
  </si>
  <si>
    <t>33.03003;-70.28</t>
  </si>
  <si>
    <t>249.68002;-33.25</t>
  </si>
  <si>
    <t>567.66;-251.98</t>
  </si>
  <si>
    <t>257.67996;-304.37997</t>
  </si>
  <si>
    <t>515.56;-197.13</t>
  </si>
  <si>
    <t>534.72003;-51.79</t>
  </si>
  <si>
    <t>391.72995;-172.70999</t>
  </si>
  <si>
    <t>479.79004;54.04</t>
  </si>
  <si>
    <t>595.27;143.34</t>
  </si>
  <si>
    <t>SP_Crocodile_25000_0</t>
  </si>
  <si>
    <t>213.38004;-87.39</t>
  </si>
  <si>
    <t>180.99;-341.32</t>
  </si>
  <si>
    <t>SP_Rat_15000_0</t>
  </si>
  <si>
    <t>483.73004;-44.17</t>
  </si>
  <si>
    <t>SP_Shieldman_20000_0</t>
  </si>
  <si>
    <t>531.55005;-10.83</t>
  </si>
  <si>
    <t>624.80005;98.62</t>
  </si>
  <si>
    <t>365.85;-357.52</t>
  </si>
  <si>
    <t>SP_Bomber_22000_0</t>
  </si>
  <si>
    <t>42.01;-314.32</t>
  </si>
  <si>
    <t>SP_MineMedium_Static_18000_0</t>
  </si>
  <si>
    <t>567.2;-54.5</t>
  </si>
  <si>
    <t>648.9;93.5</t>
  </si>
  <si>
    <t>SP_Driller_40000_0</t>
  </si>
  <si>
    <t>329;-234.27</t>
  </si>
  <si>
    <t>131.9;-335</t>
  </si>
  <si>
    <t>545.57;83.33</t>
  </si>
  <si>
    <t>668.30005;56.77</t>
  </si>
  <si>
    <t>462.2;208.5</t>
  </si>
  <si>
    <t>7.43;83.39</t>
  </si>
  <si>
    <t>279.5;-161.9</t>
  </si>
  <si>
    <t>621.69;13.14</t>
  </si>
  <si>
    <t>456.51;-44.43</t>
  </si>
  <si>
    <t>331.8;-152.2</t>
  </si>
  <si>
    <t>SP_Canary_Random_Flock_14100_0</t>
  </si>
  <si>
    <t>585.08;9.56</t>
  </si>
  <si>
    <t>203.6;-321</t>
  </si>
  <si>
    <t>238.28;-42.79</t>
  </si>
  <si>
    <t>178.90002;-31.3</t>
  </si>
  <si>
    <t>459.9;190.90001</t>
  </si>
  <si>
    <t>511.40002;108.1</t>
  </si>
  <si>
    <t>539.67004;-61</t>
  </si>
  <si>
    <t>439.6;-207.2</t>
  </si>
  <si>
    <t>735.73;-310.45</t>
  </si>
  <si>
    <t>495.89;-52.45</t>
  </si>
  <si>
    <t>522.24005;61.52</t>
  </si>
  <si>
    <t>297.9;-93.2</t>
  </si>
  <si>
    <t>736.24;-230.41</t>
  </si>
  <si>
    <t>-50.23;76.62</t>
  </si>
  <si>
    <t>397.17;-322.01</t>
  </si>
  <si>
    <t>245.67001;-30.49</t>
  </si>
  <si>
    <t>558;167.9</t>
  </si>
  <si>
    <t>163.45;-206.35</t>
  </si>
  <si>
    <t>525.14;-10.9</t>
  </si>
  <si>
    <t>534.23;-299.97</t>
  </si>
  <si>
    <t>473.1;-173.1</t>
  </si>
  <si>
    <t>12.7;-287.3</t>
  </si>
  <si>
    <t>463.65002;-48.13</t>
  </si>
  <si>
    <t>411.87;-234.13</t>
  </si>
  <si>
    <t>452.35004;60.63</t>
  </si>
  <si>
    <t>422.80002;38.5</t>
  </si>
  <si>
    <t>597.6;179.2</t>
  </si>
  <si>
    <t>326.6;-191.9</t>
  </si>
  <si>
    <t>579.06;-269.1</t>
  </si>
  <si>
    <t>786.88;-316.99</t>
  </si>
  <si>
    <t>676.26;-237.99</t>
  </si>
  <si>
    <t>154.62003;-34.12</t>
  </si>
  <si>
    <t>121.8;-341.3</t>
  </si>
  <si>
    <t>502.5;-183.6</t>
  </si>
  <si>
    <t>117.1;-356.8</t>
  </si>
  <si>
    <t>638.31;7.69</t>
  </si>
  <si>
    <t>537.2;-253.6</t>
  </si>
  <si>
    <t>127.01001;-18.47</t>
  </si>
  <si>
    <t>SP_GoodJunkBottle_27000_0</t>
  </si>
  <si>
    <t>286.3;-104</t>
  </si>
  <si>
    <t>531;172</t>
  </si>
  <si>
    <t>145.70001;-13.37</t>
  </si>
  <si>
    <t>200.24;-206.49</t>
  </si>
  <si>
    <t>SP_Canary_Random_Flock_0_45000</t>
  </si>
  <si>
    <t>445.74002;1.73</t>
  </si>
  <si>
    <t>249.1;-168.5</t>
  </si>
  <si>
    <t>405.34;-334.5</t>
  </si>
  <si>
    <t>202.9;-182.2</t>
  </si>
  <si>
    <t>95.26001;-79.49</t>
  </si>
  <si>
    <t>491.10004;-3.44</t>
  </si>
  <si>
    <t>570.34;-318.8</t>
  </si>
  <si>
    <t>594.14;-164.36</t>
  </si>
  <si>
    <t>SP_MineMedium_25000_0</t>
  </si>
  <si>
    <t>48.400024;-57.9</t>
  </si>
  <si>
    <t>336.14;-53.53</t>
  </si>
  <si>
    <t>738.61;-316.01</t>
  </si>
  <si>
    <t>778.73;-331.47</t>
  </si>
  <si>
    <t>225.99002;-37.32</t>
  </si>
  <si>
    <t>604.60004;46.3</t>
  </si>
  <si>
    <t>29.369995;-71.8</t>
  </si>
  <si>
    <t>170.1;-304.4</t>
  </si>
  <si>
    <t>674.02;-233.57</t>
  </si>
  <si>
    <t>543.26;40.02</t>
  </si>
  <si>
    <t>82.01001;-107.28</t>
  </si>
  <si>
    <t>557.10004;40.9</t>
  </si>
  <si>
    <t>520.22003;38.71</t>
  </si>
  <si>
    <t>140.83002;-175.4</t>
  </si>
  <si>
    <t>420.93;28.4</t>
  </si>
  <si>
    <t>579.75;-10.9</t>
  </si>
  <si>
    <t>675.9;-314.8</t>
  </si>
  <si>
    <t>655.9;-207</t>
  </si>
  <si>
    <t>196.18002;-81.53</t>
  </si>
  <si>
    <t>SP_Piranha_22000_0</t>
  </si>
  <si>
    <t>365.68002;-81.25</t>
  </si>
  <si>
    <t>SP_SpiderSmall_35000_0</t>
  </si>
  <si>
    <t>364.16003;-48.28</t>
  </si>
  <si>
    <t>SP_Worker_Mix_24000_0</t>
  </si>
  <si>
    <t>82.09003;-72.2</t>
  </si>
  <si>
    <t>140.47003;-23.09</t>
  </si>
  <si>
    <t>67.890015;-36.53</t>
  </si>
  <si>
    <t>529.8;-278.74</t>
  </si>
  <si>
    <t>543.2;96.7</t>
  </si>
  <si>
    <t>552.73;-319.1</t>
  </si>
  <si>
    <t>257.09;-288.3</t>
  </si>
  <si>
    <t>SP_Crocodile_27000_0</t>
  </si>
  <si>
    <t>SP_Miner01_Mix_0_37000</t>
  </si>
  <si>
    <t>136.6;-340.7</t>
  </si>
  <si>
    <t>651.37;41.99</t>
  </si>
  <si>
    <t>SP_SpiderGreenTurret_28000_0</t>
  </si>
  <si>
    <t>242.65;-353.59</t>
  </si>
  <si>
    <t>377.05002;-31.14</t>
  </si>
  <si>
    <t>719.99994;167.9</t>
  </si>
  <si>
    <t>290.10004;-53.7</t>
  </si>
  <si>
    <t>570.9;180.70001</t>
  </si>
  <si>
    <t>624.5;81.2</t>
  </si>
  <si>
    <t>740.37;-234.97</t>
  </si>
  <si>
    <t>351.09;-346.54</t>
  </si>
  <si>
    <t>190.66003;-88.66</t>
  </si>
  <si>
    <t>512.1;-227.1</t>
  </si>
  <si>
    <t>579.97;-152.66</t>
  </si>
  <si>
    <t>648.08;137.16</t>
  </si>
  <si>
    <t>671.9;-291.29</t>
  </si>
  <si>
    <t>265.58;-354.61</t>
  </si>
  <si>
    <t>74.820015;-71.24</t>
  </si>
  <si>
    <t>506.63004;-51.55</t>
  </si>
  <si>
    <t>537.69;-61</t>
  </si>
  <si>
    <t>52.100006;-131.4</t>
  </si>
  <si>
    <t>517.36;-255.88</t>
  </si>
  <si>
    <t>652.30005;158.6</t>
  </si>
  <si>
    <t>170.59;-294.4</t>
  </si>
  <si>
    <t>249.06003;-81.24</t>
  </si>
  <si>
    <t>469.24002;-60.62</t>
  </si>
  <si>
    <t>471.86;-173.85</t>
  </si>
  <si>
    <t>669.74;99.23</t>
  </si>
  <si>
    <t>756.11;-347.66</t>
  </si>
  <si>
    <t>444.34998;-146.69</t>
  </si>
  <si>
    <t>40.62;-130.47</t>
  </si>
  <si>
    <t>511.90002;64.3</t>
  </si>
  <si>
    <t>SP_SpiderGreenTurret_44000_0</t>
  </si>
  <si>
    <t>143.23001;-19.01</t>
  </si>
  <si>
    <t>439.58;-290.82</t>
  </si>
  <si>
    <t>618.52;108.6</t>
  </si>
  <si>
    <t>664.62;142.82</t>
  </si>
  <si>
    <t>482.77;-287.31</t>
  </si>
  <si>
    <t>582.14;-248.5</t>
  </si>
  <si>
    <t>277.83;-157.76</t>
  </si>
  <si>
    <t>742.04;-322.58</t>
  </si>
  <si>
    <t>475.09003;-35.24</t>
  </si>
  <si>
    <t>749.06;-250.63</t>
  </si>
  <si>
    <t>37.97;-148.04</t>
  </si>
  <si>
    <t>363.90002;-30.47</t>
  </si>
  <si>
    <t>92.82004;-32.35</t>
  </si>
  <si>
    <t>226.1;-142.6</t>
  </si>
  <si>
    <t>-519.3;-339.64</t>
  </si>
  <si>
    <t>34.210022;-95.55</t>
  </si>
  <si>
    <t>271.32004;-56.21</t>
  </si>
  <si>
    <t>274.10004;-128.6</t>
  </si>
  <si>
    <t>236;-189.56</t>
  </si>
  <si>
    <t>496;216.3</t>
  </si>
  <si>
    <t>622.54;-178.37</t>
  </si>
  <si>
    <t>548.4;-316.6</t>
  </si>
  <si>
    <t>715.39;-254.92</t>
  </si>
  <si>
    <t>105.400024;-52.5</t>
  </si>
  <si>
    <t>563.42;132.79</t>
  </si>
  <si>
    <t>SP_Piranha_26000_0</t>
  </si>
  <si>
    <t>234.59003;-79.83</t>
  </si>
  <si>
    <t>397.84003;-19.53</t>
  </si>
  <si>
    <t>525.9;97.5</t>
  </si>
  <si>
    <t>372.2;-344.21</t>
  </si>
  <si>
    <t>437.87003;57.75</t>
  </si>
  <si>
    <t>187.11002;-37.83</t>
  </si>
  <si>
    <t>513.2;110.5</t>
  </si>
  <si>
    <t>725.2;-253.4</t>
  </si>
  <si>
    <t>277.4;-163.2</t>
  </si>
  <si>
    <t>572.87;24.8</t>
  </si>
  <si>
    <t>771.55;-336.48</t>
  </si>
  <si>
    <t>490.12003;-52.81</t>
  </si>
  <si>
    <t>487.2;212.1</t>
  </si>
  <si>
    <t>649.74;-222.08</t>
  </si>
  <si>
    <t>378.9;-242.59</t>
  </si>
  <si>
    <t>559.30005;72.2</t>
  </si>
  <si>
    <t>682.4;173.9</t>
  </si>
  <si>
    <t>649.79004;-10.22</t>
  </si>
  <si>
    <t>403.98;-241.79001</t>
  </si>
  <si>
    <t>440.3;44.49</t>
  </si>
  <si>
    <t>727.12;-221.06</t>
  </si>
  <si>
    <t>690.19;-234.55</t>
  </si>
  <si>
    <t>433.02;-232.29</t>
  </si>
  <si>
    <t>578.3;63.6</t>
  </si>
  <si>
    <t>unknown</t>
  </si>
  <si>
    <t>-50.59;-258.2</t>
  </si>
  <si>
    <t>633.87;7.93</t>
  </si>
  <si>
    <t>140.27;-171.45</t>
  </si>
  <si>
    <t>470.49;20.76</t>
  </si>
  <si>
    <t>658.7;22.6</t>
  </si>
  <si>
    <t>316.4;-146.57</t>
  </si>
  <si>
    <t>437.99002;-21.48</t>
  </si>
  <si>
    <t>641.65;-245.74</t>
  </si>
  <si>
    <t>588.46;-144.51999</t>
  </si>
  <si>
    <t>562.2;53</t>
  </si>
  <si>
    <t>538.92;-278.2</t>
  </si>
  <si>
    <t>664.4;196.9</t>
  </si>
  <si>
    <t>404.35;-150.35999</t>
  </si>
  <si>
    <t>559.93;-3.68</t>
  </si>
  <si>
    <t>597.69;-136.81</t>
  </si>
  <si>
    <t>509.17;-55.5</t>
  </si>
  <si>
    <t>674.9;85.06</t>
  </si>
  <si>
    <t>561.25;-1.71</t>
  </si>
  <si>
    <t>673.2;83.39</t>
  </si>
  <si>
    <t>-1137.8;45.3</t>
  </si>
  <si>
    <t>-792.69;-28.4</t>
  </si>
  <si>
    <t>-876.27;-14.62</t>
  </si>
  <si>
    <t>-794.94;-4.35</t>
  </si>
  <si>
    <t>-856.92;156.8</t>
  </si>
  <si>
    <t>-825.37;96.87</t>
  </si>
  <si>
    <t>-573.2;152.2</t>
  </si>
  <si>
    <t>-924.1;59.750004</t>
  </si>
  <si>
    <t>-893.23;133.29999</t>
  </si>
  <si>
    <t>-893.92;-49.2</t>
  </si>
  <si>
    <t>-865;75.85</t>
  </si>
  <si>
    <t>-749.3;87.09</t>
  </si>
  <si>
    <t>-973.03;103.66999</t>
  </si>
  <si>
    <t>-956.62;32.32</t>
  </si>
  <si>
    <t>-546.57;42.41</t>
  </si>
  <si>
    <t>338.9;188.3</t>
  </si>
  <si>
    <t>-488;168.1</t>
  </si>
  <si>
    <t>-161.5;111.7</t>
  </si>
  <si>
    <t>104.48999;150.6</t>
  </si>
  <si>
    <t>-507.18;117.58</t>
  </si>
  <si>
    <t>-48;146</t>
  </si>
  <si>
    <t>-64.099976;49.36</t>
  </si>
  <si>
    <t>-496.3;22</t>
  </si>
  <si>
    <t>289.1;229.5</t>
  </si>
  <si>
    <t>-606.55;-192.33</t>
  </si>
  <si>
    <t>-269.03;70.78</t>
  </si>
  <si>
    <t>-312.97003;54.87</t>
  </si>
  <si>
    <t>-553.08;-71.15</t>
  </si>
  <si>
    <t>-217.40002;27.7</t>
  </si>
  <si>
    <t>-164.19995;-37.28</t>
  </si>
  <si>
    <t>-450.52;52.67</t>
  </si>
  <si>
    <t>-210.61;54.49</t>
  </si>
  <si>
    <t>274.2;78.4</t>
  </si>
  <si>
    <t>-292.05;95.89</t>
  </si>
  <si>
    <t>-480.56;119.12</t>
  </si>
  <si>
    <t>169.4;195.2</t>
  </si>
  <si>
    <t>-545.57;51.65</t>
  </si>
  <si>
    <t>-306.40002;43.2</t>
  </si>
  <si>
    <t>169.1;239</t>
  </si>
  <si>
    <t>-543.7;62.3</t>
  </si>
  <si>
    <t>-505.6;-7.93</t>
  </si>
  <si>
    <t>296.4;156.8</t>
  </si>
  <si>
    <t>-506.12;85.63</t>
  </si>
  <si>
    <t>-391.9;-43.5</t>
  </si>
  <si>
    <t>-212.19;20.52</t>
  </si>
  <si>
    <t>-482.57;79.18</t>
  </si>
  <si>
    <t>-190.80011;196.90001</t>
  </si>
  <si>
    <t>-404.22;-65.22</t>
  </si>
  <si>
    <t>6.66;77.31</t>
  </si>
  <si>
    <t>-384.47;-58.51</t>
  </si>
  <si>
    <t>-519.3;51.33</t>
  </si>
  <si>
    <t>313.8;172.2</t>
  </si>
  <si>
    <t>-261.19;106.58</t>
  </si>
  <si>
    <t>-550.44;-155.64</t>
  </si>
  <si>
    <t>109.35;217.9</t>
  </si>
  <si>
    <t>-302.9;182.2</t>
  </si>
  <si>
    <t>-297.1;56.5</t>
  </si>
  <si>
    <t>-310.90002;133.92</t>
  </si>
  <si>
    <t>-532.61;-48.16</t>
  </si>
  <si>
    <t>135.6;109.93</t>
  </si>
  <si>
    <t>-172.3;7.8</t>
  </si>
  <si>
    <t>-250.46;54.11</t>
  </si>
  <si>
    <t>-461.9;94.7</t>
  </si>
  <si>
    <t>-67.38;112.36</t>
  </si>
  <si>
    <t>-58.2;115.15</t>
  </si>
  <si>
    <t>189;177.1</t>
  </si>
  <si>
    <t>-457.33;63.55</t>
  </si>
  <si>
    <t>-39.46997;13.66</t>
  </si>
  <si>
    <t>-443.17;66.2</t>
  </si>
  <si>
    <t>SP_Ghost01_0_4000</t>
  </si>
  <si>
    <t>266.27;207.74</t>
  </si>
  <si>
    <t>260.44;143.86</t>
  </si>
  <si>
    <t>136.39;217.9</t>
  </si>
  <si>
    <t>118.17;217.9</t>
  </si>
  <si>
    <t>268.52;204.93</t>
  </si>
  <si>
    <t>-426.45;-56.48</t>
  </si>
  <si>
    <t>-295.67;187.6</t>
  </si>
  <si>
    <t>SP_Ghost02_5400_0</t>
  </si>
  <si>
    <t>SP_Ghost01_0_7400</t>
  </si>
  <si>
    <t>-166.31;128.05</t>
  </si>
  <si>
    <t>41.03;194.7</t>
  </si>
  <si>
    <t>125.84;217.9</t>
  </si>
  <si>
    <t>-443.61;-56.27</t>
  </si>
  <si>
    <t>-167.76;129.84</t>
  </si>
  <si>
    <t>129.14;217.9</t>
  </si>
  <si>
    <t>SP_Ghost03_5400_0</t>
  </si>
  <si>
    <t>-76.900024;22.76</t>
  </si>
  <si>
    <t>SP_BG_Canary_Flock</t>
  </si>
  <si>
    <t>SP_Ghost03_8000_0</t>
  </si>
  <si>
    <t>SP_Ghost02_4500_0</t>
  </si>
  <si>
    <t>Boost Mult.</t>
  </si>
  <si>
    <t>vvv</t>
  </si>
  <si>
    <t>vv</t>
  </si>
  <si>
    <t>Boost Mult:</t>
  </si>
  <si>
    <t>vvv = mult. &gt; 2</t>
  </si>
  <si>
    <t>vv   = mult. 1.5 to 2</t>
  </si>
  <si>
    <t>v     = mult. &lt; 1.5</t>
  </si>
  <si>
    <t>v     = sec. &lt; 2.5</t>
  </si>
  <si>
    <t>vv   = sec. 2.5 to 5</t>
  </si>
  <si>
    <t>vvv = sec. &gt; 5</t>
  </si>
  <si>
    <t>Drain time</t>
  </si>
  <si>
    <t>Refill time:</t>
  </si>
  <si>
    <t>Drain time:</t>
  </si>
  <si>
    <t>Refill time</t>
  </si>
  <si>
    <t>v     = sec. &gt; 7</t>
  </si>
  <si>
    <t>vv   = sec. 3 to 7</t>
  </si>
  <si>
    <t>vvv = sec. &lt; 3</t>
  </si>
  <si>
    <t>[energyDrain]</t>
  </si>
  <si>
    <t>[energyRefill]</t>
  </si>
  <si>
    <t>[energyBase]</t>
  </si>
  <si>
    <t>[boostMult.]</t>
  </si>
  <si>
    <t>min_entities</t>
  </si>
  <si>
    <t>max_entities</t>
  </si>
  <si>
    <t>hasBonus</t>
  </si>
  <si>
    <t>SPAWNERS BONUS:</t>
  </si>
  <si>
    <t>(Unity: HungryDragons-&gt;Tools-&gt;SpawnersAllInfo)</t>
  </si>
  <si>
    <t>carnivorousPlant</t>
  </si>
  <si>
    <t>SP_LadyBug</t>
  </si>
  <si>
    <t>PF_LadyBug</t>
  </si>
  <si>
    <t>SnailUnka</t>
  </si>
  <si>
    <t>Monster/PF_WitchGood02</t>
  </si>
  <si>
    <t>AGRESSIVITY (VILLAGE)</t>
  </si>
  <si>
    <t>AGRESSIVITY (CASTLE)</t>
  </si>
  <si>
    <t>AGRESSIVITY (DARK)</t>
  </si>
  <si>
    <t>MAX LEVEL</t>
  </si>
  <si>
    <t>[HP MIN]</t>
  </si>
  <si>
    <t>[HP MAX]</t>
  </si>
  <si>
    <t>(1)</t>
  </si>
  <si>
    <t>(last 3 columns have conditional formatting)</t>
  </si>
  <si>
    <t>DO NOT MODIFY THIS TABLE</t>
  </si>
  <si>
    <t>[MAX LV]</t>
  </si>
  <si>
    <t>Fill to calculate [energyDrain] and [energyRefill]</t>
  </si>
  <si>
    <t>(Copy from Dragons table in content)</t>
  </si>
  <si>
    <t>TOP 5 SPAWNERS</t>
  </si>
  <si>
    <t>Total in game</t>
  </si>
  <si>
    <t>Percentage</t>
  </si>
  <si>
    <t>Others</t>
  </si>
  <si>
    <t>(1) Bonus: Spawned entities higher than 5</t>
  </si>
  <si>
    <t>TOTALS IN LEVEL</t>
  </si>
  <si>
    <t>Spawners:</t>
  </si>
  <si>
    <t>XP:</t>
  </si>
  <si>
    <t>Enemies:</t>
  </si>
  <si>
    <t>Preys:</t>
  </si>
  <si>
    <t>Entities:</t>
  </si>
  <si>
    <t>Surface/PF_Richman</t>
  </si>
  <si>
    <t>dragon_jawfrey</t>
  </si>
  <si>
    <t>Baby</t>
  </si>
  <si>
    <t>Crocodrile</t>
  </si>
  <si>
    <t>Reptile</t>
  </si>
  <si>
    <t>Fat</t>
  </si>
  <si>
    <t>Bug</t>
  </si>
  <si>
    <t>Chinese</t>
  </si>
  <si>
    <t>Classic</t>
  </si>
  <si>
    <t>Devil</t>
  </si>
  <si>
    <t>Jawfrey</t>
  </si>
  <si>
    <t>Balrog</t>
  </si>
  <si>
    <t>Titan</t>
  </si>
  <si>
    <t>SP_RazorbackBaby</t>
  </si>
  <si>
    <t>RazorbackBaby</t>
  </si>
  <si>
    <t>PF_RazorbackBaby</t>
  </si>
  <si>
    <t>PF_Boat</t>
  </si>
  <si>
    <t>-189.62;55.41</t>
  </si>
  <si>
    <t>-83.9;-126.9</t>
  </si>
  <si>
    <t>-641.6;-172.2</t>
  </si>
  <si>
    <t>-263.94;-45.78</t>
  </si>
  <si>
    <t>-235.07;-13.82</t>
  </si>
  <si>
    <t>SP_Ghost01_Static_1000_0</t>
  </si>
  <si>
    <t>SP_BG_Canary</t>
  </si>
  <si>
    <t>SP_BadJunk_26000_0</t>
  </si>
  <si>
    <t>-313.9;172.36</t>
  </si>
  <si>
    <t>-309.1;-10.67</t>
  </si>
  <si>
    <t>-311.2;-185</t>
  </si>
  <si>
    <t>-134;-161.6</t>
  </si>
  <si>
    <t>-184.96;95.05</t>
  </si>
  <si>
    <t>-214.8;-13.8</t>
  </si>
  <si>
    <t>-295.58;-154.07996</t>
  </si>
  <si>
    <t>-264.7;-182.1</t>
  </si>
  <si>
    <t>-255.71997;-45.690002</t>
  </si>
  <si>
    <t>SP_Air_Archer01_4000_0</t>
  </si>
  <si>
    <t>-305.3;-167.7</t>
  </si>
  <si>
    <t>-330.1;-175.7</t>
  </si>
  <si>
    <t>-468.96;141</t>
  </si>
  <si>
    <t>-335.3;171.9</t>
  </si>
  <si>
    <t>-170.06;95.32</t>
  </si>
  <si>
    <t>SP_BG_Hawk</t>
  </si>
  <si>
    <t>-224.08;-15.32</t>
  </si>
  <si>
    <t>SP_BG_Dragon</t>
  </si>
  <si>
    <t>-255.15997;-44.33</t>
  </si>
  <si>
    <t>-216.39996;-173.5</t>
  </si>
  <si>
    <t>-265.13;113.1</t>
  </si>
  <si>
    <t>-376.78;75.03</t>
  </si>
  <si>
    <t>-305.19;-154.07996</t>
  </si>
  <si>
    <t>-594.1;-163.2</t>
  </si>
  <si>
    <t>-182.7;-182.9</t>
  </si>
  <si>
    <t>-254.33998;-45.750004</t>
  </si>
  <si>
    <t>-268.49;-35.41</t>
  </si>
  <si>
    <t>-295.41003;-171.01001</t>
  </si>
  <si>
    <t>SP_Air_Bomber_4000_0</t>
  </si>
  <si>
    <t>-197.9;-179</t>
  </si>
  <si>
    <t>-336.3;-165.8</t>
  </si>
  <si>
    <t>-289.12;-27.2</t>
  </si>
  <si>
    <t>-306.6;-180.5</t>
  </si>
  <si>
    <t>-208.74;103.20999</t>
  </si>
  <si>
    <t>-277.07;-29.45</t>
  </si>
  <si>
    <t>-271.61;-36.01</t>
  </si>
  <si>
    <t>-235.2;-191.6</t>
  </si>
  <si>
    <t>295.54;205.11</t>
  </si>
  <si>
    <t>-628.5;-171.8</t>
  </si>
  <si>
    <t>-205.6;-13.59</t>
  </si>
  <si>
    <t>-284.2;-184.8</t>
  </si>
  <si>
    <t>-502.3;-248.4</t>
  </si>
  <si>
    <t>-85.1;-134.2</t>
  </si>
  <si>
    <t>-253.11998;-47.58</t>
  </si>
  <si>
    <t>306.4;206.55</t>
  </si>
  <si>
    <t>-595.9;-95.8</t>
  </si>
  <si>
    <t>222.19363;88.368484</t>
  </si>
  <si>
    <t>-323.23;-107.6</t>
  </si>
  <si>
    <t>-205.9;-184.8</t>
  </si>
  <si>
    <t>-140;-164.2</t>
  </si>
  <si>
    <t>-202.3;-175</t>
  </si>
  <si>
    <t>SP_Air_Bomber_8000_0</t>
  </si>
  <si>
    <t>-333.4;-162.4</t>
  </si>
  <si>
    <t>13.8;176.94</t>
  </si>
  <si>
    <t>-342.8;-184.6</t>
  </si>
  <si>
    <t>357.06;164.14</t>
  </si>
  <si>
    <t>-582.1;-155.1</t>
  </si>
  <si>
    <t>-312.99;-138.6</t>
  </si>
  <si>
    <t>-164.43;94.11</t>
  </si>
  <si>
    <t>-391.89;72.36</t>
  </si>
  <si>
    <t>-547.7;-82.91</t>
  </si>
  <si>
    <t>-221.79001;100.95</t>
  </si>
  <si>
    <t>-254.5;-173.5</t>
  </si>
  <si>
    <t>-239.2;-194.8</t>
  </si>
  <si>
    <t>-173.5;94.86</t>
  </si>
  <si>
    <t>-210.83;102.99</t>
  </si>
  <si>
    <t>-421.83;75.94</t>
  </si>
  <si>
    <t>-606.6;-164.19</t>
  </si>
  <si>
    <t>-80.3;-152.8</t>
  </si>
  <si>
    <t>-451.31;81.89</t>
  </si>
  <si>
    <t>-607.43;-209.5</t>
  </si>
  <si>
    <t>-295.6;-27.09</t>
  </si>
  <si>
    <t>-343.3;167.75</t>
  </si>
  <si>
    <t>-412.37;72.36</t>
  </si>
  <si>
    <t>-218.4;170.8</t>
  </si>
  <si>
    <t>-12.599976;172</t>
  </si>
  <si>
    <t>SP_Air_Bomber_2000_0</t>
  </si>
  <si>
    <t>-319.4;-190.2</t>
  </si>
  <si>
    <t>-619;-169.1</t>
  </si>
  <si>
    <t>SP_Air_Kamikaze_10000_0</t>
  </si>
  <si>
    <t>-208.81;-13.75</t>
  </si>
  <si>
    <t>-206.97;101.62</t>
  </si>
  <si>
    <t>-181.79;52.66</t>
  </si>
  <si>
    <t>-241.68;-13.32</t>
  </si>
  <si>
    <t>-492;168.96</t>
  </si>
  <si>
    <t>-341.4;-179.5</t>
  </si>
  <si>
    <t>367.02;167.68</t>
  </si>
  <si>
    <t>-363.8;-161.4</t>
  </si>
  <si>
    <t>-270.45;-9.75</t>
  </si>
  <si>
    <t>-202.09;-12.85</t>
  </si>
  <si>
    <t>-179.87;-13.66</t>
  </si>
  <si>
    <t>-376.9;-168</t>
  </si>
  <si>
    <t>-192.66;-162.3</t>
  </si>
  <si>
    <t>-209.76;113.11</t>
  </si>
  <si>
    <t>-150.43;-107.49</t>
  </si>
  <si>
    <t>-186;102.13</t>
  </si>
  <si>
    <t>-291;-30.69</t>
  </si>
  <si>
    <t>13.799988;173.58</t>
  </si>
  <si>
    <t>-149;-172</t>
  </si>
  <si>
    <t>-152.61;88.51</t>
  </si>
  <si>
    <t>183.55;223.8</t>
  </si>
  <si>
    <t>-278.1;-175.8</t>
  </si>
  <si>
    <t>-69.8;-152.8</t>
  </si>
  <si>
    <t>-247.43;-12.52</t>
  </si>
  <si>
    <t>-1205.9;-129.4</t>
  </si>
  <si>
    <t>-615.25;-209.5</t>
  </si>
  <si>
    <t>-486.49;139.71</t>
  </si>
  <si>
    <t>-218.6;-187.5</t>
  </si>
  <si>
    <t>-194.35;95.55</t>
  </si>
  <si>
    <t>-498.53;91.3</t>
  </si>
  <si>
    <t>-209.05;114.09</t>
  </si>
  <si>
    <t>-161.32;-107.87</t>
  </si>
  <si>
    <t>-200.83;-14</t>
  </si>
  <si>
    <t>-320.91;-10.4</t>
  </si>
  <si>
    <t>-289.6;-164.2</t>
  </si>
  <si>
    <t>SP_Air_Archer01_8000_0</t>
  </si>
  <si>
    <t>-104.1;-145.7</t>
  </si>
  <si>
    <t>-375.1;-179.4</t>
  </si>
  <si>
    <t>-235.73;106.56</t>
  </si>
  <si>
    <t>-255.11;-47.230003</t>
  </si>
  <si>
    <t>-313.9;173.16</t>
  </si>
  <si>
    <t>-95.9;-131.64</t>
  </si>
  <si>
    <t>-583.28;75.66</t>
  </si>
  <si>
    <t>-323.19;-10.4</t>
  </si>
  <si>
    <t>-321.3;-171.2</t>
  </si>
  <si>
    <t>-180.34999;102.6</t>
  </si>
  <si>
    <t>-330;172.82</t>
  </si>
  <si>
    <t>-181.81;95</t>
  </si>
  <si>
    <t>-268.00998;-38.34</t>
  </si>
  <si>
    <t>-263.94;-31.74</t>
  </si>
  <si>
    <t>-218.4;167.78</t>
  </si>
  <si>
    <t>-218.91;-164.7</t>
  </si>
  <si>
    <t>-120.2;-168.6</t>
  </si>
  <si>
    <t>-144.5;-191.4</t>
  </si>
  <si>
    <t>-155;-174.4</t>
  </si>
  <si>
    <t>-470;177.9</t>
  </si>
  <si>
    <t>-256.81;-44.33</t>
  </si>
  <si>
    <t>-234.5;168.28</t>
  </si>
  <si>
    <t>-230.03;-167.3</t>
  </si>
  <si>
    <t>-306.8;-189.5</t>
  </si>
  <si>
    <t>-415.97;74.292</t>
  </si>
  <si>
    <t>-126.7;-181.2</t>
  </si>
  <si>
    <t>-366.4;-187.6</t>
  </si>
  <si>
    <t>-302.3;-185.2</t>
  </si>
  <si>
    <t>-518.8;135.7</t>
  </si>
  <si>
    <t>-210.28;114.189995</t>
  </si>
  <si>
    <t>-490.28;92</t>
  </si>
  <si>
    <t>-172.2;93.82</t>
  </si>
  <si>
    <t>-324.8;-178.5</t>
  </si>
  <si>
    <t>-216.9;-192.7</t>
  </si>
  <si>
    <t>320.5;215.3</t>
  </si>
  <si>
    <t>-251.96;-11.95</t>
  </si>
  <si>
    <t>-278.64;-36.2</t>
  </si>
  <si>
    <t>211.32722;84.332184</t>
  </si>
  <si>
    <t>-310.61;97.4</t>
  </si>
  <si>
    <t>-270.69;-37.6</t>
  </si>
  <si>
    <t>137.86365;-53.321514</t>
  </si>
  <si>
    <t>-101.5;-126.9</t>
  </si>
  <si>
    <t>-247.9;-186.6</t>
  </si>
  <si>
    <t>-109.47638;-117.44151</t>
  </si>
  <si>
    <t>-373.98;-68.93</t>
  </si>
  <si>
    <t>364.7;163.8</t>
  </si>
  <si>
    <t>-190.59998;117.17</t>
  </si>
  <si>
    <t>-319.34;-106.37</t>
  </si>
  <si>
    <t>-612.32;-209.4</t>
  </si>
  <si>
    <t>-1180.6;-104.3</t>
  </si>
  <si>
    <t>-449.5;168.8</t>
  </si>
  <si>
    <t>286.28;237.8</t>
  </si>
  <si>
    <t>4.1;173.58</t>
  </si>
  <si>
    <t>-140.72;90.81</t>
  </si>
  <si>
    <t>-293.49;-31.5</t>
  </si>
  <si>
    <t>-204.53;98.072</t>
  </si>
  <si>
    <t>-307.82;-154.07996</t>
  </si>
  <si>
    <t>-399.53;73.04</t>
  </si>
  <si>
    <t>-183.67;121.09</t>
  </si>
  <si>
    <t>-249.36;-11.88</t>
  </si>
  <si>
    <t>-176.39;50.88</t>
  </si>
  <si>
    <t>-225.9;-171</t>
  </si>
  <si>
    <t>-65.7;-124.1</t>
  </si>
  <si>
    <t>-445.99;80.85</t>
  </si>
  <si>
    <t>-237.4;-13.82</t>
  </si>
  <si>
    <t>-241.64996;-176</t>
  </si>
  <si>
    <t>-605.1;-150.5</t>
  </si>
  <si>
    <t>-196.7;107.62</t>
  </si>
  <si>
    <t>-2.3000183;173.44</t>
  </si>
  <si>
    <t>-225.9;-181.9</t>
  </si>
  <si>
    <t>-166.6;-186.8</t>
  </si>
  <si>
    <t>-189.2;95.05</t>
  </si>
  <si>
    <t>-208.98;98.018</t>
  </si>
  <si>
    <t>-455.7;166.82</t>
  </si>
  <si>
    <t>560.57;-327.94</t>
  </si>
  <si>
    <t>328.34;-63.7</t>
  </si>
  <si>
    <t>282.27;-123.41</t>
  </si>
  <si>
    <t>239.7;-318.49002</t>
  </si>
  <si>
    <t>451.49;-60.97</t>
  </si>
  <si>
    <t>125.7;-73.71</t>
  </si>
  <si>
    <t>116.81;-212.58</t>
  </si>
  <si>
    <t>222.12;-189.2</t>
  </si>
  <si>
    <t>694.78;-218.84</t>
  </si>
  <si>
    <t>568.74;-289.18</t>
  </si>
  <si>
    <t>244.54285;1.5790291</t>
  </si>
  <si>
    <t>296.79;-357.04</t>
  </si>
  <si>
    <t>410.06;-349.41</t>
  </si>
  <si>
    <t>436.85;-342.7</t>
  </si>
  <si>
    <t>494.74;-9.96</t>
  </si>
  <si>
    <t>189.65;-78.32</t>
  </si>
  <si>
    <t>210.72;-95.27</t>
  </si>
  <si>
    <t>565.58;-291.46</t>
  </si>
  <si>
    <t>249.82;-74.49</t>
  </si>
  <si>
    <t>295.52;-72.92</t>
  </si>
  <si>
    <t>566.04;-288.63</t>
  </si>
  <si>
    <t>313.85;-159.6</t>
  </si>
  <si>
    <t>284.29;-357.04</t>
  </si>
  <si>
    <t>145.51001;-94.47</t>
  </si>
  <si>
    <t>746.61993;-235.26</t>
  </si>
  <si>
    <t>311.96;-100.85</t>
  </si>
  <si>
    <t>486.08;-42.77</t>
  </si>
  <si>
    <t>364.65002;-63.7</t>
  </si>
  <si>
    <t>670.17;-229.75</t>
  </si>
  <si>
    <t>630.26;-11.86</t>
  </si>
  <si>
    <t>330.92;-95.35</t>
  </si>
  <si>
    <t>435.49;8.21</t>
  </si>
  <si>
    <t>374.06;-86.1</t>
  </si>
  <si>
    <t>567.31;-72.5</t>
  </si>
  <si>
    <t>131.40002;-84.74</t>
  </si>
  <si>
    <t>489.32;-345.8</t>
  </si>
  <si>
    <t>774.02;-338.65002</t>
  </si>
  <si>
    <t>221.05;-189.2</t>
  </si>
  <si>
    <t>397.90002;-78.12</t>
  </si>
  <si>
    <t>739.21;-339.86</t>
  </si>
  <si>
    <t>661.4;109.3</t>
  </si>
  <si>
    <t>771.11;-324.76</t>
  </si>
  <si>
    <t>531.93;-10.9</t>
  </si>
  <si>
    <t>315.55;-158.25</t>
  </si>
  <si>
    <t>488.83;-302.3</t>
  </si>
  <si>
    <t>310.79;-90.62</t>
  </si>
  <si>
    <t>177.57;-92.6</t>
  </si>
  <si>
    <t>120.399994;-221.51</t>
  </si>
  <si>
    <t>282.82;-357.04</t>
  </si>
  <si>
    <t>679.17;-219.89</t>
  </si>
  <si>
    <t>29.17;-274.8</t>
  </si>
  <si>
    <t>98.45001;-66.29</t>
  </si>
  <si>
    <t>251.42;-322.85</t>
  </si>
  <si>
    <t>-233.70148;17.528545</t>
  </si>
  <si>
    <t>249.69;-327.16</t>
  </si>
  <si>
    <t>756.69;-247.88</t>
  </si>
  <si>
    <t>311.02;-77.44</t>
  </si>
  <si>
    <t>581.11005;-70.53</t>
  </si>
  <si>
    <t>276.09;-357.04</t>
  </si>
  <si>
    <t>162.37003;-87.23</t>
  </si>
  <si>
    <t>436.08002;-348.53</t>
  </si>
  <si>
    <t>773.32;-341.91</t>
  </si>
  <si>
    <t>295.11;-356.1</t>
  </si>
  <si>
    <t>408.16;-349.83</t>
  </si>
  <si>
    <t>361.35;-99.28</t>
  </si>
  <si>
    <t>393.21;-214.91</t>
  </si>
  <si>
    <t>726.69;-222.54</t>
  </si>
  <si>
    <t>292.09;-348.33</t>
  </si>
  <si>
    <t>395.2;-81.62</t>
  </si>
  <si>
    <t>540.3;-312.52</t>
  </si>
  <si>
    <t>487.32;22.91</t>
  </si>
  <si>
    <t>295.78998;-348.43</t>
  </si>
  <si>
    <t>576.95;-74.54</t>
  </si>
  <si>
    <t>377.98;-69.8</t>
  </si>
  <si>
    <t>338.07;-69.58</t>
  </si>
  <si>
    <t>544.29;-335.92</t>
  </si>
  <si>
    <t>115.12;-213.41</t>
  </si>
  <si>
    <t>248.54;-348.29</t>
  </si>
  <si>
    <t>499.52;54.67</t>
  </si>
  <si>
    <t>324.7;-88.48</t>
  </si>
  <si>
    <t>136.23;-70.61</t>
  </si>
  <si>
    <t>34.200012;-129.21</t>
  </si>
  <si>
    <t>SP_Richman_0_29000</t>
  </si>
  <si>
    <t>471.72003;-10.62</t>
  </si>
  <si>
    <t>125.82358;26.416235</t>
  </si>
  <si>
    <t>337.85;-112.64</t>
  </si>
  <si>
    <t>124.23001;-221.51</t>
  </si>
  <si>
    <t>693.62;-217.91</t>
  </si>
  <si>
    <t>294.69;-347.53</t>
  </si>
  <si>
    <t>485.92;-33.73</t>
  </si>
  <si>
    <t>674.71;-220.95</t>
  </si>
  <si>
    <t>224.62;-68.52</t>
  </si>
  <si>
    <t>136.25058;9.012108</t>
  </si>
  <si>
    <t>237.92001;-76.27</t>
  </si>
  <si>
    <t>254.50003;-84.44</t>
  </si>
  <si>
    <t>448.43002;30.6</t>
  </si>
  <si>
    <t>236.52417;165.07268</t>
  </si>
  <si>
    <t>540.5;2.5</t>
  </si>
  <si>
    <t>555.68;-162.94</t>
  </si>
  <si>
    <t>320.30002;-112.95</t>
  </si>
  <si>
    <t>241.12;-317.11002</t>
  </si>
  <si>
    <t>431.27;8.21</t>
  </si>
  <si>
    <t>485.92;-38.74</t>
  </si>
  <si>
    <t>449.7;80.7</t>
  </si>
  <si>
    <t>317.46;-80.9</t>
  </si>
  <si>
    <t>273.9;-340.21</t>
  </si>
  <si>
    <t>246.59;-96.67</t>
  </si>
  <si>
    <t>204.17;-98.23</t>
  </si>
  <si>
    <t>521.09;-214.3</t>
  </si>
  <si>
    <t>531.7;-133.73</t>
  </si>
  <si>
    <t>229.7;-70.94</t>
  </si>
  <si>
    <t>535.78;-332.3</t>
  </si>
  <si>
    <t>498.94;39.51</t>
  </si>
  <si>
    <t>674.02;-231.64</t>
  </si>
  <si>
    <t>155.72;-46.26</t>
  </si>
  <si>
    <t>741.52;-249.52</t>
  </si>
  <si>
    <t>-221.42847;23.9435</t>
  </si>
  <si>
    <t>272.59;-343.01</t>
  </si>
  <si>
    <t>270.93;-79.7</t>
  </si>
  <si>
    <t>116.73;-209.48</t>
  </si>
  <si>
    <t>393.52;-76.57</t>
  </si>
  <si>
    <t>399.54;-344.27</t>
  </si>
  <si>
    <t>205.94;-353.37</t>
  </si>
  <si>
    <t>241.81999;-317.91</t>
  </si>
  <si>
    <t>323.39;-71.95</t>
  </si>
  <si>
    <t>741.89;-338.27997</t>
  </si>
  <si>
    <t>643.99;-11.65</t>
  </si>
  <si>
    <t>480.56;-327.43</t>
  </si>
  <si>
    <t>768.24994;-323.96</t>
  </si>
  <si>
    <t>299.4;-356.33</t>
  </si>
  <si>
    <t>742.54;-250.56</t>
  </si>
  <si>
    <t>239.51;-316.67</t>
  </si>
  <si>
    <t>192.57928;129.56854</t>
  </si>
  <si>
    <t>151.9;-88.5</t>
  </si>
  <si>
    <t>174.7;-94.12</t>
  </si>
  <si>
    <t>378.35;-88.8</t>
  </si>
  <si>
    <t>530.28;-135.25</t>
  </si>
  <si>
    <t>432.64;8.21</t>
  </si>
  <si>
    <t>134.08;-90.4</t>
  </si>
  <si>
    <t>533.25;-129.34</t>
  </si>
  <si>
    <t>406.49;-210.22</t>
  </si>
  <si>
    <t>568.94;-294.44</t>
  </si>
  <si>
    <t>138.22;-86.8</t>
  </si>
  <si>
    <t>-220.89247;29.323502</t>
  </si>
  <si>
    <t>668.74;-228.17</t>
  </si>
  <si>
    <t>409.72;-351.67</t>
  </si>
  <si>
    <t>746.85;-237.29</t>
  </si>
  <si>
    <t>279.44;-356.5</t>
  </si>
  <si>
    <t>757.31;-250.83</t>
  </si>
  <si>
    <t>392.16003;-203.86</t>
  </si>
  <si>
    <t>-98.17639;-303.11026</t>
  </si>
  <si>
    <t>505.33;-135.75</t>
  </si>
  <si>
    <t>755.49;-248.44</t>
  </si>
  <si>
    <t>674.94;-232.67</t>
  </si>
  <si>
    <t>321.6;-104.5</t>
  </si>
  <si>
    <t>262.41;-86.6</t>
  </si>
  <si>
    <t>566.85;-290.88</t>
  </si>
  <si>
    <t>421.5;121.3</t>
  </si>
  <si>
    <t>770.66;-322.04</t>
  </si>
  <si>
    <t>436.73;-349.34</t>
  </si>
  <si>
    <t>185.1593;132.11623</t>
  </si>
  <si>
    <t>529.25;-123.95</t>
  </si>
  <si>
    <t>574.18;-58.63</t>
  </si>
  <si>
    <t>548.25;-72.12</t>
  </si>
  <si>
    <t>674.56;-222.64</t>
  </si>
  <si>
    <t>433.58;-346.93</t>
  </si>
  <si>
    <t>581.46;-162.76</t>
  </si>
  <si>
    <t>199.24;-352.22</t>
  </si>
  <si>
    <t>335.3;-75.5</t>
  </si>
  <si>
    <t>84.900024;-65.21</t>
  </si>
  <si>
    <t>524.57;-120.14</t>
  </si>
  <si>
    <t>184.92432;125.006226</t>
  </si>
  <si>
    <t>291.96;-103.6</t>
  </si>
  <si>
    <t>526.48004;-334.5</t>
  </si>
  <si>
    <t>636.24;-11.31</t>
  </si>
  <si>
    <t>294.19;-349.83</t>
  </si>
  <si>
    <t>176.53;-71.93</t>
  </si>
  <si>
    <t>384.03;-330.61</t>
  </si>
  <si>
    <t>235.98;-355.17</t>
  </si>
  <si>
    <t>275.80002;-70.29</t>
  </si>
  <si>
    <t>529.46;-10.9</t>
  </si>
  <si>
    <t>416.61;-186.25</t>
  </si>
  <si>
    <t>570.58;-154.21</t>
  </si>
  <si>
    <t>251.50003;-78.06</t>
  </si>
  <si>
    <t>404.90002;-96.58</t>
  </si>
  <si>
    <t>271.91;-340.51</t>
  </si>
  <si>
    <t>273.62;-338.47998</t>
  </si>
  <si>
    <t>246.76;-72.23</t>
  </si>
  <si>
    <t>482.67;-35.9</t>
  </si>
  <si>
    <t>132.19;-75.98</t>
  </si>
  <si>
    <t>754.88;-246</t>
  </si>
  <si>
    <t>489.6;-42</t>
  </si>
  <si>
    <t>723.8;-218.6</t>
  </si>
  <si>
    <t>573.4;-70.47</t>
  </si>
  <si>
    <t>-226.17847;18.2635</t>
  </si>
  <si>
    <t>699.06;-217.34</t>
  </si>
  <si>
    <t>545.07;-68.89</t>
  </si>
  <si>
    <t>-214.55847;27.3835</t>
  </si>
  <si>
    <t>409.2;-90.75</t>
  </si>
  <si>
    <t>497.4;52.94</t>
  </si>
  <si>
    <t>777.15;-336.07</t>
  </si>
  <si>
    <t>545.49005;-73.71001</t>
  </si>
  <si>
    <t>429.00003;-70.09</t>
  </si>
  <si>
    <t>SP_Richman_0_20000</t>
  </si>
  <si>
    <t>524.61005;-11.45</t>
  </si>
  <si>
    <t>437.48;-347.34</t>
  </si>
  <si>
    <t>-109.47226;-299.6979</t>
  </si>
  <si>
    <t>747.75995;-236.09</t>
  </si>
  <si>
    <t>126.34836;12.947266</t>
  </si>
  <si>
    <t>524.68005;-328.92</t>
  </si>
  <si>
    <t>776.2;-328.4</t>
  </si>
  <si>
    <t>160.5;-75.04</t>
  </si>
  <si>
    <t>418.38;-185.71</t>
  </si>
  <si>
    <t>26;-163.11</t>
  </si>
  <si>
    <t>196.71;-352.68</t>
  </si>
  <si>
    <t>446.55;-59.55</t>
  </si>
  <si>
    <t>580.12;-158.16</t>
  </si>
  <si>
    <t>-108.07144;14.331623</t>
  </si>
  <si>
    <t>498.14;139.16</t>
  </si>
  <si>
    <t>401.4;-31.5</t>
  </si>
  <si>
    <t>482.67;-32.04</t>
  </si>
  <si>
    <t>222.87;-100.27</t>
  </si>
  <si>
    <t>662.57;-267.8</t>
  </si>
  <si>
    <t>740.85;-341.68</t>
  </si>
  <si>
    <t>249.50003;-68.79</t>
  </si>
  <si>
    <t>602.8;-17.84</t>
  </si>
  <si>
    <t>-209.60846;20.333502</t>
  </si>
  <si>
    <t>273.23;-357.04</t>
  </si>
  <si>
    <t>697.2;-217.59</t>
  </si>
  <si>
    <t>775.01;-339.5</t>
  </si>
  <si>
    <t>652.79;-11.38</t>
  </si>
  <si>
    <t>770.22;-321.14</t>
  </si>
  <si>
    <t>381.05;-72.76</t>
  </si>
  <si>
    <t>380.90002;-88.15</t>
  </si>
  <si>
    <t>568.32;-58.63</t>
  </si>
  <si>
    <t>533;-338.63</t>
  </si>
  <si>
    <t>567.08;-152.68</t>
  </si>
  <si>
    <t>401.60004;-91.74</t>
  </si>
  <si>
    <t>315.95;-161.4</t>
  </si>
  <si>
    <t>463.05;140.97</t>
  </si>
  <si>
    <t>286.65;-357.04</t>
  </si>
  <si>
    <t>336.64;-85.6</t>
  </si>
  <si>
    <t>303.92;-108.78</t>
  </si>
  <si>
    <t>310;-54.5</t>
  </si>
  <si>
    <t>434.34;-63.7</t>
  </si>
  <si>
    <t>724.89;-217.24</t>
  </si>
  <si>
    <t>384.37;-85.73</t>
  </si>
  <si>
    <t>400.47;-208.5</t>
  </si>
  <si>
    <t>698.21;-220.1</t>
  </si>
  <si>
    <t>740.32;-256.13</t>
  </si>
  <si>
    <t>409.2;-0.2</t>
  </si>
  <si>
    <t>438.63;-348.97</t>
  </si>
  <si>
    <t>171.00003;-88.43</t>
  </si>
  <si>
    <t>388.23;-214.42</t>
  </si>
  <si>
    <t>134.80347;21.192108</t>
  </si>
  <si>
    <t>602.4;-287</t>
  </si>
  <si>
    <t>157.43;-82.76</t>
  </si>
  <si>
    <t>118.70999;-221.51</t>
  </si>
  <si>
    <t>741.15;-255.1</t>
  </si>
  <si>
    <t>540.44;58.48</t>
  </si>
  <si>
    <t>171.89;-70.67</t>
  </si>
  <si>
    <t>-873.32;127.27</t>
  </si>
  <si>
    <t>Air/PF_RazorbackBaby</t>
  </si>
  <si>
    <t>VVV</t>
  </si>
  <si>
    <t>Butterfly</t>
  </si>
  <si>
    <t>ButterflyEgg</t>
  </si>
  <si>
    <t>CarnivorousPlantDark</t>
  </si>
  <si>
    <t>CentipedeBlue</t>
  </si>
  <si>
    <t>CentipedeRed</t>
  </si>
  <si>
    <t>Firefly</t>
  </si>
  <si>
    <t>FishDark</t>
  </si>
  <si>
    <t>HermitCrabBlueBig</t>
  </si>
  <si>
    <t>HermitCrabBlueSmall</t>
  </si>
  <si>
    <t>HermitCrabBlueSmallTurret</t>
  </si>
  <si>
    <t>HermitCrabRedTurret</t>
  </si>
  <si>
    <t>JellyfishBlue</t>
  </si>
  <si>
    <t>JellyfishRed</t>
  </si>
  <si>
    <t>MushroomPrey</t>
  </si>
  <si>
    <t>PiranhaDark</t>
  </si>
  <si>
    <t>Scarab</t>
  </si>
  <si>
    <t>Shark</t>
  </si>
  <si>
    <t>PF_PiranhaDark</t>
  </si>
  <si>
    <t>PF_Scarab</t>
  </si>
  <si>
    <t>PF_Shark</t>
  </si>
  <si>
    <t>PF_MushroomPrey</t>
  </si>
  <si>
    <t>PF_JellyfishRed</t>
  </si>
  <si>
    <t>PF_JellyfishBlue</t>
  </si>
  <si>
    <t>PF_HermitCrabBlueSmallTurret</t>
  </si>
  <si>
    <t>PF_HermitCrabBlueSmall</t>
  </si>
  <si>
    <t>PF_HermitCrabBlueBig</t>
  </si>
  <si>
    <t>PF_Firefly</t>
  </si>
  <si>
    <t>PF_FallingRock</t>
  </si>
  <si>
    <t>PF_CentipedeRed</t>
  </si>
  <si>
    <t>PF_CentipedeBlue</t>
  </si>
  <si>
    <t>PF_ButterflyEgg</t>
  </si>
  <si>
    <t>PF_Butterfly</t>
  </si>
  <si>
    <t>PF_CarnivourusPlantDark</t>
  </si>
  <si>
    <t>SP_FireFly</t>
  </si>
  <si>
    <t>SP_Scarab</t>
  </si>
  <si>
    <t>SP_HermitCrabBlueSmallTurret</t>
  </si>
  <si>
    <t>SP_ButterflyEgg</t>
  </si>
  <si>
    <t>SP_JellyfishBlue_Static</t>
  </si>
  <si>
    <t>SP_PiranhaDark</t>
  </si>
  <si>
    <t>SP_HermitCrabBlueSmall</t>
  </si>
  <si>
    <t>SP_Butterfly</t>
  </si>
  <si>
    <t>SP_Shark</t>
  </si>
  <si>
    <t>SP_CentipedeBlue</t>
  </si>
  <si>
    <t>SP_CarnivorousPlantDark</t>
  </si>
  <si>
    <t>SP_JellyfishRed</t>
  </si>
  <si>
    <t>SP_JellyfishBlue</t>
  </si>
  <si>
    <t>SP_FishDark03_Generic</t>
  </si>
  <si>
    <t>SP_MushroomPrey</t>
  </si>
  <si>
    <t>SP_FishDark01_Generic</t>
  </si>
  <si>
    <t>SP_HermitCrabRedTurret</t>
  </si>
  <si>
    <t>SP_CentipedeRed</t>
  </si>
  <si>
    <t>SP_FishDark02_Generic</t>
  </si>
  <si>
    <t>SP_HermitCrabBlueBig</t>
  </si>
  <si>
    <t>0g</t>
  </si>
  <si>
    <t>SP_Crocodile_dark</t>
  </si>
  <si>
    <t>PF_Crocodile_dark</t>
  </si>
  <si>
    <t>SP_Fireball</t>
  </si>
  <si>
    <t>PF_Fireball</t>
  </si>
  <si>
    <t>PF_FishDark01_Generic</t>
  </si>
  <si>
    <t>PF_FishDark02_Generic</t>
  </si>
  <si>
    <t>PF_FishDark03_Generic</t>
  </si>
  <si>
    <t>PF_HermitCrabRedlTurret</t>
  </si>
  <si>
    <t>PF_JellyfishBlue_Static</t>
  </si>
  <si>
    <t>SP_JellyfishRed_Static</t>
  </si>
  <si>
    <t>PF_JellyfishRed_Static</t>
  </si>
  <si>
    <t>SP_SpiderBig2_dark</t>
  </si>
  <si>
    <t>PF_SpiderBig2_dark</t>
  </si>
  <si>
    <t>SP_StingraySmal_dark</t>
  </si>
  <si>
    <t>PF_StingraySmall_dark</t>
  </si>
  <si>
    <t>Upper Part</t>
  </si>
  <si>
    <t>Surface/PF_HermitCrabBlueBig</t>
  </si>
  <si>
    <t>Surface/PF_HermitCrabBlueSmallTurret</t>
  </si>
  <si>
    <t>Monster/PF_Scarab</t>
  </si>
  <si>
    <t>Monster/PF_JellyfishRed</t>
  </si>
  <si>
    <t>Monster/PF_JellyfishBlue</t>
  </si>
  <si>
    <t>Junk/PF_ButterflyEgg</t>
  </si>
  <si>
    <t>Monster/PF_CentipedeBlue</t>
  </si>
  <si>
    <t>Monster/PF_Firefly</t>
  </si>
  <si>
    <t>Surface/PF_HermitCrabRedlTurret</t>
  </si>
  <si>
    <t>Surface/PF_HermitCrabBlueSmall</t>
  </si>
  <si>
    <t>Monster/PF_CentipedeRed</t>
  </si>
  <si>
    <t>Monster/PF_Butterfly</t>
  </si>
  <si>
    <t>Monster/PF_MushroomPrey</t>
  </si>
  <si>
    <t>Monster/PF_CarnivourusPlantDark</t>
  </si>
  <si>
    <t>Water/PF_PiranhaDark</t>
  </si>
  <si>
    <t>Water/PF_Shark</t>
  </si>
  <si>
    <t>Water/PF_FishDark03_Generic</t>
  </si>
  <si>
    <t>Monster/PF_JellyfishBlue_Static</t>
  </si>
  <si>
    <t>Water/PF_FishDark01_Generic</t>
  </si>
  <si>
    <t>Water/PF_FishDark02_Generic</t>
  </si>
  <si>
    <t>Monster/PF_JellyfishRed_Static</t>
  </si>
  <si>
    <t>(execute script: spawnersGoodJunk.vbs)</t>
  </si>
  <si>
    <t>REMEMBER: All spawners should have their name 'modified', so scripts can find them (name in Bold)</t>
  </si>
  <si>
    <t>COINS</t>
  </si>
  <si>
    <t>SPAWNER</t>
  </si>
  <si>
    <t>Total Coins:</t>
  </si>
  <si>
    <t>Also, make sure execute the script to rename spawners</t>
  </si>
  <si>
    <t>DRAGONS MAX.DEEP</t>
  </si>
  <si>
    <t>NO BOOST</t>
  </si>
  <si>
    <t>BOOST</t>
  </si>
  <si>
    <t>DRAGONS MAX.HIGH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</si>
</sst>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scheme val="minor"/>
    </font>
    <font>
      <b/>
      <sz val="11"/>
      <color theme="0"/>
      <name val="Calibri"/>
      <scheme val="minor"/>
    </font>
    <font>
      <sz val="9"/>
      <color theme="1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/>
      <top style="thin">
        <color theme="4" tint="0.3999755851924192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theme="4" tint="0.3999755851924192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4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2" borderId="1" xfId="0" applyFont="1" applyFill="1" applyBorder="1"/>
    <xf numFmtId="0" fontId="0" fillId="3" borderId="1" xfId="0" applyFont="1" applyFill="1" applyBorder="1"/>
    <xf numFmtId="0" fontId="0" fillId="4" borderId="2" xfId="0" applyFont="1" applyFill="1" applyBorder="1"/>
    <xf numFmtId="0" fontId="0" fillId="4" borderId="1" xfId="0" applyFont="1" applyFill="1" applyBorder="1"/>
    <xf numFmtId="0" fontId="0" fillId="5" borderId="1" xfId="0" applyFont="1" applyFill="1" applyBorder="1"/>
    <xf numFmtId="0" fontId="0" fillId="5" borderId="2" xfId="0" applyFont="1" applyFill="1" applyBorder="1"/>
    <xf numFmtId="0" fontId="0" fillId="6" borderId="2" xfId="0" applyFont="1" applyFill="1" applyBorder="1"/>
    <xf numFmtId="0" fontId="0" fillId="2" borderId="1" xfId="0" applyFont="1" applyFill="1" applyBorder="1" applyAlignment="1">
      <alignment horizontal="left"/>
    </xf>
    <xf numFmtId="0" fontId="0" fillId="4" borderId="2" xfId="0" applyFont="1" applyFill="1" applyBorder="1" applyAlignment="1">
      <alignment horizontal="left"/>
    </xf>
    <xf numFmtId="0" fontId="0" fillId="4" borderId="1" xfId="0" applyFont="1" applyFill="1" applyBorder="1" applyAlignment="1">
      <alignment horizontal="left"/>
    </xf>
    <xf numFmtId="0" fontId="0" fillId="5" borderId="1" xfId="0" applyFont="1" applyFill="1" applyBorder="1" applyAlignment="1">
      <alignment horizontal="left"/>
    </xf>
    <xf numFmtId="0" fontId="0" fillId="5" borderId="2" xfId="0" applyFont="1" applyFill="1" applyBorder="1" applyAlignment="1">
      <alignment horizontal="left"/>
    </xf>
    <xf numFmtId="0" fontId="0" fillId="6" borderId="2" xfId="0" applyFont="1" applyFill="1" applyBorder="1" applyAlignment="1">
      <alignment horizontal="left"/>
    </xf>
    <xf numFmtId="0" fontId="0" fillId="3" borderId="1" xfId="0" applyFont="1" applyFill="1" applyBorder="1" applyAlignment="1">
      <alignment horizontal="left"/>
    </xf>
    <xf numFmtId="0" fontId="1" fillId="0" borderId="0" xfId="0" applyFont="1" applyFill="1" applyBorder="1"/>
    <xf numFmtId="0" fontId="1" fillId="0" borderId="5" xfId="0" applyFont="1" applyBorder="1"/>
    <xf numFmtId="0" fontId="1" fillId="0" borderId="0" xfId="0" applyFont="1" applyBorder="1"/>
    <xf numFmtId="0" fontId="1" fillId="0" borderId="0" xfId="0" applyFont="1" applyAlignment="1">
      <alignment horizontal="center"/>
    </xf>
    <xf numFmtId="0" fontId="3" fillId="0" borderId="1" xfId="0" applyFont="1" applyBorder="1" applyAlignment="1">
      <alignment horizontal="right"/>
    </xf>
    <xf numFmtId="0" fontId="3" fillId="0" borderId="0" xfId="0" applyFont="1" applyBorder="1" applyAlignment="1">
      <alignment horizontal="right"/>
    </xf>
    <xf numFmtId="0" fontId="0" fillId="0" borderId="0" xfId="0" applyBorder="1"/>
    <xf numFmtId="0" fontId="2" fillId="0" borderId="0" xfId="0" applyFon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1" fillId="4" borderId="21" xfId="0" applyFont="1" applyFill="1" applyBorder="1"/>
    <xf numFmtId="0" fontId="1" fillId="0" borderId="7" xfId="0" applyFont="1" applyBorder="1"/>
    <xf numFmtId="0" fontId="1" fillId="0" borderId="22" xfId="0" applyFont="1" applyBorder="1"/>
    <xf numFmtId="0" fontId="0" fillId="8" borderId="1" xfId="0" applyFont="1" applyFill="1" applyBorder="1"/>
    <xf numFmtId="0" fontId="0" fillId="9" borderId="23" xfId="0" applyNumberFormat="1" applyFont="1" applyFill="1" applyBorder="1"/>
    <xf numFmtId="0" fontId="0" fillId="9" borderId="20" xfId="0" applyNumberFormat="1" applyFont="1" applyFill="1" applyBorder="1"/>
    <xf numFmtId="0" fontId="0" fillId="9" borderId="1" xfId="0" applyNumberFormat="1" applyFont="1" applyFill="1" applyBorder="1"/>
    <xf numFmtId="0" fontId="0" fillId="9" borderId="24" xfId="0" applyNumberFormat="1" applyFont="1" applyFill="1" applyBorder="1"/>
    <xf numFmtId="0" fontId="1" fillId="0" borderId="20" xfId="0" applyFont="1" applyBorder="1"/>
    <xf numFmtId="0" fontId="0" fillId="7" borderId="7" xfId="0" applyFill="1" applyBorder="1"/>
    <xf numFmtId="0" fontId="0" fillId="7" borderId="5" xfId="0" applyFill="1" applyBorder="1"/>
    <xf numFmtId="0" fontId="0" fillId="7" borderId="22" xfId="0" applyFill="1" applyBorder="1"/>
    <xf numFmtId="0" fontId="0" fillId="10" borderId="25" xfId="0" applyFill="1" applyBorder="1"/>
    <xf numFmtId="0" fontId="0" fillId="10" borderId="0" xfId="0" applyFill="1" applyBorder="1"/>
    <xf numFmtId="0" fontId="0" fillId="10" borderId="26" xfId="0" applyFill="1" applyBorder="1"/>
    <xf numFmtId="0" fontId="0" fillId="11" borderId="25" xfId="0" applyFill="1" applyBorder="1"/>
    <xf numFmtId="0" fontId="0" fillId="11" borderId="0" xfId="0" applyFill="1" applyBorder="1"/>
    <xf numFmtId="0" fontId="0" fillId="11" borderId="26" xfId="0" applyFill="1" applyBorder="1"/>
    <xf numFmtId="0" fontId="0" fillId="7" borderId="25" xfId="0" applyFill="1" applyBorder="1"/>
    <xf numFmtId="0" fontId="0" fillId="7" borderId="0" xfId="0" applyFill="1" applyBorder="1"/>
    <xf numFmtId="0" fontId="0" fillId="7" borderId="26" xfId="0" applyFill="1" applyBorder="1"/>
    <xf numFmtId="0" fontId="0" fillId="13" borderId="25" xfId="0" applyFill="1" applyBorder="1"/>
    <xf numFmtId="0" fontId="0" fillId="13" borderId="0" xfId="0" applyFill="1" applyBorder="1"/>
    <xf numFmtId="0" fontId="0" fillId="13" borderId="26" xfId="0" applyFill="1" applyBorder="1"/>
    <xf numFmtId="0" fontId="0" fillId="12" borderId="19" xfId="0" applyFill="1" applyBorder="1"/>
    <xf numFmtId="0" fontId="0" fillId="12" borderId="9" xfId="0" applyFill="1" applyBorder="1"/>
    <xf numFmtId="0" fontId="0" fillId="12" borderId="4" xfId="0" applyFill="1" applyBorder="1"/>
    <xf numFmtId="0" fontId="0" fillId="0" borderId="22" xfId="0" applyBorder="1"/>
    <xf numFmtId="0" fontId="0" fillId="0" borderId="5" xfId="0" applyBorder="1"/>
    <xf numFmtId="0" fontId="0" fillId="12" borderId="25" xfId="0" applyFill="1" applyBorder="1"/>
    <xf numFmtId="0" fontId="0" fillId="12" borderId="0" xfId="0" applyFill="1" applyBorder="1"/>
    <xf numFmtId="0" fontId="0" fillId="12" borderId="26" xfId="0" applyFill="1" applyBorder="1"/>
    <xf numFmtId="0" fontId="1" fillId="0" borderId="18" xfId="0" applyFont="1" applyBorder="1"/>
    <xf numFmtId="0" fontId="1" fillId="0" borderId="8" xfId="0" applyFont="1" applyBorder="1"/>
    <xf numFmtId="0" fontId="1" fillId="0" borderId="6" xfId="0" applyFont="1" applyBorder="1"/>
    <xf numFmtId="0" fontId="1" fillId="7" borderId="3" xfId="0" applyFont="1" applyFill="1" applyBorder="1"/>
    <xf numFmtId="0" fontId="1" fillId="14" borderId="3" xfId="0" applyFont="1" applyFill="1" applyBorder="1"/>
    <xf numFmtId="0" fontId="4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right"/>
    </xf>
    <xf numFmtId="49" fontId="0" fillId="0" borderId="0" xfId="0" applyNumberFormat="1"/>
    <xf numFmtId="0" fontId="1" fillId="0" borderId="0" xfId="0" applyFont="1" applyAlignment="1">
      <alignment horizontal="left" vertical="center"/>
    </xf>
    <xf numFmtId="0" fontId="0" fillId="0" borderId="0" xfId="0" applyNumberFormat="1"/>
    <xf numFmtId="0" fontId="5" fillId="0" borderId="0" xfId="0" applyFont="1"/>
    <xf numFmtId="0" fontId="5" fillId="0" borderId="0" xfId="0" applyFont="1" applyAlignment="1">
      <alignment horizontal="center"/>
    </xf>
    <xf numFmtId="0" fontId="0" fillId="0" borderId="0" xfId="0" applyAlignment="1">
      <alignment vertical="top"/>
    </xf>
    <xf numFmtId="0" fontId="0" fillId="7" borderId="0" xfId="0" applyFill="1"/>
    <xf numFmtId="0" fontId="1" fillId="0" borderId="0" xfId="0" applyFont="1" applyAlignment="1">
      <alignment horizontal="right"/>
    </xf>
    <xf numFmtId="0" fontId="0" fillId="3" borderId="0" xfId="0" applyFill="1"/>
    <xf numFmtId="0" fontId="6" fillId="0" borderId="0" xfId="0" applyFont="1"/>
    <xf numFmtId="0" fontId="0" fillId="15" borderId="0" xfId="0" applyFill="1"/>
    <xf numFmtId="0" fontId="0" fillId="0" borderId="8" xfId="0" applyBorder="1"/>
    <xf numFmtId="0" fontId="0" fillId="0" borderId="6" xfId="0" applyBorder="1"/>
    <xf numFmtId="0" fontId="0" fillId="0" borderId="25" xfId="0" applyBorder="1"/>
    <xf numFmtId="0" fontId="0" fillId="0" borderId="26" xfId="0" applyBorder="1"/>
    <xf numFmtId="0" fontId="0" fillId="0" borderId="19" xfId="0" applyBorder="1"/>
    <xf numFmtId="0" fontId="0" fillId="0" borderId="9" xfId="0" applyBorder="1"/>
    <xf numFmtId="0" fontId="0" fillId="0" borderId="4" xfId="0" applyBorder="1"/>
    <xf numFmtId="0" fontId="8" fillId="16" borderId="28" xfId="0" applyFont="1" applyFill="1" applyBorder="1"/>
    <xf numFmtId="0" fontId="0" fillId="0" borderId="0" xfId="0" applyFont="1"/>
    <xf numFmtId="0" fontId="0" fillId="18" borderId="0" xfId="0" applyFill="1" applyAlignment="1">
      <alignment horizontal="right" vertical="top"/>
    </xf>
    <xf numFmtId="0" fontId="1" fillId="19" borderId="0" xfId="0" applyFont="1" applyFill="1"/>
    <xf numFmtId="0" fontId="1" fillId="21" borderId="0" xfId="0" applyFont="1" applyFill="1"/>
    <xf numFmtId="0" fontId="0" fillId="6" borderId="0" xfId="0" applyNumberFormat="1" applyFill="1" applyAlignment="1">
      <alignment horizontal="right" vertical="top"/>
    </xf>
    <xf numFmtId="0" fontId="0" fillId="22" borderId="0" xfId="0" applyNumberFormat="1" applyFill="1" applyAlignment="1">
      <alignment horizontal="right" vertical="top"/>
    </xf>
    <xf numFmtId="0" fontId="1" fillId="23" borderId="0" xfId="0" applyFont="1" applyFill="1"/>
    <xf numFmtId="0" fontId="0" fillId="20" borderId="0" xfId="0" applyNumberFormat="1" applyFill="1" applyAlignment="1">
      <alignment horizontal="right" vertical="top"/>
    </xf>
    <xf numFmtId="0" fontId="0" fillId="3" borderId="0" xfId="0" applyNumberFormat="1" applyFill="1" applyAlignment="1">
      <alignment horizontal="right" vertical="top"/>
    </xf>
    <xf numFmtId="0" fontId="1" fillId="24" borderId="0" xfId="0" applyFont="1" applyFill="1"/>
    <xf numFmtId="0" fontId="7" fillId="24" borderId="0" xfId="0" applyFont="1" applyFill="1"/>
    <xf numFmtId="0" fontId="0" fillId="25" borderId="0" xfId="0" applyFill="1" applyAlignment="1">
      <alignment horizontal="right" vertical="top"/>
    </xf>
    <xf numFmtId="0" fontId="0" fillId="6" borderId="13" xfId="0" applyNumberFormat="1" applyFill="1" applyBorder="1" applyAlignment="1">
      <alignment horizontal="right" vertical="top"/>
    </xf>
    <xf numFmtId="0" fontId="0" fillId="22" borderId="13" xfId="0" applyNumberFormat="1" applyFill="1" applyBorder="1" applyAlignment="1">
      <alignment horizontal="right" vertical="top"/>
    </xf>
    <xf numFmtId="0" fontId="1" fillId="23" borderId="13" xfId="0" applyFont="1" applyFill="1" applyBorder="1"/>
    <xf numFmtId="0" fontId="1" fillId="21" borderId="13" xfId="0" applyFont="1" applyFill="1" applyBorder="1"/>
    <xf numFmtId="0" fontId="0" fillId="18" borderId="13" xfId="0" applyFill="1" applyBorder="1" applyAlignment="1">
      <alignment horizontal="right" vertical="top"/>
    </xf>
    <xf numFmtId="0" fontId="1" fillId="24" borderId="13" xfId="0" applyFont="1" applyFill="1" applyBorder="1"/>
    <xf numFmtId="0" fontId="0" fillId="3" borderId="13" xfId="0" applyNumberFormat="1" applyFill="1" applyBorder="1" applyAlignment="1">
      <alignment horizontal="right" vertical="top"/>
    </xf>
    <xf numFmtId="0" fontId="0" fillId="20" borderId="13" xfId="0" applyNumberFormat="1" applyFill="1" applyBorder="1" applyAlignment="1">
      <alignment horizontal="right" vertical="top"/>
    </xf>
    <xf numFmtId="0" fontId="0" fillId="0" borderId="0" xfId="0" applyFill="1" applyBorder="1"/>
    <xf numFmtId="0" fontId="1" fillId="0" borderId="25" xfId="0" applyFont="1" applyBorder="1"/>
    <xf numFmtId="0" fontId="0" fillId="0" borderId="0" xfId="0" applyAlignment="1"/>
    <xf numFmtId="0" fontId="0" fillId="17" borderId="27" xfId="0" applyFont="1" applyFill="1" applyBorder="1" applyAlignment="1">
      <alignment vertical="top"/>
    </xf>
    <xf numFmtId="0" fontId="0" fillId="17" borderId="29" xfId="0" applyFont="1" applyFill="1" applyBorder="1" applyAlignment="1">
      <alignment vertical="top"/>
    </xf>
    <xf numFmtId="0" fontId="8" fillId="16" borderId="28" xfId="0" applyNumberFormat="1" applyFont="1" applyFill="1" applyBorder="1"/>
    <xf numFmtId="0" fontId="8" fillId="16" borderId="28" xfId="0" applyFont="1" applyFill="1" applyBorder="1" applyAlignment="1"/>
    <xf numFmtId="0" fontId="9" fillId="0" borderId="27" xfId="0" applyFont="1" applyBorder="1" applyAlignment="1">
      <alignment vertical="top"/>
    </xf>
    <xf numFmtId="0" fontId="9" fillId="17" borderId="27" xfId="0" applyFont="1" applyFill="1" applyBorder="1" applyAlignment="1">
      <alignment vertical="top"/>
    </xf>
    <xf numFmtId="0" fontId="9" fillId="17" borderId="29" xfId="0" applyFont="1" applyFill="1" applyBorder="1" applyAlignment="1">
      <alignment vertical="top"/>
    </xf>
    <xf numFmtId="0" fontId="10" fillId="16" borderId="28" xfId="0" applyFont="1" applyFill="1" applyBorder="1"/>
    <xf numFmtId="0" fontId="1" fillId="0" borderId="1" xfId="0" applyFont="1" applyBorder="1" applyAlignment="1">
      <alignment horizontal="right"/>
    </xf>
    <xf numFmtId="0" fontId="0" fillId="2" borderId="1" xfId="0" applyFont="1" applyFill="1" applyBorder="1" applyAlignment="1">
      <alignment horizontal="right"/>
    </xf>
    <xf numFmtId="0" fontId="0" fillId="4" borderId="2" xfId="0" applyFont="1" applyFill="1" applyBorder="1" applyAlignment="1">
      <alignment horizontal="right"/>
    </xf>
    <xf numFmtId="0" fontId="0" fillId="4" borderId="1" xfId="0" applyFont="1" applyFill="1" applyBorder="1" applyAlignment="1">
      <alignment horizontal="right"/>
    </xf>
    <xf numFmtId="0" fontId="0" fillId="5" borderId="1" xfId="0" applyFont="1" applyFill="1" applyBorder="1" applyAlignment="1">
      <alignment horizontal="right"/>
    </xf>
    <xf numFmtId="0" fontId="0" fillId="5" borderId="2" xfId="0" applyFont="1" applyFill="1" applyBorder="1" applyAlignment="1">
      <alignment horizontal="right"/>
    </xf>
    <xf numFmtId="0" fontId="0" fillId="6" borderId="2" xfId="0" applyFont="1" applyFill="1" applyBorder="1" applyAlignment="1">
      <alignment horizontal="right"/>
    </xf>
    <xf numFmtId="0" fontId="0" fillId="3" borderId="1" xfId="0" applyFont="1" applyFill="1" applyBorder="1" applyAlignment="1">
      <alignment horizontal="right"/>
    </xf>
    <xf numFmtId="0" fontId="11" fillId="0" borderId="0" xfId="0" quotePrefix="1" applyFont="1"/>
    <xf numFmtId="0" fontId="0" fillId="7" borderId="1" xfId="0" applyFont="1" applyFill="1" applyBorder="1" applyAlignment="1">
      <alignment horizontal="left"/>
    </xf>
    <xf numFmtId="0" fontId="0" fillId="7" borderId="2" xfId="0" applyFont="1" applyFill="1" applyBorder="1" applyAlignment="1">
      <alignment horizontal="left"/>
    </xf>
    <xf numFmtId="0" fontId="1" fillId="26" borderId="25" xfId="0" applyFont="1" applyFill="1" applyBorder="1"/>
    <xf numFmtId="0" fontId="1" fillId="26" borderId="0" xfId="0" applyFont="1" applyFill="1" applyBorder="1"/>
    <xf numFmtId="0" fontId="0" fillId="26" borderId="26" xfId="0" applyFill="1" applyBorder="1"/>
    <xf numFmtId="0" fontId="1" fillId="26" borderId="26" xfId="0" applyFont="1" applyFill="1" applyBorder="1" applyAlignment="1">
      <alignment horizontal="right"/>
    </xf>
    <xf numFmtId="0" fontId="0" fillId="26" borderId="25" xfId="0" applyFill="1" applyBorder="1"/>
    <xf numFmtId="0" fontId="0" fillId="26" borderId="0" xfId="0" applyFill="1" applyBorder="1"/>
    <xf numFmtId="0" fontId="1" fillId="26" borderId="0" xfId="0" applyFont="1" applyFill="1" applyBorder="1" applyAlignment="1">
      <alignment horizontal="right"/>
    </xf>
    <xf numFmtId="0" fontId="1" fillId="26" borderId="19" xfId="0" applyFont="1" applyFill="1" applyBorder="1"/>
    <xf numFmtId="0" fontId="1" fillId="26" borderId="9" xfId="0" applyFont="1" applyFill="1" applyBorder="1" applyAlignment="1">
      <alignment horizontal="right"/>
    </xf>
    <xf numFmtId="0" fontId="0" fillId="26" borderId="4" xfId="0" applyFill="1" applyBorder="1"/>
    <xf numFmtId="0" fontId="1" fillId="26" borderId="20" xfId="0" applyFont="1" applyFill="1" applyBorder="1"/>
    <xf numFmtId="0" fontId="0" fillId="26" borderId="30" xfId="0" applyFill="1" applyBorder="1"/>
    <xf numFmtId="0" fontId="0" fillId="26" borderId="3" xfId="0" applyFill="1" applyBorder="1"/>
    <xf numFmtId="0" fontId="0" fillId="0" borderId="0" xfId="0" applyNumberFormat="1" applyAlignment="1">
      <alignment horizontal="right"/>
    </xf>
    <xf numFmtId="0" fontId="9" fillId="2" borderId="29" xfId="0" applyFont="1" applyFill="1" applyBorder="1" applyAlignment="1">
      <alignment vertical="top"/>
    </xf>
    <xf numFmtId="0" fontId="0" fillId="2" borderId="27" xfId="0" applyFont="1" applyFill="1" applyBorder="1" applyAlignment="1">
      <alignment vertical="top"/>
    </xf>
    <xf numFmtId="0" fontId="9" fillId="2" borderId="27" xfId="0" applyFont="1" applyFill="1" applyBorder="1" applyAlignment="1">
      <alignment vertical="top"/>
    </xf>
    <xf numFmtId="0" fontId="9" fillId="2" borderId="28" xfId="0" applyFont="1" applyFill="1" applyBorder="1" applyAlignment="1">
      <alignment vertical="top"/>
    </xf>
    <xf numFmtId="0" fontId="9" fillId="17" borderId="0" xfId="0" applyFont="1" applyFill="1" applyAlignment="1">
      <alignment horizontal="right"/>
    </xf>
    <xf numFmtId="0" fontId="0" fillId="2" borderId="29" xfId="0" applyFont="1" applyFill="1" applyBorder="1" applyAlignment="1">
      <alignment vertical="top"/>
    </xf>
  </cellXfs>
  <cellStyles count="1">
    <cellStyle name="Normal" xfId="0" builtinId="0"/>
  </cellStyles>
  <dxfs count="13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numFmt numFmtId="0" formatCode="General"/>
      <fill>
        <patternFill patternType="solid">
          <fgColor indexed="64"/>
          <bgColor theme="2" tint="-0.249977111117893"/>
        </patternFill>
      </fill>
      <alignment horizontal="right" vertical="top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2" tint="-0.249977111117893"/>
        </patternFill>
      </fill>
      <alignment horizontal="right" vertical="top" textRotation="0" wrapText="0" indent="0" justifyLastLine="0" shrinkToFit="0" readingOrder="0"/>
      <border diagonalUp="0" diagonalDown="0">
        <left style="thick">
          <color auto="1"/>
        </left>
        <right/>
        <top/>
        <bottom/>
        <vertical/>
        <horizontal/>
      </border>
    </dxf>
    <dxf>
      <numFmt numFmtId="0" formatCode="General"/>
      <fill>
        <patternFill patternType="solid">
          <fgColor indexed="64"/>
          <bgColor theme="9" tint="0.59999389629810485"/>
        </patternFill>
      </fill>
      <alignment horizontal="right" vertical="top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9" tint="0.59999389629810485"/>
        </patternFill>
      </fill>
      <alignment horizontal="right" vertical="top" textRotation="0" wrapText="0" indent="0" justifyLastLine="0" shrinkToFit="0" readingOrder="0"/>
      <border diagonalUp="0" diagonalDown="0">
        <left style="thick">
          <color auto="1"/>
        </left>
        <right/>
        <top/>
        <bottom/>
        <vertical/>
        <horizontal/>
      </border>
    </dxf>
    <dxf>
      <numFmt numFmtId="0" formatCode="General"/>
      <fill>
        <patternFill patternType="solid">
          <fgColor indexed="64"/>
          <bgColor theme="2" tint="-0.499984740745262"/>
        </patternFill>
      </fill>
      <alignment horizontal="right" vertical="top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2" tint="-0.499984740745262"/>
        </patternFill>
      </fill>
      <alignment horizontal="right" vertical="top" textRotation="0" wrapText="0" indent="0" justifyLastLine="0" shrinkToFit="0" readingOrder="0"/>
      <border diagonalUp="0" diagonalDown="0">
        <left style="thick">
          <color auto="1"/>
        </left>
        <right/>
        <top/>
        <bottom/>
        <vertical/>
        <horizontal/>
      </border>
    </dxf>
    <dxf>
      <numFmt numFmtId="0" formatCode="General"/>
      <fill>
        <patternFill patternType="solid">
          <fgColor indexed="64"/>
          <bgColor theme="9" tint="0.39997558519241921"/>
        </patternFill>
      </fill>
      <alignment horizontal="right" vertical="top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9" tint="0.39997558519241921"/>
        </patternFill>
      </fill>
      <alignment horizontal="right" vertical="top" textRotation="0" wrapText="0" indent="0" justifyLastLine="0" shrinkToFit="0" readingOrder="0"/>
      <border diagonalUp="0" diagonalDown="0">
        <left style="thick">
          <color auto="1"/>
        </left>
        <right/>
        <top/>
        <bottom/>
        <vertical/>
        <horizontal/>
      </border>
    </dxf>
    <dxf>
      <fill>
        <patternFill patternType="solid">
          <fgColor indexed="64"/>
          <bgColor theme="5" tint="0.39997558519241921"/>
        </patternFill>
      </fill>
      <alignment horizontal="right" vertical="top" textRotation="0" wrapText="0" indent="0" justifyLastLine="0" shrinkToFit="0" readingOrder="0"/>
    </dxf>
    <dxf>
      <fill>
        <patternFill patternType="solid">
          <fgColor indexed="64"/>
          <bgColor theme="5" tint="0.39997558519241921"/>
        </patternFill>
      </fill>
      <alignment horizontal="right" vertical="top" textRotation="0" wrapText="0" indent="0" justifyLastLine="0" shrinkToFit="0" readingOrder="0"/>
    </dxf>
    <dxf>
      <fill>
        <patternFill patternType="solid">
          <fgColor indexed="64"/>
          <bgColor theme="5" tint="0.39997558519241921"/>
        </patternFill>
      </fill>
      <alignment horizontal="right" vertical="top" textRotation="0" wrapText="0" indent="0" justifyLastLine="0" shrinkToFit="0" readingOrder="0"/>
    </dxf>
    <dxf>
      <fill>
        <patternFill patternType="solid">
          <fgColor indexed="64"/>
          <bgColor theme="5" tint="0.39997558519241921"/>
        </patternFill>
      </fill>
      <alignment horizontal="right" vertical="top" textRotation="0" wrapText="0" indent="0" justifyLastLine="0" shrinkToFit="0" readingOrder="0"/>
    </dxf>
    <dxf>
      <fill>
        <patternFill patternType="solid">
          <fgColor indexed="64"/>
          <bgColor theme="5" tint="0.39997558519241921"/>
        </patternFill>
      </fill>
      <alignment horizontal="right" vertical="top" textRotation="0" wrapText="0" indent="0" justifyLastLine="0" shrinkToFit="0" readingOrder="0"/>
      <border diagonalUp="0" diagonalDown="0">
        <left style="thick">
          <color indexed="64"/>
        </left>
        <right/>
        <top/>
        <bottom/>
        <vertical/>
        <horizontal/>
      </border>
    </dxf>
    <dxf>
      <fill>
        <patternFill patternType="solid">
          <fgColor indexed="64"/>
          <bgColor theme="6" tint="0.59999389629810485"/>
        </patternFill>
      </fill>
      <alignment horizontal="right" vertical="top" textRotation="0" wrapText="0" indent="0" justifyLastLine="0" shrinkToFit="0" readingOrder="0"/>
    </dxf>
    <dxf>
      <fill>
        <patternFill patternType="solid">
          <fgColor indexed="64"/>
          <bgColor theme="6" tint="0.59999389629810485"/>
        </patternFill>
      </fill>
      <alignment horizontal="right" vertical="top" textRotation="0" wrapText="0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 </c:v>
          </c:tx>
          <c:spPr>
            <a:noFill/>
          </c:spPr>
          <c:invertIfNegative val="0"/>
          <c:cat>
            <c:strRef>
              <c:f>Dragons!$U$32:$U$42</c:f>
              <c:strCache>
                <c:ptCount val="11"/>
                <c:pt idx="0">
                  <c:v>Baby</c:v>
                </c:pt>
                <c:pt idx="1">
                  <c:v>Crocodrile</c:v>
                </c:pt>
                <c:pt idx="2">
                  <c:v>Reptile</c:v>
                </c:pt>
                <c:pt idx="3">
                  <c:v>Fat</c:v>
                </c:pt>
                <c:pt idx="4">
                  <c:v>Bug</c:v>
                </c:pt>
                <c:pt idx="5">
                  <c:v>Chinese</c:v>
                </c:pt>
                <c:pt idx="6">
                  <c:v>Classic</c:v>
                </c:pt>
                <c:pt idx="7">
                  <c:v>Devil</c:v>
                </c:pt>
                <c:pt idx="8">
                  <c:v>Jawfrey</c:v>
                </c:pt>
                <c:pt idx="9">
                  <c:v>Balrog</c:v>
                </c:pt>
                <c:pt idx="10">
                  <c:v>Titan</c:v>
                </c:pt>
              </c:strCache>
            </c:strRef>
          </c:cat>
          <c:val>
            <c:numRef>
              <c:f>Dragons!$L$32:$L$42</c:f>
              <c:numCache>
                <c:formatCode>General</c:formatCode>
                <c:ptCount val="11"/>
                <c:pt idx="0">
                  <c:v>75</c:v>
                </c:pt>
                <c:pt idx="1">
                  <c:v>95</c:v>
                </c:pt>
                <c:pt idx="2">
                  <c:v>140</c:v>
                </c:pt>
                <c:pt idx="3">
                  <c:v>190</c:v>
                </c:pt>
                <c:pt idx="4">
                  <c:v>210</c:v>
                </c:pt>
                <c:pt idx="5">
                  <c:v>250</c:v>
                </c:pt>
                <c:pt idx="6">
                  <c:v>290</c:v>
                </c:pt>
                <c:pt idx="7">
                  <c:v>330</c:v>
                </c:pt>
                <c:pt idx="8">
                  <c:v>360</c:v>
                </c:pt>
                <c:pt idx="9">
                  <c:v>375</c:v>
                </c:pt>
                <c:pt idx="10">
                  <c:v>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EE-4A26-9589-4EBF4F0CC0BC}"/>
            </c:ext>
          </c:extLst>
        </c:ser>
        <c:ser>
          <c:idx val="1"/>
          <c:order val="1"/>
          <c:tx>
            <c:v>HP</c:v>
          </c:tx>
          <c:invertIfNegative val="0"/>
          <c:cat>
            <c:strRef>
              <c:f>Dragons!$U$32:$U$42</c:f>
              <c:strCache>
                <c:ptCount val="11"/>
                <c:pt idx="0">
                  <c:v>Baby</c:v>
                </c:pt>
                <c:pt idx="1">
                  <c:v>Crocodrile</c:v>
                </c:pt>
                <c:pt idx="2">
                  <c:v>Reptile</c:v>
                </c:pt>
                <c:pt idx="3">
                  <c:v>Fat</c:v>
                </c:pt>
                <c:pt idx="4">
                  <c:v>Bug</c:v>
                </c:pt>
                <c:pt idx="5">
                  <c:v>Chinese</c:v>
                </c:pt>
                <c:pt idx="6">
                  <c:v>Classic</c:v>
                </c:pt>
                <c:pt idx="7">
                  <c:v>Devil</c:v>
                </c:pt>
                <c:pt idx="8">
                  <c:v>Jawfrey</c:v>
                </c:pt>
                <c:pt idx="9">
                  <c:v>Balrog</c:v>
                </c:pt>
                <c:pt idx="10">
                  <c:v>Titan</c:v>
                </c:pt>
              </c:strCache>
            </c:strRef>
          </c:cat>
          <c:val>
            <c:numRef>
              <c:f>Dragons!$N$32:$N$42</c:f>
              <c:numCache>
                <c:formatCode>General</c:formatCode>
                <c:ptCount val="11"/>
                <c:pt idx="0">
                  <c:v>30</c:v>
                </c:pt>
                <c:pt idx="1">
                  <c:v>50</c:v>
                </c:pt>
                <c:pt idx="2">
                  <c:v>60</c:v>
                </c:pt>
                <c:pt idx="3">
                  <c:v>50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  <c:pt idx="10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EE-4A26-9589-4EBF4F0CC0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8"/>
        <c:overlap val="100"/>
        <c:axId val="82729984"/>
        <c:axId val="82653952"/>
      </c:barChart>
      <c:catAx>
        <c:axId val="82729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2653952"/>
        <c:crosses val="autoZero"/>
        <c:auto val="1"/>
        <c:lblAlgn val="ctr"/>
        <c:lblOffset val="100"/>
        <c:noMultiLvlLbl val="0"/>
      </c:catAx>
      <c:valAx>
        <c:axId val="82653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27299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Prog.!$D$108</c:f>
              <c:strCache>
                <c:ptCount val="1"/>
                <c:pt idx="0">
                  <c:v>TOP 5 SPAWNERS</c:v>
                </c:pt>
              </c:strCache>
            </c:strRef>
          </c:tx>
          <c:cat>
            <c:strRef>
              <c:f>Prog.!$D$111:$D$116</c:f>
              <c:strCache>
                <c:ptCount val="6"/>
                <c:pt idx="0">
                  <c:v>Canary01_Flock</c:v>
                </c:pt>
                <c:pt idx="1">
                  <c:v>SpiderSmall</c:v>
                </c:pt>
                <c:pt idx="2">
                  <c:v>BadJunk</c:v>
                </c:pt>
                <c:pt idx="3">
                  <c:v>BatSmall_Flock</c:v>
                </c:pt>
                <c:pt idx="4">
                  <c:v>Rat</c:v>
                </c:pt>
                <c:pt idx="5">
                  <c:v>Others</c:v>
                </c:pt>
              </c:strCache>
            </c:strRef>
          </c:cat>
          <c:val>
            <c:numRef>
              <c:f>Prog.!$F$111:$F$116</c:f>
              <c:numCache>
                <c:formatCode>General</c:formatCode>
                <c:ptCount val="6"/>
                <c:pt idx="0">
                  <c:v>7.5</c:v>
                </c:pt>
                <c:pt idx="1">
                  <c:v>7.4</c:v>
                </c:pt>
                <c:pt idx="2">
                  <c:v>6.2</c:v>
                </c:pt>
                <c:pt idx="3">
                  <c:v>5</c:v>
                </c:pt>
                <c:pt idx="4">
                  <c:v>4</c:v>
                </c:pt>
                <c:pt idx="5">
                  <c:v>69.900000000000006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DA-4937-9824-F93B11D165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Total Coins: Bottles and Coins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Village</c:v>
              </c:pt>
              <c:pt idx="1">
                <c:v>Castle</c:v>
              </c:pt>
              <c:pt idx="2">
                <c:v>Dark</c:v>
              </c:pt>
            </c:strLit>
          </c:cat>
          <c:val>
            <c:numRef>
              <c:f>(DATA_SCENES_UNITY_2!$N$41,DATA_SCENES_UNITY_2!$AC$41,DATA_SCENES_UNITY_2!$AR$41)</c:f>
              <c:numCache>
                <c:formatCode>General</c:formatCode>
                <c:ptCount val="3"/>
                <c:pt idx="0">
                  <c:v>72</c:v>
                </c:pt>
                <c:pt idx="1">
                  <c:v>97</c:v>
                </c:pt>
                <c:pt idx="2">
                  <c:v>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F2-4123-A6DF-F1040A48A5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6874992"/>
        <c:axId val="336663712"/>
      </c:barChart>
      <c:catAx>
        <c:axId val="336874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63712"/>
        <c:crosses val="autoZero"/>
        <c:auto val="1"/>
        <c:lblAlgn val="ctr"/>
        <c:lblOffset val="100"/>
        <c:noMultiLvlLbl val="0"/>
      </c:catAx>
      <c:valAx>
        <c:axId val="33666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874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Total Flying</a:t>
            </a:r>
            <a:r>
              <a:rPr lang="en-US" b="1" baseline="0"/>
              <a:t> pigs (Gems</a:t>
            </a:r>
            <a:r>
              <a:rPr lang="en-US" baseline="0"/>
              <a:t>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Village</c:v>
              </c:pt>
              <c:pt idx="1">
                <c:v>Castle</c:v>
              </c:pt>
              <c:pt idx="2">
                <c:v>Dark</c:v>
              </c:pt>
            </c:strLit>
          </c:cat>
          <c:val>
            <c:numRef>
              <c:f>(Entities!$N$73,Entities!$P$73,Entities!$R$73)</c:f>
              <c:numCache>
                <c:formatCode>General</c:formatCode>
                <c:ptCount val="3"/>
                <c:pt idx="0">
                  <c:v>21</c:v>
                </c:pt>
                <c:pt idx="1">
                  <c:v>21</c:v>
                </c:pt>
                <c:pt idx="2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C5-48C6-8F09-CEA8139D48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2639376"/>
        <c:axId val="782638960"/>
      </c:barChart>
      <c:catAx>
        <c:axId val="782639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638960"/>
        <c:crosses val="autoZero"/>
        <c:auto val="1"/>
        <c:lblAlgn val="ctr"/>
        <c:lblOffset val="100"/>
        <c:noMultiLvlLbl val="0"/>
      </c:catAx>
      <c:valAx>
        <c:axId val="78263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639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1"/>
          <c:order val="1"/>
          <c:tx>
            <c:strRef>
              <c:f>DATA_SCENES_UNITY_1!$N$5</c:f>
              <c:strCache>
                <c:ptCount val="1"/>
                <c:pt idx="0">
                  <c:v>STARTINGPOINT/WATERFALL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DATA_SCENES_UNITY_1!$N$8:$N$9</c:f>
              <c:numCache>
                <c:formatCode>General</c:formatCode>
                <c:ptCount val="2"/>
                <c:pt idx="0">
                  <c:v>77</c:v>
                </c:pt>
                <c:pt idx="1">
                  <c:v>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4D-4B87-A7DE-A79659D76E00}"/>
            </c:ext>
          </c:extLst>
        </c:ser>
        <c:ser>
          <c:idx val="0"/>
          <c:order val="0"/>
          <c:tx>
            <c:strRef>
              <c:f>DATA_SCENES_UNITY_1!$N$5</c:f>
              <c:strCache>
                <c:ptCount val="1"/>
                <c:pt idx="0">
                  <c:v>STARTINGPOINT/WATERFALL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DATA_SCENES_UNITY_1!$N$8:$N$9</c:f>
              <c:numCache>
                <c:formatCode>General</c:formatCode>
                <c:ptCount val="2"/>
                <c:pt idx="0">
                  <c:v>77</c:v>
                </c:pt>
                <c:pt idx="1">
                  <c:v>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4D-4B87-A7DE-A79659D76E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DATA_SCENES_UNITY_1!$C$5</c:f>
              <c:strCache>
                <c:ptCount val="1"/>
                <c:pt idx="0">
                  <c:v>STARTINGPOINT/HUMANVILLAGE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DATA_SCENES_UNITY_1!$C$8:$C$9</c:f>
              <c:numCache>
                <c:formatCode>General</c:formatCode>
                <c:ptCount val="2"/>
                <c:pt idx="0">
                  <c:v>281</c:v>
                </c:pt>
                <c:pt idx="1">
                  <c:v>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41-4520-B0E1-FE239C0B17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1"/>
          <c:order val="1"/>
          <c:tx>
            <c:strRef>
              <c:f>DATA_SCENES_UNITY_1!$Y$5</c:f>
              <c:strCache>
                <c:ptCount val="1"/>
                <c:pt idx="0">
                  <c:v>STARTINGPOINT/CAVES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DATA_SCENES_UNITY_1!$Y$8:$Y$9</c:f>
              <c:numCache>
                <c:formatCode>General</c:formatCode>
                <c:ptCount val="2"/>
                <c:pt idx="0">
                  <c:v>29</c:v>
                </c:pt>
                <c:pt idx="1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CF-43AB-9141-9896CD34DB39}"/>
            </c:ext>
          </c:extLst>
        </c:ser>
        <c:ser>
          <c:idx val="0"/>
          <c:order val="0"/>
          <c:tx>
            <c:strRef>
              <c:f>DATA_SCENES_UNITY_1!$Y$5</c:f>
              <c:strCache>
                <c:ptCount val="1"/>
                <c:pt idx="0">
                  <c:v>STARTINGPOINT/CAVES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DATA_SCENES_UNITY_1!$Y$8:$Y$9</c:f>
              <c:numCache>
                <c:formatCode>General</c:formatCode>
                <c:ptCount val="2"/>
                <c:pt idx="0">
                  <c:v>29</c:v>
                </c:pt>
                <c:pt idx="1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CF-43AB-9141-9896CD34DB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DATA_SCENES_UNITY_1!$BQ$5</c:f>
              <c:strCache>
                <c:ptCount val="1"/>
                <c:pt idx="0">
                  <c:v>HUMAN FOREST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DATA_SCENES_UNITY_1!$BQ$8:$BQ$9</c:f>
              <c:numCache>
                <c:formatCode>General</c:formatCode>
                <c:ptCount val="2"/>
                <c:pt idx="0">
                  <c:v>208</c:v>
                </c:pt>
                <c:pt idx="1">
                  <c:v>277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9E-4659-A098-2714AC9935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1"/>
          <c:order val="0"/>
          <c:tx>
            <c:strRef>
              <c:f>DATA_SCENES_UNITY_1!$BF$5</c:f>
              <c:strCache>
                <c:ptCount val="1"/>
                <c:pt idx="0">
                  <c:v>BIG CAVES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DATA_SCENES_UNITY_1!$BF$8:$BF$9</c:f>
              <c:numCache>
                <c:formatCode>General</c:formatCode>
                <c:ptCount val="2"/>
                <c:pt idx="0">
                  <c:v>111</c:v>
                </c:pt>
                <c:pt idx="1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91-428F-9002-95FA670AEA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Entities per XP</c:v>
          </c:tx>
          <c:invertIfNegative val="0"/>
          <c:cat>
            <c:numRef>
              <c:f>DATA_SCENES_UNITY_2!$K$9:$K$31</c:f>
              <c:numCache>
                <c:formatCode>General</c:formatCode>
                <c:ptCount val="23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  <c:pt idx="5">
                  <c:v>15000</c:v>
                </c:pt>
                <c:pt idx="6">
                  <c:v>17500</c:v>
                </c:pt>
                <c:pt idx="7">
                  <c:v>20000</c:v>
                </c:pt>
                <c:pt idx="8">
                  <c:v>22500</c:v>
                </c:pt>
                <c:pt idx="9">
                  <c:v>25000</c:v>
                </c:pt>
                <c:pt idx="10">
                  <c:v>27500</c:v>
                </c:pt>
                <c:pt idx="11">
                  <c:v>30000</c:v>
                </c:pt>
                <c:pt idx="12">
                  <c:v>32500</c:v>
                </c:pt>
                <c:pt idx="13">
                  <c:v>35000</c:v>
                </c:pt>
                <c:pt idx="14">
                  <c:v>37500</c:v>
                </c:pt>
                <c:pt idx="15">
                  <c:v>40000</c:v>
                </c:pt>
                <c:pt idx="16">
                  <c:v>42500</c:v>
                </c:pt>
                <c:pt idx="17">
                  <c:v>45000</c:v>
                </c:pt>
                <c:pt idx="18">
                  <c:v>47500</c:v>
                </c:pt>
                <c:pt idx="19">
                  <c:v>50000</c:v>
                </c:pt>
                <c:pt idx="20">
                  <c:v>52500</c:v>
                </c:pt>
                <c:pt idx="21">
                  <c:v>55000</c:v>
                </c:pt>
                <c:pt idx="22">
                  <c:v>57500</c:v>
                </c:pt>
              </c:numCache>
            </c:numRef>
          </c:cat>
          <c:val>
            <c:numRef>
              <c:f>DATA_SCENES_UNITY_2!$L$9:$L$31</c:f>
              <c:numCache>
                <c:formatCode>General</c:formatCode>
                <c:ptCount val="23"/>
                <c:pt idx="0">
                  <c:v>29</c:v>
                </c:pt>
                <c:pt idx="1">
                  <c:v>126</c:v>
                </c:pt>
                <c:pt idx="2">
                  <c:v>89</c:v>
                </c:pt>
                <c:pt idx="3">
                  <c:v>76</c:v>
                </c:pt>
                <c:pt idx="4">
                  <c:v>18</c:v>
                </c:pt>
                <c:pt idx="5">
                  <c:v>31</c:v>
                </c:pt>
                <c:pt idx="6">
                  <c:v>52</c:v>
                </c:pt>
                <c:pt idx="7">
                  <c:v>27</c:v>
                </c:pt>
                <c:pt idx="8">
                  <c:v>7</c:v>
                </c:pt>
                <c:pt idx="9">
                  <c:v>39</c:v>
                </c:pt>
                <c:pt idx="10">
                  <c:v>12</c:v>
                </c:pt>
                <c:pt idx="11">
                  <c:v>23</c:v>
                </c:pt>
                <c:pt idx="12">
                  <c:v>1</c:v>
                </c:pt>
                <c:pt idx="13">
                  <c:v>14</c:v>
                </c:pt>
                <c:pt idx="14">
                  <c:v>7</c:v>
                </c:pt>
                <c:pt idx="15">
                  <c:v>8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7C-4D5B-A5AD-2073A9EB83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5381888"/>
        <c:axId val="85383424"/>
      </c:barChart>
      <c:catAx>
        <c:axId val="85381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5383424"/>
        <c:crosses val="autoZero"/>
        <c:auto val="1"/>
        <c:lblAlgn val="ctr"/>
        <c:lblOffset val="100"/>
        <c:noMultiLvlLbl val="0"/>
      </c:catAx>
      <c:valAx>
        <c:axId val="85383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5381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XP in area</c:v>
          </c:tx>
          <c:invertIfNegative val="0"/>
          <c:cat>
            <c:strRef>
              <c:f>(DATA_SCENES_UNITY_1!$C$18,DATA_SCENES_UNITY_1!$N$18,DATA_SCENES_UNITY_1!$Y$18,DATA_SCENES_UNITY_1!$AJ$18,DATA_SCENES_UNITY_1!$AU$18,DATA_SCENES_UNITY_1!$BF$18,DATA_SCENES_UNITY_1!$BQ$18)</c:f>
              <c:strCache>
                <c:ptCount val="7"/>
                <c:pt idx="0">
                  <c:v>Human Village</c:v>
                </c:pt>
                <c:pt idx="1">
                  <c:v>Waterfall</c:v>
                </c:pt>
                <c:pt idx="2">
                  <c:v>Cave</c:v>
                </c:pt>
                <c:pt idx="3">
                  <c:v>Goblin city</c:v>
                </c:pt>
                <c:pt idx="4">
                  <c:v>Witch forest</c:v>
                </c:pt>
                <c:pt idx="5">
                  <c:v>Big caves</c:v>
                </c:pt>
                <c:pt idx="6">
                  <c:v>Human forest</c:v>
                </c:pt>
              </c:strCache>
            </c:strRef>
          </c:cat>
          <c:val>
            <c:numRef>
              <c:f>(DATA_SCENES_UNITY_1!$C$6,DATA_SCENES_UNITY_1!$N$6,DATA_SCENES_UNITY_1!$Y$6,DATA_SCENES_UNITY_1!$AJ$6,DATA_SCENES_UNITY_1!$AU$6,DATA_SCENES_UNITY_1!$BF$6,DATA_SCENES_UNITY_1!$BQ$6)</c:f>
              <c:numCache>
                <c:formatCode>General</c:formatCode>
                <c:ptCount val="7"/>
                <c:pt idx="0">
                  <c:v>48687</c:v>
                </c:pt>
                <c:pt idx="1">
                  <c:v>15012</c:v>
                </c:pt>
                <c:pt idx="2">
                  <c:v>4265</c:v>
                </c:pt>
                <c:pt idx="3">
                  <c:v>29200</c:v>
                </c:pt>
                <c:pt idx="4">
                  <c:v>11548</c:v>
                </c:pt>
                <c:pt idx="5">
                  <c:v>13827</c:v>
                </c:pt>
                <c:pt idx="6">
                  <c:v>37100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37-4B42-AA4B-9CBA377AD0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5395712"/>
        <c:axId val="85409792"/>
      </c:barChart>
      <c:catAx>
        <c:axId val="85395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5409792"/>
        <c:crosses val="autoZero"/>
        <c:auto val="1"/>
        <c:lblAlgn val="ctr"/>
        <c:lblOffset val="100"/>
        <c:noMultiLvlLbl val="0"/>
      </c:catAx>
      <c:valAx>
        <c:axId val="85409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5395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8082409612120342E-2"/>
          <c:y val="0.1424059896693782"/>
          <c:w val="0.87565792292717104"/>
          <c:h val="0.79576606642831538"/>
        </c:manualLayout>
      </c:layout>
      <c:lineChart>
        <c:grouping val="standard"/>
        <c:varyColors val="0"/>
        <c:ser>
          <c:idx val="1"/>
          <c:order val="0"/>
          <c:tx>
            <c:v>Max. speed</c:v>
          </c:tx>
          <c:spPr>
            <a:ln>
              <a:solidFill>
                <a:schemeClr val="accent4">
                  <a:lumMod val="40000"/>
                  <a:lumOff val="60000"/>
                </a:schemeClr>
              </a:solidFill>
            </a:ln>
          </c:spPr>
          <c:marker>
            <c:spPr>
              <a:solidFill>
                <a:schemeClr val="accent4">
                  <a:lumMod val="75000"/>
                </a:schemeClr>
              </a:solidFill>
            </c:spPr>
          </c:marker>
          <c:val>
            <c:numRef>
              <c:f>Dragons!$M$65:$M$75</c:f>
              <c:numCache>
                <c:formatCode>General</c:formatCode>
                <c:ptCount val="11"/>
                <c:pt idx="0">
                  <c:v>18.399999999999999</c:v>
                </c:pt>
                <c:pt idx="1">
                  <c:v>17.899999999999999</c:v>
                </c:pt>
                <c:pt idx="2">
                  <c:v>24.1</c:v>
                </c:pt>
                <c:pt idx="3">
                  <c:v>16.5</c:v>
                </c:pt>
                <c:pt idx="4">
                  <c:v>18.399999999999999</c:v>
                </c:pt>
                <c:pt idx="5">
                  <c:v>28.5</c:v>
                </c:pt>
                <c:pt idx="6">
                  <c:v>22.2</c:v>
                </c:pt>
                <c:pt idx="7">
                  <c:v>19.600000000000001</c:v>
                </c:pt>
                <c:pt idx="8">
                  <c:v>24.5</c:v>
                </c:pt>
                <c:pt idx="9">
                  <c:v>23.3</c:v>
                </c:pt>
                <c:pt idx="10">
                  <c:v>21.3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E8-43BC-B451-4F1610CA5228}"/>
            </c:ext>
          </c:extLst>
        </c:ser>
        <c:ser>
          <c:idx val="0"/>
          <c:order val="1"/>
          <c:tx>
            <c:v>Speed</c:v>
          </c:tx>
          <c:val>
            <c:numRef>
              <c:f>Dragons!$L$48:$L$58</c:f>
              <c:numCache>
                <c:formatCode>General</c:formatCode>
                <c:ptCount val="11"/>
                <c:pt idx="0">
                  <c:v>9.1999999999999993</c:v>
                </c:pt>
                <c:pt idx="1">
                  <c:v>10.5</c:v>
                </c:pt>
                <c:pt idx="2">
                  <c:v>11.5</c:v>
                </c:pt>
                <c:pt idx="3">
                  <c:v>12.7</c:v>
                </c:pt>
                <c:pt idx="4">
                  <c:v>13.2</c:v>
                </c:pt>
                <c:pt idx="5">
                  <c:v>13.6</c:v>
                </c:pt>
                <c:pt idx="6">
                  <c:v>13.9</c:v>
                </c:pt>
                <c:pt idx="7">
                  <c:v>14</c:v>
                </c:pt>
                <c:pt idx="8">
                  <c:v>13.6</c:v>
                </c:pt>
                <c:pt idx="9">
                  <c:v>14.6</c:v>
                </c:pt>
                <c:pt idx="10">
                  <c:v>15.2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A5-4728-91E1-D678499B61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703488"/>
        <c:axId val="82705408"/>
      </c:lineChart>
      <c:catAx>
        <c:axId val="827034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2705408"/>
        <c:crosses val="autoZero"/>
        <c:auto val="1"/>
        <c:lblAlgn val="ctr"/>
        <c:lblOffset val="100"/>
        <c:noMultiLvlLbl val="0"/>
      </c:catAx>
      <c:valAx>
        <c:axId val="8270540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82703488"/>
        <c:crosses val="autoZero"/>
        <c:crossBetween val="between"/>
      </c:valAx>
      <c:spPr>
        <a:noFill/>
      </c:spPr>
    </c:plotArea>
    <c:legend>
      <c:legendPos val="r"/>
      <c:layout>
        <c:manualLayout>
          <c:xMode val="edge"/>
          <c:yMode val="edge"/>
          <c:x val="0.87943938929830567"/>
          <c:y val="0.63429713100136931"/>
          <c:w val="0.11938647529198711"/>
          <c:h val="9.7219943861666269E-2"/>
        </c:manualLayout>
      </c:layout>
      <c:overlay val="0"/>
    </c:legend>
    <c:plotVisOnly val="1"/>
    <c:dispBlanksAs val="gap"/>
    <c:showDLblsOverMax val="0"/>
  </c:chart>
  <c:spPr>
    <a:noFill/>
  </c:sp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1"/>
          <c:order val="1"/>
          <c:tx>
            <c:strRef>
              <c:f>DATA_SCENES_UNITY_1!$AJ$5</c:f>
              <c:strCache>
                <c:ptCount val="1"/>
                <c:pt idx="0">
                  <c:v>MAGIC AREA/GOBLIN CITY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DATA_SCENES_UNITY_1!$AJ$8:$AJ$9</c:f>
              <c:numCache>
                <c:formatCode>General</c:formatCode>
                <c:ptCount val="2"/>
                <c:pt idx="0">
                  <c:v>132</c:v>
                </c:pt>
                <c:pt idx="1">
                  <c:v>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36-4F11-ABA9-D6A94AFDECBB}"/>
            </c:ext>
          </c:extLst>
        </c:ser>
        <c:ser>
          <c:idx val="0"/>
          <c:order val="0"/>
          <c:tx>
            <c:strRef>
              <c:f>DATA_SCENES_UNITY_1!$AJ$5</c:f>
              <c:strCache>
                <c:ptCount val="1"/>
                <c:pt idx="0">
                  <c:v>MAGIC AREA/GOBLIN CITY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DATA_SCENES_UNITY_1!$AJ$8:$AJ$9</c:f>
              <c:numCache>
                <c:formatCode>General</c:formatCode>
                <c:ptCount val="2"/>
                <c:pt idx="0">
                  <c:v>132</c:v>
                </c:pt>
                <c:pt idx="1">
                  <c:v>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36-4F11-ABA9-D6A94AFDEC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1"/>
          <c:order val="1"/>
          <c:tx>
            <c:strRef>
              <c:f>DATA_SCENES_UNITY_1!$AU$5</c:f>
              <c:strCache>
                <c:ptCount val="1"/>
                <c:pt idx="0">
                  <c:v>MAGIC AREA/WITCH FOREST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DATA_SCENES_UNITY_1!$AU$8:$AU$9</c:f>
              <c:numCache>
                <c:formatCode>General</c:formatCode>
                <c:ptCount val="2"/>
                <c:pt idx="0">
                  <c:v>66</c:v>
                </c:pt>
                <c:pt idx="1">
                  <c:v>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AC-4FDC-8122-E0696476E563}"/>
            </c:ext>
          </c:extLst>
        </c:ser>
        <c:ser>
          <c:idx val="0"/>
          <c:order val="0"/>
          <c:tx>
            <c:strRef>
              <c:f>DATA_SCENES_UNITY_1!$AU$5</c:f>
              <c:strCache>
                <c:ptCount val="1"/>
                <c:pt idx="0">
                  <c:v>MAGIC AREA/WITCH FOREST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DATA_SCENES_UNITY_1!$AU$8:$AU$9</c:f>
              <c:numCache>
                <c:formatCode>General</c:formatCode>
                <c:ptCount val="2"/>
                <c:pt idx="0">
                  <c:v>66</c:v>
                </c:pt>
                <c:pt idx="1">
                  <c:v>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AC-4FDC-8122-E0696476E5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'Prog. "Village"'!$D$92</c:f>
              <c:strCache>
                <c:ptCount val="1"/>
                <c:pt idx="0">
                  <c:v>TOP 5 SPAWNERS</c:v>
                </c:pt>
              </c:strCache>
            </c:strRef>
          </c:tx>
          <c:cat>
            <c:strRef>
              <c:f>'Prog. "Village"'!$D$95:$D$100</c:f>
              <c:strCache>
                <c:ptCount val="6"/>
                <c:pt idx="0">
                  <c:v>Canary01_Flock</c:v>
                </c:pt>
                <c:pt idx="1">
                  <c:v>SpiderSmall</c:v>
                </c:pt>
                <c:pt idx="2">
                  <c:v>Canary01_Flock</c:v>
                </c:pt>
                <c:pt idx="3">
                  <c:v>BadJunk</c:v>
                </c:pt>
                <c:pt idx="4">
                  <c:v>SP_Worker_Mix</c:v>
                </c:pt>
                <c:pt idx="5">
                  <c:v>Others</c:v>
                </c:pt>
              </c:strCache>
            </c:strRef>
          </c:cat>
          <c:val>
            <c:numRef>
              <c:f>'Prog. "Village"'!$F$95:$F$100</c:f>
              <c:numCache>
                <c:formatCode>General</c:formatCode>
                <c:ptCount val="6"/>
                <c:pt idx="0">
                  <c:v>11.3</c:v>
                </c:pt>
                <c:pt idx="1">
                  <c:v>9.5</c:v>
                </c:pt>
                <c:pt idx="2">
                  <c:v>5.9</c:v>
                </c:pt>
                <c:pt idx="3">
                  <c:v>5.6</c:v>
                </c:pt>
                <c:pt idx="4">
                  <c:v>5.6</c:v>
                </c:pt>
                <c:pt idx="5">
                  <c:v>62.099999999999994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CA-4942-BD8A-7452F7C87C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DATA_SCENES_UNITY_1!$CB$5</c:f>
              <c:strCache>
                <c:ptCount val="1"/>
                <c:pt idx="0">
                  <c:v>MARKET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DATA_SCENES_UNITY_1!$CB$8:$CB$9</c:f>
              <c:numCache>
                <c:formatCode>General</c:formatCode>
                <c:ptCount val="2"/>
                <c:pt idx="0">
                  <c:v>188</c:v>
                </c:pt>
                <c:pt idx="1">
                  <c:v>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97-485B-83C4-B41AB3C6B6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DATA_SCENES_UNITY_1!$CM$5</c:f>
              <c:strCache>
                <c:ptCount val="1"/>
                <c:pt idx="0">
                  <c:v>CAVES01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DATA_SCENES_UNITY_1!$CM$8:$CM$9</c:f>
              <c:numCache>
                <c:formatCode>General</c:formatCode>
                <c:ptCount val="2"/>
                <c:pt idx="0">
                  <c:v>59</c:v>
                </c:pt>
                <c:pt idx="1">
                  <c:v>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75-4BE2-AE33-513B3B5A5B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DATA_SCENES_UNITY_1!$DI$5</c:f>
              <c:strCache>
                <c:ptCount val="1"/>
                <c:pt idx="0">
                  <c:v>MINES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DATA_SCENES_UNITY_1!$DI$8:$DI$9</c:f>
              <c:numCache>
                <c:formatCode>General</c:formatCode>
                <c:ptCount val="2"/>
                <c:pt idx="0">
                  <c:v>346</c:v>
                </c:pt>
                <c:pt idx="1">
                  <c:v>543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19-4430-9A1E-0995278A5B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XP in area</c:v>
          </c:tx>
          <c:invertIfNegative val="0"/>
          <c:cat>
            <c:strRef>
              <c:f>(DATA_SCENES_UNITY_1!$CB$18,DATA_SCENES_UNITY_1!$CM$18,DATA_SCENES_UNITY_1!$CX$18,DATA_SCENES_UNITY_1!$DI$18)</c:f>
              <c:strCache>
                <c:ptCount val="4"/>
                <c:pt idx="0">
                  <c:v>Market</c:v>
                </c:pt>
                <c:pt idx="1">
                  <c:v>Small caves</c:v>
                </c:pt>
                <c:pt idx="2">
                  <c:v>Big caves</c:v>
                </c:pt>
                <c:pt idx="3">
                  <c:v>Mines</c:v>
                </c:pt>
              </c:strCache>
            </c:strRef>
          </c:cat>
          <c:val>
            <c:numRef>
              <c:f>(DATA_SCENES_UNITY_1!$CB$6,DATA_SCENES_UNITY_1!$CM$6,DATA_SCENES_UNITY_1!$CX$6,DATA_SCENES_UNITY_1!$DI$6)</c:f>
              <c:numCache>
                <c:formatCode>General</c:formatCode>
                <c:ptCount val="4"/>
                <c:pt idx="0">
                  <c:v>26846</c:v>
                </c:pt>
                <c:pt idx="1">
                  <c:v>11797</c:v>
                </c:pt>
                <c:pt idx="2">
                  <c:v>24411</c:v>
                </c:pt>
                <c:pt idx="3">
                  <c:v>56786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29-4229-8BE3-DC90CDBF69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5798272"/>
        <c:axId val="85820544"/>
      </c:barChart>
      <c:catAx>
        <c:axId val="85798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5820544"/>
        <c:crosses val="autoZero"/>
        <c:auto val="1"/>
        <c:lblAlgn val="ctr"/>
        <c:lblOffset val="100"/>
        <c:noMultiLvlLbl val="0"/>
      </c:catAx>
      <c:valAx>
        <c:axId val="85820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5798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Entities per XP</c:v>
          </c:tx>
          <c:invertIfNegative val="0"/>
          <c:cat>
            <c:numRef>
              <c:f>DATA_SCENES_UNITY_2!$K$9:$K$31</c:f>
              <c:numCache>
                <c:formatCode>General</c:formatCode>
                <c:ptCount val="23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  <c:pt idx="5">
                  <c:v>15000</c:v>
                </c:pt>
                <c:pt idx="6">
                  <c:v>17500</c:v>
                </c:pt>
                <c:pt idx="7">
                  <c:v>20000</c:v>
                </c:pt>
                <c:pt idx="8">
                  <c:v>22500</c:v>
                </c:pt>
                <c:pt idx="9">
                  <c:v>25000</c:v>
                </c:pt>
                <c:pt idx="10">
                  <c:v>27500</c:v>
                </c:pt>
                <c:pt idx="11">
                  <c:v>30000</c:v>
                </c:pt>
                <c:pt idx="12">
                  <c:v>32500</c:v>
                </c:pt>
                <c:pt idx="13">
                  <c:v>35000</c:v>
                </c:pt>
                <c:pt idx="14">
                  <c:v>37500</c:v>
                </c:pt>
                <c:pt idx="15">
                  <c:v>40000</c:v>
                </c:pt>
                <c:pt idx="16">
                  <c:v>42500</c:v>
                </c:pt>
                <c:pt idx="17">
                  <c:v>45000</c:v>
                </c:pt>
                <c:pt idx="18">
                  <c:v>47500</c:v>
                </c:pt>
                <c:pt idx="19">
                  <c:v>50000</c:v>
                </c:pt>
                <c:pt idx="20">
                  <c:v>52500</c:v>
                </c:pt>
                <c:pt idx="21">
                  <c:v>55000</c:v>
                </c:pt>
                <c:pt idx="22">
                  <c:v>57500</c:v>
                </c:pt>
              </c:numCache>
            </c:numRef>
          </c:cat>
          <c:val>
            <c:numRef>
              <c:f>DATA_SCENES_UNITY_2!$AA$9:$AA$31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6</c:v>
                </c:pt>
                <c:pt idx="5">
                  <c:v>26</c:v>
                </c:pt>
                <c:pt idx="6">
                  <c:v>16</c:v>
                </c:pt>
                <c:pt idx="7">
                  <c:v>50</c:v>
                </c:pt>
                <c:pt idx="8">
                  <c:v>26</c:v>
                </c:pt>
                <c:pt idx="9">
                  <c:v>40</c:v>
                </c:pt>
                <c:pt idx="10">
                  <c:v>19</c:v>
                </c:pt>
                <c:pt idx="11">
                  <c:v>54</c:v>
                </c:pt>
                <c:pt idx="12">
                  <c:v>16</c:v>
                </c:pt>
                <c:pt idx="13">
                  <c:v>30</c:v>
                </c:pt>
                <c:pt idx="14">
                  <c:v>18</c:v>
                </c:pt>
                <c:pt idx="15">
                  <c:v>51</c:v>
                </c:pt>
                <c:pt idx="16">
                  <c:v>15</c:v>
                </c:pt>
                <c:pt idx="17">
                  <c:v>15</c:v>
                </c:pt>
                <c:pt idx="18">
                  <c:v>10</c:v>
                </c:pt>
                <c:pt idx="19">
                  <c:v>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C6-4E28-8390-3E0FD4DD9D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5841792"/>
        <c:axId val="85843328"/>
      </c:barChart>
      <c:catAx>
        <c:axId val="85841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5843328"/>
        <c:crosses val="autoZero"/>
        <c:auto val="1"/>
        <c:lblAlgn val="ctr"/>
        <c:lblOffset val="100"/>
        <c:noMultiLvlLbl val="0"/>
      </c:catAx>
      <c:valAx>
        <c:axId val="85843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5841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DATA_SCENES_UNITY_1!$CX$5</c:f>
              <c:strCache>
                <c:ptCount val="1"/>
                <c:pt idx="0">
                  <c:v>CAVES02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DATA_SCENES_UNITY_1!$CX$8:$CX$9</c:f>
              <c:numCache>
                <c:formatCode>General</c:formatCode>
                <c:ptCount val="2"/>
                <c:pt idx="0">
                  <c:v>104</c:v>
                </c:pt>
                <c:pt idx="1">
                  <c:v>235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0D-4B37-9262-4568532E7A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'Prog. "Castle"'!$D$66</c:f>
              <c:strCache>
                <c:ptCount val="1"/>
                <c:pt idx="0">
                  <c:v>TOP 5 SPAWNERS</c:v>
                </c:pt>
              </c:strCache>
            </c:strRef>
          </c:tx>
          <c:cat>
            <c:strRef>
              <c:f>'Prog. "Castle"'!$D$69:$D$74</c:f>
              <c:strCache>
                <c:ptCount val="6"/>
                <c:pt idx="0">
                  <c:v>BadJunk</c:v>
                </c:pt>
                <c:pt idx="1">
                  <c:v>Worker</c:v>
                </c:pt>
                <c:pt idx="2">
                  <c:v>SpiderSmall</c:v>
                </c:pt>
                <c:pt idx="3">
                  <c:v>BatSmall_Flock</c:v>
                </c:pt>
                <c:pt idx="4">
                  <c:v>SP_Canary_Random_Flock</c:v>
                </c:pt>
                <c:pt idx="5">
                  <c:v>Others</c:v>
                </c:pt>
              </c:strCache>
            </c:strRef>
          </c:cat>
          <c:val>
            <c:numRef>
              <c:f>'Prog. "Castle"'!$F$69:$F$74</c:f>
              <c:numCache>
                <c:formatCode>General</c:formatCode>
                <c:ptCount val="6"/>
                <c:pt idx="0">
                  <c:v>9.4</c:v>
                </c:pt>
                <c:pt idx="1">
                  <c:v>8.4</c:v>
                </c:pt>
                <c:pt idx="2">
                  <c:v>6.6</c:v>
                </c:pt>
                <c:pt idx="3">
                  <c:v>6.6</c:v>
                </c:pt>
                <c:pt idx="4">
                  <c:v>6.6</c:v>
                </c:pt>
                <c:pt idx="5">
                  <c:v>62.4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83-413F-95E7-416E90EF96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 DEEP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NO BOOST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Dragons!$U$32:$U$42</c:f>
              <c:strCache>
                <c:ptCount val="11"/>
                <c:pt idx="0">
                  <c:v>Baby</c:v>
                </c:pt>
                <c:pt idx="1">
                  <c:v>Crocodrile</c:v>
                </c:pt>
                <c:pt idx="2">
                  <c:v>Reptile</c:v>
                </c:pt>
                <c:pt idx="3">
                  <c:v>Fat</c:v>
                </c:pt>
                <c:pt idx="4">
                  <c:v>Bug</c:v>
                </c:pt>
                <c:pt idx="5">
                  <c:v>Chinese</c:v>
                </c:pt>
                <c:pt idx="6">
                  <c:v>Classic</c:v>
                </c:pt>
                <c:pt idx="7">
                  <c:v>Devil</c:v>
                </c:pt>
                <c:pt idx="8">
                  <c:v>Jawfrey</c:v>
                </c:pt>
                <c:pt idx="9">
                  <c:v>Balrog</c:v>
                </c:pt>
                <c:pt idx="10">
                  <c:v>Titan</c:v>
                </c:pt>
              </c:strCache>
            </c:strRef>
          </c:cat>
          <c:val>
            <c:numRef>
              <c:f>Dragons!$L$97:$L$107</c:f>
              <c:numCache>
                <c:formatCode>General</c:formatCode>
                <c:ptCount val="11"/>
                <c:pt idx="0">
                  <c:v>6.5</c:v>
                </c:pt>
                <c:pt idx="1">
                  <c:v>7.8</c:v>
                </c:pt>
                <c:pt idx="2">
                  <c:v>7.8</c:v>
                </c:pt>
                <c:pt idx="3">
                  <c:v>12.7</c:v>
                </c:pt>
                <c:pt idx="4">
                  <c:v>16.5</c:v>
                </c:pt>
                <c:pt idx="5">
                  <c:v>16.5</c:v>
                </c:pt>
                <c:pt idx="6">
                  <c:v>14.8</c:v>
                </c:pt>
                <c:pt idx="7">
                  <c:v>23.5</c:v>
                </c:pt>
                <c:pt idx="8">
                  <c:v>23.2</c:v>
                </c:pt>
                <c:pt idx="9">
                  <c:v>28</c:v>
                </c:pt>
                <c:pt idx="10">
                  <c:v>44.2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B8-4BC8-8392-1C5C712B9ADC}"/>
            </c:ext>
          </c:extLst>
        </c:ser>
        <c:ser>
          <c:idx val="1"/>
          <c:order val="1"/>
          <c:tx>
            <c:v>BOOST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Dragons!$U$32:$U$42</c:f>
              <c:strCache>
                <c:ptCount val="11"/>
                <c:pt idx="0">
                  <c:v>Baby</c:v>
                </c:pt>
                <c:pt idx="1">
                  <c:v>Crocodrile</c:v>
                </c:pt>
                <c:pt idx="2">
                  <c:v>Reptile</c:v>
                </c:pt>
                <c:pt idx="3">
                  <c:v>Fat</c:v>
                </c:pt>
                <c:pt idx="4">
                  <c:v>Bug</c:v>
                </c:pt>
                <c:pt idx="5">
                  <c:v>Chinese</c:v>
                </c:pt>
                <c:pt idx="6">
                  <c:v>Classic</c:v>
                </c:pt>
                <c:pt idx="7">
                  <c:v>Devil</c:v>
                </c:pt>
                <c:pt idx="8">
                  <c:v>Jawfrey</c:v>
                </c:pt>
                <c:pt idx="9">
                  <c:v>Balrog</c:v>
                </c:pt>
                <c:pt idx="10">
                  <c:v>Titan</c:v>
                </c:pt>
              </c:strCache>
            </c:strRef>
          </c:cat>
          <c:val>
            <c:numRef>
              <c:f>Dragons!$M$97:$M$107</c:f>
              <c:numCache>
                <c:formatCode>General</c:formatCode>
                <c:ptCount val="11"/>
                <c:pt idx="0">
                  <c:v>12.8</c:v>
                </c:pt>
                <c:pt idx="1">
                  <c:v>16.3</c:v>
                </c:pt>
                <c:pt idx="2">
                  <c:v>16.5</c:v>
                </c:pt>
                <c:pt idx="3">
                  <c:v>17.3</c:v>
                </c:pt>
                <c:pt idx="4">
                  <c:v>20.5</c:v>
                </c:pt>
                <c:pt idx="5">
                  <c:v>22</c:v>
                </c:pt>
                <c:pt idx="6">
                  <c:v>22.3</c:v>
                </c:pt>
                <c:pt idx="7">
                  <c:v>32</c:v>
                </c:pt>
                <c:pt idx="8">
                  <c:v>31.5</c:v>
                </c:pt>
                <c:pt idx="9">
                  <c:v>35</c:v>
                </c:pt>
                <c:pt idx="10">
                  <c:v>50.7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B8-4BC8-8392-1C5C712B9A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282448"/>
        <c:axId val="178280368"/>
      </c:lineChart>
      <c:catAx>
        <c:axId val="178282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280368"/>
        <c:crosses val="autoZero"/>
        <c:auto val="1"/>
        <c:lblAlgn val="ctr"/>
        <c:lblOffset val="100"/>
        <c:noMultiLvlLbl val="0"/>
      </c:catAx>
      <c:valAx>
        <c:axId val="17828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282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DATA_SCENES_UNITY_1!$DT$5</c:f>
              <c:strCache>
                <c:ptCount val="1"/>
                <c:pt idx="0">
                  <c:v>TREE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DATA_SCENES_UNITY_1!$DT$8:$DT$9</c:f>
              <c:numCache>
                <c:formatCode>General</c:formatCode>
                <c:ptCount val="2"/>
                <c:pt idx="0">
                  <c:v>346</c:v>
                </c:pt>
                <c:pt idx="1">
                  <c:v>212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54-4E57-8C0E-5E140B7B4C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DATA_SCENES_UNITY_1!$EE$5</c:f>
              <c:strCache>
                <c:ptCount val="1"/>
                <c:pt idx="0">
                  <c:v>UNDERGROUND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DATA_SCENES_UNITY_1!$EE$8:$EE$9</c:f>
              <c:numCache>
                <c:formatCode>General</c:formatCode>
                <c:ptCount val="2"/>
                <c:pt idx="0">
                  <c:v>96</c:v>
                </c:pt>
                <c:pt idx="1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FB-4D46-845F-37DDA896E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DATA_SCENES_UNITY_1!$FA$5</c:f>
              <c:strCache>
                <c:ptCount val="1"/>
                <c:pt idx="0">
                  <c:v>DARK02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DATA_SCENES_UNITY_1!$FA$8:$FA$9</c:f>
              <c:numCache>
                <c:formatCode>General</c:formatCode>
                <c:ptCount val="2"/>
                <c:pt idx="0">
                  <c:v>56</c:v>
                </c:pt>
                <c:pt idx="1">
                  <c:v>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55-475C-8BD7-5948AE06CB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XP in area</c:v>
          </c:tx>
          <c:invertIfNegative val="0"/>
          <c:cat>
            <c:strRef>
              <c:f>(DATA_SCENES_UNITY_1!$DT$18,DATA_SCENES_UNITY_1!$EE$18,DATA_SCENES_UNITY_1!$EP$18,DATA_SCENES_UNITY_1!$FA$18)</c:f>
              <c:strCache>
                <c:ptCount val="4"/>
                <c:pt idx="0">
                  <c:v>Tree</c:v>
                </c:pt>
                <c:pt idx="1">
                  <c:v>Underground</c:v>
                </c:pt>
                <c:pt idx="2">
                  <c:v>Upper Part</c:v>
                </c:pt>
                <c:pt idx="3">
                  <c:v>Dark02</c:v>
                </c:pt>
              </c:strCache>
            </c:strRef>
          </c:cat>
          <c:val>
            <c:numRef>
              <c:f>(DATA_SCENES_UNITY_1!$DT$6,DATA_SCENES_UNITY_1!$EE$6,DATA_SCENES_UNITY_1!$EP$6,DATA_SCENES_UNITY_1!$FA$6)</c:f>
              <c:numCache>
                <c:formatCode>General</c:formatCode>
                <c:ptCount val="4"/>
                <c:pt idx="0">
                  <c:v>23148</c:v>
                </c:pt>
                <c:pt idx="1">
                  <c:v>19119</c:v>
                </c:pt>
                <c:pt idx="2">
                  <c:v>19845</c:v>
                </c:pt>
                <c:pt idx="3">
                  <c:v>22877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0A-4120-BF1A-4E2C67D06E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7610880"/>
        <c:axId val="87612416"/>
      </c:barChart>
      <c:catAx>
        <c:axId val="87610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7612416"/>
        <c:crosses val="autoZero"/>
        <c:auto val="1"/>
        <c:lblAlgn val="ctr"/>
        <c:lblOffset val="100"/>
        <c:noMultiLvlLbl val="0"/>
      </c:catAx>
      <c:valAx>
        <c:axId val="87612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7610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Entities per XP</c:v>
          </c:tx>
          <c:invertIfNegative val="0"/>
          <c:cat>
            <c:numRef>
              <c:f>DATA_SCENES_UNITY_2!$AO$9:$AO$31</c:f>
              <c:numCache>
                <c:formatCode>General</c:formatCode>
                <c:ptCount val="23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  <c:pt idx="5">
                  <c:v>15000</c:v>
                </c:pt>
                <c:pt idx="6">
                  <c:v>17500</c:v>
                </c:pt>
                <c:pt idx="7">
                  <c:v>20000</c:v>
                </c:pt>
                <c:pt idx="8">
                  <c:v>22500</c:v>
                </c:pt>
                <c:pt idx="9">
                  <c:v>25000</c:v>
                </c:pt>
                <c:pt idx="10">
                  <c:v>27500</c:v>
                </c:pt>
                <c:pt idx="11">
                  <c:v>30000</c:v>
                </c:pt>
                <c:pt idx="12">
                  <c:v>32500</c:v>
                </c:pt>
                <c:pt idx="13">
                  <c:v>35000</c:v>
                </c:pt>
                <c:pt idx="14">
                  <c:v>37500</c:v>
                </c:pt>
                <c:pt idx="15">
                  <c:v>40000</c:v>
                </c:pt>
                <c:pt idx="16">
                  <c:v>42500</c:v>
                </c:pt>
                <c:pt idx="17">
                  <c:v>45000</c:v>
                </c:pt>
                <c:pt idx="18">
                  <c:v>47500</c:v>
                </c:pt>
                <c:pt idx="19">
                  <c:v>50000</c:v>
                </c:pt>
                <c:pt idx="20">
                  <c:v>52500</c:v>
                </c:pt>
                <c:pt idx="21">
                  <c:v>55000</c:v>
                </c:pt>
                <c:pt idx="22">
                  <c:v>57500</c:v>
                </c:pt>
              </c:numCache>
            </c:numRef>
          </c:cat>
          <c:val>
            <c:numRef>
              <c:f>DATA_SCENES_UNITY_2!$AP$9:$AP$31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3</c:v>
                </c:pt>
                <c:pt idx="7">
                  <c:v>21</c:v>
                </c:pt>
                <c:pt idx="8">
                  <c:v>1</c:v>
                </c:pt>
                <c:pt idx="9">
                  <c:v>8</c:v>
                </c:pt>
                <c:pt idx="10">
                  <c:v>6</c:v>
                </c:pt>
                <c:pt idx="11">
                  <c:v>31</c:v>
                </c:pt>
                <c:pt idx="12">
                  <c:v>5</c:v>
                </c:pt>
                <c:pt idx="13">
                  <c:v>25</c:v>
                </c:pt>
                <c:pt idx="14">
                  <c:v>10</c:v>
                </c:pt>
                <c:pt idx="15">
                  <c:v>28</c:v>
                </c:pt>
                <c:pt idx="16">
                  <c:v>10</c:v>
                </c:pt>
                <c:pt idx="17">
                  <c:v>16</c:v>
                </c:pt>
                <c:pt idx="18">
                  <c:v>4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68-4319-A332-4D4F07FAA8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7904640"/>
        <c:axId val="87906176"/>
      </c:barChart>
      <c:catAx>
        <c:axId val="87904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7906176"/>
        <c:crosses val="autoZero"/>
        <c:auto val="1"/>
        <c:lblAlgn val="ctr"/>
        <c:lblOffset val="100"/>
        <c:noMultiLvlLbl val="0"/>
      </c:catAx>
      <c:valAx>
        <c:axId val="87906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7904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DATA_SCENES_UNITY_1!$EP$5</c:f>
              <c:strCache>
                <c:ptCount val="1"/>
                <c:pt idx="0">
                  <c:v>DARK01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DATA_SCENES_UNITY_1!$EP$8:$EP$9</c:f>
              <c:numCache>
                <c:formatCode>General</c:formatCode>
                <c:ptCount val="2"/>
                <c:pt idx="0">
                  <c:v>41</c:v>
                </c:pt>
                <c:pt idx="1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5B-431F-B2DD-D08BEAA26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'Prog. "Dark"'!$D$67</c:f>
              <c:strCache>
                <c:ptCount val="1"/>
                <c:pt idx="0">
                  <c:v>TOP 5 SPAWNERS</c:v>
                </c:pt>
              </c:strCache>
            </c:strRef>
          </c:tx>
          <c:cat>
            <c:strRef>
              <c:f>'Prog. "Dark"'!$D$70:$D$75</c:f>
              <c:strCache>
                <c:ptCount val="6"/>
                <c:pt idx="0">
                  <c:v>BatSmall_Flock</c:v>
                </c:pt>
                <c:pt idx="1">
                  <c:v>Crow_Flock</c:v>
                </c:pt>
                <c:pt idx="2">
                  <c:v>Rat</c:v>
                </c:pt>
                <c:pt idx="3">
                  <c:v>StingraySmall</c:v>
                </c:pt>
                <c:pt idx="4">
                  <c:v>ButterflyEgg</c:v>
                </c:pt>
                <c:pt idx="5">
                  <c:v>Others</c:v>
                </c:pt>
              </c:strCache>
            </c:strRef>
          </c:cat>
          <c:val>
            <c:numRef>
              <c:f>'Prog. "Dark"'!$F$70:$F$75</c:f>
              <c:numCache>
                <c:formatCode>General</c:formatCode>
                <c:ptCount val="6"/>
                <c:pt idx="0">
                  <c:v>10.7</c:v>
                </c:pt>
                <c:pt idx="1">
                  <c:v>7.5</c:v>
                </c:pt>
                <c:pt idx="2">
                  <c:v>4.9000000000000004</c:v>
                </c:pt>
                <c:pt idx="3">
                  <c:v>4.8</c:v>
                </c:pt>
                <c:pt idx="4">
                  <c:v>4</c:v>
                </c:pt>
                <c:pt idx="5">
                  <c:v>68.099999999999994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6A-4F52-B757-589D9BC25E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 HIGH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NO BOOST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Dragons!$U$32:$U$42</c:f>
              <c:strCache>
                <c:ptCount val="11"/>
                <c:pt idx="0">
                  <c:v>Baby</c:v>
                </c:pt>
                <c:pt idx="1">
                  <c:v>Crocodrile</c:v>
                </c:pt>
                <c:pt idx="2">
                  <c:v>Reptile</c:v>
                </c:pt>
                <c:pt idx="3">
                  <c:v>Fat</c:v>
                </c:pt>
                <c:pt idx="4">
                  <c:v>Bug</c:v>
                </c:pt>
                <c:pt idx="5">
                  <c:v>Chinese</c:v>
                </c:pt>
                <c:pt idx="6">
                  <c:v>Classic</c:v>
                </c:pt>
                <c:pt idx="7">
                  <c:v>Devil</c:v>
                </c:pt>
                <c:pt idx="8">
                  <c:v>Jawfrey</c:v>
                </c:pt>
                <c:pt idx="9">
                  <c:v>Balrog</c:v>
                </c:pt>
                <c:pt idx="10">
                  <c:v>Titan</c:v>
                </c:pt>
              </c:strCache>
            </c:strRef>
          </c:cat>
          <c:val>
            <c:numRef>
              <c:f>Dragons!$L$129:$L$139</c:f>
              <c:numCache>
                <c:formatCode>General</c:formatCode>
                <c:ptCount val="11"/>
                <c:pt idx="0">
                  <c:v>15</c:v>
                </c:pt>
                <c:pt idx="1">
                  <c:v>16</c:v>
                </c:pt>
                <c:pt idx="2">
                  <c:v>23</c:v>
                </c:pt>
                <c:pt idx="3">
                  <c:v>24</c:v>
                </c:pt>
                <c:pt idx="4">
                  <c:v>27</c:v>
                </c:pt>
                <c:pt idx="5">
                  <c:v>31</c:v>
                </c:pt>
                <c:pt idx="6">
                  <c:v>28</c:v>
                </c:pt>
                <c:pt idx="7">
                  <c:v>32</c:v>
                </c:pt>
                <c:pt idx="8">
                  <c:v>32</c:v>
                </c:pt>
                <c:pt idx="9">
                  <c:v>34</c:v>
                </c:pt>
                <c:pt idx="10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55-43BF-B0EA-FC5188C927DC}"/>
            </c:ext>
          </c:extLst>
        </c:ser>
        <c:ser>
          <c:idx val="1"/>
          <c:order val="1"/>
          <c:tx>
            <c:v>BOOST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Dragons!$M$129:$M$139</c:f>
              <c:numCache>
                <c:formatCode>General</c:formatCode>
                <c:ptCount val="11"/>
                <c:pt idx="0">
                  <c:v>28</c:v>
                </c:pt>
                <c:pt idx="1">
                  <c:v>55</c:v>
                </c:pt>
                <c:pt idx="2">
                  <c:v>100</c:v>
                </c:pt>
                <c:pt idx="3">
                  <c:v>62</c:v>
                </c:pt>
                <c:pt idx="4">
                  <c:v>71</c:v>
                </c:pt>
                <c:pt idx="5">
                  <c:v>110</c:v>
                </c:pt>
                <c:pt idx="6">
                  <c:v>105</c:v>
                </c:pt>
                <c:pt idx="7">
                  <c:v>125</c:v>
                </c:pt>
                <c:pt idx="8">
                  <c:v>140</c:v>
                </c:pt>
                <c:pt idx="9">
                  <c:v>131</c:v>
                </c:pt>
                <c:pt idx="10">
                  <c:v>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55-43BF-B0EA-FC5188C927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8146576"/>
        <c:axId val="248146160"/>
      </c:lineChart>
      <c:catAx>
        <c:axId val="248146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146160"/>
        <c:crosses val="autoZero"/>
        <c:auto val="1"/>
        <c:lblAlgn val="ctr"/>
        <c:lblOffset val="100"/>
        <c:noMultiLvlLbl val="0"/>
      </c:catAx>
      <c:valAx>
        <c:axId val="24814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146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Prog.!$B$8</c:f>
              <c:strCache>
                <c:ptCount val="1"/>
                <c:pt idx="0">
                  <c:v>Village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Prog.!$G$8:$H$8</c:f>
              <c:numCache>
                <c:formatCode>General</c:formatCode>
                <c:ptCount val="2"/>
                <c:pt idx="0">
                  <c:v>904</c:v>
                </c:pt>
                <c:pt idx="1">
                  <c:v>1300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B1-41FF-AC6B-BC3037D1AF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Prog.!$B$9</c:f>
              <c:strCache>
                <c:ptCount val="1"/>
                <c:pt idx="0">
                  <c:v>Castle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Prog.!$G$9:$H$9</c:f>
              <c:numCache>
                <c:formatCode>General</c:formatCode>
                <c:ptCount val="2"/>
                <c:pt idx="0">
                  <c:v>697</c:v>
                </c:pt>
                <c:pt idx="1">
                  <c:v>1141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6A-44EA-BCA6-415742BFB9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XP in area</c:v>
          </c:tx>
          <c:invertIfNegative val="0"/>
          <c:cat>
            <c:strRef>
              <c:f>Prog.!$B$8:$B$10</c:f>
              <c:strCache>
                <c:ptCount val="3"/>
                <c:pt idx="0">
                  <c:v>Village</c:v>
                </c:pt>
                <c:pt idx="1">
                  <c:v>Castle</c:v>
                </c:pt>
                <c:pt idx="2">
                  <c:v>Dark</c:v>
                </c:pt>
              </c:strCache>
            </c:strRef>
          </c:cat>
          <c:val>
            <c:numRef>
              <c:f>Prog.!$E$8:$E$10</c:f>
              <c:numCache>
                <c:formatCode>General</c:formatCode>
                <c:ptCount val="3"/>
                <c:pt idx="0">
                  <c:v>159639</c:v>
                </c:pt>
                <c:pt idx="1">
                  <c:v>119840</c:v>
                </c:pt>
                <c:pt idx="2">
                  <c:v>84989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50-45A8-B0CA-467350EE10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693376"/>
        <c:axId val="84694912"/>
      </c:barChart>
      <c:catAx>
        <c:axId val="84693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4694912"/>
        <c:crosses val="autoZero"/>
        <c:auto val="1"/>
        <c:lblAlgn val="ctr"/>
        <c:lblOffset val="100"/>
        <c:noMultiLvlLbl val="0"/>
      </c:catAx>
      <c:valAx>
        <c:axId val="84694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4693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Prog.!$B$8</c:f>
              <c:strCache>
                <c:ptCount val="1"/>
                <c:pt idx="0">
                  <c:v>Village</c:v>
                </c:pt>
              </c:strCache>
            </c:strRef>
          </c:tx>
          <c:invertIfNegative val="0"/>
          <c:cat>
            <c:numRef>
              <c:f>DATA_SCENES_UNITY_2!$Z$9:$Z$31</c:f>
              <c:numCache>
                <c:formatCode>General</c:formatCode>
                <c:ptCount val="23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  <c:pt idx="5">
                  <c:v>15000</c:v>
                </c:pt>
                <c:pt idx="6">
                  <c:v>17500</c:v>
                </c:pt>
                <c:pt idx="7">
                  <c:v>20000</c:v>
                </c:pt>
                <c:pt idx="8">
                  <c:v>22500</c:v>
                </c:pt>
                <c:pt idx="9">
                  <c:v>25000</c:v>
                </c:pt>
                <c:pt idx="10">
                  <c:v>27500</c:v>
                </c:pt>
                <c:pt idx="11">
                  <c:v>30000</c:v>
                </c:pt>
                <c:pt idx="12">
                  <c:v>32500</c:v>
                </c:pt>
                <c:pt idx="13">
                  <c:v>35000</c:v>
                </c:pt>
                <c:pt idx="14">
                  <c:v>37500</c:v>
                </c:pt>
                <c:pt idx="15">
                  <c:v>40000</c:v>
                </c:pt>
                <c:pt idx="16">
                  <c:v>42500</c:v>
                </c:pt>
                <c:pt idx="17">
                  <c:v>45000</c:v>
                </c:pt>
                <c:pt idx="18">
                  <c:v>47500</c:v>
                </c:pt>
                <c:pt idx="19">
                  <c:v>50000</c:v>
                </c:pt>
                <c:pt idx="20">
                  <c:v>52500</c:v>
                </c:pt>
                <c:pt idx="21">
                  <c:v>55000</c:v>
                </c:pt>
                <c:pt idx="22">
                  <c:v>57500</c:v>
                </c:pt>
              </c:numCache>
            </c:numRef>
          </c:cat>
          <c:val>
            <c:numRef>
              <c:f>DATA_SCENES_UNITY_2!$L$9:$L$31</c:f>
              <c:numCache>
                <c:formatCode>General</c:formatCode>
                <c:ptCount val="23"/>
                <c:pt idx="0">
                  <c:v>29</c:v>
                </c:pt>
                <c:pt idx="1">
                  <c:v>126</c:v>
                </c:pt>
                <c:pt idx="2">
                  <c:v>89</c:v>
                </c:pt>
                <c:pt idx="3">
                  <c:v>76</c:v>
                </c:pt>
                <c:pt idx="4">
                  <c:v>18</c:v>
                </c:pt>
                <c:pt idx="5">
                  <c:v>31</c:v>
                </c:pt>
                <c:pt idx="6">
                  <c:v>52</c:v>
                </c:pt>
                <c:pt idx="7">
                  <c:v>27</c:v>
                </c:pt>
                <c:pt idx="8">
                  <c:v>7</c:v>
                </c:pt>
                <c:pt idx="9">
                  <c:v>39</c:v>
                </c:pt>
                <c:pt idx="10">
                  <c:v>12</c:v>
                </c:pt>
                <c:pt idx="11">
                  <c:v>23</c:v>
                </c:pt>
                <c:pt idx="12">
                  <c:v>1</c:v>
                </c:pt>
                <c:pt idx="13">
                  <c:v>14</c:v>
                </c:pt>
                <c:pt idx="14">
                  <c:v>7</c:v>
                </c:pt>
                <c:pt idx="15">
                  <c:v>8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C7-48D9-97B1-EC887E04B9BD}"/>
            </c:ext>
          </c:extLst>
        </c:ser>
        <c:ser>
          <c:idx val="1"/>
          <c:order val="1"/>
          <c:tx>
            <c:strRef>
              <c:f>Prog.!$B$9</c:f>
              <c:strCache>
                <c:ptCount val="1"/>
                <c:pt idx="0">
                  <c:v>Castle</c:v>
                </c:pt>
              </c:strCache>
            </c:strRef>
          </c:tx>
          <c:invertIfNegative val="0"/>
          <c:cat>
            <c:numRef>
              <c:f>DATA_SCENES_UNITY_2!$Z$9:$Z$31</c:f>
              <c:numCache>
                <c:formatCode>General</c:formatCode>
                <c:ptCount val="23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  <c:pt idx="5">
                  <c:v>15000</c:v>
                </c:pt>
                <c:pt idx="6">
                  <c:v>17500</c:v>
                </c:pt>
                <c:pt idx="7">
                  <c:v>20000</c:v>
                </c:pt>
                <c:pt idx="8">
                  <c:v>22500</c:v>
                </c:pt>
                <c:pt idx="9">
                  <c:v>25000</c:v>
                </c:pt>
                <c:pt idx="10">
                  <c:v>27500</c:v>
                </c:pt>
                <c:pt idx="11">
                  <c:v>30000</c:v>
                </c:pt>
                <c:pt idx="12">
                  <c:v>32500</c:v>
                </c:pt>
                <c:pt idx="13">
                  <c:v>35000</c:v>
                </c:pt>
                <c:pt idx="14">
                  <c:v>37500</c:v>
                </c:pt>
                <c:pt idx="15">
                  <c:v>40000</c:v>
                </c:pt>
                <c:pt idx="16">
                  <c:v>42500</c:v>
                </c:pt>
                <c:pt idx="17">
                  <c:v>45000</c:v>
                </c:pt>
                <c:pt idx="18">
                  <c:v>47500</c:v>
                </c:pt>
                <c:pt idx="19">
                  <c:v>50000</c:v>
                </c:pt>
                <c:pt idx="20">
                  <c:v>52500</c:v>
                </c:pt>
                <c:pt idx="21">
                  <c:v>55000</c:v>
                </c:pt>
                <c:pt idx="22">
                  <c:v>57500</c:v>
                </c:pt>
              </c:numCache>
            </c:numRef>
          </c:cat>
          <c:val>
            <c:numRef>
              <c:f>DATA_SCENES_UNITY_2!$AA$9:$AA$31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6</c:v>
                </c:pt>
                <c:pt idx="5">
                  <c:v>26</c:v>
                </c:pt>
                <c:pt idx="6">
                  <c:v>16</c:v>
                </c:pt>
                <c:pt idx="7">
                  <c:v>50</c:v>
                </c:pt>
                <c:pt idx="8">
                  <c:v>26</c:v>
                </c:pt>
                <c:pt idx="9">
                  <c:v>40</c:v>
                </c:pt>
                <c:pt idx="10">
                  <c:v>19</c:v>
                </c:pt>
                <c:pt idx="11">
                  <c:v>54</c:v>
                </c:pt>
                <c:pt idx="12">
                  <c:v>16</c:v>
                </c:pt>
                <c:pt idx="13">
                  <c:v>30</c:v>
                </c:pt>
                <c:pt idx="14">
                  <c:v>18</c:v>
                </c:pt>
                <c:pt idx="15">
                  <c:v>51</c:v>
                </c:pt>
                <c:pt idx="16">
                  <c:v>15</c:v>
                </c:pt>
                <c:pt idx="17">
                  <c:v>15</c:v>
                </c:pt>
                <c:pt idx="18">
                  <c:v>10</c:v>
                </c:pt>
                <c:pt idx="19">
                  <c:v>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C7-48D9-97B1-EC887E04B9BD}"/>
            </c:ext>
          </c:extLst>
        </c:ser>
        <c:ser>
          <c:idx val="2"/>
          <c:order val="2"/>
          <c:tx>
            <c:strRef>
              <c:f>Prog.!$B$10</c:f>
              <c:strCache>
                <c:ptCount val="1"/>
                <c:pt idx="0">
                  <c:v>Dark</c:v>
                </c:pt>
              </c:strCache>
            </c:strRef>
          </c:tx>
          <c:invertIfNegative val="0"/>
          <c:val>
            <c:numRef>
              <c:f>DATA_SCENES_UNITY_2!$AP$9:$AP$31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3</c:v>
                </c:pt>
                <c:pt idx="7">
                  <c:v>21</c:v>
                </c:pt>
                <c:pt idx="8">
                  <c:v>1</c:v>
                </c:pt>
                <c:pt idx="9">
                  <c:v>8</c:v>
                </c:pt>
                <c:pt idx="10">
                  <c:v>6</c:v>
                </c:pt>
                <c:pt idx="11">
                  <c:v>31</c:v>
                </c:pt>
                <c:pt idx="12">
                  <c:v>5</c:v>
                </c:pt>
                <c:pt idx="13">
                  <c:v>25</c:v>
                </c:pt>
                <c:pt idx="14">
                  <c:v>10</c:v>
                </c:pt>
                <c:pt idx="15">
                  <c:v>28</c:v>
                </c:pt>
                <c:pt idx="16">
                  <c:v>10</c:v>
                </c:pt>
                <c:pt idx="17">
                  <c:v>16</c:v>
                </c:pt>
                <c:pt idx="18">
                  <c:v>4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C7-48D9-97B1-EC887E04B9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727296"/>
        <c:axId val="84728832"/>
      </c:barChart>
      <c:catAx>
        <c:axId val="84727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4728832"/>
        <c:crosses val="autoZero"/>
        <c:auto val="1"/>
        <c:lblAlgn val="ctr"/>
        <c:lblOffset val="100"/>
        <c:noMultiLvlLbl val="0"/>
      </c:catAx>
      <c:valAx>
        <c:axId val="84728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4727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Prog.!$B$10</c:f>
              <c:strCache>
                <c:ptCount val="1"/>
                <c:pt idx="0">
                  <c:v>Dark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Prog.!$G$10:$H$10</c:f>
              <c:numCache>
                <c:formatCode>General</c:formatCode>
                <c:ptCount val="2"/>
                <c:pt idx="0">
                  <c:v>442</c:v>
                </c:pt>
                <c:pt idx="1">
                  <c:v>372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8E-4F94-9569-0F52A8CAB2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.xml"/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10" Type="http://schemas.openxmlformats.org/officeDocument/2006/relationships/chart" Target="../charts/chart22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5.xml"/><Relationship Id="rId7" Type="http://schemas.openxmlformats.org/officeDocument/2006/relationships/chart" Target="../charts/chart29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Relationship Id="rId6" Type="http://schemas.openxmlformats.org/officeDocument/2006/relationships/chart" Target="../charts/chart28.xml"/><Relationship Id="rId5" Type="http://schemas.openxmlformats.org/officeDocument/2006/relationships/chart" Target="../charts/chart27.xml"/><Relationship Id="rId4" Type="http://schemas.openxmlformats.org/officeDocument/2006/relationships/chart" Target="../charts/chart2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2.xml"/><Relationship Id="rId7" Type="http://schemas.openxmlformats.org/officeDocument/2006/relationships/chart" Target="../charts/chart36.xml"/><Relationship Id="rId2" Type="http://schemas.openxmlformats.org/officeDocument/2006/relationships/chart" Target="../charts/chart31.xml"/><Relationship Id="rId1" Type="http://schemas.openxmlformats.org/officeDocument/2006/relationships/chart" Target="../charts/chart30.xml"/><Relationship Id="rId6" Type="http://schemas.openxmlformats.org/officeDocument/2006/relationships/chart" Target="../charts/chart35.xml"/><Relationship Id="rId5" Type="http://schemas.openxmlformats.org/officeDocument/2006/relationships/chart" Target="../charts/chart34.xml"/><Relationship Id="rId4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414337</xdr:colOff>
      <xdr:row>3</xdr:row>
      <xdr:rowOff>9525</xdr:rowOff>
    </xdr:from>
    <xdr:to>
      <xdr:col>20</xdr:col>
      <xdr:colOff>76200</xdr:colOff>
      <xdr:row>26</xdr:row>
      <xdr:rowOff>123826</xdr:rowOff>
    </xdr:to>
    <xdr:graphicFrame macro="">
      <xdr:nvGraphicFramePr>
        <xdr:cNvPr id="2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419101</xdr:colOff>
      <xdr:row>3</xdr:row>
      <xdr:rowOff>0</xdr:rowOff>
    </xdr:from>
    <xdr:to>
      <xdr:col>20</xdr:col>
      <xdr:colOff>85726</xdr:colOff>
      <xdr:row>26</xdr:row>
      <xdr:rowOff>114301</xdr:rowOff>
    </xdr:to>
    <xdr:graphicFrame macro="">
      <xdr:nvGraphicFramePr>
        <xdr:cNvPr id="4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185737</xdr:colOff>
      <xdr:row>108</xdr:row>
      <xdr:rowOff>71437</xdr:rowOff>
    </xdr:from>
    <xdr:to>
      <xdr:col>20</xdr:col>
      <xdr:colOff>180975</xdr:colOff>
      <xdr:row>122</xdr:row>
      <xdr:rowOff>147637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252412</xdr:colOff>
      <xdr:row>141</xdr:row>
      <xdr:rowOff>33337</xdr:rowOff>
    </xdr:from>
    <xdr:to>
      <xdr:col>20</xdr:col>
      <xdr:colOff>209550</xdr:colOff>
      <xdr:row>155</xdr:row>
      <xdr:rowOff>109537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12</xdr:row>
      <xdr:rowOff>28574</xdr:rowOff>
    </xdr:from>
    <xdr:to>
      <xdr:col>6</xdr:col>
      <xdr:colOff>466726</xdr:colOff>
      <xdr:row>33</xdr:row>
      <xdr:rowOff>28575</xdr:rowOff>
    </xdr:to>
    <xdr:sp macro="" textlink="">
      <xdr:nvSpPr>
        <xdr:cNvPr id="2" name="Rectangle 1"/>
        <xdr:cNvSpPr/>
      </xdr:nvSpPr>
      <xdr:spPr>
        <a:xfrm>
          <a:off x="1228725" y="2314574"/>
          <a:ext cx="6848476" cy="4000501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SCENES</a:t>
          </a:r>
        </a:p>
      </xdr:txBody>
    </xdr:sp>
    <xdr:clientData/>
  </xdr:twoCellAnchor>
  <xdr:twoCellAnchor>
    <xdr:from>
      <xdr:col>2</xdr:col>
      <xdr:colOff>342900</xdr:colOff>
      <xdr:row>17</xdr:row>
      <xdr:rowOff>19050</xdr:rowOff>
    </xdr:from>
    <xdr:to>
      <xdr:col>3</xdr:col>
      <xdr:colOff>419100</xdr:colOff>
      <xdr:row>23</xdr:row>
      <xdr:rowOff>95250</xdr:rowOff>
    </xdr:to>
    <xdr:sp macro="" textlink="">
      <xdr:nvSpPr>
        <xdr:cNvPr id="3" name="Rectangle 2"/>
        <xdr:cNvSpPr/>
      </xdr:nvSpPr>
      <xdr:spPr>
        <a:xfrm>
          <a:off x="1562100" y="3257550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DARK</a:t>
          </a:r>
        </a:p>
      </xdr:txBody>
    </xdr:sp>
    <xdr:clientData/>
  </xdr:twoCellAnchor>
  <xdr:twoCellAnchor>
    <xdr:from>
      <xdr:col>3</xdr:col>
      <xdr:colOff>428625</xdr:colOff>
      <xdr:row>17</xdr:row>
      <xdr:rowOff>19050</xdr:rowOff>
    </xdr:from>
    <xdr:to>
      <xdr:col>4</xdr:col>
      <xdr:colOff>504825</xdr:colOff>
      <xdr:row>23</xdr:row>
      <xdr:rowOff>95250</xdr:rowOff>
    </xdr:to>
    <xdr:sp macro="" textlink="">
      <xdr:nvSpPr>
        <xdr:cNvPr id="4" name="Rectangle 3"/>
        <xdr:cNvSpPr/>
      </xdr:nvSpPr>
      <xdr:spPr>
        <a:xfrm>
          <a:off x="3638550" y="3257550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VILLAGE</a:t>
          </a:r>
        </a:p>
      </xdr:txBody>
    </xdr:sp>
    <xdr:clientData/>
  </xdr:twoCellAnchor>
  <xdr:twoCellAnchor>
    <xdr:from>
      <xdr:col>4</xdr:col>
      <xdr:colOff>514350</xdr:colOff>
      <xdr:row>17</xdr:row>
      <xdr:rowOff>19050</xdr:rowOff>
    </xdr:from>
    <xdr:to>
      <xdr:col>6</xdr:col>
      <xdr:colOff>171450</xdr:colOff>
      <xdr:row>23</xdr:row>
      <xdr:rowOff>95250</xdr:rowOff>
    </xdr:to>
    <xdr:sp macro="" textlink="">
      <xdr:nvSpPr>
        <xdr:cNvPr id="5" name="Rectangle 4"/>
        <xdr:cNvSpPr/>
      </xdr:nvSpPr>
      <xdr:spPr>
        <a:xfrm>
          <a:off x="5715000" y="3257550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CASTLE</a:t>
          </a:r>
        </a:p>
      </xdr:txBody>
    </xdr:sp>
    <xdr:clientData/>
  </xdr:twoCellAnchor>
  <xdr:twoCellAnchor>
    <xdr:from>
      <xdr:col>0</xdr:col>
      <xdr:colOff>85724</xdr:colOff>
      <xdr:row>87</xdr:row>
      <xdr:rowOff>76200</xdr:rowOff>
    </xdr:from>
    <xdr:to>
      <xdr:col>3</xdr:col>
      <xdr:colOff>1195799</xdr:colOff>
      <xdr:row>102</xdr:row>
      <xdr:rowOff>98700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1171574</xdr:colOff>
      <xdr:row>87</xdr:row>
      <xdr:rowOff>76199</xdr:rowOff>
    </xdr:from>
    <xdr:to>
      <xdr:col>7</xdr:col>
      <xdr:colOff>481424</xdr:colOff>
      <xdr:row>102</xdr:row>
      <xdr:rowOff>98699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95251</xdr:colOff>
      <xdr:row>35</xdr:row>
      <xdr:rowOff>76200</xdr:rowOff>
    </xdr:from>
    <xdr:to>
      <xdr:col>9</xdr:col>
      <xdr:colOff>571500</xdr:colOff>
      <xdr:row>56</xdr:row>
      <xdr:rowOff>152400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100011</xdr:colOff>
      <xdr:row>56</xdr:row>
      <xdr:rowOff>152400</xdr:rowOff>
    </xdr:from>
    <xdr:to>
      <xdr:col>9</xdr:col>
      <xdr:colOff>571500</xdr:colOff>
      <xdr:row>82</xdr:row>
      <xdr:rowOff>76199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971550</xdr:colOff>
      <xdr:row>57</xdr:row>
      <xdr:rowOff>95250</xdr:rowOff>
    </xdr:from>
    <xdr:to>
      <xdr:col>4</xdr:col>
      <xdr:colOff>771525</xdr:colOff>
      <xdr:row>59</xdr:row>
      <xdr:rowOff>142875</xdr:rowOff>
    </xdr:to>
    <xdr:sp macro="" textlink="">
      <xdr:nvSpPr>
        <xdr:cNvPr id="15" name="TextBox 14"/>
        <xdr:cNvSpPr txBox="1"/>
      </xdr:nvSpPr>
      <xdr:spPr>
        <a:xfrm>
          <a:off x="4181475" y="10953750"/>
          <a:ext cx="1790700" cy="4286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XP PROGRESSION</a:t>
          </a:r>
        </a:p>
      </xdr:txBody>
    </xdr:sp>
    <xdr:clientData/>
  </xdr:twoCellAnchor>
  <xdr:twoCellAnchor>
    <xdr:from>
      <xdr:col>7</xdr:col>
      <xdr:colOff>495299</xdr:colOff>
      <xdr:row>87</xdr:row>
      <xdr:rowOff>76199</xdr:rowOff>
    </xdr:from>
    <xdr:to>
      <xdr:col>14</xdr:col>
      <xdr:colOff>200025</xdr:colOff>
      <xdr:row>102</xdr:row>
      <xdr:rowOff>98699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133351</xdr:colOff>
      <xdr:row>109</xdr:row>
      <xdr:rowOff>9525</xdr:rowOff>
    </xdr:from>
    <xdr:to>
      <xdr:col>16</xdr:col>
      <xdr:colOff>552450</xdr:colOff>
      <xdr:row>133</xdr:row>
      <xdr:rowOff>47625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119061</xdr:colOff>
      <xdr:row>35</xdr:row>
      <xdr:rowOff>80962</xdr:rowOff>
    </xdr:from>
    <xdr:to>
      <xdr:col>23</xdr:col>
      <xdr:colOff>476250</xdr:colOff>
      <xdr:row>56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119061</xdr:colOff>
      <xdr:row>57</xdr:row>
      <xdr:rowOff>23812</xdr:rowOff>
    </xdr:from>
    <xdr:to>
      <xdr:col>23</xdr:col>
      <xdr:colOff>476249</xdr:colOff>
      <xdr:row>82</xdr:row>
      <xdr:rowOff>133350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409576</xdr:colOff>
      <xdr:row>5</xdr:row>
      <xdr:rowOff>190499</xdr:rowOff>
    </xdr:from>
    <xdr:to>
      <xdr:col>22</xdr:col>
      <xdr:colOff>142876</xdr:colOff>
      <xdr:row>23</xdr:row>
      <xdr:rowOff>171450</xdr:rowOff>
    </xdr:to>
    <xdr:sp macro="" textlink="">
      <xdr:nvSpPr>
        <xdr:cNvPr id="2" name="Rectangle 1"/>
        <xdr:cNvSpPr/>
      </xdr:nvSpPr>
      <xdr:spPr>
        <a:xfrm>
          <a:off x="8629651" y="1142999"/>
          <a:ext cx="8858250" cy="3409951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SP_MEDIEVAL_FINAL_VILLAGE</a:t>
          </a:r>
        </a:p>
      </xdr:txBody>
    </xdr:sp>
    <xdr:clientData/>
  </xdr:twoCellAnchor>
  <xdr:twoCellAnchor>
    <xdr:from>
      <xdr:col>11</xdr:col>
      <xdr:colOff>295275</xdr:colOff>
      <xdr:row>15</xdr:row>
      <xdr:rowOff>28575</xdr:rowOff>
    </xdr:from>
    <xdr:to>
      <xdr:col>14</xdr:col>
      <xdr:colOff>552450</xdr:colOff>
      <xdr:row>21</xdr:row>
      <xdr:rowOff>104775</xdr:rowOff>
    </xdr:to>
    <xdr:sp macro="" textlink="">
      <xdr:nvSpPr>
        <xdr:cNvPr id="3" name="Rectangle 2"/>
        <xdr:cNvSpPr/>
      </xdr:nvSpPr>
      <xdr:spPr>
        <a:xfrm>
          <a:off x="10953750" y="2886075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WITCH FOREST</a:t>
          </a:r>
        </a:p>
      </xdr:txBody>
    </xdr:sp>
    <xdr:clientData/>
  </xdr:twoCellAnchor>
  <xdr:twoCellAnchor>
    <xdr:from>
      <xdr:col>14</xdr:col>
      <xdr:colOff>552450</xdr:colOff>
      <xdr:row>8</xdr:row>
      <xdr:rowOff>152400</xdr:rowOff>
    </xdr:from>
    <xdr:to>
      <xdr:col>18</xdr:col>
      <xdr:colOff>180975</xdr:colOff>
      <xdr:row>15</xdr:row>
      <xdr:rowOff>38100</xdr:rowOff>
    </xdr:to>
    <xdr:sp macro="" textlink="">
      <xdr:nvSpPr>
        <xdr:cNvPr id="4" name="Rectangle 3"/>
        <xdr:cNvSpPr/>
      </xdr:nvSpPr>
      <xdr:spPr>
        <a:xfrm>
          <a:off x="13020675" y="1676400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HUMAN VILLAGE</a:t>
          </a:r>
        </a:p>
      </xdr:txBody>
    </xdr:sp>
    <xdr:clientData/>
  </xdr:twoCellAnchor>
  <xdr:twoCellAnchor>
    <xdr:from>
      <xdr:col>14</xdr:col>
      <xdr:colOff>561975</xdr:colOff>
      <xdr:row>15</xdr:row>
      <xdr:rowOff>38100</xdr:rowOff>
    </xdr:from>
    <xdr:to>
      <xdr:col>18</xdr:col>
      <xdr:colOff>190500</xdr:colOff>
      <xdr:row>21</xdr:row>
      <xdr:rowOff>114300</xdr:rowOff>
    </xdr:to>
    <xdr:sp macro="" textlink="">
      <xdr:nvSpPr>
        <xdr:cNvPr id="5" name="Rectangle 4"/>
        <xdr:cNvSpPr/>
      </xdr:nvSpPr>
      <xdr:spPr>
        <a:xfrm>
          <a:off x="13030200" y="2895600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CAVE/WATERFALL</a:t>
          </a:r>
        </a:p>
      </xdr:txBody>
    </xdr:sp>
    <xdr:clientData/>
  </xdr:twoCellAnchor>
  <xdr:twoCellAnchor>
    <xdr:from>
      <xdr:col>11</xdr:col>
      <xdr:colOff>295275</xdr:colOff>
      <xdr:row>8</xdr:row>
      <xdr:rowOff>152400</xdr:rowOff>
    </xdr:from>
    <xdr:to>
      <xdr:col>14</xdr:col>
      <xdr:colOff>552450</xdr:colOff>
      <xdr:row>15</xdr:row>
      <xdr:rowOff>38100</xdr:rowOff>
    </xdr:to>
    <xdr:sp macro="" textlink="">
      <xdr:nvSpPr>
        <xdr:cNvPr id="6" name="Rectangle 5"/>
        <xdr:cNvSpPr/>
      </xdr:nvSpPr>
      <xdr:spPr>
        <a:xfrm>
          <a:off x="10953750" y="1676400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GOBLIN CITY</a:t>
          </a:r>
        </a:p>
      </xdr:txBody>
    </xdr:sp>
    <xdr:clientData/>
  </xdr:twoCellAnchor>
  <xdr:twoCellAnchor>
    <xdr:from>
      <xdr:col>18</xdr:col>
      <xdr:colOff>180975</xdr:colOff>
      <xdr:row>8</xdr:row>
      <xdr:rowOff>152400</xdr:rowOff>
    </xdr:from>
    <xdr:to>
      <xdr:col>21</xdr:col>
      <xdr:colOff>419100</xdr:colOff>
      <xdr:row>15</xdr:row>
      <xdr:rowOff>38100</xdr:rowOff>
    </xdr:to>
    <xdr:sp macro="" textlink="">
      <xdr:nvSpPr>
        <xdr:cNvPr id="7" name="Rectangle 6"/>
        <xdr:cNvSpPr/>
      </xdr:nvSpPr>
      <xdr:spPr>
        <a:xfrm>
          <a:off x="15087600" y="1676400"/>
          <a:ext cx="2066925" cy="1219200"/>
        </a:xfrm>
        <a:prstGeom prst="rect">
          <a:avLst/>
        </a:prstGeom>
        <a:solidFill>
          <a:schemeClr val="bg2">
            <a:lumMod val="2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FOREST</a:t>
          </a:r>
        </a:p>
      </xdr:txBody>
    </xdr:sp>
    <xdr:clientData/>
  </xdr:twoCellAnchor>
  <xdr:twoCellAnchor>
    <xdr:from>
      <xdr:col>7</xdr:col>
      <xdr:colOff>495301</xdr:colOff>
      <xdr:row>59</xdr:row>
      <xdr:rowOff>133349</xdr:rowOff>
    </xdr:from>
    <xdr:to>
      <xdr:col>14</xdr:col>
      <xdr:colOff>495301</xdr:colOff>
      <xdr:row>73</xdr:row>
      <xdr:rowOff>85724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1266825</xdr:colOff>
      <xdr:row>45</xdr:row>
      <xdr:rowOff>114300</xdr:rowOff>
    </xdr:from>
    <xdr:to>
      <xdr:col>7</xdr:col>
      <xdr:colOff>500062</xdr:colOff>
      <xdr:row>59</xdr:row>
      <xdr:rowOff>161925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1257301</xdr:colOff>
      <xdr:row>59</xdr:row>
      <xdr:rowOff>133349</xdr:rowOff>
    </xdr:from>
    <xdr:to>
      <xdr:col>7</xdr:col>
      <xdr:colOff>495301</xdr:colOff>
      <xdr:row>73</xdr:row>
      <xdr:rowOff>85724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485775</xdr:colOff>
      <xdr:row>45</xdr:row>
      <xdr:rowOff>85725</xdr:rowOff>
    </xdr:from>
    <xdr:to>
      <xdr:col>14</xdr:col>
      <xdr:colOff>481012</xdr:colOff>
      <xdr:row>59</xdr:row>
      <xdr:rowOff>133350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257176</xdr:colOff>
      <xdr:row>73</xdr:row>
      <xdr:rowOff>76199</xdr:rowOff>
    </xdr:from>
    <xdr:to>
      <xdr:col>3</xdr:col>
      <xdr:colOff>1291651</xdr:colOff>
      <xdr:row>87</xdr:row>
      <xdr:rowOff>28574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76200</xdr:colOff>
      <xdr:row>15</xdr:row>
      <xdr:rowOff>28575</xdr:rowOff>
    </xdr:from>
    <xdr:to>
      <xdr:col>11</xdr:col>
      <xdr:colOff>314325</xdr:colOff>
      <xdr:row>21</xdr:row>
      <xdr:rowOff>104775</xdr:rowOff>
    </xdr:to>
    <xdr:sp macro="" textlink="">
      <xdr:nvSpPr>
        <xdr:cNvPr id="19" name="Rectangle 18"/>
        <xdr:cNvSpPr/>
      </xdr:nvSpPr>
      <xdr:spPr>
        <a:xfrm>
          <a:off x="8905875" y="2886075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BIG CAVES</a:t>
          </a:r>
        </a:p>
      </xdr:txBody>
    </xdr:sp>
    <xdr:clientData/>
  </xdr:twoCellAnchor>
  <xdr:twoCellAnchor>
    <xdr:from>
      <xdr:col>7</xdr:col>
      <xdr:colOff>238124</xdr:colOff>
      <xdr:row>24</xdr:row>
      <xdr:rowOff>38099</xdr:rowOff>
    </xdr:from>
    <xdr:to>
      <xdr:col>21</xdr:col>
      <xdr:colOff>342899</xdr:colOff>
      <xdr:row>45</xdr:row>
      <xdr:rowOff>114300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257176</xdr:colOff>
      <xdr:row>24</xdr:row>
      <xdr:rowOff>38100</xdr:rowOff>
    </xdr:from>
    <xdr:to>
      <xdr:col>7</xdr:col>
      <xdr:colOff>276225</xdr:colOff>
      <xdr:row>45</xdr:row>
      <xdr:rowOff>112800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257175</xdr:colOff>
      <xdr:row>45</xdr:row>
      <xdr:rowOff>114300</xdr:rowOff>
    </xdr:from>
    <xdr:to>
      <xdr:col>3</xdr:col>
      <xdr:colOff>1290637</xdr:colOff>
      <xdr:row>59</xdr:row>
      <xdr:rowOff>152400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257175</xdr:colOff>
      <xdr:row>59</xdr:row>
      <xdr:rowOff>142875</xdr:rowOff>
    </xdr:from>
    <xdr:to>
      <xdr:col>3</xdr:col>
      <xdr:colOff>1290637</xdr:colOff>
      <xdr:row>73</xdr:row>
      <xdr:rowOff>76200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93</xdr:row>
      <xdr:rowOff>0</xdr:rowOff>
    </xdr:from>
    <xdr:to>
      <xdr:col>19</xdr:col>
      <xdr:colOff>352424</xdr:colOff>
      <xdr:row>117</xdr:row>
      <xdr:rowOff>38100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</xdr:colOff>
      <xdr:row>1</xdr:row>
      <xdr:rowOff>95249</xdr:rowOff>
    </xdr:from>
    <xdr:to>
      <xdr:col>19</xdr:col>
      <xdr:colOff>209551</xdr:colOff>
      <xdr:row>22</xdr:row>
      <xdr:rowOff>95250</xdr:rowOff>
    </xdr:to>
    <xdr:sp macro="" textlink="">
      <xdr:nvSpPr>
        <xdr:cNvPr id="2" name="Rectangle 1"/>
        <xdr:cNvSpPr/>
      </xdr:nvSpPr>
      <xdr:spPr>
        <a:xfrm>
          <a:off x="8877300" y="285749"/>
          <a:ext cx="6848476" cy="4000501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SP_MEDIEVAL_FINAL_CASTLE</a:t>
          </a:r>
        </a:p>
      </xdr:txBody>
    </xdr:sp>
    <xdr:clientData/>
  </xdr:twoCellAnchor>
  <xdr:twoCellAnchor>
    <xdr:from>
      <xdr:col>8</xdr:col>
      <xdr:colOff>590550</xdr:colOff>
      <xdr:row>9</xdr:row>
      <xdr:rowOff>0</xdr:rowOff>
    </xdr:from>
    <xdr:to>
      <xdr:col>12</xdr:col>
      <xdr:colOff>219075</xdr:colOff>
      <xdr:row>15</xdr:row>
      <xdr:rowOff>76200</xdr:rowOff>
    </xdr:to>
    <xdr:sp macro="" textlink="">
      <xdr:nvSpPr>
        <xdr:cNvPr id="3" name="Rectangle 2"/>
        <xdr:cNvSpPr/>
      </xdr:nvSpPr>
      <xdr:spPr>
        <a:xfrm>
          <a:off x="9420225" y="1714500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CAVES02</a:t>
          </a:r>
        </a:p>
      </xdr:txBody>
    </xdr:sp>
    <xdr:clientData/>
  </xdr:twoCellAnchor>
  <xdr:twoCellAnchor>
    <xdr:from>
      <xdr:col>12</xdr:col>
      <xdr:colOff>238125</xdr:colOff>
      <xdr:row>2</xdr:row>
      <xdr:rowOff>114300</xdr:rowOff>
    </xdr:from>
    <xdr:to>
      <xdr:col>15</xdr:col>
      <xdr:colOff>495300</xdr:colOff>
      <xdr:row>9</xdr:row>
      <xdr:rowOff>0</xdr:rowOff>
    </xdr:to>
    <xdr:sp macro="" textlink="">
      <xdr:nvSpPr>
        <xdr:cNvPr id="4" name="Rectangle 3"/>
        <xdr:cNvSpPr/>
      </xdr:nvSpPr>
      <xdr:spPr>
        <a:xfrm>
          <a:off x="11506200" y="495300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MARKET</a:t>
          </a:r>
        </a:p>
      </xdr:txBody>
    </xdr:sp>
    <xdr:clientData/>
  </xdr:twoCellAnchor>
  <xdr:twoCellAnchor>
    <xdr:from>
      <xdr:col>12</xdr:col>
      <xdr:colOff>238125</xdr:colOff>
      <xdr:row>9</xdr:row>
      <xdr:rowOff>0</xdr:rowOff>
    </xdr:from>
    <xdr:to>
      <xdr:col>15</xdr:col>
      <xdr:colOff>495300</xdr:colOff>
      <xdr:row>15</xdr:row>
      <xdr:rowOff>76200</xdr:rowOff>
    </xdr:to>
    <xdr:sp macro="" textlink="">
      <xdr:nvSpPr>
        <xdr:cNvPr id="6" name="Rectangle 5"/>
        <xdr:cNvSpPr/>
      </xdr:nvSpPr>
      <xdr:spPr>
        <a:xfrm>
          <a:off x="11506200" y="1714500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CAVES01</a:t>
          </a:r>
        </a:p>
      </xdr:txBody>
    </xdr:sp>
    <xdr:clientData/>
  </xdr:twoCellAnchor>
  <xdr:twoCellAnchor>
    <xdr:from>
      <xdr:col>8</xdr:col>
      <xdr:colOff>590551</xdr:colOff>
      <xdr:row>15</xdr:row>
      <xdr:rowOff>95250</xdr:rowOff>
    </xdr:from>
    <xdr:to>
      <xdr:col>15</xdr:col>
      <xdr:colOff>495301</xdr:colOff>
      <xdr:row>21</xdr:row>
      <xdr:rowOff>171450</xdr:rowOff>
    </xdr:to>
    <xdr:sp macro="" textlink="">
      <xdr:nvSpPr>
        <xdr:cNvPr id="7" name="Rectangle 6"/>
        <xdr:cNvSpPr/>
      </xdr:nvSpPr>
      <xdr:spPr>
        <a:xfrm>
          <a:off x="9420226" y="2952750"/>
          <a:ext cx="4152900" cy="1219200"/>
        </a:xfrm>
        <a:prstGeom prst="rect">
          <a:avLst/>
        </a:prstGeom>
        <a:solidFill>
          <a:schemeClr val="bg2">
            <a:lumMod val="2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MINES</a:t>
          </a:r>
        </a:p>
      </xdr:txBody>
    </xdr:sp>
    <xdr:clientData/>
  </xdr:twoCellAnchor>
  <xdr:twoCellAnchor>
    <xdr:from>
      <xdr:col>0</xdr:col>
      <xdr:colOff>85724</xdr:colOff>
      <xdr:row>46</xdr:row>
      <xdr:rowOff>28575</xdr:rowOff>
    </xdr:from>
    <xdr:to>
      <xdr:col>3</xdr:col>
      <xdr:colOff>1195799</xdr:colOff>
      <xdr:row>61</xdr:row>
      <xdr:rowOff>51075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1171574</xdr:colOff>
      <xdr:row>46</xdr:row>
      <xdr:rowOff>28574</xdr:rowOff>
    </xdr:from>
    <xdr:to>
      <xdr:col>7</xdr:col>
      <xdr:colOff>481424</xdr:colOff>
      <xdr:row>61</xdr:row>
      <xdr:rowOff>51074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466724</xdr:colOff>
      <xdr:row>46</xdr:row>
      <xdr:rowOff>28574</xdr:rowOff>
    </xdr:from>
    <xdr:to>
      <xdr:col>21</xdr:col>
      <xdr:colOff>519524</xdr:colOff>
      <xdr:row>61</xdr:row>
      <xdr:rowOff>51074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238126</xdr:colOff>
      <xdr:row>24</xdr:row>
      <xdr:rowOff>38100</xdr:rowOff>
    </xdr:from>
    <xdr:to>
      <xdr:col>7</xdr:col>
      <xdr:colOff>257175</xdr:colOff>
      <xdr:row>45</xdr:row>
      <xdr:rowOff>112800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238124</xdr:colOff>
      <xdr:row>24</xdr:row>
      <xdr:rowOff>38099</xdr:rowOff>
    </xdr:from>
    <xdr:to>
      <xdr:col>21</xdr:col>
      <xdr:colOff>342899</xdr:colOff>
      <xdr:row>45</xdr:row>
      <xdr:rowOff>114300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495299</xdr:colOff>
      <xdr:row>46</xdr:row>
      <xdr:rowOff>28574</xdr:rowOff>
    </xdr:from>
    <xdr:to>
      <xdr:col>14</xdr:col>
      <xdr:colOff>567149</xdr:colOff>
      <xdr:row>61</xdr:row>
      <xdr:rowOff>51074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67</xdr:row>
      <xdr:rowOff>0</xdr:rowOff>
    </xdr:from>
    <xdr:to>
      <xdr:col>19</xdr:col>
      <xdr:colOff>352424</xdr:colOff>
      <xdr:row>91</xdr:row>
      <xdr:rowOff>38100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</xdr:colOff>
      <xdr:row>1</xdr:row>
      <xdr:rowOff>95249</xdr:rowOff>
    </xdr:from>
    <xdr:to>
      <xdr:col>19</xdr:col>
      <xdr:colOff>209551</xdr:colOff>
      <xdr:row>22</xdr:row>
      <xdr:rowOff>95250</xdr:rowOff>
    </xdr:to>
    <xdr:sp macro="" textlink="">
      <xdr:nvSpPr>
        <xdr:cNvPr id="2" name="Rectangle 1"/>
        <xdr:cNvSpPr/>
      </xdr:nvSpPr>
      <xdr:spPr>
        <a:xfrm>
          <a:off x="8877300" y="285749"/>
          <a:ext cx="6848476" cy="4000501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SP_MEDIEVAL_FINAL_CASTLE</a:t>
          </a:r>
        </a:p>
      </xdr:txBody>
    </xdr:sp>
    <xdr:clientData/>
  </xdr:twoCellAnchor>
  <xdr:twoCellAnchor>
    <xdr:from>
      <xdr:col>10</xdr:col>
      <xdr:colOff>390525</xdr:colOff>
      <xdr:row>15</xdr:row>
      <xdr:rowOff>76200</xdr:rowOff>
    </xdr:from>
    <xdr:to>
      <xdr:col>14</xdr:col>
      <xdr:colOff>38100</xdr:colOff>
      <xdr:row>21</xdr:row>
      <xdr:rowOff>152400</xdr:rowOff>
    </xdr:to>
    <xdr:sp macro="" textlink="">
      <xdr:nvSpPr>
        <xdr:cNvPr id="3" name="Rectangle 2"/>
        <xdr:cNvSpPr/>
      </xdr:nvSpPr>
      <xdr:spPr>
        <a:xfrm>
          <a:off x="10439400" y="2933700"/>
          <a:ext cx="2066925" cy="1219200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DARK01</a:t>
          </a:r>
        </a:p>
      </xdr:txBody>
    </xdr:sp>
    <xdr:clientData/>
  </xdr:twoCellAnchor>
  <xdr:twoCellAnchor>
    <xdr:from>
      <xdr:col>12</xdr:col>
      <xdr:colOff>238125</xdr:colOff>
      <xdr:row>2</xdr:row>
      <xdr:rowOff>114300</xdr:rowOff>
    </xdr:from>
    <xdr:to>
      <xdr:col>15</xdr:col>
      <xdr:colOff>495300</xdr:colOff>
      <xdr:row>9</xdr:row>
      <xdr:rowOff>0</xdr:rowOff>
    </xdr:to>
    <xdr:sp macro="" textlink="">
      <xdr:nvSpPr>
        <xdr:cNvPr id="4" name="Rectangle 3"/>
        <xdr:cNvSpPr/>
      </xdr:nvSpPr>
      <xdr:spPr>
        <a:xfrm>
          <a:off x="11506200" y="495300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TREE</a:t>
          </a:r>
        </a:p>
      </xdr:txBody>
    </xdr:sp>
    <xdr:clientData/>
  </xdr:twoCellAnchor>
  <xdr:twoCellAnchor>
    <xdr:from>
      <xdr:col>12</xdr:col>
      <xdr:colOff>238125</xdr:colOff>
      <xdr:row>9</xdr:row>
      <xdr:rowOff>0</xdr:rowOff>
    </xdr:from>
    <xdr:to>
      <xdr:col>15</xdr:col>
      <xdr:colOff>495300</xdr:colOff>
      <xdr:row>15</xdr:row>
      <xdr:rowOff>76200</xdr:rowOff>
    </xdr:to>
    <xdr:sp macro="" textlink="">
      <xdr:nvSpPr>
        <xdr:cNvPr id="5" name="Rectangle 4"/>
        <xdr:cNvSpPr/>
      </xdr:nvSpPr>
      <xdr:spPr>
        <a:xfrm>
          <a:off x="11506200" y="1714500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UNDERGROUND</a:t>
          </a:r>
        </a:p>
      </xdr:txBody>
    </xdr:sp>
    <xdr:clientData/>
  </xdr:twoCellAnchor>
  <xdr:twoCellAnchor>
    <xdr:from>
      <xdr:col>0</xdr:col>
      <xdr:colOff>85724</xdr:colOff>
      <xdr:row>46</xdr:row>
      <xdr:rowOff>28575</xdr:rowOff>
    </xdr:from>
    <xdr:to>
      <xdr:col>3</xdr:col>
      <xdr:colOff>1195799</xdr:colOff>
      <xdr:row>61</xdr:row>
      <xdr:rowOff>51075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1171574</xdr:colOff>
      <xdr:row>46</xdr:row>
      <xdr:rowOff>28574</xdr:rowOff>
    </xdr:from>
    <xdr:to>
      <xdr:col>7</xdr:col>
      <xdr:colOff>481424</xdr:colOff>
      <xdr:row>61</xdr:row>
      <xdr:rowOff>51074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466724</xdr:colOff>
      <xdr:row>46</xdr:row>
      <xdr:rowOff>28574</xdr:rowOff>
    </xdr:from>
    <xdr:to>
      <xdr:col>21</xdr:col>
      <xdr:colOff>519524</xdr:colOff>
      <xdr:row>61</xdr:row>
      <xdr:rowOff>51074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238126</xdr:colOff>
      <xdr:row>24</xdr:row>
      <xdr:rowOff>38100</xdr:rowOff>
    </xdr:from>
    <xdr:to>
      <xdr:col>7</xdr:col>
      <xdr:colOff>257175</xdr:colOff>
      <xdr:row>45</xdr:row>
      <xdr:rowOff>112800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238124</xdr:colOff>
      <xdr:row>24</xdr:row>
      <xdr:rowOff>38099</xdr:rowOff>
    </xdr:from>
    <xdr:to>
      <xdr:col>21</xdr:col>
      <xdr:colOff>342899</xdr:colOff>
      <xdr:row>45</xdr:row>
      <xdr:rowOff>114300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495299</xdr:colOff>
      <xdr:row>46</xdr:row>
      <xdr:rowOff>28574</xdr:rowOff>
    </xdr:from>
    <xdr:to>
      <xdr:col>14</xdr:col>
      <xdr:colOff>567149</xdr:colOff>
      <xdr:row>61</xdr:row>
      <xdr:rowOff>51074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47625</xdr:colOff>
      <xdr:row>15</xdr:row>
      <xdr:rowOff>76200</xdr:rowOff>
    </xdr:from>
    <xdr:to>
      <xdr:col>17</xdr:col>
      <xdr:colOff>285750</xdr:colOff>
      <xdr:row>21</xdr:row>
      <xdr:rowOff>152400</xdr:rowOff>
    </xdr:to>
    <xdr:sp macro="" textlink="">
      <xdr:nvSpPr>
        <xdr:cNvPr id="13" name="Rectangle 12"/>
        <xdr:cNvSpPr/>
      </xdr:nvSpPr>
      <xdr:spPr>
        <a:xfrm>
          <a:off x="12515850" y="2933700"/>
          <a:ext cx="2066925" cy="121920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DARK02</a:t>
          </a:r>
        </a:p>
      </xdr:txBody>
    </xdr:sp>
    <xdr:clientData/>
  </xdr:twoCellAnchor>
  <xdr:twoCellAnchor>
    <xdr:from>
      <xdr:col>7</xdr:col>
      <xdr:colOff>0</xdr:colOff>
      <xdr:row>68</xdr:row>
      <xdr:rowOff>0</xdr:rowOff>
    </xdr:from>
    <xdr:to>
      <xdr:col>19</xdr:col>
      <xdr:colOff>352424</xdr:colOff>
      <xdr:row>92</xdr:row>
      <xdr:rowOff>38100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8" name="Table28" displayName="Table28" ref="W11:Z170" totalsRowShown="0" headerRowDxfId="132" dataDxfId="130" headerRowBorderDxfId="131" tableBorderDxfId="129" totalsRowBorderDxfId="128">
  <autoFilter ref="W11:Z170"/>
  <sortState ref="W12:Z170">
    <sortCondition ref="W11:W170"/>
  </sortState>
  <tableColumns count="4">
    <tableColumn id="1" name="Entity Prefab" dataDxfId="127"/>
    <tableColumn id="2" name="AGRESSIVITY (VILLAGE)" dataDxfId="126"/>
    <tableColumn id="3" name="AGRESSIVITY (CASTLE)" dataDxfId="125"/>
    <tableColumn id="4" name="AGRESSIVITY (DARK)" dataDxfId="124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31" name="Table27303132" displayName="Table27303132" ref="D69:F75" totalsRowShown="0">
  <autoFilter ref="D69:F75"/>
  <tableColumns count="3">
    <tableColumn id="1" name="Spawner Prefab">
      <calculatedColumnFormula>INDIRECT(ADDRESS((11+MATCH(E70,Table1[Total in the game],0)),5,1,1,"Entities"))</calculatedColumnFormula>
    </tableColumn>
    <tableColumn id="2" name="Total in game"/>
    <tableColumn id="3" name="Percentage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4" name="Table245" displayName="Table245" ref="B21:K679" totalsRowShown="0" headerRowDxfId="90">
  <autoFilter ref="B21:K679"/>
  <sortState ref="B22:K679">
    <sortCondition ref="B21:B679"/>
  </sortState>
  <tableColumns count="10">
    <tableColumn id="1" name="spawner_sku" dataDxfId="89"/>
    <tableColumn id="2" name="entity_spawned (AVG)"/>
    <tableColumn id="5" name="respawn_time"/>
    <tableColumn id="6" name="activating_chance"/>
    <tableColumn id="7" name="XP" dataDxfId="88">
      <calculatedColumnFormula>INDIRECT(ADDRESS(11+(MATCH(RIGHT(Table245[[#This Row],[spawner_sku]],LEN(Table245[[#This Row],[spawner_sku]])-FIND("/",Table245[[#This Row],[spawner_sku]])),Table1[Entity Prefab],0)),10,1,1,"Entities"))</calculatedColumnFormula>
    </tableColumn>
    <tableColumn id="8" name="total xp" dataDxfId="87">
      <calculatedColumnFormula>ROUND((Table245[[#This Row],[XP]]*Table245[[#This Row],[entity_spawned (AVG)]])*(Table245[[#This Row],[activating_chance]]/100),0)</calculatedColumnFormula>
    </tableColumn>
    <tableColumn id="3" name="Aggresive" dataDxfId="86">
      <calculatedColumnFormula>INDIRECT(ADDRESS(11+(MATCH(RIGHT(Table245[[#This Row],[spawner_sku]],LEN(Table245[[#This Row],[spawner_sku]])-FIND("/",Table245[[#This Row],[spawner_sku]])),Table28[Entity Prefab],0)),24,1,1,"Entities"))</calculatedColumnFormula>
    </tableColumn>
    <tableColumn id="4" name="min_entities" dataDxfId="85"/>
    <tableColumn id="9" name="max_entities" dataDxfId="84"/>
    <tableColumn id="10" name="hasBonus" dataDxfId="83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2" name="Table2" displayName="Table2" ref="AI21:AR429" totalsRowShown="0">
  <autoFilter ref="AI21:AR429"/>
  <sortState ref="AI22:AR429">
    <sortCondition ref="AI21:AI429"/>
  </sortState>
  <tableColumns count="10">
    <tableColumn id="1" name="spawner_sku"/>
    <tableColumn id="2" name="entity_spawned (AVG)"/>
    <tableColumn id="5" name="respawn_time"/>
    <tableColumn id="6" name="activating_chance"/>
    <tableColumn id="7" name="XP" dataDxfId="82">
      <calculatedColumnFormula>INDIRECT(ADDRESS(11+(MATCH(RIGHT(Table2[[#This Row],[spawner_sku]],LEN(Table2[[#This Row],[spawner_sku]])-FIND("/",Table2[[#This Row],[spawner_sku]])),Table1[Entity Prefab],0)),10,1,1,"Entities"))</calculatedColumnFormula>
    </tableColumn>
    <tableColumn id="8" name="total xp" dataDxfId="81">
      <calculatedColumnFormula>ROUND((Table2[[#This Row],[XP]]*Table2[[#This Row],[entity_spawned (AVG)]])*(Table2[[#This Row],[activating_chance]]/100),0)</calculatedColumnFormula>
    </tableColumn>
    <tableColumn id="9" name="Aggressive" dataDxfId="80">
      <calculatedColumnFormula>INDIRECT(ADDRESS(11+(MATCH(RIGHT(Table2[[#This Row],[spawner_sku]],LEN(Table2[[#This Row],[spawner_sku]])-FIND("/",Table2[[#This Row],[spawner_sku]])),Table28[Entity Prefab],0)),24,1,1,"Entities"))</calculatedColumnFormula>
    </tableColumn>
    <tableColumn id="3" name="min_entities" dataDxfId="79"/>
    <tableColumn id="4" name="max_entities" dataDxfId="78"/>
    <tableColumn id="10" name="hasBonus" dataDxfId="77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6" name="Table6" displayName="Table6" ref="AT21:BC191" totalsRowShown="0">
  <autoFilter ref="AT21:BC191"/>
  <sortState ref="AT22:BC191">
    <sortCondition ref="AT21:AT191"/>
  </sortState>
  <tableColumns count="10">
    <tableColumn id="1" name="spawner_sku"/>
    <tableColumn id="2" name="entity_spawned (AVG)"/>
    <tableColumn id="5" name="respawn_time"/>
    <tableColumn id="6" name="activating_chance"/>
    <tableColumn id="7" name="XP" dataDxfId="76">
      <calculatedColumnFormula>INDIRECT(ADDRESS(11+(MATCH(RIGHT(Table6[[#This Row],[spawner_sku]],LEN(Table6[[#This Row],[spawner_sku]])-FIND("/",Table6[[#This Row],[spawner_sku]])),Table1[Entity Prefab],0)),10,1,1,"Entities"))</calculatedColumnFormula>
    </tableColumn>
    <tableColumn id="8" name="total xp" dataDxfId="75">
      <calculatedColumnFormula>ROUND((Table6[[#This Row],[XP]]*Table6[[#This Row],[entity_spawned (AVG)]])*(Table6[[#This Row],[activating_chance]]/100),0)</calculatedColumnFormula>
    </tableColumn>
    <tableColumn id="9" name="Aggressive" dataDxfId="74">
      <calculatedColumnFormula>INDIRECT(ADDRESS(11+(MATCH(RIGHT(Table6[[#This Row],[spawner_sku]],LEN(Table6[[#This Row],[spawner_sku]])-FIND("/",Table6[[#This Row],[spawner_sku]])),Table28[Entity Prefab],0)),24,1,1,"Entities"))</calculatedColumnFormula>
    </tableColumn>
    <tableColumn id="3" name="min_entities"/>
    <tableColumn id="4" name="max_entities"/>
    <tableColumn id="10" name="hasBonus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8" name="Table39" displayName="Table39" ref="X21:AG99" totalsRowShown="0">
  <autoFilter ref="X21:AG99"/>
  <sortState ref="X22:AG99">
    <sortCondition ref="X21:X99"/>
  </sortState>
  <tableColumns count="10">
    <tableColumn id="1" name="spawner_sku"/>
    <tableColumn id="2" name="entity_spawned (AVG)"/>
    <tableColumn id="5" name="respawn_time"/>
    <tableColumn id="6" name="activating_chance"/>
    <tableColumn id="8" name="XP" dataDxfId="73">
      <calculatedColumnFormula>INDIRECT(ADDRESS(11+(MATCH(RIGHT(Table39[[#This Row],[spawner_sku]],LEN(Table39[[#This Row],[spawner_sku]])-FIND("/",Table39[[#This Row],[spawner_sku]])),Table1[Entity Prefab],0)),10,1,1,"Entities"))</calculatedColumnFormula>
    </tableColumn>
    <tableColumn id="9" name="total xp" dataDxfId="72">
      <calculatedColumnFormula>ROUND((Table39[[#This Row],[XP]]*Table39[[#This Row],[entity_spawned (AVG)]])*(Table39[[#This Row],[activating_chance]]/100),0)</calculatedColumnFormula>
    </tableColumn>
    <tableColumn id="10" name="Aggressive">
      <calculatedColumnFormula>INDIRECT(ADDRESS(11+(MATCH(RIGHT(Table39[[#This Row],[spawner_sku]],LEN(Table39[[#This Row],[spawner_sku]])-FIND("/",Table39[[#This Row],[spawner_sku]])),Table28[Entity Prefab],0)),24,1,1,"Entities"))</calculatedColumnFormula>
    </tableColumn>
    <tableColumn id="3" name="min_entities"/>
    <tableColumn id="4" name="max_entities"/>
    <tableColumn id="7" name="hasBonus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9" name="Table610" displayName="Table610" ref="BE21:BN227" totalsRowShown="0">
  <autoFilter ref="BE21:BN227"/>
  <sortState ref="BE22:BN227">
    <sortCondition ref="BE21:BE227"/>
  </sortState>
  <tableColumns count="10">
    <tableColumn id="1" name="spawner_sku"/>
    <tableColumn id="2" name="entity_spawned (AVG)"/>
    <tableColumn id="5" name="respawn_time"/>
    <tableColumn id="6" name="activating_chance"/>
    <tableColumn id="7" name="XP" dataDxfId="71">
      <calculatedColumnFormula>INDIRECT(ADDRESS(11+(MATCH(RIGHT(Table610[[#This Row],[spawner_sku]],LEN(Table610[[#This Row],[spawner_sku]])-FIND("/",Table610[[#This Row],[spawner_sku]])),Table1[Entity Prefab],0)),10,1,1,"Entities"))</calculatedColumnFormula>
    </tableColumn>
    <tableColumn id="8" name="total xp" dataDxfId="70">
      <calculatedColumnFormula>ROUND((Table610[[#This Row],[XP]]*Table610[[#This Row],[entity_spawned (AVG)]])*(Table610[[#This Row],[activating_chance]]/100),0)</calculatedColumnFormula>
    </tableColumn>
    <tableColumn id="9" name="Aggressive" dataDxfId="69">
      <calculatedColumnFormula>INDIRECT(ADDRESS(11+(MATCH(RIGHT(Table610[[#This Row],[spawner_sku]],LEN(Table610[[#This Row],[spawner_sku]])-FIND("/",Table610[[#This Row],[spawner_sku]])),Table28[Entity Prefab],0)),24,1,1,"Entities"))</calculatedColumnFormula>
    </tableColumn>
    <tableColumn id="3" name="min_entities"/>
    <tableColumn id="4" name="max_entities"/>
    <tableColumn id="10" name="hasBonus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0" name="Table61011" displayName="Table61011" ref="BP21:BY506" totalsRowShown="0">
  <autoFilter ref="BP21:BY506"/>
  <sortState ref="BP22:BY506">
    <sortCondition ref="BP21:BP506"/>
  </sortState>
  <tableColumns count="10">
    <tableColumn id="1" name="spawner_sku"/>
    <tableColumn id="2" name="entity_spawned (AVG)"/>
    <tableColumn id="5" name="respawn_time"/>
    <tableColumn id="6" name="activating_chance"/>
    <tableColumn id="7" name="XP" dataDxfId="68">
      <calculatedColumnFormula>INDIRECT(ADDRESS(11+(MATCH(RIGHT(Table61011[[#This Row],[spawner_sku]],LEN(Table61011[[#This Row],[spawner_sku]])-FIND("/",Table61011[[#This Row],[spawner_sku]])),Table1[Entity Prefab],0)),10,1,1,"Entities"))</calculatedColumnFormula>
    </tableColumn>
    <tableColumn id="8" name="total xp" dataDxfId="67">
      <calculatedColumnFormula>ROUND((Table61011[[#This Row],[XP]]*Table61011[[#This Row],[entity_spawned (AVG)]])*(Table61011[[#This Row],[activating_chance]]/100),0)</calculatedColumnFormula>
    </tableColumn>
    <tableColumn id="9" name="Aggressive" dataDxfId="66">
      <calculatedColumnFormula>INDIRECT(ADDRESS(11+(MATCH(RIGHT(Table61011[[#This Row],[spawner_sku]],LEN(Table61011[[#This Row],[spawner_sku]])-FIND("/",Table61011[[#This Row],[spawner_sku]])),Table28[Entity Prefab],0)),24,1,1,"Entities"))</calculatedColumnFormula>
    </tableColumn>
    <tableColumn id="3" name="min_entities" dataDxfId="65"/>
    <tableColumn id="4" name="max_entities" dataDxfId="64"/>
    <tableColumn id="10" name="hasBonus" dataDxfId="63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1" name="Table11" displayName="Table11" ref="CA21:CJ431" totalsRowShown="0">
  <autoFilter ref="CA21:CJ431"/>
  <sortState ref="CA22:CJ431">
    <sortCondition ref="CA21:CA431"/>
  </sortState>
  <tableColumns count="10">
    <tableColumn id="1" name="spawner_sku"/>
    <tableColumn id="2" name="entity_spawned (AVG)"/>
    <tableColumn id="3" name="respawn_time"/>
    <tableColumn id="4" name="activating_chance"/>
    <tableColumn id="5" name="XP" dataDxfId="62">
      <calculatedColumnFormula>INDIRECT(ADDRESS(11+(MATCH(RIGHT(Table11[[#This Row],[spawner_sku]],LEN(Table11[[#This Row],[spawner_sku]])-FIND("/",Table11[[#This Row],[spawner_sku]])),Table1[Entity Prefab],0)),10,1,1,"Entities"))</calculatedColumnFormula>
    </tableColumn>
    <tableColumn id="6" name="total xp">
      <calculatedColumnFormula>ROUND((Table11[[#This Row],[XP]]*Table11[[#This Row],[entity_spawned (AVG)]])*(Table11[[#This Row],[activating_chance]]/100),0)</calculatedColumnFormula>
    </tableColumn>
    <tableColumn id="7" name="Aggressive" dataDxfId="61">
      <calculatedColumnFormula>INDIRECT(ADDRESS(11+(MATCH(RIGHT(Table11[[#This Row],[spawner_sku]],LEN(Table11[[#This Row],[spawner_sku]])-FIND("/",Table11[[#This Row],[spawner_sku]])),Table28[Entity Prefab],0)),25,1,1,"Entities"))</calculatedColumnFormula>
    </tableColumn>
    <tableColumn id="8" name="min_entities" dataDxfId="60"/>
    <tableColumn id="9" name="max_entities" dataDxfId="59"/>
    <tableColumn id="10" name="hasBonus" dataDxfId="58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12" name="Table12" displayName="Table12" ref="CL21:CU221" totalsRowShown="0">
  <autoFilter ref="CL21:CU221"/>
  <sortState ref="CL22:CU221">
    <sortCondition ref="CL21:CL221"/>
  </sortState>
  <tableColumns count="10">
    <tableColumn id="1" name="spawner_sku"/>
    <tableColumn id="2" name="entity_spawned (AVG)"/>
    <tableColumn id="3" name="respawn_time"/>
    <tableColumn id="4" name="activating_chance"/>
    <tableColumn id="5" name="XP" dataDxfId="57">
      <calculatedColumnFormula>INDIRECT(ADDRESS(11+(MATCH(RIGHT(Table12[[#This Row],[spawner_sku]],LEN(Table12[[#This Row],[spawner_sku]])-FIND("/",Table12[[#This Row],[spawner_sku]])),Table1[Entity Prefab],0)),10,1,1,"Entities"))</calculatedColumnFormula>
    </tableColumn>
    <tableColumn id="6" name="total xp" dataDxfId="56">
      <calculatedColumnFormula>ROUND((Table12[[#This Row],[XP]]*Table12[[#This Row],[entity_spawned (AVG)]])*(Table12[[#This Row],[activating_chance]]/100),0)</calculatedColumnFormula>
    </tableColumn>
    <tableColumn id="7" name="Aggressive" dataDxfId="55">
      <calculatedColumnFormula>INDIRECT(ADDRESS(11+(MATCH(RIGHT(Table12[[#This Row],[spawner_sku]],LEN(Table12[[#This Row],[spawner_sku]])-FIND("/",Table12[[#This Row],[spawner_sku]])),Table28[Entity Prefab],0)),25,1,1,"Entities"))</calculatedColumnFormula>
    </tableColumn>
    <tableColumn id="8" name="min_entities" dataDxfId="54"/>
    <tableColumn id="9" name="max_entities" dataDxfId="53"/>
    <tableColumn id="10" name="hasBonus" dataDxfId="52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13" name="Table13" displayName="Table13" ref="CW21:DF360" totalsRowShown="0">
  <autoFilter ref="CW21:DF360"/>
  <sortState ref="CW22:DF360">
    <sortCondition ref="CW21:CW360"/>
  </sortState>
  <tableColumns count="10">
    <tableColumn id="1" name="spawner_sku"/>
    <tableColumn id="2" name="entity_spawned (AVG)"/>
    <tableColumn id="3" name="respawn_time"/>
    <tableColumn id="4" name="activating_chance"/>
    <tableColumn id="5" name="XP" dataDxfId="51">
      <calculatedColumnFormula>INDIRECT(ADDRESS(11+(MATCH(RIGHT(Table13[[#This Row],[spawner_sku]],LEN(Table13[[#This Row],[spawner_sku]])-FIND("/",Table13[[#This Row],[spawner_sku]])),Table1[Entity Prefab],0)),10,1,1,"Entities"))</calculatedColumnFormula>
    </tableColumn>
    <tableColumn id="6" name="total xp" dataDxfId="50">
      <calculatedColumnFormula>ROUND((Table13[[#This Row],[XP]]*Table13[[#This Row],[entity_spawned (AVG)]])*(Table13[[#This Row],[activating_chance]]/100),0)</calculatedColumnFormula>
    </tableColumn>
    <tableColumn id="7" name="Aggressive" dataDxfId="49">
      <calculatedColumnFormula>INDIRECT(ADDRESS(11+(MATCH(RIGHT(Table13[[#This Row],[spawner_sku]],LEN(Table13[[#This Row],[spawner_sku]])-FIND("/",Table13[[#This Row],[spawner_sku]])),Table28[Entity Prefab],0)),25,1,1,"Entities"))</calculatedColumnFormula>
    </tableColumn>
    <tableColumn id="8" name="min_entities" dataDxfId="48"/>
    <tableColumn id="9" name="max_entities" dataDxfId="47"/>
    <tableColumn id="10" name="hasBonus" dataDxfId="4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D11:U169" totalsRowShown="0" headerRowDxfId="123" dataDxfId="122">
  <autoFilter ref="D11:U169"/>
  <sortState ref="D12:U169">
    <sortCondition ref="D11:D169"/>
  </sortState>
  <tableColumns count="18">
    <tableColumn id="1" name="Spawner Prefab" dataDxfId="121"/>
    <tableColumn id="2" name="Content Sku" dataDxfId="120"/>
    <tableColumn id="3" name="Entity Prefab" dataDxfId="119"/>
    <tableColumn id="4" name="Respawn Min" dataDxfId="118"/>
    <tableColumn id="5" name="Respawn Max" dataDxfId="117"/>
    <tableColumn id="6" name="HP Given" dataDxfId="116"/>
    <tableColumn id="7" name="XP Given" dataDxfId="115"/>
    <tableColumn id="8" name="Edible Tier" dataDxfId="114"/>
    <tableColumn id="9" name="BurnableTier" dataDxfId="113"/>
    <tableColumn id="10" name="Damage" dataDxfId="112"/>
    <tableColumn id="11" name="Total in &quot;Village&quot; scene" dataDxfId="111">
      <calculatedColumnFormula>COUNTIF(Table7[Spawner],Table1[[#This Row],[Spawner Prefab]])</calculatedColumnFormula>
    </tableColumn>
    <tableColumn id="12" name="Percentage1" dataDxfId="110">
      <calculatedColumnFormula>ROUND((Table1[[#This Row],[Total in "Village" scene]]/SUM(Table1[Total in "Village" scene]))*100,1)</calculatedColumnFormula>
    </tableColumn>
    <tableColumn id="13" name="Total in &quot;Castle&quot; scene" dataDxfId="109">
      <calculatedColumnFormula>COUNTIF(Table15[Spawner],Table1[[#This Row],[Spawner Prefab]])</calculatedColumnFormula>
    </tableColumn>
    <tableColumn id="14" name="Percentage2" dataDxfId="108">
      <calculatedColumnFormula>ROUND((Table1[[#This Row],[Total in "Castle" scene]]/SUM(Table1[Total in "Castle" scene]))*100,1)</calculatedColumnFormula>
    </tableColumn>
    <tableColumn id="17" name="Total in &quot;Dark&quot; scene" dataDxfId="107">
      <calculatedColumnFormula>COUNTIF(Table20[Spawner],Table1[[#This Row],[Spawner Prefab]])</calculatedColumnFormula>
    </tableColumn>
    <tableColumn id="18" name="Percentage3" dataDxfId="106">
      <calculatedColumnFormula>ROUND((Table1[[#This Row],[Total in "Dark" scene]]/SUM(Table1[Total in "Dark" scene]))*100,1)</calculatedColumnFormula>
    </tableColumn>
    <tableColumn id="15" name="Total in the game" dataDxfId="105">
      <calculatedColumnFormula>Table1[[#This Row],[Total in "Village" scene]]+Table1[[#This Row],[Total in "Castle" scene]]+Table1[[#This Row],[Total in "Dark" scene]]</calculatedColumnFormula>
    </tableColumn>
    <tableColumn id="16" name="Percentage4" dataDxfId="104">
      <calculatedColumnFormula>ROUND((Table1[[#This Row],[Total in the game]]/SUM(Table1[Total in the game]))*100,1)</calculatedColumnFormula>
    </tableColumn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14" name="Table14" displayName="Table14" ref="DH21:DQ910" totalsRowShown="0">
  <autoFilter ref="DH21:DQ910"/>
  <sortState ref="DH22:DQ910">
    <sortCondition ref="DH21:DH910"/>
  </sortState>
  <tableColumns count="10">
    <tableColumn id="1" name="spawner_sku"/>
    <tableColumn id="2" name="entity_spawned (AVG)"/>
    <tableColumn id="3" name="respawn_time"/>
    <tableColumn id="4" name="activating_chance"/>
    <tableColumn id="5" name="XP" dataDxfId="45">
      <calculatedColumnFormula>INDIRECT(ADDRESS(11+(MATCH(RIGHT(Table14[[#This Row],[spawner_sku]],LEN(Table14[[#This Row],[spawner_sku]])-FIND("/",Table14[[#This Row],[spawner_sku]])),Table1[Entity Prefab],0)),10,1,1,"Entities"))</calculatedColumnFormula>
    </tableColumn>
    <tableColumn id="6" name="total xp" dataDxfId="44">
      <calculatedColumnFormula>ROUND((Table14[[#This Row],[XP]]*Table14[[#This Row],[entity_spawned (AVG)]])*(Table14[[#This Row],[activating_chance]]/100),0)</calculatedColumnFormula>
    </tableColumn>
    <tableColumn id="7" name="Aggressive" dataDxfId="43">
      <calculatedColumnFormula>INDIRECT(ADDRESS(11+(MATCH(RIGHT(Table14[[#This Row],[spawner_sku]],LEN(Table14[[#This Row],[spawner_sku]])-FIND("/",Table14[[#This Row],[spawner_sku]])),Table28[Entity Prefab],0)),25,1,1,"Entities"))</calculatedColumnFormula>
    </tableColumn>
    <tableColumn id="8" name="min_entities" dataDxfId="42"/>
    <tableColumn id="9" name="max_entities" dataDxfId="41"/>
    <tableColumn id="10" name="hasBonus" dataDxfId="40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18" name="Table18" displayName="Table18" ref="DS21:EB337" totalsRowShown="0" headerRowDxfId="39" headerRowBorderDxfId="38" tableBorderDxfId="37" totalsRowBorderDxfId="36">
  <autoFilter ref="DS21:EB337"/>
  <sortState ref="DS22:EB337">
    <sortCondition ref="DS21:DS337"/>
  </sortState>
  <tableColumns count="10">
    <tableColumn id="1" name="spawner_sku"/>
    <tableColumn id="2" name="entity_spawned (AVG)"/>
    <tableColumn id="3" name="respawn_time"/>
    <tableColumn id="4" name="activating_chance"/>
    <tableColumn id="5" name="XP" dataDxfId="35">
      <calculatedColumnFormula>INDIRECT(ADDRESS(11+(MATCH(RIGHT(Table18[[#This Row],[spawner_sku]],LEN(Table18[[#This Row],[spawner_sku]])-FIND("/",Table18[[#This Row],[spawner_sku]])),Table1[Entity Prefab],0)),10,1,1,"Entities"))</calculatedColumnFormula>
    </tableColumn>
    <tableColumn id="6" name="total xp" dataDxfId="34">
      <calculatedColumnFormula>ROUND((Table18[[#This Row],[XP]]*Table18[[#This Row],[entity_spawned (AVG)]])*(Table18[[#This Row],[activating_chance]]/100),0)</calculatedColumnFormula>
    </tableColumn>
    <tableColumn id="7" name="Aggressive" dataDxfId="33">
      <calculatedColumnFormula>INDIRECT(ADDRESS(11+(MATCH(RIGHT(Table18[[#This Row],[spawner_sku]],LEN(Table18[[#This Row],[spawner_sku]])-FIND("/",Table18[[#This Row],[spawner_sku]])),Table28[Entity Prefab],0)),26,1,1,"Entities"))</calculatedColumnFormula>
    </tableColumn>
    <tableColumn id="8" name="min_entities"/>
    <tableColumn id="9" name="max_entities"/>
    <tableColumn id="10" name="hasBonus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id="19" name="Table1820" displayName="Table1820" ref="ED21:EM277" totalsRowShown="0" headerRowDxfId="32" headerRowBorderDxfId="31" tableBorderDxfId="30" totalsRowBorderDxfId="29">
  <autoFilter ref="ED21:EM277"/>
  <sortState ref="ED22:EM277">
    <sortCondition ref="ED21:ED277"/>
  </sortState>
  <tableColumns count="10">
    <tableColumn id="1" name="spawner_sku"/>
    <tableColumn id="2" name="entity_spawned (AVG)"/>
    <tableColumn id="3" name="respawn_time"/>
    <tableColumn id="4" name="activating_chance"/>
    <tableColumn id="5" name="XP" dataDxfId="28">
      <calculatedColumnFormula>INDIRECT(ADDRESS(11+(MATCH(RIGHT(Table1820[[#This Row],[spawner_sku]],LEN(Table1820[[#This Row],[spawner_sku]])-FIND("/",Table1820[[#This Row],[spawner_sku]])),Table1[Entity Prefab],0)),10,1,1,"Entities"))</calculatedColumnFormula>
    </tableColumn>
    <tableColumn id="6" name="total xp" dataDxfId="27">
      <calculatedColumnFormula>ROUND((Table1820[[#This Row],[XP]]*Table1820[[#This Row],[entity_spawned (AVG)]])*(Table1820[[#This Row],[activating_chance]]/100),0)</calculatedColumnFormula>
    </tableColumn>
    <tableColumn id="7" name="Aggressive" dataDxfId="26">
      <calculatedColumnFormula>INDIRECT(ADDRESS(11+(MATCH(RIGHT(Table1820[[#This Row],[spawner_sku]],LEN(Table1820[[#This Row],[spawner_sku]])-FIND("/",Table1820[[#This Row],[spawner_sku]])),Table28[Entity Prefab],0)),26,1,1,"Entities"))</calculatedColumnFormula>
    </tableColumn>
    <tableColumn id="8" name="min_entities"/>
    <tableColumn id="9" name="max_entities"/>
    <tableColumn id="10" name="hasBonus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id="22" name="Table182023" displayName="Table182023" ref="EO21:EX159" totalsRowShown="0" headerRowDxfId="25" headerRowBorderDxfId="24" tableBorderDxfId="23" totalsRowBorderDxfId="22">
  <autoFilter ref="EO21:EX159"/>
  <sortState ref="EO22:EX159">
    <sortCondition ref="EO21:EO159"/>
  </sortState>
  <tableColumns count="10">
    <tableColumn id="1" name="spawner_sku"/>
    <tableColumn id="2" name="entity_spawned (AVG)"/>
    <tableColumn id="3" name="respawn_time"/>
    <tableColumn id="4" name="activating_chance"/>
    <tableColumn id="5" name="XP" dataDxfId="21">
      <calculatedColumnFormula>INDIRECT(ADDRESS(11+(MATCH(RIGHT(Table182023[[#This Row],[spawner_sku]],LEN(Table182023[[#This Row],[spawner_sku]])-FIND("/",Table182023[[#This Row],[spawner_sku]])),Table1[Entity Prefab],0)),10,1,1,"Entities"))</calculatedColumnFormula>
    </tableColumn>
    <tableColumn id="6" name="total xp" dataDxfId="20">
      <calculatedColumnFormula>ROUND((Table182023[[#This Row],[XP]]*Table182023[[#This Row],[entity_spawned (AVG)]])*(Table182023[[#This Row],[activating_chance]]/100),0)</calculatedColumnFormula>
    </tableColumn>
    <tableColumn id="7" name="Aggressive" dataDxfId="19">
      <calculatedColumnFormula>INDIRECT(ADDRESS(11+(MATCH(RIGHT(Table182023[[#This Row],[spawner_sku]],LEN(Table182023[[#This Row],[spawner_sku]])-FIND("/",Table182023[[#This Row],[spawner_sku]])),Table28[Entity Prefab],0)),26,1,1,"Entities"))</calculatedColumnFormula>
    </tableColumn>
    <tableColumn id="8" name="min_entities" dataDxfId="18"/>
    <tableColumn id="9" name="max_entities" dataDxfId="17"/>
    <tableColumn id="10" name="hasBonus" dataDxfId="16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id="23" name="Table18202324" displayName="Table18202324" ref="EZ21:FI220" totalsRowShown="0" headerRowDxfId="15" headerRowBorderDxfId="14" tableBorderDxfId="13" totalsRowBorderDxfId="12">
  <autoFilter ref="EZ21:FI220"/>
  <sortState ref="EZ22:FI220">
    <sortCondition ref="EZ21:EZ220"/>
  </sortState>
  <tableColumns count="10">
    <tableColumn id="1" name="spawner_sku"/>
    <tableColumn id="2" name="entity_spawned (AVG)"/>
    <tableColumn id="3" name="respawn_time"/>
    <tableColumn id="4" name="activating_chance"/>
    <tableColumn id="5" name="XP" dataDxfId="11">
      <calculatedColumnFormula>INDIRECT(ADDRESS(11+(MATCH(RIGHT(Table18202324[[#This Row],[spawner_sku]],LEN(Table18202324[[#This Row],[spawner_sku]])-FIND("/",Table18202324[[#This Row],[spawner_sku]])),Table1[Entity Prefab],0)),10,1,1,"Entities"))</calculatedColumnFormula>
    </tableColumn>
    <tableColumn id="6" name="total xp" dataDxfId="10">
      <calculatedColumnFormula>ROUND((Table18202324[[#This Row],[XP]]*Table18202324[[#This Row],[entity_spawned (AVG)]])*(Table18202324[[#This Row],[activating_chance]]/100),0)</calculatedColumnFormula>
    </tableColumn>
    <tableColumn id="7" name="Aggressive" dataDxfId="9">
      <calculatedColumnFormula>INDIRECT(ADDRESS(11+(MATCH(RIGHT(Table18202324[[#This Row],[spawner_sku]],LEN(Table18202324[[#This Row],[spawner_sku]])-FIND("/",Table18202324[[#This Row],[spawner_sku]])),Table28[Entity Prefab],0)),26,1,1,"Entities"))</calculatedColumnFormula>
    </tableColumn>
    <tableColumn id="8" name="min_entities"/>
    <tableColumn id="9" name="max_entities"/>
    <tableColumn id="10" name="hasBonus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id="3" name="Table3" displayName="Table3" ref="M21:V220" totalsRowShown="0">
  <autoFilter ref="M21:V220"/>
  <sortState ref="M22:V220">
    <sortCondition ref="M21:M220"/>
  </sortState>
  <tableColumns count="10">
    <tableColumn id="1" name="spawner_sku"/>
    <tableColumn id="2" name="entity_spawned (AVG)"/>
    <tableColumn id="5" name="respawn_time"/>
    <tableColumn id="6" name="activating_chance"/>
    <tableColumn id="8" name="XP" dataDxfId="8">
      <calculatedColumnFormula>INDIRECT(ADDRESS(11+(MATCH(RIGHT(Table3[[#This Row],[spawner_sku]],LEN(Table3[[#This Row],[spawner_sku]])-FIND("/",Table3[[#This Row],[spawner_sku]])),Table1[Entity Prefab],0)),10,1,1,"Entities"))</calculatedColumnFormula>
    </tableColumn>
    <tableColumn id="9" name="total xp" dataDxfId="7">
      <calculatedColumnFormula>ROUND((Table3[[#This Row],[XP]]*Table3[[#This Row],[entity_spawned (AVG)]])*(Table3[[#This Row],[activating_chance]]/100),0)</calculatedColumnFormula>
    </tableColumn>
    <tableColumn id="10" name="Aggressive">
      <calculatedColumnFormula>INDIRECT(ADDRESS(11+(MATCH(RIGHT(Table3[[#This Row],[spawner_sku]],LEN(Table3[[#This Row],[spawner_sku]])-FIND("/",Table3[[#This Row],[spawner_sku]])),Table28[Entity Prefab],0)),24,1,1,"Entities"))</calculatedColumnFormula>
    </tableColumn>
    <tableColumn id="3" name="min_entities"/>
    <tableColumn id="4" name="max_entities"/>
    <tableColumn id="7" name="hasBonus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id="7" name="Table7" displayName="Table7" ref="E7:G2476" totalsRowShown="0">
  <autoFilter ref="E7:G2476"/>
  <sortState ref="E8:G2480">
    <sortCondition ref="E7:E2480"/>
  </sortState>
  <tableColumns count="3">
    <tableColumn id="1" name="Spawner"/>
    <tableColumn id="2" name="XP_Min"/>
    <tableColumn id="3" name="XP_Max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id="15" name="Table15" displayName="Table15" ref="T7:V1964" totalsRowShown="0">
  <autoFilter ref="T7:V1964"/>
  <sortState ref="T8:V2062">
    <sortCondition ref="T7:T2062"/>
  </sortState>
  <tableColumns count="3">
    <tableColumn id="1" name="Spawner"/>
    <tableColumn id="2" name="XP_Min"/>
    <tableColumn id="3" name="XP_Max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id="20" name="Table20" displayName="Table20" ref="AI7:AK1019" totalsRowShown="0" headerRowDxfId="6" headerRowBorderDxfId="5" tableBorderDxfId="4" totalsRowBorderDxfId="3">
  <autoFilter ref="AI7:AK1019"/>
  <sortState ref="AI8:AK1088">
    <sortCondition ref="AI7:AI1088"/>
  </sortState>
  <tableColumns count="3">
    <tableColumn id="1" name="Spawner"/>
    <tableColumn id="2" name="XP_Min"/>
    <tableColumn id="3" name="XP_Max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id="32" name="Table32" displayName="Table32" ref="AM41:AN100" totalsRowShown="0">
  <autoFilter ref="AM41:AN100"/>
  <sortState ref="AM42:AN100">
    <sortCondition ref="AM41:AM100"/>
  </sortState>
  <tableColumns count="2">
    <tableColumn id="1" name="SPAWNER"/>
    <tableColumn id="2" name="COIN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7" name="Table51718" displayName="Table51718" ref="C7:I10" totalsRowShown="0">
  <autoFilter ref="C7:I10"/>
  <tableColumns count="7">
    <tableColumn id="4" name="Unity scene"/>
    <tableColumn id="6" name="Area"/>
    <tableColumn id="2" name="Total xp available"/>
    <tableColumn id="1" name="Total spawners" dataDxfId="97">
      <calculatedColumnFormula>DATA_SCENES_UNITY_1!C7+DATA_SCENES_UNITY_1!N7+DATA_SCENES_UNITY_1!Y7+DATA_SCENES_UNITY_1!AJ7+DATA_SCENES_UNITY_1!AU7+DATA_SCENES_UNITY_1!BF7+DATA_SCENES_UNITY_1!BQ7</calculatedColumnFormula>
    </tableColumn>
    <tableColumn id="3" name="Total enemies" dataDxfId="96">
      <calculatedColumnFormula>DATA_SCENES_UNITY_1!CB7+DATA_SCENES_UNITY_1!CM7+DATA_SCENES_UNITY_1!CX7+DATA_SCENES_UNITY_1!DI7</calculatedColumnFormula>
    </tableColumn>
    <tableColumn id="5" name="Total preys" dataDxfId="95">
      <calculatedColumnFormula>DATA_SCENES_UNITY_1!C9+DATA_SCENES_UNITY_1!N9+DATA_SCENES_UNITY_1!Y9+DATA_SCENES_UNITY_1!AJ9+DATA_SCENES_UNITY_1!AU9+DATA_SCENES_UNITY_1!BF9+DATA_SCENES_UNITY_1!BQ9</calculatedColumnFormula>
    </tableColumn>
    <tableColumn id="7" name="Total entities" dataDxfId="94">
      <calculatedColumnFormula>DATA_SCENES_UNITY_1!C11+DATA_SCENES_UNITY_1!N11+DATA_SCENES_UNITY_1!Y11+DATA_SCENES_UNITY_1!AJ11+DATA_SCENES_UNITY_1!AU11+DATA_SCENES_UNITY_1!BF11+DATA_SCENES_UNITY_1!BQ11</calculatedColumnFormula>
    </tableColumn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id="33" name="Table33" displayName="Table33" ref="X41:Y96" totalsRowShown="0">
  <autoFilter ref="X41:Y96"/>
  <sortState ref="X42:Y96">
    <sortCondition ref="X41:X96"/>
  </sortState>
  <tableColumns count="2">
    <tableColumn id="1" name="SPAWNER"/>
    <tableColumn id="2" name="COINS"/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id="34" name="Table34" displayName="Table34" ref="I41:J79" totalsRowShown="0">
  <autoFilter ref="I41:J79"/>
  <sortState ref="I42:J79">
    <sortCondition ref="I41:I79"/>
  </sortState>
  <tableColumns count="2">
    <tableColumn id="1" name="SPAWNER"/>
    <tableColumn id="2" name="COINS"/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id="24" name="Table24" displayName="Table24" ref="F6:G841" totalsRowShown="0">
  <autoFilter ref="F6:G841"/>
  <sortState ref="F7:G841">
    <sortCondition ref="G6:G841"/>
  </sortState>
  <tableColumns count="2">
    <tableColumn id="1" name="Name"/>
    <tableColumn id="2" name="Pos_x;Pos_y"/>
  </tableColumns>
  <tableStyleInfo name="TableStyleMedium2" showFirstColumn="0" showLastColumn="0" showRowStripes="1" showColumnStripes="0"/>
</table>
</file>

<file path=xl/tables/table33.xml><?xml version="1.0" encoding="utf-8"?>
<table xmlns="http://schemas.openxmlformats.org/spreadsheetml/2006/main" id="25" name="Table25" displayName="Table25" ref="I6:J2719" totalsRowShown="0">
  <autoFilter ref="I6:J2719"/>
  <sortState ref="I7:J2719">
    <sortCondition ref="J6:J2719"/>
  </sortState>
  <tableColumns count="2">
    <tableColumn id="1" name="Name"/>
    <tableColumn id="2" name="Pos_x;Pos_y"/>
  </tableColumns>
  <tableStyleInfo name="TableStyleMedium2" showFirstColumn="0" showLastColumn="0" showRowStripes="1" showColumnStripes="0"/>
</table>
</file>

<file path=xl/tables/table34.xml><?xml version="1.0" encoding="utf-8"?>
<table xmlns="http://schemas.openxmlformats.org/spreadsheetml/2006/main" id="26" name="Table26" displayName="Table26" ref="L6:M2086" totalsRowShown="0">
  <autoFilter ref="L6:M2086"/>
  <sortState ref="L7:M2086">
    <sortCondition ref="M6:M2086"/>
  </sortState>
  <tableColumns count="2">
    <tableColumn id="1" name="Name"/>
    <tableColumn id="2" name="Pos_x;Pos_y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7" name="Table27" displayName="Table27" ref="D110:F116" totalsRowShown="0">
  <autoFilter ref="D110:F116"/>
  <tableColumns count="3">
    <tableColumn id="1" name="Spawner Prefab">
      <calculatedColumnFormula>INDIRECT(ADDRESS((11+MATCH(E111,Table1[Total in the game],0)),5,1,1,"Entities"))</calculatedColumnFormula>
    </tableColumn>
    <tableColumn id="2" name="Total in game"/>
    <tableColumn id="3" name="Percentag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Table5" displayName="Table5" ref="C7:F14" totalsRowShown="0">
  <autoFilter ref="C7:F14"/>
  <tableColumns count="4">
    <tableColumn id="4" name="Unity scene"/>
    <tableColumn id="6" name="Area"/>
    <tableColumn id="2" name="Total xp available"/>
    <tableColumn id="3" name="Progress xp base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29" name="Table2730" displayName="Table2730" ref="D94:F100" totalsRowShown="0">
  <autoFilter ref="D94:F100"/>
  <tableColumns count="3">
    <tableColumn id="1" name="Spawner Prefab">
      <calculatedColumnFormula>INDIRECT(ADDRESS((11+MATCH(E95,Table1[Total in the game],0)),5,1,1,"Entities"))</calculatedColumnFormula>
    </tableColumn>
    <tableColumn id="2" name="Total in game"/>
    <tableColumn id="3" name="Percentage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16" name="Table517" displayName="Table517" ref="C7:F11" totalsRowShown="0">
  <autoFilter ref="C7:F11"/>
  <tableColumns count="4">
    <tableColumn id="4" name="Unity scene"/>
    <tableColumn id="6" name="Area"/>
    <tableColumn id="2" name="Total xp available"/>
    <tableColumn id="3" name="Progress xp base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30" name="Table273031" displayName="Table273031" ref="D68:F74" totalsRowShown="0">
  <autoFilter ref="D68:F74"/>
  <tableColumns count="3">
    <tableColumn id="1" name="Spawner Prefab">
      <calculatedColumnFormula>INDIRECT(ADDRESS((11+MATCH(E69,Table1[Total in the game],0)),5,1,1,"Entities"))</calculatedColumnFormula>
    </tableColumn>
    <tableColumn id="2" name="Total in game"/>
    <tableColumn id="3" name="Percentage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1" name="Table51722" displayName="Table51722" ref="C7:F11" totalsRowShown="0">
  <autoFilter ref="C7:F11"/>
  <tableColumns count="4">
    <tableColumn id="4" name="Unity scene"/>
    <tableColumn id="6" name="Area"/>
    <tableColumn id="2" name="Total xp available"/>
    <tableColumn id="3" name="Progress xp bas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3.xml"/><Relationship Id="rId2" Type="http://schemas.openxmlformats.org/officeDocument/2006/relationships/table" Target="../tables/table32.xml"/><Relationship Id="rId1" Type="http://schemas.openxmlformats.org/officeDocument/2006/relationships/printerSettings" Target="../printerSettings/printerSettings9.bin"/><Relationship Id="rId4" Type="http://schemas.openxmlformats.org/officeDocument/2006/relationships/table" Target="../tables/table3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table" Target="../tables/table6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table" Target="../tables/table8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4" Type="http://schemas.openxmlformats.org/officeDocument/2006/relationships/table" Target="../tables/table10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7.xml"/><Relationship Id="rId13" Type="http://schemas.openxmlformats.org/officeDocument/2006/relationships/table" Target="../tables/table22.xml"/><Relationship Id="rId3" Type="http://schemas.openxmlformats.org/officeDocument/2006/relationships/table" Target="../tables/table12.xml"/><Relationship Id="rId7" Type="http://schemas.openxmlformats.org/officeDocument/2006/relationships/table" Target="../tables/table16.xml"/><Relationship Id="rId12" Type="http://schemas.openxmlformats.org/officeDocument/2006/relationships/table" Target="../tables/table21.xml"/><Relationship Id="rId2" Type="http://schemas.openxmlformats.org/officeDocument/2006/relationships/table" Target="../tables/table11.xml"/><Relationship Id="rId16" Type="http://schemas.openxmlformats.org/officeDocument/2006/relationships/table" Target="../tables/table25.xml"/><Relationship Id="rId1" Type="http://schemas.openxmlformats.org/officeDocument/2006/relationships/printerSettings" Target="../printerSettings/printerSettings7.bin"/><Relationship Id="rId6" Type="http://schemas.openxmlformats.org/officeDocument/2006/relationships/table" Target="../tables/table15.xml"/><Relationship Id="rId11" Type="http://schemas.openxmlformats.org/officeDocument/2006/relationships/table" Target="../tables/table20.xml"/><Relationship Id="rId5" Type="http://schemas.openxmlformats.org/officeDocument/2006/relationships/table" Target="../tables/table14.xml"/><Relationship Id="rId15" Type="http://schemas.openxmlformats.org/officeDocument/2006/relationships/table" Target="../tables/table24.xml"/><Relationship Id="rId10" Type="http://schemas.openxmlformats.org/officeDocument/2006/relationships/table" Target="../tables/table19.xml"/><Relationship Id="rId4" Type="http://schemas.openxmlformats.org/officeDocument/2006/relationships/table" Target="../tables/table13.xml"/><Relationship Id="rId9" Type="http://schemas.openxmlformats.org/officeDocument/2006/relationships/table" Target="../tables/table18.xml"/><Relationship Id="rId14" Type="http://schemas.openxmlformats.org/officeDocument/2006/relationships/table" Target="../tables/table2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7.xml"/><Relationship Id="rId7" Type="http://schemas.openxmlformats.org/officeDocument/2006/relationships/table" Target="../tables/table31.xml"/><Relationship Id="rId2" Type="http://schemas.openxmlformats.org/officeDocument/2006/relationships/table" Target="../tables/table26.xml"/><Relationship Id="rId1" Type="http://schemas.openxmlformats.org/officeDocument/2006/relationships/printerSettings" Target="../printerSettings/printerSettings8.bin"/><Relationship Id="rId6" Type="http://schemas.openxmlformats.org/officeDocument/2006/relationships/table" Target="../tables/table30.xml"/><Relationship Id="rId5" Type="http://schemas.openxmlformats.org/officeDocument/2006/relationships/table" Target="../tables/table29.xml"/><Relationship Id="rId4" Type="http://schemas.openxmlformats.org/officeDocument/2006/relationships/table" Target="../tables/table2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B2:Z170"/>
  <sheetViews>
    <sheetView workbookViewId="0">
      <pane xSplit="6" topLeftCell="G1" activePane="topRight" state="frozen"/>
      <selection pane="topRight" activeCell="C8" sqref="C8"/>
    </sheetView>
  </sheetViews>
  <sheetFormatPr defaultRowHeight="15" x14ac:dyDescent="0.25"/>
  <cols>
    <col min="4" max="4" width="26.42578125" customWidth="1"/>
    <col min="5" max="5" width="26.28515625" customWidth="1"/>
    <col min="6" max="6" width="27.85546875" customWidth="1"/>
    <col min="7" max="7" width="15" customWidth="1"/>
    <col min="8" max="8" width="16.140625" customWidth="1"/>
    <col min="9" max="9" width="11.85546875" customWidth="1"/>
    <col min="10" max="10" width="11" customWidth="1"/>
    <col min="11" max="11" width="12.85546875" customWidth="1"/>
    <col min="12" max="12" width="15.42578125" customWidth="1"/>
    <col min="13" max="13" width="14.7109375" customWidth="1"/>
    <col min="14" max="14" width="25.85546875" customWidth="1"/>
    <col min="15" max="15" width="17" customWidth="1"/>
    <col min="16" max="16" width="24.28515625" customWidth="1"/>
    <col min="17" max="17" width="16.140625" customWidth="1"/>
    <col min="18" max="18" width="23.7109375" customWidth="1"/>
    <col min="19" max="19" width="16.28515625" customWidth="1"/>
    <col min="20" max="20" width="20.85546875" customWidth="1"/>
    <col min="21" max="21" width="15.7109375" customWidth="1"/>
    <col min="23" max="23" width="26.28515625" customWidth="1"/>
    <col min="24" max="24" width="28.7109375" customWidth="1"/>
    <col min="25" max="25" width="27.5703125" customWidth="1"/>
    <col min="26" max="26" width="27.42578125" customWidth="1"/>
  </cols>
  <sheetData>
    <row r="2" spans="2:26" x14ac:dyDescent="0.25">
      <c r="E2" t="s">
        <v>276</v>
      </c>
      <c r="N2" s="76"/>
    </row>
    <row r="3" spans="2:26" x14ac:dyDescent="0.25">
      <c r="F3" s="82"/>
      <c r="N3" s="76"/>
    </row>
    <row r="4" spans="2:26" x14ac:dyDescent="0.25">
      <c r="B4" s="82" t="s">
        <v>7361</v>
      </c>
      <c r="D4" s="82"/>
      <c r="N4" s="76"/>
    </row>
    <row r="5" spans="2:26" x14ac:dyDescent="0.25">
      <c r="B5" s="82" t="s">
        <v>7365</v>
      </c>
      <c r="N5" s="76"/>
    </row>
    <row r="6" spans="2:26" x14ac:dyDescent="0.25">
      <c r="F6" s="1" t="s">
        <v>372</v>
      </c>
      <c r="H6" s="1" t="s">
        <v>375</v>
      </c>
      <c r="N6" s="77"/>
    </row>
    <row r="7" spans="2:26" x14ac:dyDescent="0.25">
      <c r="F7" t="s">
        <v>373</v>
      </c>
      <c r="H7" t="s">
        <v>376</v>
      </c>
      <c r="N7" s="77"/>
    </row>
    <row r="8" spans="2:26" x14ac:dyDescent="0.25">
      <c r="F8" t="s">
        <v>374</v>
      </c>
      <c r="H8" t="s">
        <v>377</v>
      </c>
      <c r="N8" s="76"/>
      <c r="O8" s="76"/>
    </row>
    <row r="9" spans="2:26" x14ac:dyDescent="0.25">
      <c r="F9" t="s">
        <v>649</v>
      </c>
      <c r="X9" s="2" t="s">
        <v>6775</v>
      </c>
    </row>
    <row r="11" spans="2:26" x14ac:dyDescent="0.25">
      <c r="D11" s="1" t="s">
        <v>278</v>
      </c>
      <c r="E11" s="1" t="s">
        <v>279</v>
      </c>
      <c r="F11" s="1" t="s">
        <v>280</v>
      </c>
      <c r="G11" s="94" t="s">
        <v>281</v>
      </c>
      <c r="H11" s="94" t="s">
        <v>282</v>
      </c>
      <c r="I11" s="107" t="s">
        <v>283</v>
      </c>
      <c r="J11" s="95" t="s">
        <v>284</v>
      </c>
      <c r="K11" s="95" t="s">
        <v>370</v>
      </c>
      <c r="L11" s="95" t="s">
        <v>415</v>
      </c>
      <c r="M11" s="95" t="s">
        <v>186</v>
      </c>
      <c r="N11" s="106" t="s">
        <v>626</v>
      </c>
      <c r="O11" s="98" t="s">
        <v>550</v>
      </c>
      <c r="P11" s="109" t="s">
        <v>625</v>
      </c>
      <c r="Q11" s="102" t="s">
        <v>542</v>
      </c>
      <c r="R11" s="106" t="s">
        <v>624</v>
      </c>
      <c r="S11" s="98" t="s">
        <v>614</v>
      </c>
      <c r="T11" s="109" t="s">
        <v>613</v>
      </c>
      <c r="U11" s="101" t="s">
        <v>627</v>
      </c>
      <c r="W11" s="91" t="s">
        <v>280</v>
      </c>
      <c r="X11" s="91" t="s">
        <v>6767</v>
      </c>
      <c r="Y11" s="122" t="s">
        <v>6768</v>
      </c>
      <c r="Z11" s="122" t="s">
        <v>6769</v>
      </c>
    </row>
    <row r="12" spans="2:26" ht="15" customHeight="1" x14ac:dyDescent="0.25">
      <c r="D12" s="78" t="s">
        <v>562</v>
      </c>
      <c r="E12" s="78" t="s">
        <v>70</v>
      </c>
      <c r="F12" s="78" t="s">
        <v>563</v>
      </c>
      <c r="G12" s="103">
        <v>280</v>
      </c>
      <c r="H12" s="103">
        <v>280</v>
      </c>
      <c r="I12" s="108">
        <v>20</v>
      </c>
      <c r="J12" s="93">
        <v>75</v>
      </c>
      <c r="K12" s="93">
        <v>0</v>
      </c>
      <c r="L12" s="93">
        <v>0</v>
      </c>
      <c r="M12" s="93">
        <v>4</v>
      </c>
      <c r="N12" s="104">
        <f>COUNTIF(Table7[Spawner],Table1[[#This Row],[Spawner Prefab]])</f>
        <v>0</v>
      </c>
      <c r="O12" s="96">
        <f>ROUND((Table1[[#This Row],[Total in "Village" scene]]/SUM(Table1[Total in "Village" scene]))*100,1)</f>
        <v>0</v>
      </c>
      <c r="P12" s="110">
        <f>COUNTIF(Table15[Spawner],Table1[[#This Row],[Spawner Prefab]])</f>
        <v>0</v>
      </c>
      <c r="Q12" s="100">
        <f>ROUND((Table1[[#This Row],[Total in "Castle" scene]]/SUM(Table1[Total in "Castle" scene]))*100,1)</f>
        <v>0</v>
      </c>
      <c r="R12" s="105">
        <f>COUNTIF(Table20[Spawner],Table1[[#This Row],[Spawner Prefab]])</f>
        <v>0</v>
      </c>
      <c r="S12" s="97">
        <f>ROUND((Table1[[#This Row],[Total in "Dark" scene]]/SUM(Table1[Total in "Dark" scene]))*100,1)</f>
        <v>0</v>
      </c>
      <c r="T12" s="111">
        <f>Table1[[#This Row],[Total in "Village" scene]]+Table1[[#This Row],[Total in "Castle" scene]]+Table1[[#This Row],[Total in "Dark" scene]]</f>
        <v>0</v>
      </c>
      <c r="U12" s="99">
        <f>ROUND((Table1[[#This Row],[Total in the game]]/SUM(Table1[Total in the game]))*100,1)</f>
        <v>0</v>
      </c>
      <c r="W12" s="149" t="s">
        <v>563</v>
      </c>
      <c r="X12" s="149" t="s">
        <v>343</v>
      </c>
      <c r="Y12" s="151" t="s">
        <v>343</v>
      </c>
      <c r="Z12" s="151" t="s">
        <v>343</v>
      </c>
    </row>
    <row r="13" spans="2:26" ht="17.25" customHeight="1" x14ac:dyDescent="0.25">
      <c r="D13" s="78" t="s">
        <v>564</v>
      </c>
      <c r="E13" s="78" t="s">
        <v>87</v>
      </c>
      <c r="F13" s="78" t="s">
        <v>565</v>
      </c>
      <c r="G13" s="103">
        <v>220</v>
      </c>
      <c r="H13" s="103">
        <v>220</v>
      </c>
      <c r="I13" s="108">
        <v>30</v>
      </c>
      <c r="J13" s="93">
        <v>75</v>
      </c>
      <c r="K13" s="93">
        <v>0</v>
      </c>
      <c r="L13" s="93">
        <v>0</v>
      </c>
      <c r="M13" s="93">
        <v>3</v>
      </c>
      <c r="N13" s="104">
        <f>COUNTIF(Table7[Spawner],Table1[[#This Row],[Spawner Prefab]])</f>
        <v>0</v>
      </c>
      <c r="O13" s="96">
        <f>ROUND((Table1[[#This Row],[Total in "Village" scene]]/SUM(Table1[Total in "Village" scene]))*100,1)</f>
        <v>0</v>
      </c>
      <c r="P13" s="110">
        <f>COUNTIF(Table15[Spawner],Table1[[#This Row],[Spawner Prefab]])</f>
        <v>0</v>
      </c>
      <c r="Q13" s="100">
        <f>ROUND((Table1[[#This Row],[Total in "Castle" scene]]/SUM(Table1[Total in "Castle" scene]))*100,1)</f>
        <v>0</v>
      </c>
      <c r="R13" s="105">
        <f>COUNTIF(Table20[Spawner],Table1[[#This Row],[Spawner Prefab]])</f>
        <v>0</v>
      </c>
      <c r="S13" s="97">
        <f>ROUND((Table1[[#This Row],[Total in "Dark" scene]]/SUM(Table1[Total in "Dark" scene]))*100,1)</f>
        <v>0</v>
      </c>
      <c r="T13" s="111">
        <f>Table1[[#This Row],[Total in "Village" scene]]+Table1[[#This Row],[Total in "Castle" scene]]+Table1[[#This Row],[Total in "Dark" scene]]</f>
        <v>0</v>
      </c>
      <c r="U13" s="99">
        <f>ROUND((Table1[[#This Row],[Total in the game]]/SUM(Table1[Total in the game]))*100,1)</f>
        <v>0</v>
      </c>
      <c r="W13" s="115" t="s">
        <v>565</v>
      </c>
      <c r="X13" s="115" t="s">
        <v>343</v>
      </c>
      <c r="Y13" s="120" t="s">
        <v>343</v>
      </c>
      <c r="Z13" s="120" t="s">
        <v>343</v>
      </c>
    </row>
    <row r="14" spans="2:26" x14ac:dyDescent="0.25">
      <c r="D14" s="78" t="s">
        <v>566</v>
      </c>
      <c r="E14" s="78" t="s">
        <v>435</v>
      </c>
      <c r="F14" s="78" t="s">
        <v>567</v>
      </c>
      <c r="G14" s="103">
        <v>140</v>
      </c>
      <c r="H14" s="103">
        <v>140</v>
      </c>
      <c r="I14" s="108">
        <v>30</v>
      </c>
      <c r="J14" s="93">
        <v>28</v>
      </c>
      <c r="K14" s="93">
        <v>1</v>
      </c>
      <c r="L14" s="93">
        <v>1</v>
      </c>
      <c r="M14" s="93" t="s">
        <v>9</v>
      </c>
      <c r="N14" s="104">
        <f>COUNTIF(Table7[Spawner],Table1[[#This Row],[Spawner Prefab]])</f>
        <v>0</v>
      </c>
      <c r="O14" s="96">
        <f>ROUND((Table1[[#This Row],[Total in "Village" scene]]/SUM(Table1[Total in "Village" scene]))*100,1)</f>
        <v>0</v>
      </c>
      <c r="P14" s="110">
        <f>COUNTIF(Table15[Spawner],Table1[[#This Row],[Spawner Prefab]])</f>
        <v>0</v>
      </c>
      <c r="Q14" s="100">
        <f>ROUND((Table1[[#This Row],[Total in "Castle" scene]]/SUM(Table1[Total in "Castle" scene]))*100,1)</f>
        <v>0</v>
      </c>
      <c r="R14" s="105">
        <f>COUNTIF(Table20[Spawner],Table1[[#This Row],[Spawner Prefab]])</f>
        <v>0</v>
      </c>
      <c r="S14" s="97">
        <f>ROUND((Table1[[#This Row],[Total in "Dark" scene]]/SUM(Table1[Total in "Dark" scene]))*100,1)</f>
        <v>0</v>
      </c>
      <c r="T14" s="111">
        <f>Table1[[#This Row],[Total in "Village" scene]]+Table1[[#This Row],[Total in "Castle" scene]]+Table1[[#This Row],[Total in "Dark" scene]]</f>
        <v>0</v>
      </c>
      <c r="U14" s="99">
        <f>ROUND((Table1[[#This Row],[Total in the game]]/SUM(Table1[Total in the game]))*100,1)</f>
        <v>0</v>
      </c>
      <c r="W14" s="149" t="s">
        <v>567</v>
      </c>
      <c r="X14" s="149" t="s">
        <v>342</v>
      </c>
      <c r="Y14" s="150" t="s">
        <v>342</v>
      </c>
      <c r="Z14" s="150" t="s">
        <v>342</v>
      </c>
    </row>
    <row r="15" spans="2:26" x14ac:dyDescent="0.25">
      <c r="D15" s="78" t="s">
        <v>568</v>
      </c>
      <c r="E15" s="78" t="s">
        <v>113</v>
      </c>
      <c r="F15" s="78" t="s">
        <v>569</v>
      </c>
      <c r="G15" s="103">
        <v>5000</v>
      </c>
      <c r="H15" s="103">
        <v>5000</v>
      </c>
      <c r="I15" s="108">
        <v>70</v>
      </c>
      <c r="J15" s="93">
        <v>75</v>
      </c>
      <c r="K15" s="93">
        <v>0</v>
      </c>
      <c r="L15" s="93">
        <v>0</v>
      </c>
      <c r="M15" s="93" t="s">
        <v>9</v>
      </c>
      <c r="N15" s="104">
        <f>COUNTIF(Table7[Spawner],Table1[[#This Row],[Spawner Prefab]])</f>
        <v>0</v>
      </c>
      <c r="O15" s="96">
        <f>ROUND((Table1[[#This Row],[Total in "Village" scene]]/SUM(Table1[Total in "Village" scene]))*100,1)</f>
        <v>0</v>
      </c>
      <c r="P15" s="110">
        <f>COUNTIF(Table15[Spawner],Table1[[#This Row],[Spawner Prefab]])</f>
        <v>0</v>
      </c>
      <c r="Q15" s="100">
        <f>ROUND((Table1[[#This Row],[Total in "Castle" scene]]/SUM(Table1[Total in "Castle" scene]))*100,1)</f>
        <v>0</v>
      </c>
      <c r="R15" s="105">
        <f>COUNTIF(Table20[Spawner],Table1[[#This Row],[Spawner Prefab]])</f>
        <v>0</v>
      </c>
      <c r="S15" s="97">
        <f>ROUND((Table1[[#This Row],[Total in "Dark" scene]]/SUM(Table1[Total in "Dark" scene]))*100,1)</f>
        <v>0</v>
      </c>
      <c r="T15" s="111">
        <f>Table1[[#This Row],[Total in "Village" scene]]+Table1[[#This Row],[Total in "Castle" scene]]+Table1[[#This Row],[Total in "Dark" scene]]</f>
        <v>0</v>
      </c>
      <c r="U15" s="99">
        <f>ROUND((Table1[[#This Row],[Total in the game]]/SUM(Table1[Total in the game]))*100,1)</f>
        <v>0</v>
      </c>
      <c r="W15" s="115" t="s">
        <v>569</v>
      </c>
      <c r="X15" s="115" t="s">
        <v>342</v>
      </c>
      <c r="Y15" s="120" t="s">
        <v>342</v>
      </c>
      <c r="Z15" s="120" t="s">
        <v>342</v>
      </c>
    </row>
    <row r="16" spans="2:26" x14ac:dyDescent="0.25">
      <c r="D16" s="78" t="s">
        <v>570</v>
      </c>
      <c r="E16" s="78" t="s">
        <v>88</v>
      </c>
      <c r="F16" s="78" t="s">
        <v>571</v>
      </c>
      <c r="G16" s="103">
        <v>200</v>
      </c>
      <c r="H16" s="103">
        <v>200</v>
      </c>
      <c r="I16" s="108">
        <v>32</v>
      </c>
      <c r="J16" s="93">
        <v>75</v>
      </c>
      <c r="K16" s="93">
        <v>0</v>
      </c>
      <c r="L16" s="93">
        <v>0</v>
      </c>
      <c r="M16" s="93">
        <v>24</v>
      </c>
      <c r="N16" s="104">
        <f>COUNTIF(Table7[Spawner],Table1[[#This Row],[Spawner Prefab]])</f>
        <v>0</v>
      </c>
      <c r="O16" s="96">
        <f>ROUND((Table1[[#This Row],[Total in "Village" scene]]/SUM(Table1[Total in "Village" scene]))*100,1)</f>
        <v>0</v>
      </c>
      <c r="P16" s="110">
        <f>COUNTIF(Table15[Spawner],Table1[[#This Row],[Spawner Prefab]])</f>
        <v>0</v>
      </c>
      <c r="Q16" s="100">
        <f>ROUND((Table1[[#This Row],[Total in "Castle" scene]]/SUM(Table1[Total in "Castle" scene]))*100,1)</f>
        <v>0</v>
      </c>
      <c r="R16" s="105">
        <f>COUNTIF(Table20[Spawner],Table1[[#This Row],[Spawner Prefab]])</f>
        <v>0</v>
      </c>
      <c r="S16" s="97">
        <f>ROUND((Table1[[#This Row],[Total in "Dark" scene]]/SUM(Table1[Total in "Dark" scene]))*100,1)</f>
        <v>0</v>
      </c>
      <c r="T16" s="111">
        <f>Table1[[#This Row],[Total in "Village" scene]]+Table1[[#This Row],[Total in "Castle" scene]]+Table1[[#This Row],[Total in "Dark" scene]]</f>
        <v>0</v>
      </c>
      <c r="U16" s="99">
        <f>ROUND((Table1[[#This Row],[Total in the game]]/SUM(Table1[Total in the game]))*100,1)</f>
        <v>0</v>
      </c>
      <c r="W16" s="149" t="s">
        <v>571</v>
      </c>
      <c r="X16" s="149" t="s">
        <v>343</v>
      </c>
      <c r="Y16" s="150" t="s">
        <v>343</v>
      </c>
      <c r="Z16" s="150" t="s">
        <v>343</v>
      </c>
    </row>
    <row r="17" spans="4:26" x14ac:dyDescent="0.25">
      <c r="D17" s="78" t="s">
        <v>11</v>
      </c>
      <c r="E17" s="78" t="s">
        <v>70</v>
      </c>
      <c r="F17" s="78" t="s">
        <v>13</v>
      </c>
      <c r="G17" s="103">
        <v>280</v>
      </c>
      <c r="H17" s="103">
        <v>280</v>
      </c>
      <c r="I17" s="108">
        <v>20</v>
      </c>
      <c r="J17" s="93">
        <v>75</v>
      </c>
      <c r="K17" s="93">
        <v>0</v>
      </c>
      <c r="L17" s="93">
        <v>0</v>
      </c>
      <c r="M17" s="93">
        <v>10</v>
      </c>
      <c r="N17" s="104">
        <f>COUNTIF(Table7[Spawner],Table1[[#This Row],[Spawner Prefab]])</f>
        <v>7</v>
      </c>
      <c r="O17" s="96">
        <f>ROUND((Table1[[#This Row],[Total in "Village" scene]]/SUM(Table1[Total in "Village" scene]))*100,1)</f>
        <v>0.3</v>
      </c>
      <c r="P17" s="110">
        <f>COUNTIF(Table15[Spawner],Table1[[#This Row],[Spawner Prefab]])</f>
        <v>0</v>
      </c>
      <c r="Q17" s="100">
        <f>ROUND((Table1[[#This Row],[Total in "Castle" scene]]/SUM(Table1[Total in "Castle" scene]))*100,1)</f>
        <v>0</v>
      </c>
      <c r="R17" s="105">
        <f>COUNTIF(Table20[Spawner],Table1[[#This Row],[Spawner Prefab]])</f>
        <v>0</v>
      </c>
      <c r="S17" s="97">
        <f>ROUND((Table1[[#This Row],[Total in "Dark" scene]]/SUM(Table1[Total in "Dark" scene]))*100,1)</f>
        <v>0</v>
      </c>
      <c r="T17" s="111">
        <f>Table1[[#This Row],[Total in "Village" scene]]+Table1[[#This Row],[Total in "Castle" scene]]+Table1[[#This Row],[Total in "Dark" scene]]</f>
        <v>7</v>
      </c>
      <c r="U17" s="99">
        <f>ROUND((Table1[[#This Row],[Total in the game]]/SUM(Table1[Total in the game]))*100,1)</f>
        <v>0.1</v>
      </c>
      <c r="W17" s="115" t="s">
        <v>13</v>
      </c>
      <c r="X17" s="115" t="s">
        <v>343</v>
      </c>
      <c r="Y17" s="120" t="s">
        <v>343</v>
      </c>
      <c r="Z17" s="120" t="s">
        <v>343</v>
      </c>
    </row>
    <row r="18" spans="4:26" x14ac:dyDescent="0.25">
      <c r="D18" s="78" t="s">
        <v>0</v>
      </c>
      <c r="E18" s="78" t="s">
        <v>70</v>
      </c>
      <c r="F18" s="78" t="s">
        <v>2</v>
      </c>
      <c r="G18" s="103">
        <v>280</v>
      </c>
      <c r="H18" s="103">
        <v>280</v>
      </c>
      <c r="I18" s="108">
        <v>20</v>
      </c>
      <c r="J18" s="93">
        <v>75</v>
      </c>
      <c r="K18" s="93">
        <v>0</v>
      </c>
      <c r="L18" s="93">
        <v>0</v>
      </c>
      <c r="M18" s="93">
        <v>10</v>
      </c>
      <c r="N18" s="104">
        <f>COUNTIF(Table7[Spawner],Table1[[#This Row],[Spawner Prefab]])</f>
        <v>10</v>
      </c>
      <c r="O18" s="96">
        <f>ROUND((Table1[[#This Row],[Total in "Village" scene]]/SUM(Table1[Total in "Village" scene]))*100,1)</f>
        <v>0.4</v>
      </c>
      <c r="P18" s="110">
        <f>COUNTIF(Table15[Spawner],Table1[[#This Row],[Spawner Prefab]])</f>
        <v>0</v>
      </c>
      <c r="Q18" s="100">
        <f>ROUND((Table1[[#This Row],[Total in "Castle" scene]]/SUM(Table1[Total in "Castle" scene]))*100,1)</f>
        <v>0</v>
      </c>
      <c r="R18" s="105">
        <f>COUNTIF(Table20[Spawner],Table1[[#This Row],[Spawner Prefab]])</f>
        <v>0</v>
      </c>
      <c r="S18" s="97">
        <f>ROUND((Table1[[#This Row],[Total in "Dark" scene]]/SUM(Table1[Total in "Dark" scene]))*100,1)</f>
        <v>0</v>
      </c>
      <c r="T18" s="111">
        <f>Table1[[#This Row],[Total in "Village" scene]]+Table1[[#This Row],[Total in "Castle" scene]]+Table1[[#This Row],[Total in "Dark" scene]]</f>
        <v>10</v>
      </c>
      <c r="U18" s="99">
        <f>ROUND((Table1[[#This Row],[Total in the game]]/SUM(Table1[Total in the game]))*100,1)</f>
        <v>0.2</v>
      </c>
      <c r="W18" s="149" t="s">
        <v>2</v>
      </c>
      <c r="X18" s="149" t="s">
        <v>343</v>
      </c>
      <c r="Y18" s="150" t="s">
        <v>343</v>
      </c>
      <c r="Z18" s="150" t="s">
        <v>343</v>
      </c>
    </row>
    <row r="19" spans="4:26" x14ac:dyDescent="0.25">
      <c r="D19" s="78" t="s">
        <v>12</v>
      </c>
      <c r="E19" s="78" t="s">
        <v>71</v>
      </c>
      <c r="F19" s="78" t="s">
        <v>14</v>
      </c>
      <c r="G19" s="103">
        <v>300</v>
      </c>
      <c r="H19" s="103">
        <v>300</v>
      </c>
      <c r="I19" s="108">
        <v>20</v>
      </c>
      <c r="J19" s="93">
        <v>75</v>
      </c>
      <c r="K19" s="93">
        <v>0</v>
      </c>
      <c r="L19" s="93">
        <v>0</v>
      </c>
      <c r="M19" s="93">
        <v>16</v>
      </c>
      <c r="N19" s="104">
        <f>COUNTIF(Table7[Spawner],Table1[[#This Row],[Spawner Prefab]])</f>
        <v>12</v>
      </c>
      <c r="O19" s="96">
        <f>ROUND((Table1[[#This Row],[Total in "Village" scene]]/SUM(Table1[Total in "Village" scene]))*100,1)</f>
        <v>0.5</v>
      </c>
      <c r="P19" s="110">
        <f>COUNTIF(Table15[Spawner],Table1[[#This Row],[Spawner Prefab]])</f>
        <v>4</v>
      </c>
      <c r="Q19" s="100">
        <f>ROUND((Table1[[#This Row],[Total in "Castle" scene]]/SUM(Table1[Total in "Castle" scene]))*100,1)</f>
        <v>0.2</v>
      </c>
      <c r="R19" s="105">
        <f>COUNTIF(Table20[Spawner],Table1[[#This Row],[Spawner Prefab]])</f>
        <v>0</v>
      </c>
      <c r="S19" s="97">
        <f>ROUND((Table1[[#This Row],[Total in "Dark" scene]]/SUM(Table1[Total in "Dark" scene]))*100,1)</f>
        <v>0</v>
      </c>
      <c r="T19" s="111">
        <f>Table1[[#This Row],[Total in "Village" scene]]+Table1[[#This Row],[Total in "Castle" scene]]+Table1[[#This Row],[Total in "Dark" scene]]</f>
        <v>16</v>
      </c>
      <c r="U19" s="99">
        <f>ROUND((Table1[[#This Row],[Total in the game]]/SUM(Table1[Total in the game]))*100,1)</f>
        <v>0.3</v>
      </c>
      <c r="W19" s="115" t="s">
        <v>14</v>
      </c>
      <c r="X19" s="115" t="s">
        <v>343</v>
      </c>
      <c r="Y19" s="120" t="s">
        <v>343</v>
      </c>
      <c r="Z19" s="120" t="s">
        <v>343</v>
      </c>
    </row>
    <row r="20" spans="4:26" x14ac:dyDescent="0.25">
      <c r="D20" s="78" t="s">
        <v>1</v>
      </c>
      <c r="E20" s="78" t="s">
        <v>71</v>
      </c>
      <c r="F20" s="78" t="s">
        <v>3</v>
      </c>
      <c r="G20" s="103">
        <v>300</v>
      </c>
      <c r="H20" s="103">
        <v>300</v>
      </c>
      <c r="I20" s="108">
        <v>20</v>
      </c>
      <c r="J20" s="93">
        <v>75</v>
      </c>
      <c r="K20" s="93">
        <v>0</v>
      </c>
      <c r="L20" s="93">
        <v>0</v>
      </c>
      <c r="M20" s="93">
        <v>16</v>
      </c>
      <c r="N20" s="104">
        <f>COUNTIF(Table7[Spawner],Table1[[#This Row],[Spawner Prefab]])</f>
        <v>6</v>
      </c>
      <c r="O20" s="96">
        <f>ROUND((Table1[[#This Row],[Total in "Village" scene]]/SUM(Table1[Total in "Village" scene]))*100,1)</f>
        <v>0.2</v>
      </c>
      <c r="P20" s="110">
        <f>COUNTIF(Table15[Spawner],Table1[[#This Row],[Spawner Prefab]])</f>
        <v>13</v>
      </c>
      <c r="Q20" s="100">
        <f>ROUND((Table1[[#This Row],[Total in "Castle" scene]]/SUM(Table1[Total in "Castle" scene]))*100,1)</f>
        <v>0.7</v>
      </c>
      <c r="R20" s="105">
        <f>COUNTIF(Table20[Spawner],Table1[[#This Row],[Spawner Prefab]])</f>
        <v>0</v>
      </c>
      <c r="S20" s="97">
        <f>ROUND((Table1[[#This Row],[Total in "Dark" scene]]/SUM(Table1[Total in "Dark" scene]))*100,1)</f>
        <v>0</v>
      </c>
      <c r="T20" s="111">
        <f>Table1[[#This Row],[Total in "Village" scene]]+Table1[[#This Row],[Total in "Castle" scene]]+Table1[[#This Row],[Total in "Dark" scene]]</f>
        <v>19</v>
      </c>
      <c r="U20" s="99">
        <f>ROUND((Table1[[#This Row],[Total in the game]]/SUM(Table1[Total in the game]))*100,1)</f>
        <v>0.3</v>
      </c>
      <c r="W20" s="115" t="s">
        <v>3</v>
      </c>
      <c r="X20" s="115" t="s">
        <v>343</v>
      </c>
      <c r="Y20" s="120" t="s">
        <v>343</v>
      </c>
      <c r="Z20" s="120" t="s">
        <v>343</v>
      </c>
    </row>
    <row r="21" spans="4:26" x14ac:dyDescent="0.25">
      <c r="D21" s="78" t="s">
        <v>428</v>
      </c>
      <c r="E21" s="78" t="s">
        <v>427</v>
      </c>
      <c r="F21" s="78" t="s">
        <v>429</v>
      </c>
      <c r="G21" s="103">
        <v>310</v>
      </c>
      <c r="H21" s="103">
        <v>310</v>
      </c>
      <c r="I21" s="108">
        <v>50</v>
      </c>
      <c r="J21" s="93">
        <v>55</v>
      </c>
      <c r="K21" s="93">
        <v>1</v>
      </c>
      <c r="L21" s="93">
        <v>1</v>
      </c>
      <c r="M21" s="93">
        <v>25</v>
      </c>
      <c r="N21" s="104">
        <f>COUNTIF(Table7[Spawner],Table1[[#This Row],[Spawner Prefab]])</f>
        <v>12</v>
      </c>
      <c r="O21" s="96">
        <f>ROUND((Table1[[#This Row],[Total in "Village" scene]]/SUM(Table1[Total in "Village" scene]))*100,1)</f>
        <v>0.5</v>
      </c>
      <c r="P21" s="110">
        <f>COUNTIF(Table15[Spawner],Table1[[#This Row],[Spawner Prefab]])</f>
        <v>0</v>
      </c>
      <c r="Q21" s="100">
        <f>ROUND((Table1[[#This Row],[Total in "Castle" scene]]/SUM(Table1[Total in "Castle" scene]))*100,1)</f>
        <v>0</v>
      </c>
      <c r="R21" s="105">
        <f>COUNTIF(Table20[Spawner],Table1[[#This Row],[Spawner Prefab]])</f>
        <v>0</v>
      </c>
      <c r="S21" s="97">
        <f>ROUND((Table1[[#This Row],[Total in "Dark" scene]]/SUM(Table1[Total in "Dark" scene]))*100,1)</f>
        <v>0</v>
      </c>
      <c r="T21" s="111">
        <f>Table1[[#This Row],[Total in "Village" scene]]+Table1[[#This Row],[Total in "Castle" scene]]+Table1[[#This Row],[Total in "Dark" scene]]</f>
        <v>12</v>
      </c>
      <c r="U21" s="99">
        <f>ROUND((Table1[[#This Row],[Total in the game]]/SUM(Table1[Total in the game]))*100,1)</f>
        <v>0.2</v>
      </c>
      <c r="W21" s="115" t="s">
        <v>429</v>
      </c>
      <c r="X21" s="115" t="s">
        <v>343</v>
      </c>
      <c r="Y21" s="120" t="s">
        <v>343</v>
      </c>
      <c r="Z21" s="120" t="s">
        <v>343</v>
      </c>
    </row>
    <row r="22" spans="4:26" x14ac:dyDescent="0.25">
      <c r="D22" s="78" t="s">
        <v>430</v>
      </c>
      <c r="E22" s="78" t="s">
        <v>427</v>
      </c>
      <c r="F22" s="78" t="s">
        <v>431</v>
      </c>
      <c r="G22" s="103">
        <v>310</v>
      </c>
      <c r="H22" s="103">
        <v>310</v>
      </c>
      <c r="I22" s="108">
        <v>50</v>
      </c>
      <c r="J22" s="93">
        <v>55</v>
      </c>
      <c r="K22" s="93">
        <v>1</v>
      </c>
      <c r="L22" s="93">
        <v>1</v>
      </c>
      <c r="M22" s="93">
        <v>25</v>
      </c>
      <c r="N22" s="104">
        <f>COUNTIF(Table7[Spawner],Table1[[#This Row],[Spawner Prefab]])</f>
        <v>3</v>
      </c>
      <c r="O22" s="96">
        <f>ROUND((Table1[[#This Row],[Total in "Village" scene]]/SUM(Table1[Total in "Village" scene]))*100,1)</f>
        <v>0.1</v>
      </c>
      <c r="P22" s="110">
        <f>COUNTIF(Table15[Spawner],Table1[[#This Row],[Spawner Prefab]])</f>
        <v>0</v>
      </c>
      <c r="Q22" s="100">
        <f>ROUND((Table1[[#This Row],[Total in "Castle" scene]]/SUM(Table1[Total in "Castle" scene]))*100,1)</f>
        <v>0</v>
      </c>
      <c r="R22" s="105">
        <f>COUNTIF(Table20[Spawner],Table1[[#This Row],[Spawner Prefab]])</f>
        <v>0</v>
      </c>
      <c r="S22" s="97">
        <f>ROUND((Table1[[#This Row],[Total in "Dark" scene]]/SUM(Table1[Total in "Dark" scene]))*100,1)</f>
        <v>0</v>
      </c>
      <c r="T22" s="111">
        <f>Table1[[#This Row],[Total in "Village" scene]]+Table1[[#This Row],[Total in "Castle" scene]]+Table1[[#This Row],[Total in "Dark" scene]]</f>
        <v>3</v>
      </c>
      <c r="U22" s="99">
        <f>ROUND((Table1[[#This Row],[Total in the game]]/SUM(Table1[Total in the game]))*100,1)</f>
        <v>0.1</v>
      </c>
      <c r="W22" s="149" t="s">
        <v>431</v>
      </c>
      <c r="X22" s="149" t="s">
        <v>343</v>
      </c>
      <c r="Y22" s="150" t="s">
        <v>343</v>
      </c>
      <c r="Z22" s="150" t="s">
        <v>343</v>
      </c>
    </row>
    <row r="23" spans="4:26" x14ac:dyDescent="0.25">
      <c r="D23" s="78" t="s">
        <v>418</v>
      </c>
      <c r="E23" s="78" t="s">
        <v>432</v>
      </c>
      <c r="F23" s="78" t="s">
        <v>419</v>
      </c>
      <c r="G23" s="103">
        <v>200</v>
      </c>
      <c r="H23" s="103">
        <v>200</v>
      </c>
      <c r="I23" s="108">
        <v>-10</v>
      </c>
      <c r="J23" s="93">
        <v>0</v>
      </c>
      <c r="K23" s="93">
        <v>0</v>
      </c>
      <c r="L23" s="93">
        <v>0</v>
      </c>
      <c r="M23" s="93" t="s">
        <v>9</v>
      </c>
      <c r="N23" s="104">
        <f>COUNTIF(Table7[Spawner],Table1[[#This Row],[Spawner Prefab]])</f>
        <v>139</v>
      </c>
      <c r="O23" s="96">
        <f>ROUND((Table1[[#This Row],[Total in "Village" scene]]/SUM(Table1[Total in "Village" scene]))*100,1)</f>
        <v>5.6</v>
      </c>
      <c r="P23" s="110">
        <f>COUNTIF(Table15[Spawner],Table1[[#This Row],[Spawner Prefab]])</f>
        <v>184</v>
      </c>
      <c r="Q23" s="100">
        <f>ROUND((Table1[[#This Row],[Total in "Castle" scene]]/SUM(Table1[Total in "Castle" scene]))*100,1)</f>
        <v>9.4</v>
      </c>
      <c r="R23" s="105">
        <f>COUNTIF(Table20[Spawner],Table1[[#This Row],[Spawner Prefab]])</f>
        <v>12</v>
      </c>
      <c r="S23" s="97">
        <f>ROUND((Table1[[#This Row],[Total in "Dark" scene]]/SUM(Table1[Total in "Dark" scene]))*100,1)</f>
        <v>1.2</v>
      </c>
      <c r="T23" s="111">
        <f>Table1[[#This Row],[Total in "Village" scene]]+Table1[[#This Row],[Total in "Castle" scene]]+Table1[[#This Row],[Total in "Dark" scene]]</f>
        <v>335</v>
      </c>
      <c r="U23" s="99">
        <f>ROUND((Table1[[#This Row],[Total in the game]]/SUM(Table1[Total in the game]))*100,1)</f>
        <v>6.2</v>
      </c>
      <c r="W23" s="115" t="s">
        <v>419</v>
      </c>
      <c r="X23" s="115" t="s">
        <v>343</v>
      </c>
      <c r="Y23" s="120" t="s">
        <v>343</v>
      </c>
      <c r="Z23" s="120" t="s">
        <v>343</v>
      </c>
    </row>
    <row r="24" spans="4:26" ht="15" customHeight="1" x14ac:dyDescent="0.25">
      <c r="D24" s="78" t="s">
        <v>434</v>
      </c>
      <c r="E24" s="78" t="s">
        <v>433</v>
      </c>
      <c r="F24" s="78" t="s">
        <v>543</v>
      </c>
      <c r="G24" s="103">
        <v>280</v>
      </c>
      <c r="H24" s="103">
        <v>280</v>
      </c>
      <c r="I24" s="108">
        <v>20</v>
      </c>
      <c r="J24" s="93">
        <v>50</v>
      </c>
      <c r="K24" s="93">
        <v>0</v>
      </c>
      <c r="L24" s="93">
        <v>0</v>
      </c>
      <c r="M24" s="93">
        <v>10</v>
      </c>
      <c r="N24" s="104">
        <f>COUNTIF(Table7[Spawner],Table1[[#This Row],[Spawner Prefab]])</f>
        <v>2</v>
      </c>
      <c r="O24" s="96">
        <f>ROUND((Table1[[#This Row],[Total in "Village" scene]]/SUM(Table1[Total in "Village" scene]))*100,1)</f>
        <v>0.1</v>
      </c>
      <c r="P24" s="110">
        <f>COUNTIF(Table15[Spawner],Table1[[#This Row],[Spawner Prefab]])</f>
        <v>0</v>
      </c>
      <c r="Q24" s="100">
        <f>ROUND((Table1[[#This Row],[Total in "Castle" scene]]/SUM(Table1[Total in "Castle" scene]))*100,1)</f>
        <v>0</v>
      </c>
      <c r="R24" s="105">
        <f>COUNTIF(Table20[Spawner],Table1[[#This Row],[Spawner Prefab]])</f>
        <v>13</v>
      </c>
      <c r="S24" s="97">
        <f>ROUND((Table1[[#This Row],[Total in "Dark" scene]]/SUM(Table1[Total in "Dark" scene]))*100,1)</f>
        <v>1.3</v>
      </c>
      <c r="T24" s="111">
        <f>Table1[[#This Row],[Total in "Village" scene]]+Table1[[#This Row],[Total in "Castle" scene]]+Table1[[#This Row],[Total in "Dark" scene]]</f>
        <v>15</v>
      </c>
      <c r="U24" s="99">
        <f>ROUND((Table1[[#This Row],[Total in the game]]/SUM(Table1[Total in the game]))*100,1)</f>
        <v>0.3</v>
      </c>
      <c r="W24" s="149" t="s">
        <v>5</v>
      </c>
      <c r="X24" s="149" t="s">
        <v>342</v>
      </c>
      <c r="Y24" s="150" t="s">
        <v>342</v>
      </c>
      <c r="Z24" s="150" t="s">
        <v>342</v>
      </c>
    </row>
    <row r="25" spans="4:26" x14ac:dyDescent="0.25">
      <c r="D25" s="78" t="s">
        <v>4</v>
      </c>
      <c r="E25" s="78" t="s">
        <v>72</v>
      </c>
      <c r="F25" s="78" t="s">
        <v>5</v>
      </c>
      <c r="G25" s="103">
        <v>200</v>
      </c>
      <c r="H25" s="103">
        <v>200</v>
      </c>
      <c r="I25" s="108">
        <v>20</v>
      </c>
      <c r="J25" s="93">
        <v>50</v>
      </c>
      <c r="K25" s="93">
        <v>0</v>
      </c>
      <c r="L25" s="93">
        <v>0</v>
      </c>
      <c r="M25" s="93" t="s">
        <v>9</v>
      </c>
      <c r="N25" s="104">
        <f>COUNTIF(Table7[Spawner],Table1[[#This Row],[Spawner Prefab]])</f>
        <v>1</v>
      </c>
      <c r="O25" s="96">
        <f>ROUND((Table1[[#This Row],[Total in "Village" scene]]/SUM(Table1[Total in "Village" scene]))*100,1)</f>
        <v>0</v>
      </c>
      <c r="P25" s="110">
        <f>COUNTIF(Table15[Spawner],Table1[[#This Row],[Spawner Prefab]])</f>
        <v>0</v>
      </c>
      <c r="Q25" s="100">
        <f>ROUND((Table1[[#This Row],[Total in "Castle" scene]]/SUM(Table1[Total in "Castle" scene]))*100,1)</f>
        <v>0</v>
      </c>
      <c r="R25" s="105">
        <f>COUNTIF(Table20[Spawner],Table1[[#This Row],[Spawner Prefab]])</f>
        <v>0</v>
      </c>
      <c r="S25" s="97">
        <f>ROUND((Table1[[#This Row],[Total in "Dark" scene]]/SUM(Table1[Total in "Dark" scene]))*100,1)</f>
        <v>0</v>
      </c>
      <c r="T25" s="111">
        <f>Table1[[#This Row],[Total in "Village" scene]]+Table1[[#This Row],[Total in "Castle" scene]]+Table1[[#This Row],[Total in "Dark" scene]]</f>
        <v>1</v>
      </c>
      <c r="U25" s="99">
        <f>ROUND((Table1[[#This Row],[Total in the game]]/SUM(Table1[Total in the game]))*100,1)</f>
        <v>0</v>
      </c>
      <c r="W25" s="115" t="s">
        <v>34</v>
      </c>
      <c r="X25" s="115" t="s">
        <v>343</v>
      </c>
      <c r="Y25" s="120" t="s">
        <v>343</v>
      </c>
      <c r="Z25" s="120" t="s">
        <v>343</v>
      </c>
    </row>
    <row r="26" spans="4:26" x14ac:dyDescent="0.25">
      <c r="D26" s="78" t="s">
        <v>40</v>
      </c>
      <c r="E26" s="78" t="s">
        <v>91</v>
      </c>
      <c r="F26" s="78" t="s">
        <v>34</v>
      </c>
      <c r="G26" s="103">
        <v>260</v>
      </c>
      <c r="H26" s="103">
        <v>260</v>
      </c>
      <c r="I26" s="108">
        <v>5</v>
      </c>
      <c r="J26" s="93">
        <v>55</v>
      </c>
      <c r="K26" s="93">
        <v>1</v>
      </c>
      <c r="L26" s="93">
        <v>1</v>
      </c>
      <c r="M26" s="93">
        <v>8</v>
      </c>
      <c r="N26" s="104">
        <f>COUNTIF(Table7[Spawner],Table1[[#This Row],[Spawner Prefab]])</f>
        <v>42</v>
      </c>
      <c r="O26" s="96">
        <f>ROUND((Table1[[#This Row],[Total in "Village" scene]]/SUM(Table1[Total in "Village" scene]))*100,1)</f>
        <v>1.7</v>
      </c>
      <c r="P26" s="110">
        <f>COUNTIF(Table15[Spawner],Table1[[#This Row],[Spawner Prefab]])</f>
        <v>43</v>
      </c>
      <c r="Q26" s="100">
        <f>ROUND((Table1[[#This Row],[Total in "Castle" scene]]/SUM(Table1[Total in "Castle" scene]))*100,1)</f>
        <v>2.2000000000000002</v>
      </c>
      <c r="R26" s="105">
        <f>COUNTIF(Table20[Spawner],Table1[[#This Row],[Spawner Prefab]])</f>
        <v>18</v>
      </c>
      <c r="S26" s="97">
        <f>ROUND((Table1[[#This Row],[Total in "Dark" scene]]/SUM(Table1[Total in "Dark" scene]))*100,1)</f>
        <v>1.8</v>
      </c>
      <c r="T26" s="111">
        <f>Table1[[#This Row],[Total in "Village" scene]]+Table1[[#This Row],[Total in "Castle" scene]]+Table1[[#This Row],[Total in "Dark" scene]]</f>
        <v>103</v>
      </c>
      <c r="U26" s="99">
        <f>ROUND((Table1[[#This Row],[Total in the game]]/SUM(Table1[Total in the game]))*100,1)</f>
        <v>1.9</v>
      </c>
      <c r="W26" s="149" t="s">
        <v>35</v>
      </c>
      <c r="X26" s="149" t="s">
        <v>342</v>
      </c>
      <c r="Y26" s="150" t="s">
        <v>342</v>
      </c>
      <c r="Z26" s="150" t="s">
        <v>342</v>
      </c>
    </row>
    <row r="27" spans="4:26" x14ac:dyDescent="0.25">
      <c r="D27" s="78" t="s">
        <v>41</v>
      </c>
      <c r="E27" s="78" t="s">
        <v>92</v>
      </c>
      <c r="F27" s="78" t="s">
        <v>35</v>
      </c>
      <c r="G27" s="103">
        <v>280</v>
      </c>
      <c r="H27" s="103">
        <v>280</v>
      </c>
      <c r="I27" s="108">
        <v>2</v>
      </c>
      <c r="J27" s="93">
        <v>25</v>
      </c>
      <c r="K27" s="93">
        <v>0</v>
      </c>
      <c r="L27" s="93">
        <v>0</v>
      </c>
      <c r="M27" s="93" t="s">
        <v>9</v>
      </c>
      <c r="N27" s="104">
        <f>COUNTIF(Table7[Spawner],Table1[[#This Row],[Spawner Prefab]])</f>
        <v>36</v>
      </c>
      <c r="O27" s="96">
        <f>ROUND((Table1[[#This Row],[Total in "Village" scene]]/SUM(Table1[Total in "Village" scene]))*100,1)</f>
        <v>1.5</v>
      </c>
      <c r="P27" s="110">
        <f>COUNTIF(Table15[Spawner],Table1[[#This Row],[Spawner Prefab]])</f>
        <v>129</v>
      </c>
      <c r="Q27" s="100">
        <f>ROUND((Table1[[#This Row],[Total in "Castle" scene]]/SUM(Table1[Total in "Castle" scene]))*100,1)</f>
        <v>6.6</v>
      </c>
      <c r="R27" s="105">
        <f>COUNTIF(Table20[Spawner],Table1[[#This Row],[Spawner Prefab]])</f>
        <v>108</v>
      </c>
      <c r="S27" s="97">
        <f>ROUND((Table1[[#This Row],[Total in "Dark" scene]]/SUM(Table1[Total in "Dark" scene]))*100,1)</f>
        <v>10.7</v>
      </c>
      <c r="T27" s="111">
        <f>Table1[[#This Row],[Total in "Village" scene]]+Table1[[#This Row],[Total in "Castle" scene]]+Table1[[#This Row],[Total in "Dark" scene]]</f>
        <v>273</v>
      </c>
      <c r="U27" s="99">
        <f>ROUND((Table1[[#This Row],[Total in the game]]/SUM(Table1[Total in the game]))*100,1)</f>
        <v>5</v>
      </c>
      <c r="W27" s="115" t="s">
        <v>36</v>
      </c>
      <c r="X27" s="115" t="s">
        <v>342</v>
      </c>
      <c r="Y27" s="120" t="s">
        <v>342</v>
      </c>
      <c r="Z27" s="120" t="s">
        <v>342</v>
      </c>
    </row>
    <row r="28" spans="4:26" x14ac:dyDescent="0.25">
      <c r="D28" s="78" t="s">
        <v>42</v>
      </c>
      <c r="E28" s="78" t="s">
        <v>92</v>
      </c>
      <c r="F28" s="78" t="s">
        <v>36</v>
      </c>
      <c r="G28" s="103">
        <v>5000</v>
      </c>
      <c r="H28" s="103">
        <v>5000</v>
      </c>
      <c r="I28" s="108">
        <v>2</v>
      </c>
      <c r="J28" s="93">
        <v>25</v>
      </c>
      <c r="K28" s="93">
        <v>0</v>
      </c>
      <c r="L28" s="93">
        <v>0</v>
      </c>
      <c r="M28" s="93" t="s">
        <v>9</v>
      </c>
      <c r="N28" s="104">
        <f>COUNTIF(Table7[Spawner],Table1[[#This Row],[Spawner Prefab]])</f>
        <v>4</v>
      </c>
      <c r="O28" s="96">
        <f>ROUND((Table1[[#This Row],[Total in "Village" scene]]/SUM(Table1[Total in "Village" scene]))*100,1)</f>
        <v>0.2</v>
      </c>
      <c r="P28" s="110">
        <f>COUNTIF(Table15[Spawner],Table1[[#This Row],[Spawner Prefab]])</f>
        <v>7</v>
      </c>
      <c r="Q28" s="100">
        <f>ROUND((Table1[[#This Row],[Total in "Castle" scene]]/SUM(Table1[Total in "Castle" scene]))*100,1)</f>
        <v>0.4</v>
      </c>
      <c r="R28" s="105">
        <f>COUNTIF(Table20[Spawner],Table1[[#This Row],[Spawner Prefab]])</f>
        <v>0</v>
      </c>
      <c r="S28" s="97">
        <f>ROUND((Table1[[#This Row],[Total in "Dark" scene]]/SUM(Table1[Total in "Dark" scene]))*100,1)</f>
        <v>0</v>
      </c>
      <c r="T28" s="111">
        <f>Table1[[#This Row],[Total in "Village" scene]]+Table1[[#This Row],[Total in "Castle" scene]]+Table1[[#This Row],[Total in "Dark" scene]]</f>
        <v>11</v>
      </c>
      <c r="U28" s="99">
        <f>ROUND((Table1[[#This Row],[Total in the game]]/SUM(Table1[Total in the game]))*100,1)</f>
        <v>0.2</v>
      </c>
      <c r="W28" s="149" t="s">
        <v>574</v>
      </c>
      <c r="X28" s="149" t="s">
        <v>342</v>
      </c>
      <c r="Y28" s="150" t="s">
        <v>342</v>
      </c>
      <c r="Z28" s="150" t="s">
        <v>342</v>
      </c>
    </row>
    <row r="29" spans="4:26" x14ac:dyDescent="0.25">
      <c r="D29" s="78" t="s">
        <v>573</v>
      </c>
      <c r="E29" s="78" t="s">
        <v>572</v>
      </c>
      <c r="F29" s="78" t="s">
        <v>574</v>
      </c>
      <c r="G29" s="103">
        <v>120</v>
      </c>
      <c r="H29" s="103">
        <v>120</v>
      </c>
      <c r="I29" s="108">
        <v>80</v>
      </c>
      <c r="J29" s="93">
        <v>130</v>
      </c>
      <c r="K29" s="93">
        <v>4</v>
      </c>
      <c r="L29" s="93">
        <v>4</v>
      </c>
      <c r="M29" s="93" t="s">
        <v>9</v>
      </c>
      <c r="N29" s="104">
        <f>COUNTIF(Table7[Spawner],Table1[[#This Row],[Spawner Prefab]])</f>
        <v>0</v>
      </c>
      <c r="O29" s="96">
        <f>ROUND((Table1[[#This Row],[Total in "Village" scene]]/SUM(Table1[Total in "Village" scene]))*100,1)</f>
        <v>0</v>
      </c>
      <c r="P29" s="110">
        <f>COUNTIF(Table15[Spawner],Table1[[#This Row],[Spawner Prefab]])</f>
        <v>0</v>
      </c>
      <c r="Q29" s="100">
        <f>ROUND((Table1[[#This Row],[Total in "Castle" scene]]/SUM(Table1[Total in "Castle" scene]))*100,1)</f>
        <v>0</v>
      </c>
      <c r="R29" s="105">
        <f>COUNTIF(Table20[Spawner],Table1[[#This Row],[Spawner Prefab]])</f>
        <v>0</v>
      </c>
      <c r="S29" s="97">
        <f>ROUND((Table1[[#This Row],[Total in "Dark" scene]]/SUM(Table1[Total in "Dark" scene]))*100,1)</f>
        <v>0</v>
      </c>
      <c r="T29" s="111">
        <f>Table1[[#This Row],[Total in "Village" scene]]+Table1[[#This Row],[Total in "Castle" scene]]+Table1[[#This Row],[Total in "Dark" scene]]</f>
        <v>0</v>
      </c>
      <c r="U29" s="99">
        <f>ROUND((Table1[[#This Row],[Total in the game]]/SUM(Table1[Total in the game]))*100,1)</f>
        <v>0</v>
      </c>
      <c r="W29" s="115" t="s">
        <v>56</v>
      </c>
      <c r="X29" s="115" t="s">
        <v>342</v>
      </c>
      <c r="Y29" s="120" t="s">
        <v>342</v>
      </c>
      <c r="Z29" s="120" t="s">
        <v>342</v>
      </c>
    </row>
    <row r="30" spans="4:26" x14ac:dyDescent="0.25">
      <c r="D30" s="78" t="s">
        <v>58</v>
      </c>
      <c r="E30" s="78" t="s">
        <v>73</v>
      </c>
      <c r="F30" s="78" t="s">
        <v>56</v>
      </c>
      <c r="G30" s="103">
        <v>130</v>
      </c>
      <c r="H30" s="103">
        <v>130</v>
      </c>
      <c r="I30" s="108">
        <v>15</v>
      </c>
      <c r="J30" s="93">
        <v>50</v>
      </c>
      <c r="K30" s="93">
        <v>0</v>
      </c>
      <c r="L30" s="93">
        <v>0</v>
      </c>
      <c r="M30" s="93" t="s">
        <v>9</v>
      </c>
      <c r="N30" s="104">
        <f>COUNTIF(Table7[Spawner],Table1[[#This Row],[Spawner Prefab]])</f>
        <v>0</v>
      </c>
      <c r="O30" s="96">
        <f>ROUND((Table1[[#This Row],[Total in "Village" scene]]/SUM(Table1[Total in "Village" scene]))*100,1)</f>
        <v>0</v>
      </c>
      <c r="P30" s="110">
        <f>COUNTIF(Table15[Spawner],Table1[[#This Row],[Spawner Prefab]])</f>
        <v>2</v>
      </c>
      <c r="Q30" s="100">
        <f>ROUND((Table1[[#This Row],[Total in "Castle" scene]]/SUM(Table1[Total in "Castle" scene]))*100,1)</f>
        <v>0.1</v>
      </c>
      <c r="R30" s="105">
        <f>COUNTIF(Table20[Spawner],Table1[[#This Row],[Spawner Prefab]])</f>
        <v>0</v>
      </c>
      <c r="S30" s="97">
        <f>ROUND((Table1[[#This Row],[Total in "Dark" scene]]/SUM(Table1[Total in "Dark" scene]))*100,1)</f>
        <v>0</v>
      </c>
      <c r="T30" s="111">
        <f>Table1[[#This Row],[Total in "Village" scene]]+Table1[[#This Row],[Total in "Castle" scene]]+Table1[[#This Row],[Total in "Dark" scene]]</f>
        <v>2</v>
      </c>
      <c r="U30" s="99">
        <f>ROUND((Table1[[#This Row],[Total in the game]]/SUM(Table1[Total in the game]))*100,1)</f>
        <v>0</v>
      </c>
      <c r="W30" s="149" t="s">
        <v>57</v>
      </c>
      <c r="X30" s="149" t="s">
        <v>342</v>
      </c>
      <c r="Y30" s="150" t="s">
        <v>342</v>
      </c>
      <c r="Z30" s="150" t="s">
        <v>342</v>
      </c>
    </row>
    <row r="31" spans="4:26" x14ac:dyDescent="0.25">
      <c r="D31" s="78" t="s">
        <v>59</v>
      </c>
      <c r="E31" s="78" t="s">
        <v>73</v>
      </c>
      <c r="F31" s="78" t="s">
        <v>57</v>
      </c>
      <c r="G31" s="103">
        <v>130</v>
      </c>
      <c r="H31" s="103">
        <v>130</v>
      </c>
      <c r="I31" s="108">
        <v>15</v>
      </c>
      <c r="J31" s="93">
        <v>50</v>
      </c>
      <c r="K31" s="93">
        <v>0</v>
      </c>
      <c r="L31" s="93">
        <v>0</v>
      </c>
      <c r="M31" s="93" t="s">
        <v>9</v>
      </c>
      <c r="N31" s="104">
        <f>COUNTIF(Table7[Spawner],Table1[[#This Row],[Spawner Prefab]])</f>
        <v>0</v>
      </c>
      <c r="O31" s="96">
        <f>ROUND((Table1[[#This Row],[Total in "Village" scene]]/SUM(Table1[Total in "Village" scene]))*100,1)</f>
        <v>0</v>
      </c>
      <c r="P31" s="110">
        <f>COUNTIF(Table15[Spawner],Table1[[#This Row],[Spawner Prefab]])</f>
        <v>0</v>
      </c>
      <c r="Q31" s="100">
        <f>ROUND((Table1[[#This Row],[Total in "Castle" scene]]/SUM(Table1[Total in "Castle" scene]))*100,1)</f>
        <v>0</v>
      </c>
      <c r="R31" s="105">
        <f>COUNTIF(Table20[Spawner],Table1[[#This Row],[Spawner Prefab]])</f>
        <v>0</v>
      </c>
      <c r="S31" s="97">
        <f>ROUND((Table1[[#This Row],[Total in "Dark" scene]]/SUM(Table1[Total in "Dark" scene]))*100,1)</f>
        <v>0</v>
      </c>
      <c r="T31" s="111">
        <f>Table1[[#This Row],[Total in "Village" scene]]+Table1[[#This Row],[Total in "Castle" scene]]+Table1[[#This Row],[Total in "Dark" scene]]</f>
        <v>0</v>
      </c>
      <c r="U31" s="99">
        <f>ROUND((Table1[[#This Row],[Total in the game]]/SUM(Table1[Total in the game]))*100,1)</f>
        <v>0</v>
      </c>
      <c r="W31" s="115" t="s">
        <v>23</v>
      </c>
      <c r="X31" s="115" t="s">
        <v>343</v>
      </c>
      <c r="Y31" s="120" t="s">
        <v>343</v>
      </c>
      <c r="Z31" s="120" t="s">
        <v>343</v>
      </c>
    </row>
    <row r="32" spans="4:26" x14ac:dyDescent="0.25">
      <c r="D32" s="78" t="s">
        <v>25</v>
      </c>
      <c r="E32" s="78" t="s">
        <v>87</v>
      </c>
      <c r="F32" s="78" t="s">
        <v>23</v>
      </c>
      <c r="G32" s="103">
        <v>220</v>
      </c>
      <c r="H32" s="103">
        <v>220</v>
      </c>
      <c r="I32" s="108">
        <v>30</v>
      </c>
      <c r="J32" s="93">
        <v>75</v>
      </c>
      <c r="K32" s="93">
        <v>0</v>
      </c>
      <c r="L32" s="93">
        <v>0</v>
      </c>
      <c r="M32" s="93">
        <v>8</v>
      </c>
      <c r="N32" s="104">
        <f>COUNTIF(Table7[Spawner],Table1[[#This Row],[Spawner Prefab]])</f>
        <v>13</v>
      </c>
      <c r="O32" s="96">
        <f>ROUND((Table1[[#This Row],[Total in "Village" scene]]/SUM(Table1[Total in "Village" scene]))*100,1)</f>
        <v>0.5</v>
      </c>
      <c r="P32" s="110">
        <f>COUNTIF(Table15[Spawner],Table1[[#This Row],[Spawner Prefab]])</f>
        <v>22</v>
      </c>
      <c r="Q32" s="100">
        <f>ROUND((Table1[[#This Row],[Total in "Castle" scene]]/SUM(Table1[Total in "Castle" scene]))*100,1)</f>
        <v>1.1000000000000001</v>
      </c>
      <c r="R32" s="105">
        <f>COUNTIF(Table20[Spawner],Table1[[#This Row],[Spawner Prefab]])</f>
        <v>0</v>
      </c>
      <c r="S32" s="97">
        <f>ROUND((Table1[[#This Row],[Total in "Dark" scene]]/SUM(Table1[Total in "Dark" scene]))*100,1)</f>
        <v>0</v>
      </c>
      <c r="T32" s="111">
        <f>Table1[[#This Row],[Total in "Village" scene]]+Table1[[#This Row],[Total in "Castle" scene]]+Table1[[#This Row],[Total in "Dark" scene]]</f>
        <v>35</v>
      </c>
      <c r="U32" s="99">
        <f>ROUND((Table1[[#This Row],[Total in the game]]/SUM(Table1[Total in the game]))*100,1)</f>
        <v>0.6</v>
      </c>
      <c r="W32" s="119" t="s">
        <v>7300</v>
      </c>
      <c r="X32" s="119" t="s">
        <v>342</v>
      </c>
      <c r="Y32" s="119" t="s">
        <v>342</v>
      </c>
      <c r="Z32" s="119" t="s">
        <v>342</v>
      </c>
    </row>
    <row r="33" spans="4:26" x14ac:dyDescent="0.25">
      <c r="D33" s="78" t="s">
        <v>7309</v>
      </c>
      <c r="E33" s="78" t="s">
        <v>7269</v>
      </c>
      <c r="F33" s="78" t="s">
        <v>7300</v>
      </c>
      <c r="G33" s="103">
        <v>110</v>
      </c>
      <c r="H33" s="103">
        <v>110</v>
      </c>
      <c r="I33" s="108">
        <v>65</v>
      </c>
      <c r="J33" s="93">
        <v>95</v>
      </c>
      <c r="K33" s="93">
        <v>3</v>
      </c>
      <c r="L33" s="93">
        <v>3</v>
      </c>
      <c r="M33" s="93" t="s">
        <v>9</v>
      </c>
      <c r="N33" s="104">
        <f>COUNTIF(Table7[Spawner],Table1[[#This Row],[Spawner Prefab]])</f>
        <v>0</v>
      </c>
      <c r="O33" s="96">
        <f>ROUND((Table1[[#This Row],[Total in "Village" scene]]/SUM(Table1[Total in "Village" scene]))*100,1)</f>
        <v>0</v>
      </c>
      <c r="P33" s="110">
        <f>COUNTIF(Table15[Spawner],Table1[[#This Row],[Spawner Prefab]])</f>
        <v>0</v>
      </c>
      <c r="Q33" s="100">
        <f>ROUND((Table1[[#This Row],[Total in "Castle" scene]]/SUM(Table1[Total in "Castle" scene]))*100,1)</f>
        <v>0</v>
      </c>
      <c r="R33" s="105">
        <f>COUNTIF(Table20[Spawner],Table1[[#This Row],[Spawner Prefab]])</f>
        <v>6</v>
      </c>
      <c r="S33" s="97">
        <f>ROUND((Table1[[#This Row],[Total in "Dark" scene]]/SUM(Table1[Total in "Dark" scene]))*100,1)</f>
        <v>0.6</v>
      </c>
      <c r="T33" s="111">
        <f>Table1[[#This Row],[Total in "Village" scene]]+Table1[[#This Row],[Total in "Castle" scene]]+Table1[[#This Row],[Total in "Dark" scene]]</f>
        <v>6</v>
      </c>
      <c r="U33" s="99">
        <f>ROUND((Table1[[#This Row],[Total in the game]]/SUM(Table1[Total in the game]))*100,1)</f>
        <v>0.1</v>
      </c>
      <c r="W33" s="150" t="s">
        <v>7299</v>
      </c>
      <c r="X33" s="150" t="s">
        <v>342</v>
      </c>
      <c r="Y33" s="150" t="s">
        <v>342</v>
      </c>
      <c r="Z33" s="150" t="s">
        <v>342</v>
      </c>
    </row>
    <row r="34" spans="4:26" x14ac:dyDescent="0.25">
      <c r="D34" s="78" t="s">
        <v>7305</v>
      </c>
      <c r="E34" s="78" t="s">
        <v>7270</v>
      </c>
      <c r="F34" s="78" t="s">
        <v>7299</v>
      </c>
      <c r="G34" s="103">
        <v>110</v>
      </c>
      <c r="H34" s="103">
        <v>110</v>
      </c>
      <c r="I34" s="108">
        <v>20</v>
      </c>
      <c r="J34" s="93">
        <v>25</v>
      </c>
      <c r="K34" s="93">
        <v>0</v>
      </c>
      <c r="L34" s="93">
        <v>0</v>
      </c>
      <c r="M34" s="93" t="s">
        <v>9</v>
      </c>
      <c r="N34" s="104">
        <f>COUNTIF(Table7[Spawner],Table1[[#This Row],[Spawner Prefab]])</f>
        <v>0</v>
      </c>
      <c r="O34" s="96">
        <f>ROUND((Table1[[#This Row],[Total in "Village" scene]]/SUM(Table1[Total in "Village" scene]))*100,1)</f>
        <v>0</v>
      </c>
      <c r="P34" s="110">
        <f>COUNTIF(Table15[Spawner],Table1[[#This Row],[Spawner Prefab]])</f>
        <v>0</v>
      </c>
      <c r="Q34" s="100">
        <f>ROUND((Table1[[#This Row],[Total in "Castle" scene]]/SUM(Table1[Total in "Castle" scene]))*100,1)</f>
        <v>0</v>
      </c>
      <c r="R34" s="105">
        <f>COUNTIF(Table20[Spawner],Table1[[#This Row],[Spawner Prefab]])</f>
        <v>40</v>
      </c>
      <c r="S34" s="97">
        <f>ROUND((Table1[[#This Row],[Total in "Dark" scene]]/SUM(Table1[Total in "Dark" scene]))*100,1)</f>
        <v>4</v>
      </c>
      <c r="T34" s="111">
        <f>Table1[[#This Row],[Total in "Village" scene]]+Table1[[#This Row],[Total in "Castle" scene]]+Table1[[#This Row],[Total in "Dark" scene]]</f>
        <v>40</v>
      </c>
      <c r="U34" s="99">
        <f>ROUND((Table1[[#This Row],[Total in the game]]/SUM(Table1[Total in the game]))*100,1)</f>
        <v>0.7</v>
      </c>
      <c r="W34" s="115" t="s">
        <v>379</v>
      </c>
      <c r="X34" s="115" t="s">
        <v>343</v>
      </c>
      <c r="Y34" s="120" t="s">
        <v>343</v>
      </c>
      <c r="Z34" s="120" t="s">
        <v>343</v>
      </c>
    </row>
    <row r="35" spans="4:26" x14ac:dyDescent="0.25">
      <c r="D35" s="78" t="s">
        <v>378</v>
      </c>
      <c r="E35" s="78" t="s">
        <v>9</v>
      </c>
      <c r="F35" s="78" t="s">
        <v>379</v>
      </c>
      <c r="G35" s="103">
        <v>450</v>
      </c>
      <c r="H35" s="103">
        <v>450</v>
      </c>
      <c r="I35" s="108" t="s">
        <v>9</v>
      </c>
      <c r="J35" s="93"/>
      <c r="K35" s="93"/>
      <c r="L35" s="93"/>
      <c r="M35" s="93"/>
      <c r="N35" s="104">
        <f>COUNTIF(Table7[Spawner],Table1[[#This Row],[Spawner Prefab]])</f>
        <v>3</v>
      </c>
      <c r="O35" s="96">
        <f>ROUND((Table1[[#This Row],[Total in "Village" scene]]/SUM(Table1[Total in "Village" scene]))*100,1)</f>
        <v>0.1</v>
      </c>
      <c r="P35" s="110">
        <f>COUNTIF(Table15[Spawner],Table1[[#This Row],[Spawner Prefab]])</f>
        <v>0</v>
      </c>
      <c r="Q35" s="100">
        <f>ROUND((Table1[[#This Row],[Total in "Castle" scene]]/SUM(Table1[Total in "Castle" scene]))*100,1)</f>
        <v>0</v>
      </c>
      <c r="R35" s="105">
        <f>COUNTIF(Table20[Spawner],Table1[[#This Row],[Spawner Prefab]])</f>
        <v>0</v>
      </c>
      <c r="S35" s="97">
        <f>ROUND((Table1[[#This Row],[Total in "Dark" scene]]/SUM(Table1[Total in "Dark" scene]))*100,1)</f>
        <v>0</v>
      </c>
      <c r="T35" s="111">
        <f>Table1[[#This Row],[Total in "Village" scene]]+Table1[[#This Row],[Total in "Castle" scene]]+Table1[[#This Row],[Total in "Dark" scene]]</f>
        <v>3</v>
      </c>
      <c r="U35" s="99">
        <f>ROUND((Table1[[#This Row],[Total in the game]]/SUM(Table1[Total in the game]))*100,1)</f>
        <v>0.1</v>
      </c>
      <c r="W35" s="115" t="s">
        <v>576</v>
      </c>
      <c r="X35" s="115" t="s">
        <v>343</v>
      </c>
      <c r="Y35" s="120" t="s">
        <v>343</v>
      </c>
      <c r="Z35" s="120" t="s">
        <v>343</v>
      </c>
    </row>
    <row r="36" spans="4:26" x14ac:dyDescent="0.25">
      <c r="D36" s="78" t="s">
        <v>575</v>
      </c>
      <c r="E36" s="78" t="s">
        <v>9</v>
      </c>
      <c r="F36" s="78" t="s">
        <v>576</v>
      </c>
      <c r="G36" s="103">
        <v>450</v>
      </c>
      <c r="H36" s="103">
        <v>450</v>
      </c>
      <c r="I36" s="108" t="s">
        <v>9</v>
      </c>
      <c r="J36" s="93"/>
      <c r="K36" s="93"/>
      <c r="L36" s="93"/>
      <c r="M36" s="93"/>
      <c r="N36" s="104">
        <f>COUNTIF(Table7[Spawner],Table1[[#This Row],[Spawner Prefab]])</f>
        <v>0</v>
      </c>
      <c r="O36" s="96">
        <f>ROUND((Table1[[#This Row],[Total in "Village" scene]]/SUM(Table1[Total in "Village" scene]))*100,1)</f>
        <v>0</v>
      </c>
      <c r="P36" s="110">
        <f>COUNTIF(Table15[Spawner],Table1[[#This Row],[Spawner Prefab]])</f>
        <v>3</v>
      </c>
      <c r="Q36" s="100">
        <f>ROUND((Table1[[#This Row],[Total in "Castle" scene]]/SUM(Table1[Total in "Castle" scene]))*100,1)</f>
        <v>0.2</v>
      </c>
      <c r="R36" s="105">
        <f>COUNTIF(Table20[Spawner],Table1[[#This Row],[Spawner Prefab]])</f>
        <v>0</v>
      </c>
      <c r="S36" s="97">
        <f>ROUND((Table1[[#This Row],[Total in "Dark" scene]]/SUM(Table1[Total in "Dark" scene]))*100,1)</f>
        <v>0</v>
      </c>
      <c r="T36" s="111">
        <f>Table1[[#This Row],[Total in "Village" scene]]+Table1[[#This Row],[Total in "Castle" scene]]+Table1[[#This Row],[Total in "Dark" scene]]</f>
        <v>3</v>
      </c>
      <c r="U36" s="99">
        <f>ROUND((Table1[[#This Row],[Total in the game]]/SUM(Table1[Total in the game]))*100,1)</f>
        <v>0.1</v>
      </c>
      <c r="W36" s="115" t="s">
        <v>93</v>
      </c>
      <c r="X36" s="115" t="s">
        <v>342</v>
      </c>
      <c r="Y36" s="120" t="s">
        <v>342</v>
      </c>
      <c r="Z36" s="120" t="s">
        <v>342</v>
      </c>
    </row>
    <row r="37" spans="4:26" x14ac:dyDescent="0.25">
      <c r="D37" s="78" t="s">
        <v>266</v>
      </c>
      <c r="E37" s="78" t="s">
        <v>103</v>
      </c>
      <c r="F37" s="78" t="s">
        <v>93</v>
      </c>
      <c r="G37" s="103">
        <v>180</v>
      </c>
      <c r="H37" s="103">
        <v>180</v>
      </c>
      <c r="I37" s="108">
        <v>2</v>
      </c>
      <c r="J37" s="93">
        <v>25</v>
      </c>
      <c r="K37" s="93">
        <v>0</v>
      </c>
      <c r="L37" s="93">
        <v>0</v>
      </c>
      <c r="M37" s="93" t="s">
        <v>9</v>
      </c>
      <c r="N37" s="104">
        <f>COUNTIF(Table7[Spawner],Table1[[#This Row],[Spawner Prefab]])</f>
        <v>145</v>
      </c>
      <c r="O37" s="96">
        <f>ROUND((Table1[[#This Row],[Total in "Village" scene]]/SUM(Table1[Total in "Village" scene]))*100,1)</f>
        <v>5.9</v>
      </c>
      <c r="P37" s="110">
        <f>COUNTIF(Table15[Spawner],Table1[[#This Row],[Spawner Prefab]])</f>
        <v>18</v>
      </c>
      <c r="Q37" s="100">
        <f>ROUND((Table1[[#This Row],[Total in "Castle" scene]]/SUM(Table1[Total in "Castle" scene]))*100,1)</f>
        <v>0.9</v>
      </c>
      <c r="R37" s="105">
        <f>COUNTIF(Table20[Spawner],Table1[[#This Row],[Spawner Prefab]])</f>
        <v>0</v>
      </c>
      <c r="S37" s="97">
        <f>ROUND((Table1[[#This Row],[Total in "Dark" scene]]/SUM(Table1[Total in "Dark" scene]))*100,1)</f>
        <v>0</v>
      </c>
      <c r="T37" s="111">
        <f>Table1[[#This Row],[Total in "Village" scene]]+Table1[[#This Row],[Total in "Castle" scene]]+Table1[[#This Row],[Total in "Dark" scene]]</f>
        <v>163</v>
      </c>
      <c r="U37" s="99">
        <f>ROUND((Table1[[#This Row],[Total in the game]]/SUM(Table1[Total in the game]))*100,1)</f>
        <v>3</v>
      </c>
      <c r="W37" s="115" t="s">
        <v>93</v>
      </c>
      <c r="X37" s="115" t="s">
        <v>342</v>
      </c>
      <c r="Y37" s="120" t="s">
        <v>342</v>
      </c>
      <c r="Z37" s="120" t="s">
        <v>342</v>
      </c>
    </row>
    <row r="38" spans="4:26" x14ac:dyDescent="0.25">
      <c r="D38" s="78" t="s">
        <v>267</v>
      </c>
      <c r="E38" s="78" t="s">
        <v>103</v>
      </c>
      <c r="F38" s="78" t="s">
        <v>93</v>
      </c>
      <c r="G38" s="103">
        <v>180</v>
      </c>
      <c r="H38" s="103">
        <v>180</v>
      </c>
      <c r="I38" s="108">
        <v>2</v>
      </c>
      <c r="J38" s="93">
        <v>25</v>
      </c>
      <c r="K38" s="93">
        <v>0</v>
      </c>
      <c r="L38" s="93">
        <v>0</v>
      </c>
      <c r="M38" s="93" t="s">
        <v>9</v>
      </c>
      <c r="N38" s="104">
        <f>COUNTIF(Table7[Spawner],Table1[[#This Row],[Spawner Prefab]])</f>
        <v>278</v>
      </c>
      <c r="O38" s="96">
        <f>ROUND((Table1[[#This Row],[Total in "Village" scene]]/SUM(Table1[Total in "Village" scene]))*100,1)</f>
        <v>11.3</v>
      </c>
      <c r="P38" s="110">
        <f>COUNTIF(Table15[Spawner],Table1[[#This Row],[Spawner Prefab]])</f>
        <v>129</v>
      </c>
      <c r="Q38" s="100">
        <f>ROUND((Table1[[#This Row],[Total in "Castle" scene]]/SUM(Table1[Total in "Castle" scene]))*100,1)</f>
        <v>6.6</v>
      </c>
      <c r="R38" s="105">
        <f>COUNTIF(Table20[Spawner],Table1[[#This Row],[Spawner Prefab]])</f>
        <v>0</v>
      </c>
      <c r="S38" s="97">
        <f>ROUND((Table1[[#This Row],[Total in "Dark" scene]]/SUM(Table1[Total in "Dark" scene]))*100,1)</f>
        <v>0</v>
      </c>
      <c r="T38" s="111">
        <f>Table1[[#This Row],[Total in "Village" scene]]+Table1[[#This Row],[Total in "Castle" scene]]+Table1[[#This Row],[Total in "Dark" scene]]</f>
        <v>407</v>
      </c>
      <c r="U38" s="99">
        <f>ROUND((Table1[[#This Row],[Total in the game]]/SUM(Table1[Total in the game]))*100,1)</f>
        <v>7.5</v>
      </c>
      <c r="W38" s="115" t="s">
        <v>93</v>
      </c>
      <c r="X38" s="115" t="s">
        <v>342</v>
      </c>
      <c r="Y38" s="120" t="s">
        <v>342</v>
      </c>
      <c r="Z38" s="120" t="s">
        <v>342</v>
      </c>
    </row>
    <row r="39" spans="4:26" x14ac:dyDescent="0.25">
      <c r="D39" s="78" t="s">
        <v>97</v>
      </c>
      <c r="E39" s="78" t="s">
        <v>103</v>
      </c>
      <c r="F39" s="78" t="s">
        <v>93</v>
      </c>
      <c r="G39" s="103">
        <v>180</v>
      </c>
      <c r="H39" s="103">
        <v>180</v>
      </c>
      <c r="I39" s="108">
        <v>2</v>
      </c>
      <c r="J39" s="93">
        <v>25</v>
      </c>
      <c r="K39" s="93">
        <v>0</v>
      </c>
      <c r="L39" s="93">
        <v>0</v>
      </c>
      <c r="M39" s="93" t="s">
        <v>9</v>
      </c>
      <c r="N39" s="104">
        <f>COUNTIF(Table7[Spawner],Table1[[#This Row],[Spawner Prefab]])</f>
        <v>74</v>
      </c>
      <c r="O39" s="96">
        <f>ROUND((Table1[[#This Row],[Total in "Village" scene]]/SUM(Table1[Total in "Village" scene]))*100,1)</f>
        <v>3</v>
      </c>
      <c r="P39" s="110">
        <f>COUNTIF(Table15[Spawner],Table1[[#This Row],[Spawner Prefab]])</f>
        <v>0</v>
      </c>
      <c r="Q39" s="100">
        <f>ROUND((Table1[[#This Row],[Total in "Castle" scene]]/SUM(Table1[Total in "Castle" scene]))*100,1)</f>
        <v>0</v>
      </c>
      <c r="R39" s="105">
        <f>COUNTIF(Table20[Spawner],Table1[[#This Row],[Spawner Prefab]])</f>
        <v>0</v>
      </c>
      <c r="S39" s="97">
        <f>ROUND((Table1[[#This Row],[Total in "Dark" scene]]/SUM(Table1[Total in "Dark" scene]))*100,1)</f>
        <v>0</v>
      </c>
      <c r="T39" s="111">
        <f>Table1[[#This Row],[Total in "Village" scene]]+Table1[[#This Row],[Total in "Castle" scene]]+Table1[[#This Row],[Total in "Dark" scene]]</f>
        <v>74</v>
      </c>
      <c r="U39" s="99">
        <f>ROUND((Table1[[#This Row],[Total in the game]]/SUM(Table1[Total in the game]))*100,1)</f>
        <v>1.4</v>
      </c>
      <c r="W39" s="115" t="s">
        <v>94</v>
      </c>
      <c r="X39" s="115" t="s">
        <v>342</v>
      </c>
      <c r="Y39" s="120" t="s">
        <v>342</v>
      </c>
      <c r="Z39" s="120" t="s">
        <v>342</v>
      </c>
    </row>
    <row r="40" spans="4:26" x14ac:dyDescent="0.25">
      <c r="D40" s="78" t="s">
        <v>98</v>
      </c>
      <c r="E40" s="78" t="s">
        <v>104</v>
      </c>
      <c r="F40" s="78" t="s">
        <v>94</v>
      </c>
      <c r="G40" s="103">
        <v>180</v>
      </c>
      <c r="H40" s="103">
        <v>180</v>
      </c>
      <c r="I40" s="108">
        <v>2</v>
      </c>
      <c r="J40" s="93">
        <v>25</v>
      </c>
      <c r="K40" s="93">
        <v>0</v>
      </c>
      <c r="L40" s="93">
        <v>0</v>
      </c>
      <c r="M40" s="93" t="s">
        <v>9</v>
      </c>
      <c r="N40" s="104">
        <f>COUNTIF(Table7[Spawner],Table1[[#This Row],[Spawner Prefab]])</f>
        <v>39</v>
      </c>
      <c r="O40" s="96">
        <f>ROUND((Table1[[#This Row],[Total in "Village" scene]]/SUM(Table1[Total in "Village" scene]))*100,1)</f>
        <v>1.6</v>
      </c>
      <c r="P40" s="110">
        <f>COUNTIF(Table15[Spawner],Table1[[#This Row],[Spawner Prefab]])</f>
        <v>0</v>
      </c>
      <c r="Q40" s="100">
        <f>ROUND((Table1[[#This Row],[Total in "Castle" scene]]/SUM(Table1[Total in "Castle" scene]))*100,1)</f>
        <v>0</v>
      </c>
      <c r="R40" s="105">
        <f>COUNTIF(Table20[Spawner],Table1[[#This Row],[Spawner Prefab]])</f>
        <v>0</v>
      </c>
      <c r="S40" s="97">
        <f>ROUND((Table1[[#This Row],[Total in "Dark" scene]]/SUM(Table1[Total in "Dark" scene]))*100,1)</f>
        <v>0</v>
      </c>
      <c r="T40" s="111">
        <f>Table1[[#This Row],[Total in "Village" scene]]+Table1[[#This Row],[Total in "Castle" scene]]+Table1[[#This Row],[Total in "Dark" scene]]</f>
        <v>39</v>
      </c>
      <c r="U40" s="99">
        <f>ROUND((Table1[[#This Row],[Total in the game]]/SUM(Table1[Total in the game]))*100,1)</f>
        <v>0.7</v>
      </c>
      <c r="W40" s="115" t="s">
        <v>95</v>
      </c>
      <c r="X40" s="115" t="s">
        <v>342</v>
      </c>
      <c r="Y40" s="120" t="s">
        <v>342</v>
      </c>
      <c r="Z40" s="120" t="s">
        <v>342</v>
      </c>
    </row>
    <row r="41" spans="4:26" x14ac:dyDescent="0.25">
      <c r="D41" s="78" t="s">
        <v>99</v>
      </c>
      <c r="E41" s="78" t="s">
        <v>105</v>
      </c>
      <c r="F41" s="78" t="s">
        <v>95</v>
      </c>
      <c r="G41" s="103">
        <v>180</v>
      </c>
      <c r="H41" s="103">
        <v>180</v>
      </c>
      <c r="I41" s="108">
        <v>2</v>
      </c>
      <c r="J41" s="93">
        <v>25</v>
      </c>
      <c r="K41" s="93">
        <v>0</v>
      </c>
      <c r="L41" s="93">
        <v>0</v>
      </c>
      <c r="M41" s="93" t="s">
        <v>9</v>
      </c>
      <c r="N41" s="104">
        <f>COUNTIF(Table7[Spawner],Table1[[#This Row],[Spawner Prefab]])</f>
        <v>19</v>
      </c>
      <c r="O41" s="96">
        <f>ROUND((Table1[[#This Row],[Total in "Village" scene]]/SUM(Table1[Total in "Village" scene]))*100,1)</f>
        <v>0.8</v>
      </c>
      <c r="P41" s="110">
        <f>COUNTIF(Table15[Spawner],Table1[[#This Row],[Spawner Prefab]])</f>
        <v>0</v>
      </c>
      <c r="Q41" s="100">
        <f>ROUND((Table1[[#This Row],[Total in "Castle" scene]]/SUM(Table1[Total in "Castle" scene]))*100,1)</f>
        <v>0</v>
      </c>
      <c r="R41" s="105">
        <f>COUNTIF(Table20[Spawner],Table1[[#This Row],[Spawner Prefab]])</f>
        <v>0</v>
      </c>
      <c r="S41" s="97">
        <f>ROUND((Table1[[#This Row],[Total in "Dark" scene]]/SUM(Table1[Total in "Dark" scene]))*100,1)</f>
        <v>0</v>
      </c>
      <c r="T41" s="111">
        <f>Table1[[#This Row],[Total in "Village" scene]]+Table1[[#This Row],[Total in "Castle" scene]]+Table1[[#This Row],[Total in "Dark" scene]]</f>
        <v>19</v>
      </c>
      <c r="U41" s="99">
        <f>ROUND((Table1[[#This Row],[Total in the game]]/SUM(Table1[Total in the game]))*100,1)</f>
        <v>0.3</v>
      </c>
      <c r="W41" s="115" t="s">
        <v>96</v>
      </c>
      <c r="X41" s="115" t="s">
        <v>342</v>
      </c>
      <c r="Y41" s="120" t="s">
        <v>342</v>
      </c>
      <c r="Z41" s="120" t="s">
        <v>342</v>
      </c>
    </row>
    <row r="42" spans="4:26" x14ac:dyDescent="0.25">
      <c r="D42" s="78" t="s">
        <v>100</v>
      </c>
      <c r="E42" s="78" t="s">
        <v>106</v>
      </c>
      <c r="F42" s="78" t="s">
        <v>96</v>
      </c>
      <c r="G42" s="103">
        <v>180</v>
      </c>
      <c r="H42" s="103">
        <v>180</v>
      </c>
      <c r="I42" s="108">
        <v>2</v>
      </c>
      <c r="J42" s="93">
        <v>25</v>
      </c>
      <c r="K42" s="93">
        <v>0</v>
      </c>
      <c r="L42" s="93">
        <v>0</v>
      </c>
      <c r="M42" s="93" t="s">
        <v>9</v>
      </c>
      <c r="N42" s="104">
        <f>COUNTIF(Table7[Spawner],Table1[[#This Row],[Spawner Prefab]])</f>
        <v>3</v>
      </c>
      <c r="O42" s="96">
        <f>ROUND((Table1[[#This Row],[Total in "Village" scene]]/SUM(Table1[Total in "Village" scene]))*100,1)</f>
        <v>0.1</v>
      </c>
      <c r="P42" s="110">
        <f>COUNTIF(Table15[Spawner],Table1[[#This Row],[Spawner Prefab]])</f>
        <v>0</v>
      </c>
      <c r="Q42" s="100">
        <f>ROUND((Table1[[#This Row],[Total in "Castle" scene]]/SUM(Table1[Total in "Castle" scene]))*100,1)</f>
        <v>0</v>
      </c>
      <c r="R42" s="105">
        <f>COUNTIF(Table20[Spawner],Table1[[#This Row],[Spawner Prefab]])</f>
        <v>0</v>
      </c>
      <c r="S42" s="97">
        <f>ROUND((Table1[[#This Row],[Total in "Dark" scene]]/SUM(Table1[Total in "Dark" scene]))*100,1)</f>
        <v>0</v>
      </c>
      <c r="T42" s="111">
        <f>Table1[[#This Row],[Total in "Village" scene]]+Table1[[#This Row],[Total in "Castle" scene]]+Table1[[#This Row],[Total in "Dark" scene]]</f>
        <v>3</v>
      </c>
      <c r="U42" s="99">
        <f>ROUND((Table1[[#This Row],[Total in the game]]/SUM(Table1[Total in the game]))*100,1)</f>
        <v>0.1</v>
      </c>
      <c r="W42" s="115" t="s">
        <v>635</v>
      </c>
      <c r="X42" s="115" t="s">
        <v>343</v>
      </c>
      <c r="Y42" s="120" t="s">
        <v>343</v>
      </c>
      <c r="Z42" s="120" t="s">
        <v>343</v>
      </c>
    </row>
    <row r="43" spans="4:26" x14ac:dyDescent="0.25">
      <c r="D43" s="78" t="s">
        <v>634</v>
      </c>
      <c r="E43" s="78" t="s">
        <v>6762</v>
      </c>
      <c r="F43" s="78" t="s">
        <v>635</v>
      </c>
      <c r="G43" s="103">
        <v>500</v>
      </c>
      <c r="H43" s="103">
        <v>500</v>
      </c>
      <c r="I43" s="108">
        <v>80</v>
      </c>
      <c r="J43" s="93">
        <v>130</v>
      </c>
      <c r="K43" s="93">
        <v>4</v>
      </c>
      <c r="L43" s="93">
        <v>4</v>
      </c>
      <c r="M43" s="93">
        <v>80</v>
      </c>
      <c r="N43" s="104">
        <f>COUNTIF(Table7[Spawner],Table1[[#This Row],[Spawner Prefab]])</f>
        <v>0</v>
      </c>
      <c r="O43" s="96">
        <f>ROUND((Table1[[#This Row],[Total in "Village" scene]]/SUM(Table1[Total in "Village" scene]))*100,1)</f>
        <v>0</v>
      </c>
      <c r="P43" s="110">
        <f>COUNTIF(Table15[Spawner],Table1[[#This Row],[Spawner Prefab]])</f>
        <v>0</v>
      </c>
      <c r="Q43" s="100">
        <f>ROUND((Table1[[#This Row],[Total in "Castle" scene]]/SUM(Table1[Total in "Castle" scene]))*100,1)</f>
        <v>0</v>
      </c>
      <c r="R43" s="105">
        <f>COUNTIF(Table20[Spawner],Table1[[#This Row],[Spawner Prefab]])</f>
        <v>9</v>
      </c>
      <c r="S43" s="97">
        <f>ROUND((Table1[[#This Row],[Total in "Dark" scene]]/SUM(Table1[Total in "Dark" scene]))*100,1)</f>
        <v>0.9</v>
      </c>
      <c r="T43" s="111">
        <f>Table1[[#This Row],[Total in "Village" scene]]+Table1[[#This Row],[Total in "Castle" scene]]+Table1[[#This Row],[Total in "Dark" scene]]</f>
        <v>9</v>
      </c>
      <c r="U43" s="99">
        <f>ROUND((Table1[[#This Row],[Total in the game]]/SUM(Table1[Total in the game]))*100,1)</f>
        <v>0.2</v>
      </c>
      <c r="W43" s="119" t="s">
        <v>7301</v>
      </c>
      <c r="X43" s="119" t="s">
        <v>343</v>
      </c>
      <c r="Y43" s="119" t="s">
        <v>343</v>
      </c>
      <c r="Z43" s="119" t="s">
        <v>343</v>
      </c>
    </row>
    <row r="44" spans="4:26" x14ac:dyDescent="0.25">
      <c r="D44" s="78" t="s">
        <v>7312</v>
      </c>
      <c r="E44" s="78" t="s">
        <v>7271</v>
      </c>
      <c r="F44" s="78" t="s">
        <v>7301</v>
      </c>
      <c r="G44" s="103">
        <v>500</v>
      </c>
      <c r="H44" s="103">
        <v>500</v>
      </c>
      <c r="I44" s="108">
        <v>80</v>
      </c>
      <c r="J44" s="93">
        <v>130</v>
      </c>
      <c r="K44" s="93">
        <v>4</v>
      </c>
      <c r="L44" s="93">
        <v>4</v>
      </c>
      <c r="M44" s="93">
        <v>70</v>
      </c>
      <c r="N44" s="104">
        <f>COUNTIF(Table7[Spawner],Table1[[#This Row],[Spawner Prefab]])</f>
        <v>0</v>
      </c>
      <c r="O44" s="96">
        <f>ROUND((Table1[[#This Row],[Total in "Village" scene]]/SUM(Table1[Total in "Village" scene]))*100,1)</f>
        <v>0</v>
      </c>
      <c r="P44" s="110">
        <f>COUNTIF(Table15[Spawner],Table1[[#This Row],[Spawner Prefab]])</f>
        <v>0</v>
      </c>
      <c r="Q44" s="100">
        <f>ROUND((Table1[[#This Row],[Total in "Castle" scene]]/SUM(Table1[Total in "Castle" scene]))*100,1)</f>
        <v>0</v>
      </c>
      <c r="R44" s="105">
        <f>COUNTIF(Table20[Spawner],Table1[[#This Row],[Spawner Prefab]])</f>
        <v>10</v>
      </c>
      <c r="S44" s="97">
        <f>ROUND((Table1[[#This Row],[Total in "Dark" scene]]/SUM(Table1[Total in "Dark" scene]))*100,1)</f>
        <v>1</v>
      </c>
      <c r="T44" s="111">
        <f>Table1[[#This Row],[Total in "Village" scene]]+Table1[[#This Row],[Total in "Castle" scene]]+Table1[[#This Row],[Total in "Dark" scene]]</f>
        <v>10</v>
      </c>
      <c r="U44" s="99">
        <f>ROUND((Table1[[#This Row],[Total in the game]]/SUM(Table1[Total in the game]))*100,1)</f>
        <v>0.2</v>
      </c>
      <c r="W44" s="150" t="s">
        <v>7298</v>
      </c>
      <c r="X44" s="150" t="s">
        <v>342</v>
      </c>
      <c r="Y44" s="150" t="s">
        <v>342</v>
      </c>
      <c r="Z44" s="150" t="s">
        <v>342</v>
      </c>
    </row>
    <row r="45" spans="4:26" x14ac:dyDescent="0.25">
      <c r="D45" s="78" t="s">
        <v>7311</v>
      </c>
      <c r="E45" s="78" t="s">
        <v>7272</v>
      </c>
      <c r="F45" s="78" t="s">
        <v>7298</v>
      </c>
      <c r="G45" s="103">
        <v>110</v>
      </c>
      <c r="H45" s="103">
        <v>110</v>
      </c>
      <c r="I45" s="108">
        <v>15</v>
      </c>
      <c r="J45" s="93">
        <v>143</v>
      </c>
      <c r="K45" s="93">
        <v>3</v>
      </c>
      <c r="L45" s="93">
        <v>3</v>
      </c>
      <c r="M45" s="93" t="s">
        <v>9</v>
      </c>
      <c r="N45" s="104">
        <f>COUNTIF(Table7[Spawner],Table1[[#This Row],[Spawner Prefab]])</f>
        <v>0</v>
      </c>
      <c r="O45" s="96">
        <f>ROUND((Table1[[#This Row],[Total in "Village" scene]]/SUM(Table1[Total in "Village" scene]))*100,1)</f>
        <v>0</v>
      </c>
      <c r="P45" s="110">
        <f>COUNTIF(Table15[Spawner],Table1[[#This Row],[Spawner Prefab]])</f>
        <v>0</v>
      </c>
      <c r="Q45" s="100">
        <f>ROUND((Table1[[#This Row],[Total in "Castle" scene]]/SUM(Table1[Total in "Castle" scene]))*100,1)</f>
        <v>0</v>
      </c>
      <c r="R45" s="105">
        <f>COUNTIF(Table20[Spawner],Table1[[#This Row],[Spawner Prefab]])</f>
        <v>22</v>
      </c>
      <c r="S45" s="97">
        <f>ROUND((Table1[[#This Row],[Total in "Dark" scene]]/SUM(Table1[Total in "Dark" scene]))*100,1)</f>
        <v>2.2000000000000002</v>
      </c>
      <c r="T45" s="111">
        <f>Table1[[#This Row],[Total in "Village" scene]]+Table1[[#This Row],[Total in "Castle" scene]]+Table1[[#This Row],[Total in "Dark" scene]]</f>
        <v>22</v>
      </c>
      <c r="U45" s="99">
        <f>ROUND((Table1[[#This Row],[Total in the game]]/SUM(Table1[Total in the game]))*100,1)</f>
        <v>0.4</v>
      </c>
      <c r="W45" s="150" t="s">
        <v>7297</v>
      </c>
      <c r="X45" s="150" t="s">
        <v>343</v>
      </c>
      <c r="Y45" s="150" t="s">
        <v>343</v>
      </c>
      <c r="Z45" s="150" t="s">
        <v>343</v>
      </c>
    </row>
    <row r="46" spans="4:26" x14ac:dyDescent="0.25">
      <c r="D46" s="78" t="s">
        <v>7319</v>
      </c>
      <c r="E46" s="78" t="s">
        <v>7273</v>
      </c>
      <c r="F46" s="78" t="s">
        <v>7297</v>
      </c>
      <c r="G46" s="103">
        <v>110</v>
      </c>
      <c r="H46" s="103">
        <v>110</v>
      </c>
      <c r="I46" s="108">
        <v>20</v>
      </c>
      <c r="J46" s="93">
        <v>130</v>
      </c>
      <c r="K46" s="93">
        <v>4</v>
      </c>
      <c r="L46" s="93">
        <v>4</v>
      </c>
      <c r="M46" s="93">
        <v>37</v>
      </c>
      <c r="N46" s="104">
        <f>COUNTIF(Table7[Spawner],Table1[[#This Row],[Spawner Prefab]])</f>
        <v>0</v>
      </c>
      <c r="O46" s="96">
        <f>ROUND((Table1[[#This Row],[Total in "Village" scene]]/SUM(Table1[Total in "Village" scene]))*100,1)</f>
        <v>0</v>
      </c>
      <c r="P46" s="110">
        <f>COUNTIF(Table15[Spawner],Table1[[#This Row],[Spawner Prefab]])</f>
        <v>0</v>
      </c>
      <c r="Q46" s="100">
        <f>ROUND((Table1[[#This Row],[Total in "Castle" scene]]/SUM(Table1[Total in "Castle" scene]))*100,1)</f>
        <v>0</v>
      </c>
      <c r="R46" s="105">
        <f>COUNTIF(Table20[Spawner],Table1[[#This Row],[Spawner Prefab]])</f>
        <v>4</v>
      </c>
      <c r="S46" s="97">
        <f>ROUND((Table1[[#This Row],[Total in "Dark" scene]]/SUM(Table1[Total in "Dark" scene]))*100,1)</f>
        <v>0.4</v>
      </c>
      <c r="T46" s="111">
        <f>Table1[[#This Row],[Total in "Village" scene]]+Table1[[#This Row],[Total in "Castle" scene]]+Table1[[#This Row],[Total in "Dark" scene]]</f>
        <v>4</v>
      </c>
      <c r="U46" s="99">
        <f>ROUND((Table1[[#This Row],[Total in the game]]/SUM(Table1[Total in the game]))*100,1)</f>
        <v>0.1</v>
      </c>
      <c r="W46" s="115" t="s">
        <v>6</v>
      </c>
      <c r="X46" s="115" t="s">
        <v>342</v>
      </c>
      <c r="Y46" s="120" t="s">
        <v>342</v>
      </c>
      <c r="Z46" s="120" t="s">
        <v>342</v>
      </c>
    </row>
    <row r="47" spans="4:26" x14ac:dyDescent="0.25">
      <c r="D47" s="78" t="s">
        <v>16</v>
      </c>
      <c r="E47" s="78" t="s">
        <v>74</v>
      </c>
      <c r="F47" s="78" t="s">
        <v>6</v>
      </c>
      <c r="G47" s="103">
        <v>210</v>
      </c>
      <c r="H47" s="103">
        <v>210</v>
      </c>
      <c r="I47" s="108">
        <v>15</v>
      </c>
      <c r="J47" s="93">
        <v>83</v>
      </c>
      <c r="K47" s="93">
        <v>1</v>
      </c>
      <c r="L47" s="93">
        <v>1</v>
      </c>
      <c r="M47" s="93" t="s">
        <v>9</v>
      </c>
      <c r="N47" s="104">
        <f>COUNTIF(Table7[Spawner],Table1[[#This Row],[Spawner Prefab]])</f>
        <v>9</v>
      </c>
      <c r="O47" s="96">
        <f>ROUND((Table1[[#This Row],[Total in "Village" scene]]/SUM(Table1[Total in "Village" scene]))*100,1)</f>
        <v>0.4</v>
      </c>
      <c r="P47" s="110">
        <f>COUNTIF(Table15[Spawner],Table1[[#This Row],[Spawner Prefab]])</f>
        <v>0</v>
      </c>
      <c r="Q47" s="100">
        <f>ROUND((Table1[[#This Row],[Total in "Castle" scene]]/SUM(Table1[Total in "Castle" scene]))*100,1)</f>
        <v>0</v>
      </c>
      <c r="R47" s="105">
        <f>COUNTIF(Table20[Spawner],Table1[[#This Row],[Spawner Prefab]])</f>
        <v>0</v>
      </c>
      <c r="S47" s="97">
        <f>ROUND((Table1[[#This Row],[Total in "Dark" scene]]/SUM(Table1[Total in "Dark" scene]))*100,1)</f>
        <v>0</v>
      </c>
      <c r="T47" s="111">
        <f>Table1[[#This Row],[Total in "Village" scene]]+Table1[[#This Row],[Total in "Castle" scene]]+Table1[[#This Row],[Total in "Dark" scene]]</f>
        <v>9</v>
      </c>
      <c r="U47" s="99">
        <f>ROUND((Table1[[#This Row],[Total in the game]]/SUM(Table1[Total in the game]))*100,1)</f>
        <v>0.2</v>
      </c>
      <c r="W47" s="115" t="s">
        <v>272</v>
      </c>
      <c r="X47" s="115" t="s">
        <v>342</v>
      </c>
      <c r="Y47" s="120" t="s">
        <v>342</v>
      </c>
      <c r="Z47" s="120" t="s">
        <v>342</v>
      </c>
    </row>
    <row r="48" spans="4:26" x14ac:dyDescent="0.25">
      <c r="D48" s="78" t="s">
        <v>268</v>
      </c>
      <c r="E48" s="78" t="s">
        <v>74</v>
      </c>
      <c r="F48" s="78" t="s">
        <v>272</v>
      </c>
      <c r="G48" s="103">
        <v>210</v>
      </c>
      <c r="H48" s="103">
        <v>210</v>
      </c>
      <c r="I48" s="108">
        <v>15</v>
      </c>
      <c r="J48" s="93">
        <v>83</v>
      </c>
      <c r="K48" s="93">
        <v>1</v>
      </c>
      <c r="L48" s="93">
        <v>1</v>
      </c>
      <c r="M48" s="93" t="s">
        <v>9</v>
      </c>
      <c r="N48" s="104">
        <f>COUNTIF(Table7[Spawner],Table1[[#This Row],[Spawner Prefab]])</f>
        <v>0</v>
      </c>
      <c r="O48" s="96">
        <f>ROUND((Table1[[#This Row],[Total in "Village" scene]]/SUM(Table1[Total in "Village" scene]))*100,1)</f>
        <v>0</v>
      </c>
      <c r="P48" s="110">
        <f>COUNTIF(Table15[Spawner],Table1[[#This Row],[Spawner Prefab]])</f>
        <v>0</v>
      </c>
      <c r="Q48" s="100">
        <f>ROUND((Table1[[#This Row],[Total in "Castle" scene]]/SUM(Table1[Total in "Castle" scene]))*100,1)</f>
        <v>0</v>
      </c>
      <c r="R48" s="105">
        <f>COUNTIF(Table20[Spawner],Table1[[#This Row],[Spawner Prefab]])</f>
        <v>0</v>
      </c>
      <c r="S48" s="97">
        <f>ROUND((Table1[[#This Row],[Total in "Dark" scene]]/SUM(Table1[Total in "Dark" scene]))*100,1)</f>
        <v>0</v>
      </c>
      <c r="T48" s="111">
        <f>Table1[[#This Row],[Total in "Village" scene]]+Table1[[#This Row],[Total in "Castle" scene]]+Table1[[#This Row],[Total in "Dark" scene]]</f>
        <v>0</v>
      </c>
      <c r="U48" s="99">
        <f>ROUND((Table1[[#This Row],[Total in the game]]/SUM(Table1[Total in the game]))*100,1)</f>
        <v>0</v>
      </c>
      <c r="W48" s="115" t="s">
        <v>60</v>
      </c>
      <c r="X48" s="115" t="s">
        <v>343</v>
      </c>
      <c r="Y48" s="120" t="s">
        <v>343</v>
      </c>
      <c r="Z48" s="120" t="s">
        <v>343</v>
      </c>
    </row>
    <row r="49" spans="4:26" x14ac:dyDescent="0.25">
      <c r="D49" s="78" t="s">
        <v>65</v>
      </c>
      <c r="E49" s="78" t="s">
        <v>125</v>
      </c>
      <c r="F49" s="78" t="s">
        <v>60</v>
      </c>
      <c r="G49" s="103">
        <v>240</v>
      </c>
      <c r="H49" s="103">
        <v>240</v>
      </c>
      <c r="I49" s="108">
        <v>30</v>
      </c>
      <c r="J49" s="93">
        <v>55</v>
      </c>
      <c r="K49" s="93">
        <v>1</v>
      </c>
      <c r="L49" s="93">
        <v>1</v>
      </c>
      <c r="M49" s="93" t="s">
        <v>9</v>
      </c>
      <c r="N49" s="104">
        <f>COUNTIF(Table7[Spawner],Table1[[#This Row],[Spawner Prefab]])</f>
        <v>0</v>
      </c>
      <c r="O49" s="96">
        <f>ROUND((Table1[[#This Row],[Total in "Village" scene]]/SUM(Table1[Total in "Village" scene]))*100,1)</f>
        <v>0</v>
      </c>
      <c r="P49" s="110">
        <f>COUNTIF(Table15[Spawner],Table1[[#This Row],[Spawner Prefab]])</f>
        <v>13</v>
      </c>
      <c r="Q49" s="100">
        <f>ROUND((Table1[[#This Row],[Total in "Castle" scene]]/SUM(Table1[Total in "Castle" scene]))*100,1)</f>
        <v>0.7</v>
      </c>
      <c r="R49" s="105">
        <f>COUNTIF(Table20[Spawner],Table1[[#This Row],[Spawner Prefab]])</f>
        <v>0</v>
      </c>
      <c r="S49" s="97">
        <f>ROUND((Table1[[#This Row],[Total in "Dark" scene]]/SUM(Table1[Total in "Dark" scene]))*100,1)</f>
        <v>0</v>
      </c>
      <c r="T49" s="111">
        <f>Table1[[#This Row],[Total in "Village" scene]]+Table1[[#This Row],[Total in "Castle" scene]]+Table1[[#This Row],[Total in "Dark" scene]]</f>
        <v>13</v>
      </c>
      <c r="U49" s="99">
        <f>ROUND((Table1[[#This Row],[Total in the game]]/SUM(Table1[Total in the game]))*100,1)</f>
        <v>0.2</v>
      </c>
      <c r="W49" s="115" t="s">
        <v>61</v>
      </c>
      <c r="X49" s="115" t="s">
        <v>342</v>
      </c>
      <c r="Y49" s="120" t="s">
        <v>342</v>
      </c>
      <c r="Z49" s="120" t="s">
        <v>342</v>
      </c>
    </row>
    <row r="50" spans="4:26" x14ac:dyDescent="0.25">
      <c r="D50" s="78" t="s">
        <v>7323</v>
      </c>
      <c r="E50" s="78" t="s">
        <v>125</v>
      </c>
      <c r="F50" s="78" t="s">
        <v>7324</v>
      </c>
      <c r="G50" s="103">
        <v>240</v>
      </c>
      <c r="H50" s="103">
        <v>240</v>
      </c>
      <c r="I50" s="108">
        <v>30</v>
      </c>
      <c r="J50" s="93">
        <v>55</v>
      </c>
      <c r="K50" s="93">
        <v>1</v>
      </c>
      <c r="L50" s="93">
        <v>1</v>
      </c>
      <c r="M50" s="93" t="s">
        <v>9</v>
      </c>
      <c r="N50" s="104">
        <f>COUNTIF(Table7[Spawner],Table1[[#This Row],[Spawner Prefab]])</f>
        <v>0</v>
      </c>
      <c r="O50" s="96">
        <f>ROUND((Table1[[#This Row],[Total in "Village" scene]]/SUM(Table1[Total in "Village" scene]))*100,1)</f>
        <v>0</v>
      </c>
      <c r="P50" s="110">
        <f>COUNTIF(Table15[Spawner],Table1[[#This Row],[Spawner Prefab]])</f>
        <v>0</v>
      </c>
      <c r="Q50" s="100">
        <f>ROUND((Table1[[#This Row],[Total in "Castle" scene]]/SUM(Table1[Total in "Castle" scene]))*100,1)</f>
        <v>0</v>
      </c>
      <c r="R50" s="105">
        <f>COUNTIF(Table20[Spawner],Table1[[#This Row],[Spawner Prefab]])</f>
        <v>0</v>
      </c>
      <c r="S50" s="97">
        <f>ROUND((Table1[[#This Row],[Total in "Dark" scene]]/SUM(Table1[Total in "Dark" scene]))*100,1)</f>
        <v>0</v>
      </c>
      <c r="T50" s="111">
        <f>Table1[[#This Row],[Total in "Village" scene]]+Table1[[#This Row],[Total in "Castle" scene]]+Table1[[#This Row],[Total in "Dark" scene]]</f>
        <v>0</v>
      </c>
      <c r="U50" s="99">
        <f>ROUND((Table1[[#This Row],[Total in the game]]/SUM(Table1[Total in the game]))*100,1)</f>
        <v>0</v>
      </c>
      <c r="W50" s="115" t="s">
        <v>101</v>
      </c>
      <c r="X50" s="115" t="s">
        <v>342</v>
      </c>
      <c r="Y50" s="120" t="s">
        <v>342</v>
      </c>
      <c r="Z50" s="120" t="s">
        <v>342</v>
      </c>
    </row>
    <row r="51" spans="4:26" x14ac:dyDescent="0.25">
      <c r="D51" s="78" t="s">
        <v>66</v>
      </c>
      <c r="E51" s="78" t="s">
        <v>125</v>
      </c>
      <c r="F51" s="78" t="s">
        <v>61</v>
      </c>
      <c r="G51" s="103">
        <v>240</v>
      </c>
      <c r="H51" s="103">
        <v>240</v>
      </c>
      <c r="I51" s="108">
        <v>30</v>
      </c>
      <c r="J51" s="93">
        <v>55</v>
      </c>
      <c r="K51" s="93">
        <v>1</v>
      </c>
      <c r="L51" s="93">
        <v>1</v>
      </c>
      <c r="M51" s="93" t="s">
        <v>9</v>
      </c>
      <c r="N51" s="104">
        <f>COUNTIF(Table7[Spawner],Table1[[#This Row],[Spawner Prefab]])</f>
        <v>0</v>
      </c>
      <c r="O51" s="96">
        <f>ROUND((Table1[[#This Row],[Total in "Village" scene]]/SUM(Table1[Total in "Village" scene]))*100,1)</f>
        <v>0</v>
      </c>
      <c r="P51" s="110">
        <f>COUNTIF(Table15[Spawner],Table1[[#This Row],[Spawner Prefab]])</f>
        <v>1</v>
      </c>
      <c r="Q51" s="100">
        <f>ROUND((Table1[[#This Row],[Total in "Castle" scene]]/SUM(Table1[Total in "Castle" scene]))*100,1)</f>
        <v>0.1</v>
      </c>
      <c r="R51" s="105">
        <f>COUNTIF(Table20[Spawner],Table1[[#This Row],[Spawner Prefab]])</f>
        <v>0</v>
      </c>
      <c r="S51" s="97">
        <f>ROUND((Table1[[#This Row],[Total in "Dark" scene]]/SUM(Table1[Total in "Dark" scene]))*100,1)</f>
        <v>0</v>
      </c>
      <c r="T51" s="111">
        <f>Table1[[#This Row],[Total in "Village" scene]]+Table1[[#This Row],[Total in "Castle" scene]]+Table1[[#This Row],[Total in "Dark" scene]]</f>
        <v>1</v>
      </c>
      <c r="U51" s="99">
        <f>ROUND((Table1[[#This Row],[Total in the game]]/SUM(Table1[Total in the game]))*100,1)</f>
        <v>0</v>
      </c>
      <c r="W51" s="115" t="s">
        <v>579</v>
      </c>
      <c r="X51" s="115" t="s">
        <v>342</v>
      </c>
      <c r="Y51" s="120" t="s">
        <v>342</v>
      </c>
      <c r="Z51" s="120" t="s">
        <v>342</v>
      </c>
    </row>
    <row r="52" spans="4:26" x14ac:dyDescent="0.25">
      <c r="D52" s="78" t="s">
        <v>102</v>
      </c>
      <c r="E52" s="78" t="s">
        <v>107</v>
      </c>
      <c r="F52" s="78" t="s">
        <v>101</v>
      </c>
      <c r="G52" s="103">
        <v>200</v>
      </c>
      <c r="H52" s="103">
        <v>200</v>
      </c>
      <c r="I52" s="108">
        <v>3</v>
      </c>
      <c r="J52" s="93">
        <v>25</v>
      </c>
      <c r="K52" s="93">
        <v>0</v>
      </c>
      <c r="L52" s="93">
        <v>0</v>
      </c>
      <c r="M52" s="93" t="s">
        <v>9</v>
      </c>
      <c r="N52" s="104">
        <f>COUNTIF(Table7[Spawner],Table1[[#This Row],[Spawner Prefab]])</f>
        <v>51</v>
      </c>
      <c r="O52" s="96">
        <f>ROUND((Table1[[#This Row],[Total in "Village" scene]]/SUM(Table1[Total in "Village" scene]))*100,1)</f>
        <v>2.1</v>
      </c>
      <c r="P52" s="110">
        <f>COUNTIF(Table15[Spawner],Table1[[#This Row],[Spawner Prefab]])</f>
        <v>11</v>
      </c>
      <c r="Q52" s="100">
        <f>ROUND((Table1[[#This Row],[Total in "Castle" scene]]/SUM(Table1[Total in "Castle" scene]))*100,1)</f>
        <v>0.6</v>
      </c>
      <c r="R52" s="105">
        <f>COUNTIF(Table20[Spawner],Table1[[#This Row],[Spawner Prefab]])</f>
        <v>76</v>
      </c>
      <c r="S52" s="97">
        <f>ROUND((Table1[[#This Row],[Total in "Dark" scene]]/SUM(Table1[Total in "Dark" scene]))*100,1)</f>
        <v>7.5</v>
      </c>
      <c r="T52" s="111">
        <f>Table1[[#This Row],[Total in "Village" scene]]+Table1[[#This Row],[Total in "Castle" scene]]+Table1[[#This Row],[Total in "Dark" scene]]</f>
        <v>138</v>
      </c>
      <c r="U52" s="99">
        <f>ROUND((Table1[[#This Row],[Total in the game]]/SUM(Table1[Total in the game]))*100,1)</f>
        <v>2.5</v>
      </c>
      <c r="W52" s="115" t="s">
        <v>468</v>
      </c>
      <c r="X52" s="115" t="s">
        <v>343</v>
      </c>
      <c r="Y52" s="120" t="s">
        <v>343</v>
      </c>
      <c r="Z52" s="120" t="s">
        <v>343</v>
      </c>
    </row>
    <row r="53" spans="4:26" x14ac:dyDescent="0.25">
      <c r="D53" s="78" t="s">
        <v>578</v>
      </c>
      <c r="E53" s="78" t="s">
        <v>577</v>
      </c>
      <c r="F53" s="78" t="s">
        <v>579</v>
      </c>
      <c r="G53" s="103">
        <v>120</v>
      </c>
      <c r="H53" s="103">
        <v>120</v>
      </c>
      <c r="I53" s="108">
        <v>15</v>
      </c>
      <c r="J53" s="93">
        <v>75</v>
      </c>
      <c r="K53" s="93">
        <v>0</v>
      </c>
      <c r="L53" s="93">
        <v>0</v>
      </c>
      <c r="M53" s="93" t="s">
        <v>9</v>
      </c>
      <c r="N53" s="104">
        <f>COUNTIF(Table7[Spawner],Table1[[#This Row],[Spawner Prefab]])</f>
        <v>0</v>
      </c>
      <c r="O53" s="96">
        <f>ROUND((Table1[[#This Row],[Total in "Village" scene]]/SUM(Table1[Total in "Village" scene]))*100,1)</f>
        <v>0</v>
      </c>
      <c r="P53" s="110">
        <f>COUNTIF(Table15[Spawner],Table1[[#This Row],[Spawner Prefab]])</f>
        <v>0</v>
      </c>
      <c r="Q53" s="100">
        <f>ROUND((Table1[[#This Row],[Total in "Castle" scene]]/SUM(Table1[Total in "Castle" scene]))*100,1)</f>
        <v>0</v>
      </c>
      <c r="R53" s="105">
        <f>COUNTIF(Table20[Spawner],Table1[[#This Row],[Spawner Prefab]])</f>
        <v>0</v>
      </c>
      <c r="S53" s="97">
        <f>ROUND((Table1[[#This Row],[Total in "Dark" scene]]/SUM(Table1[Total in "Dark" scene]))*100,1)</f>
        <v>0</v>
      </c>
      <c r="T53" s="111">
        <f>Table1[[#This Row],[Total in "Village" scene]]+Table1[[#This Row],[Total in "Castle" scene]]+Table1[[#This Row],[Total in "Dark" scene]]</f>
        <v>0</v>
      </c>
      <c r="U53" s="99">
        <f>ROUND((Table1[[#This Row],[Total in the game]]/SUM(Table1[Total in the game]))*100,1)</f>
        <v>0</v>
      </c>
      <c r="W53" s="115" t="s">
        <v>411</v>
      </c>
      <c r="X53" s="115" t="s">
        <v>342</v>
      </c>
      <c r="Y53" s="120" t="s">
        <v>342</v>
      </c>
      <c r="Z53" s="120" t="s">
        <v>342</v>
      </c>
    </row>
    <row r="54" spans="4:26" x14ac:dyDescent="0.25">
      <c r="D54" s="78" t="s">
        <v>467</v>
      </c>
      <c r="E54" s="78" t="s">
        <v>502</v>
      </c>
      <c r="F54" s="78" t="s">
        <v>468</v>
      </c>
      <c r="G54" s="103">
        <v>300</v>
      </c>
      <c r="H54" s="103">
        <v>300</v>
      </c>
      <c r="I54" s="108">
        <v>45</v>
      </c>
      <c r="J54" s="93">
        <v>105</v>
      </c>
      <c r="K54" s="93">
        <v>2</v>
      </c>
      <c r="L54" s="93">
        <v>2</v>
      </c>
      <c r="M54" s="93">
        <v>40</v>
      </c>
      <c r="N54" s="104">
        <f>COUNTIF(Table7[Spawner],Table1[[#This Row],[Spawner Prefab]])</f>
        <v>0</v>
      </c>
      <c r="O54" s="96">
        <f>ROUND((Table1[[#This Row],[Total in "Village" scene]]/SUM(Table1[Total in "Village" scene]))*100,1)</f>
        <v>0</v>
      </c>
      <c r="P54" s="110">
        <f>COUNTIF(Table15[Spawner],Table1[[#This Row],[Spawner Prefab]])</f>
        <v>13</v>
      </c>
      <c r="Q54" s="100">
        <f>ROUND((Table1[[#This Row],[Total in "Castle" scene]]/SUM(Table1[Total in "Castle" scene]))*100,1)</f>
        <v>0.7</v>
      </c>
      <c r="R54" s="105">
        <f>COUNTIF(Table20[Spawner],Table1[[#This Row],[Spawner Prefab]])</f>
        <v>0</v>
      </c>
      <c r="S54" s="97">
        <f>ROUND((Table1[[#This Row],[Total in "Dark" scene]]/SUM(Table1[Total in "Dark" scene]))*100,1)</f>
        <v>0</v>
      </c>
      <c r="T54" s="111">
        <f>Table1[[#This Row],[Total in "Village" scene]]+Table1[[#This Row],[Total in "Castle" scene]]+Table1[[#This Row],[Total in "Dark" scene]]</f>
        <v>13</v>
      </c>
      <c r="U54" s="99">
        <f>ROUND((Table1[[#This Row],[Total in the game]]/SUM(Table1[Total in the game]))*100,1)</f>
        <v>0.2</v>
      </c>
      <c r="W54" s="115" t="s">
        <v>478</v>
      </c>
      <c r="X54" s="115" t="s">
        <v>343</v>
      </c>
      <c r="Y54" s="120" t="s">
        <v>343</v>
      </c>
      <c r="Z54" s="120" t="s">
        <v>343</v>
      </c>
    </row>
    <row r="55" spans="4:26" x14ac:dyDescent="0.25">
      <c r="D55" s="78" t="s">
        <v>10</v>
      </c>
      <c r="E55" s="78" t="s">
        <v>75</v>
      </c>
      <c r="F55" s="78" t="s">
        <v>411</v>
      </c>
      <c r="G55" s="103">
        <v>240</v>
      </c>
      <c r="H55" s="103">
        <v>240</v>
      </c>
      <c r="I55" s="108">
        <v>15</v>
      </c>
      <c r="J55" s="93">
        <v>50</v>
      </c>
      <c r="K55" s="93">
        <v>0</v>
      </c>
      <c r="L55" s="93">
        <v>0</v>
      </c>
      <c r="M55" s="93" t="s">
        <v>9</v>
      </c>
      <c r="N55" s="104">
        <f>COUNTIF(Table7[Spawner],Table1[[#This Row],[Spawner Prefab]])</f>
        <v>5</v>
      </c>
      <c r="O55" s="96">
        <f>ROUND((Table1[[#This Row],[Total in "Village" scene]]/SUM(Table1[Total in "Village" scene]))*100,1)</f>
        <v>0.2</v>
      </c>
      <c r="P55" s="110">
        <f>COUNTIF(Table15[Spawner],Table1[[#This Row],[Spawner Prefab]])</f>
        <v>6</v>
      </c>
      <c r="Q55" s="100">
        <f>ROUND((Table1[[#This Row],[Total in "Castle" scene]]/SUM(Table1[Total in "Castle" scene]))*100,1)</f>
        <v>0.3</v>
      </c>
      <c r="R55" s="105">
        <f>COUNTIF(Table20[Spawner],Table1[[#This Row],[Spawner Prefab]])</f>
        <v>0</v>
      </c>
      <c r="S55" s="97">
        <f>ROUND((Table1[[#This Row],[Total in "Dark" scene]]/SUM(Table1[Total in "Dark" scene]))*100,1)</f>
        <v>0</v>
      </c>
      <c r="T55" s="111">
        <f>Table1[[#This Row],[Total in "Village" scene]]+Table1[[#This Row],[Total in "Castle" scene]]+Table1[[#This Row],[Total in "Dark" scene]]</f>
        <v>11</v>
      </c>
      <c r="U55" s="99">
        <f>ROUND((Table1[[#This Row],[Total in the game]]/SUM(Table1[Total in the game]))*100,1)</f>
        <v>0.2</v>
      </c>
      <c r="W55" s="115" t="s">
        <v>479</v>
      </c>
      <c r="X55" s="115" t="s">
        <v>343</v>
      </c>
      <c r="Y55" s="120" t="s">
        <v>343</v>
      </c>
      <c r="Z55" s="120" t="s">
        <v>343</v>
      </c>
    </row>
    <row r="56" spans="4:26" ht="15" customHeight="1" x14ac:dyDescent="0.25">
      <c r="D56" s="78" t="s">
        <v>51</v>
      </c>
      <c r="E56" s="78" t="s">
        <v>108</v>
      </c>
      <c r="F56" s="78" t="s">
        <v>478</v>
      </c>
      <c r="G56" s="103">
        <v>220</v>
      </c>
      <c r="H56" s="103">
        <v>220</v>
      </c>
      <c r="I56" s="108">
        <v>20</v>
      </c>
      <c r="J56" s="93">
        <v>50</v>
      </c>
      <c r="K56" s="93">
        <v>0</v>
      </c>
      <c r="L56" s="93">
        <v>0</v>
      </c>
      <c r="M56" s="93">
        <v>10</v>
      </c>
      <c r="N56" s="104">
        <f>COUNTIF(Table7[Spawner],Table1[[#This Row],[Spawner Prefab]])</f>
        <v>25</v>
      </c>
      <c r="O56" s="96">
        <f>ROUND((Table1[[#This Row],[Total in "Village" scene]]/SUM(Table1[Total in "Village" scene]))*100,1)</f>
        <v>1</v>
      </c>
      <c r="P56" s="110">
        <f>COUNTIF(Table15[Spawner],Table1[[#This Row],[Spawner Prefab]])</f>
        <v>5</v>
      </c>
      <c r="Q56" s="100">
        <f>ROUND((Table1[[#This Row],[Total in "Castle" scene]]/SUM(Table1[Total in "Castle" scene]))*100,1)</f>
        <v>0.3</v>
      </c>
      <c r="R56" s="105">
        <f>COUNTIF(Table20[Spawner],Table1[[#This Row],[Spawner Prefab]])</f>
        <v>0</v>
      </c>
      <c r="S56" s="97">
        <f>ROUND((Table1[[#This Row],[Total in "Dark" scene]]/SUM(Table1[Total in "Dark" scene]))*100,1)</f>
        <v>0</v>
      </c>
      <c r="T56" s="111">
        <f>Table1[[#This Row],[Total in "Village" scene]]+Table1[[#This Row],[Total in "Castle" scene]]+Table1[[#This Row],[Total in "Dark" scene]]</f>
        <v>30</v>
      </c>
      <c r="U56" s="99">
        <f>ROUND((Table1[[#This Row],[Total in the game]]/SUM(Table1[Total in the game]))*100,1)</f>
        <v>0.6</v>
      </c>
      <c r="W56" s="115" t="s">
        <v>480</v>
      </c>
      <c r="X56" s="115" t="s">
        <v>343</v>
      </c>
      <c r="Y56" s="120" t="s">
        <v>343</v>
      </c>
      <c r="Z56" s="120" t="s">
        <v>343</v>
      </c>
    </row>
    <row r="57" spans="4:26" x14ac:dyDescent="0.25">
      <c r="D57" s="78" t="s">
        <v>52</v>
      </c>
      <c r="E57" s="78" t="s">
        <v>109</v>
      </c>
      <c r="F57" s="78" t="s">
        <v>479</v>
      </c>
      <c r="G57" s="103">
        <v>240</v>
      </c>
      <c r="H57" s="103">
        <v>240</v>
      </c>
      <c r="I57" s="108">
        <v>40</v>
      </c>
      <c r="J57" s="93">
        <v>83</v>
      </c>
      <c r="K57" s="93">
        <v>1</v>
      </c>
      <c r="L57" s="93">
        <v>1</v>
      </c>
      <c r="M57" s="93">
        <v>20</v>
      </c>
      <c r="N57" s="104">
        <f>COUNTIF(Table7[Spawner],Table1[[#This Row],[Spawner Prefab]])</f>
        <v>14</v>
      </c>
      <c r="O57" s="96">
        <f>ROUND((Table1[[#This Row],[Total in "Village" scene]]/SUM(Table1[Total in "Village" scene]))*100,1)</f>
        <v>0.6</v>
      </c>
      <c r="P57" s="110">
        <f>COUNTIF(Table15[Spawner],Table1[[#This Row],[Spawner Prefab]])</f>
        <v>4</v>
      </c>
      <c r="Q57" s="100">
        <f>ROUND((Table1[[#This Row],[Total in "Castle" scene]]/SUM(Table1[Total in "Castle" scene]))*100,1)</f>
        <v>0.2</v>
      </c>
      <c r="R57" s="105">
        <f>COUNTIF(Table20[Spawner],Table1[[#This Row],[Spawner Prefab]])</f>
        <v>0</v>
      </c>
      <c r="S57" s="97">
        <f>ROUND((Table1[[#This Row],[Total in "Dark" scene]]/SUM(Table1[Total in "Dark" scene]))*100,1)</f>
        <v>0</v>
      </c>
      <c r="T57" s="111">
        <f>Table1[[#This Row],[Total in "Village" scene]]+Table1[[#This Row],[Total in "Castle" scene]]+Table1[[#This Row],[Total in "Dark" scene]]</f>
        <v>18</v>
      </c>
      <c r="U57" s="99">
        <f>ROUND((Table1[[#This Row],[Total in the game]]/SUM(Table1[Total in the game]))*100,1)</f>
        <v>0.3</v>
      </c>
      <c r="W57" s="115" t="s">
        <v>481</v>
      </c>
      <c r="X57" s="115" t="s">
        <v>343</v>
      </c>
      <c r="Y57" s="120" t="s">
        <v>343</v>
      </c>
      <c r="Z57" s="120" t="s">
        <v>343</v>
      </c>
    </row>
    <row r="58" spans="4:26" x14ac:dyDescent="0.25">
      <c r="D58" s="78" t="s">
        <v>53</v>
      </c>
      <c r="E58" s="78" t="s">
        <v>110</v>
      </c>
      <c r="F58" s="78" t="s">
        <v>480</v>
      </c>
      <c r="G58" s="103">
        <v>260</v>
      </c>
      <c r="H58" s="103">
        <v>260</v>
      </c>
      <c r="I58" s="108">
        <v>80</v>
      </c>
      <c r="J58" s="93">
        <v>105</v>
      </c>
      <c r="K58" s="93">
        <v>2</v>
      </c>
      <c r="L58" s="93">
        <v>2</v>
      </c>
      <c r="M58" s="93">
        <v>40</v>
      </c>
      <c r="N58" s="104">
        <f>COUNTIF(Table7[Spawner],Table1[[#This Row],[Spawner Prefab]])</f>
        <v>10</v>
      </c>
      <c r="O58" s="96">
        <f>ROUND((Table1[[#This Row],[Total in "Village" scene]]/SUM(Table1[Total in "Village" scene]))*100,1)</f>
        <v>0.4</v>
      </c>
      <c r="P58" s="110">
        <f>COUNTIF(Table15[Spawner],Table1[[#This Row],[Spawner Prefab]])</f>
        <v>8</v>
      </c>
      <c r="Q58" s="100">
        <f>ROUND((Table1[[#This Row],[Total in "Castle" scene]]/SUM(Table1[Total in "Castle" scene]))*100,1)</f>
        <v>0.4</v>
      </c>
      <c r="R58" s="105">
        <f>COUNTIF(Table20[Spawner],Table1[[#This Row],[Spawner Prefab]])</f>
        <v>3</v>
      </c>
      <c r="S58" s="97">
        <f>ROUND((Table1[[#This Row],[Total in "Dark" scene]]/SUM(Table1[Total in "Dark" scene]))*100,1)</f>
        <v>0.3</v>
      </c>
      <c r="T58" s="111">
        <f>Table1[[#This Row],[Total in "Village" scene]]+Table1[[#This Row],[Total in "Castle" scene]]+Table1[[#This Row],[Total in "Dark" scene]]</f>
        <v>21</v>
      </c>
      <c r="U58" s="99">
        <f>ROUND((Table1[[#This Row],[Total in the game]]/SUM(Table1[Total in the game]))*100,1)</f>
        <v>0.4</v>
      </c>
      <c r="W58" s="115" t="s">
        <v>482</v>
      </c>
      <c r="X58" s="115" t="s">
        <v>343</v>
      </c>
      <c r="Y58" s="120" t="s">
        <v>343</v>
      </c>
      <c r="Z58" s="120" t="s">
        <v>343</v>
      </c>
    </row>
    <row r="59" spans="4:26" x14ac:dyDescent="0.25">
      <c r="D59" s="78" t="s">
        <v>54</v>
      </c>
      <c r="E59" s="78" t="s">
        <v>111</v>
      </c>
      <c r="F59" s="78" t="s">
        <v>481</v>
      </c>
      <c r="G59" s="103">
        <v>280</v>
      </c>
      <c r="H59" s="103">
        <v>280</v>
      </c>
      <c r="I59" s="108">
        <v>100</v>
      </c>
      <c r="J59" s="93">
        <v>143</v>
      </c>
      <c r="K59" s="93">
        <v>3</v>
      </c>
      <c r="L59" s="93">
        <v>3</v>
      </c>
      <c r="M59" s="93">
        <v>50</v>
      </c>
      <c r="N59" s="104">
        <f>COUNTIF(Table7[Spawner],Table1[[#This Row],[Spawner Prefab]])</f>
        <v>17</v>
      </c>
      <c r="O59" s="96">
        <f>ROUND((Table1[[#This Row],[Total in "Village" scene]]/SUM(Table1[Total in "Village" scene]))*100,1)</f>
        <v>0.7</v>
      </c>
      <c r="P59" s="110">
        <f>COUNTIF(Table15[Spawner],Table1[[#This Row],[Spawner Prefab]])</f>
        <v>7</v>
      </c>
      <c r="Q59" s="100">
        <f>ROUND((Table1[[#This Row],[Total in "Castle" scene]]/SUM(Table1[Total in "Castle" scene]))*100,1)</f>
        <v>0.4</v>
      </c>
      <c r="R59" s="105">
        <f>COUNTIF(Table20[Spawner],Table1[[#This Row],[Spawner Prefab]])</f>
        <v>7</v>
      </c>
      <c r="S59" s="97">
        <f>ROUND((Table1[[#This Row],[Total in "Dark" scene]]/SUM(Table1[Total in "Dark" scene]))*100,1)</f>
        <v>0.7</v>
      </c>
      <c r="T59" s="111">
        <f>Table1[[#This Row],[Total in "Village" scene]]+Table1[[#This Row],[Total in "Castle" scene]]+Table1[[#This Row],[Total in "Dark" scene]]</f>
        <v>31</v>
      </c>
      <c r="U59" s="99">
        <f>ROUND((Table1[[#This Row],[Total in the game]]/SUM(Table1[Total in the game]))*100,1)</f>
        <v>0.6</v>
      </c>
      <c r="W59" s="115" t="s">
        <v>421</v>
      </c>
      <c r="X59" s="115" t="s">
        <v>342</v>
      </c>
      <c r="Y59" s="120" t="s">
        <v>342</v>
      </c>
      <c r="Z59" s="120" t="s">
        <v>342</v>
      </c>
    </row>
    <row r="60" spans="4:26" x14ac:dyDescent="0.25">
      <c r="D60" s="78" t="s">
        <v>55</v>
      </c>
      <c r="E60" s="78" t="s">
        <v>112</v>
      </c>
      <c r="F60" s="78" t="s">
        <v>482</v>
      </c>
      <c r="G60" s="103">
        <v>300</v>
      </c>
      <c r="H60" s="103">
        <v>300</v>
      </c>
      <c r="I60" s="108">
        <v>120</v>
      </c>
      <c r="J60" s="93">
        <v>130</v>
      </c>
      <c r="K60" s="93">
        <v>4</v>
      </c>
      <c r="L60" s="93">
        <v>4</v>
      </c>
      <c r="M60" s="93">
        <v>60</v>
      </c>
      <c r="N60" s="104">
        <f>COUNTIF(Table7[Spawner],Table1[[#This Row],[Spawner Prefab]])</f>
        <v>7</v>
      </c>
      <c r="O60" s="96">
        <f>ROUND((Table1[[#This Row],[Total in "Village" scene]]/SUM(Table1[Total in "Village" scene]))*100,1)</f>
        <v>0.3</v>
      </c>
      <c r="P60" s="110">
        <f>COUNTIF(Table15[Spawner],Table1[[#This Row],[Spawner Prefab]])</f>
        <v>3</v>
      </c>
      <c r="Q60" s="100">
        <f>ROUND((Table1[[#This Row],[Total in "Castle" scene]]/SUM(Table1[Total in "Castle" scene]))*100,1)</f>
        <v>0.2</v>
      </c>
      <c r="R60" s="105">
        <f>COUNTIF(Table20[Spawner],Table1[[#This Row],[Spawner Prefab]])</f>
        <v>4</v>
      </c>
      <c r="S60" s="97">
        <f>ROUND((Table1[[#This Row],[Total in "Dark" scene]]/SUM(Table1[Total in "Dark" scene]))*100,1)</f>
        <v>0.4</v>
      </c>
      <c r="T60" s="111">
        <f>Table1[[#This Row],[Total in "Village" scene]]+Table1[[#This Row],[Total in "Castle" scene]]+Table1[[#This Row],[Total in "Dark" scene]]</f>
        <v>14</v>
      </c>
      <c r="U60" s="99">
        <f>ROUND((Table1[[#This Row],[Total in the game]]/SUM(Table1[Total in the game]))*100,1)</f>
        <v>0.3</v>
      </c>
      <c r="W60" s="115" t="s">
        <v>423</v>
      </c>
      <c r="X60" s="115" t="s">
        <v>342</v>
      </c>
      <c r="Y60" s="120" t="s">
        <v>342</v>
      </c>
      <c r="Z60" s="120" t="s">
        <v>342</v>
      </c>
    </row>
    <row r="61" spans="4:26" x14ac:dyDescent="0.25">
      <c r="D61" s="78" t="s">
        <v>420</v>
      </c>
      <c r="E61" s="78" t="s">
        <v>435</v>
      </c>
      <c r="F61" s="78" t="s">
        <v>421</v>
      </c>
      <c r="G61" s="103">
        <v>140</v>
      </c>
      <c r="H61" s="103">
        <v>140</v>
      </c>
      <c r="I61" s="108">
        <v>30</v>
      </c>
      <c r="J61" s="93">
        <v>28</v>
      </c>
      <c r="K61" s="93">
        <v>1</v>
      </c>
      <c r="L61" s="93">
        <v>1</v>
      </c>
      <c r="M61" s="93" t="s">
        <v>9</v>
      </c>
      <c r="N61" s="104">
        <f>COUNTIF(Table7[Spawner],Table1[[#This Row],[Spawner Prefab]])</f>
        <v>6</v>
      </c>
      <c r="O61" s="96">
        <f>ROUND((Table1[[#This Row],[Total in "Village" scene]]/SUM(Table1[Total in "Village" scene]))*100,1)</f>
        <v>0.2</v>
      </c>
      <c r="P61" s="110">
        <f>COUNTIF(Table15[Spawner],Table1[[#This Row],[Spawner Prefab]])</f>
        <v>12</v>
      </c>
      <c r="Q61" s="100">
        <f>ROUND((Table1[[#This Row],[Total in "Castle" scene]]/SUM(Table1[Total in "Castle" scene]))*100,1)</f>
        <v>0.6</v>
      </c>
      <c r="R61" s="105">
        <f>COUNTIF(Table20[Spawner],Table1[[#This Row],[Spawner Prefab]])</f>
        <v>13</v>
      </c>
      <c r="S61" s="97">
        <f>ROUND((Table1[[#This Row],[Total in "Dark" scene]]/SUM(Table1[Total in "Dark" scene]))*100,1)</f>
        <v>1.3</v>
      </c>
      <c r="T61" s="111">
        <f>Table1[[#This Row],[Total in "Village" scene]]+Table1[[#This Row],[Total in "Castle" scene]]+Table1[[#This Row],[Total in "Dark" scene]]</f>
        <v>31</v>
      </c>
      <c r="U61" s="99">
        <f>ROUND((Table1[[#This Row],[Total in the game]]/SUM(Table1[Total in the game]))*100,1)</f>
        <v>0.6</v>
      </c>
      <c r="W61" s="150" t="s">
        <v>7296</v>
      </c>
      <c r="X61" s="150" t="s">
        <v>343</v>
      </c>
      <c r="Y61" s="150" t="s">
        <v>343</v>
      </c>
      <c r="Z61" s="150" t="s">
        <v>343</v>
      </c>
    </row>
    <row r="62" spans="4:26" x14ac:dyDescent="0.25">
      <c r="D62" s="78" t="s">
        <v>422</v>
      </c>
      <c r="E62" s="78" t="s">
        <v>436</v>
      </c>
      <c r="F62" s="78" t="s">
        <v>423</v>
      </c>
      <c r="G62" s="103">
        <v>140</v>
      </c>
      <c r="H62" s="103">
        <v>140</v>
      </c>
      <c r="I62" s="108">
        <v>6</v>
      </c>
      <c r="J62" s="93">
        <v>25</v>
      </c>
      <c r="K62" s="93">
        <v>0</v>
      </c>
      <c r="L62" s="93">
        <v>0</v>
      </c>
      <c r="M62" s="93" t="s">
        <v>9</v>
      </c>
      <c r="N62" s="104">
        <f>COUNTIF(Table7[Spawner],Table1[[#This Row],[Spawner Prefab]])</f>
        <v>17</v>
      </c>
      <c r="O62" s="96">
        <f>ROUND((Table1[[#This Row],[Total in "Village" scene]]/SUM(Table1[Total in "Village" scene]))*100,1)</f>
        <v>0.7</v>
      </c>
      <c r="P62" s="110">
        <f>COUNTIF(Table15[Spawner],Table1[[#This Row],[Spawner Prefab]])</f>
        <v>28</v>
      </c>
      <c r="Q62" s="100">
        <f>ROUND((Table1[[#This Row],[Total in "Castle" scene]]/SUM(Table1[Total in "Castle" scene]))*100,1)</f>
        <v>1.4</v>
      </c>
      <c r="R62" s="105">
        <f>COUNTIF(Table20[Spawner],Table1[[#This Row],[Spawner Prefab]])</f>
        <v>14</v>
      </c>
      <c r="S62" s="97">
        <f>ROUND((Table1[[#This Row],[Total in "Dark" scene]]/SUM(Table1[Total in "Dark" scene]))*100,1)</f>
        <v>1.4</v>
      </c>
      <c r="T62" s="111">
        <f>Table1[[#This Row],[Total in "Village" scene]]+Table1[[#This Row],[Total in "Castle" scene]]+Table1[[#This Row],[Total in "Dark" scene]]</f>
        <v>59</v>
      </c>
      <c r="U62" s="99">
        <f>ROUND((Table1[[#This Row],[Total in the game]]/SUM(Table1[Total in the game]))*100,1)</f>
        <v>1.1000000000000001</v>
      </c>
      <c r="W62" s="119" t="s">
        <v>7295</v>
      </c>
      <c r="X62" s="119" t="s">
        <v>342</v>
      </c>
      <c r="Y62" s="119" t="s">
        <v>342</v>
      </c>
      <c r="Z62" s="119" t="s">
        <v>342</v>
      </c>
    </row>
    <row r="63" spans="4:26" x14ac:dyDescent="0.25">
      <c r="D63" s="78" t="s">
        <v>7325</v>
      </c>
      <c r="E63" s="78" t="s">
        <v>432</v>
      </c>
      <c r="F63" s="78" t="s">
        <v>7326</v>
      </c>
      <c r="G63" s="103">
        <v>110</v>
      </c>
      <c r="H63" s="103">
        <v>110</v>
      </c>
      <c r="I63" s="108">
        <v>-10</v>
      </c>
      <c r="J63" s="93" t="s">
        <v>7322</v>
      </c>
      <c r="K63" s="93">
        <v>0</v>
      </c>
      <c r="L63" s="93">
        <v>0</v>
      </c>
      <c r="M63" s="93" t="s">
        <v>9</v>
      </c>
      <c r="N63" s="104">
        <f>COUNTIF(Table7[Spawner],Table1[[#This Row],[Spawner Prefab]])</f>
        <v>0</v>
      </c>
      <c r="O63" s="96">
        <f>ROUND((Table1[[#This Row],[Total in "Village" scene]]/SUM(Table1[Total in "Village" scene]))*100,1)</f>
        <v>0</v>
      </c>
      <c r="P63" s="110">
        <f>COUNTIF(Table15[Spawner],Table1[[#This Row],[Spawner Prefab]])</f>
        <v>0</v>
      </c>
      <c r="Q63" s="100">
        <f>ROUND((Table1[[#This Row],[Total in "Castle" scene]]/SUM(Table1[Total in "Castle" scene]))*100,1)</f>
        <v>0</v>
      </c>
      <c r="R63" s="105">
        <f>COUNTIF(Table20[Spawner],Table1[[#This Row],[Spawner Prefab]])</f>
        <v>0</v>
      </c>
      <c r="S63" s="97">
        <f>ROUND((Table1[[#This Row],[Total in "Dark" scene]]/SUM(Table1[Total in "Dark" scene]))*100,1)</f>
        <v>0</v>
      </c>
      <c r="T63" s="111">
        <f>Table1[[#This Row],[Total in "Village" scene]]+Table1[[#This Row],[Total in "Castle" scene]]+Table1[[#This Row],[Total in "Dark" scene]]</f>
        <v>0</v>
      </c>
      <c r="U63" s="99">
        <f>ROUND((Table1[[#This Row],[Total in the game]]/SUM(Table1[Total in the game]))*100,1)</f>
        <v>0</v>
      </c>
      <c r="W63" s="115" t="s">
        <v>62</v>
      </c>
      <c r="X63" s="115" t="s">
        <v>342</v>
      </c>
      <c r="Y63" s="120" t="s">
        <v>342</v>
      </c>
      <c r="Z63" s="120" t="s">
        <v>342</v>
      </c>
    </row>
    <row r="64" spans="4:26" x14ac:dyDescent="0.25">
      <c r="D64" s="78" t="s">
        <v>7302</v>
      </c>
      <c r="E64" s="78" t="s">
        <v>7274</v>
      </c>
      <c r="F64" s="78" t="s">
        <v>7295</v>
      </c>
      <c r="G64" s="103">
        <v>110</v>
      </c>
      <c r="H64" s="103">
        <v>110</v>
      </c>
      <c r="I64" s="108">
        <v>14</v>
      </c>
      <c r="J64" s="93">
        <v>35</v>
      </c>
      <c r="K64" s="93">
        <v>2</v>
      </c>
      <c r="L64" s="93">
        <v>2</v>
      </c>
      <c r="M64" s="93" t="s">
        <v>9</v>
      </c>
      <c r="N64" s="104">
        <f>COUNTIF(Table7[Spawner],Table1[[#This Row],[Spawner Prefab]])</f>
        <v>0</v>
      </c>
      <c r="O64" s="96">
        <f>ROUND((Table1[[#This Row],[Total in "Village" scene]]/SUM(Table1[Total in "Village" scene]))*100,1)</f>
        <v>0</v>
      </c>
      <c r="P64" s="110">
        <f>COUNTIF(Table15[Spawner],Table1[[#This Row],[Spawner Prefab]])</f>
        <v>0</v>
      </c>
      <c r="Q64" s="100">
        <f>ROUND((Table1[[#This Row],[Total in "Castle" scene]]/SUM(Table1[Total in "Castle" scene]))*100,1)</f>
        <v>0</v>
      </c>
      <c r="R64" s="105">
        <f>COUNTIF(Table20[Spawner],Table1[[#This Row],[Spawner Prefab]])</f>
        <v>36</v>
      </c>
      <c r="S64" s="97">
        <f>ROUND((Table1[[#This Row],[Total in "Dark" scene]]/SUM(Table1[Total in "Dark" scene]))*100,1)</f>
        <v>3.6</v>
      </c>
      <c r="T64" s="111">
        <f>Table1[[#This Row],[Total in "Village" scene]]+Table1[[#This Row],[Total in "Castle" scene]]+Table1[[#This Row],[Total in "Dark" scene]]</f>
        <v>36</v>
      </c>
      <c r="U64" s="99">
        <f>ROUND((Table1[[#This Row],[Total in the game]]/SUM(Table1[Total in the game]))*100,1)</f>
        <v>0.7</v>
      </c>
      <c r="W64" s="115" t="s">
        <v>62</v>
      </c>
      <c r="X64" s="115" t="s">
        <v>342</v>
      </c>
      <c r="Y64" s="120" t="s">
        <v>342</v>
      </c>
      <c r="Z64" s="120" t="s">
        <v>342</v>
      </c>
    </row>
    <row r="65" spans="4:26" x14ac:dyDescent="0.25">
      <c r="D65" s="78" t="s">
        <v>412</v>
      </c>
      <c r="E65" s="78" t="s">
        <v>126</v>
      </c>
      <c r="F65" s="78" t="s">
        <v>62</v>
      </c>
      <c r="G65" s="103">
        <v>100</v>
      </c>
      <c r="H65" s="103">
        <v>100</v>
      </c>
      <c r="I65" s="108">
        <v>2</v>
      </c>
      <c r="J65" s="93">
        <v>25</v>
      </c>
      <c r="K65" s="93">
        <v>0</v>
      </c>
      <c r="L65" s="93">
        <v>0</v>
      </c>
      <c r="M65" s="93" t="s">
        <v>9</v>
      </c>
      <c r="N65" s="104">
        <f>COUNTIF(Table7[Spawner],Table1[[#This Row],[Spawner Prefab]])</f>
        <v>17</v>
      </c>
      <c r="O65" s="96">
        <f>ROUND((Table1[[#This Row],[Total in "Village" scene]]/SUM(Table1[Total in "Village" scene]))*100,1)</f>
        <v>0.7</v>
      </c>
      <c r="P65" s="110">
        <f>COUNTIF(Table15[Spawner],Table1[[#This Row],[Spawner Prefab]])</f>
        <v>84</v>
      </c>
      <c r="Q65" s="100">
        <f>ROUND((Table1[[#This Row],[Total in "Castle" scene]]/SUM(Table1[Total in "Castle" scene]))*100,1)</f>
        <v>4.3</v>
      </c>
      <c r="R65" s="105">
        <f>COUNTIF(Table20[Spawner],Table1[[#This Row],[Spawner Prefab]])</f>
        <v>0</v>
      </c>
      <c r="S65" s="97">
        <f>ROUND((Table1[[#This Row],[Total in "Dark" scene]]/SUM(Table1[Total in "Dark" scene]))*100,1)</f>
        <v>0</v>
      </c>
      <c r="T65" s="111">
        <f>Table1[[#This Row],[Total in "Village" scene]]+Table1[[#This Row],[Total in "Castle" scene]]+Table1[[#This Row],[Total in "Dark" scene]]</f>
        <v>101</v>
      </c>
      <c r="U65" s="99">
        <f>ROUND((Table1[[#This Row],[Total in the game]]/SUM(Table1[Total in the game]))*100,1)</f>
        <v>1.9</v>
      </c>
      <c r="W65" s="115" t="s">
        <v>63</v>
      </c>
      <c r="X65" s="115" t="s">
        <v>342</v>
      </c>
      <c r="Y65" s="120" t="s">
        <v>342</v>
      </c>
      <c r="Z65" s="120" t="s">
        <v>342</v>
      </c>
    </row>
    <row r="66" spans="4:26" x14ac:dyDescent="0.25">
      <c r="D66" s="78" t="s">
        <v>67</v>
      </c>
      <c r="E66" s="78" t="s">
        <v>126</v>
      </c>
      <c r="F66" s="78" t="s">
        <v>62</v>
      </c>
      <c r="G66" s="103">
        <v>100</v>
      </c>
      <c r="H66" s="103">
        <v>100</v>
      </c>
      <c r="I66" s="108">
        <v>2</v>
      </c>
      <c r="J66" s="93">
        <v>25</v>
      </c>
      <c r="K66" s="93">
        <v>0</v>
      </c>
      <c r="L66" s="93">
        <v>0</v>
      </c>
      <c r="M66" s="93" t="s">
        <v>9</v>
      </c>
      <c r="N66" s="104">
        <f>COUNTIF(Table7[Spawner],Table1[[#This Row],[Spawner Prefab]])</f>
        <v>11</v>
      </c>
      <c r="O66" s="96">
        <f>ROUND((Table1[[#This Row],[Total in "Village" scene]]/SUM(Table1[Total in "Village" scene]))*100,1)</f>
        <v>0.4</v>
      </c>
      <c r="P66" s="110">
        <f>COUNTIF(Table15[Spawner],Table1[[#This Row],[Spawner Prefab]])</f>
        <v>2</v>
      </c>
      <c r="Q66" s="100">
        <f>ROUND((Table1[[#This Row],[Total in "Castle" scene]]/SUM(Table1[Total in "Castle" scene]))*100,1)</f>
        <v>0.1</v>
      </c>
      <c r="R66" s="105">
        <f>COUNTIF(Table20[Spawner],Table1[[#This Row],[Spawner Prefab]])</f>
        <v>0</v>
      </c>
      <c r="S66" s="97">
        <f>ROUND((Table1[[#This Row],[Total in "Dark" scene]]/SUM(Table1[Total in "Dark" scene]))*100,1)</f>
        <v>0</v>
      </c>
      <c r="T66" s="111">
        <f>Table1[[#This Row],[Total in "Village" scene]]+Table1[[#This Row],[Total in "Castle" scene]]+Table1[[#This Row],[Total in "Dark" scene]]</f>
        <v>13</v>
      </c>
      <c r="U66" s="99">
        <f>ROUND((Table1[[#This Row],[Total in the game]]/SUM(Table1[Total in the game]))*100,1)</f>
        <v>0.2</v>
      </c>
      <c r="W66" s="115" t="s">
        <v>64</v>
      </c>
      <c r="X66" s="115" t="s">
        <v>342</v>
      </c>
      <c r="Y66" s="120" t="s">
        <v>342</v>
      </c>
      <c r="Z66" s="120" t="s">
        <v>342</v>
      </c>
    </row>
    <row r="67" spans="4:26" x14ac:dyDescent="0.25">
      <c r="D67" s="78" t="s">
        <v>68</v>
      </c>
      <c r="E67" s="78" t="s">
        <v>127</v>
      </c>
      <c r="F67" s="78" t="s">
        <v>63</v>
      </c>
      <c r="G67" s="103">
        <v>100</v>
      </c>
      <c r="H67" s="103">
        <v>100</v>
      </c>
      <c r="I67" s="108">
        <v>2</v>
      </c>
      <c r="J67" s="93">
        <v>25</v>
      </c>
      <c r="K67" s="93">
        <v>0</v>
      </c>
      <c r="L67" s="93">
        <v>0</v>
      </c>
      <c r="M67" s="93" t="s">
        <v>9</v>
      </c>
      <c r="N67" s="104">
        <f>COUNTIF(Table7[Spawner],Table1[[#This Row],[Spawner Prefab]])</f>
        <v>0</v>
      </c>
      <c r="O67" s="96">
        <f>ROUND((Table1[[#This Row],[Total in "Village" scene]]/SUM(Table1[Total in "Village" scene]))*100,1)</f>
        <v>0</v>
      </c>
      <c r="P67" s="110">
        <f>COUNTIF(Table15[Spawner],Table1[[#This Row],[Spawner Prefab]])</f>
        <v>2</v>
      </c>
      <c r="Q67" s="100">
        <f>ROUND((Table1[[#This Row],[Total in "Castle" scene]]/SUM(Table1[Total in "Castle" scene]))*100,1)</f>
        <v>0.1</v>
      </c>
      <c r="R67" s="105">
        <f>COUNTIF(Table20[Spawner],Table1[[#This Row],[Spawner Prefab]])</f>
        <v>0</v>
      </c>
      <c r="S67" s="97">
        <f>ROUND((Table1[[#This Row],[Total in "Dark" scene]]/SUM(Table1[Total in "Dark" scene]))*100,1)</f>
        <v>0</v>
      </c>
      <c r="T67" s="111">
        <f>Table1[[#This Row],[Total in "Village" scene]]+Table1[[#This Row],[Total in "Castle" scene]]+Table1[[#This Row],[Total in "Dark" scene]]</f>
        <v>2</v>
      </c>
      <c r="U67" s="99">
        <f>ROUND((Table1[[#This Row],[Total in the game]]/SUM(Table1[Total in the game]))*100,1)</f>
        <v>0</v>
      </c>
      <c r="W67" s="150" t="s">
        <v>7327</v>
      </c>
      <c r="X67" s="150" t="s">
        <v>342</v>
      </c>
      <c r="Y67" s="150" t="s">
        <v>342</v>
      </c>
      <c r="Z67" s="150" t="s">
        <v>342</v>
      </c>
    </row>
    <row r="68" spans="4:26" x14ac:dyDescent="0.25">
      <c r="D68" s="78" t="s">
        <v>69</v>
      </c>
      <c r="E68" s="78" t="s">
        <v>128</v>
      </c>
      <c r="F68" s="78" t="s">
        <v>64</v>
      </c>
      <c r="G68" s="103">
        <v>100</v>
      </c>
      <c r="H68" s="103">
        <v>100</v>
      </c>
      <c r="I68" s="108">
        <v>2</v>
      </c>
      <c r="J68" s="93">
        <v>25</v>
      </c>
      <c r="K68" s="93">
        <v>0</v>
      </c>
      <c r="L68" s="93">
        <v>0</v>
      </c>
      <c r="M68" s="93" t="s">
        <v>9</v>
      </c>
      <c r="N68" s="104">
        <f>COUNTIF(Table7[Spawner],Table1[[#This Row],[Spawner Prefab]])</f>
        <v>0</v>
      </c>
      <c r="O68" s="96">
        <f>ROUND((Table1[[#This Row],[Total in "Village" scene]]/SUM(Table1[Total in "Village" scene]))*100,1)</f>
        <v>0</v>
      </c>
      <c r="P68" s="110">
        <f>COUNTIF(Table15[Spawner],Table1[[#This Row],[Spawner Prefab]])</f>
        <v>1</v>
      </c>
      <c r="Q68" s="100">
        <f>ROUND((Table1[[#This Row],[Total in "Castle" scene]]/SUM(Table1[Total in "Castle" scene]))*100,1)</f>
        <v>0.1</v>
      </c>
      <c r="R68" s="105">
        <f>COUNTIF(Table20[Spawner],Table1[[#This Row],[Spawner Prefab]])</f>
        <v>0</v>
      </c>
      <c r="S68" s="97">
        <f>ROUND((Table1[[#This Row],[Total in "Dark" scene]]/SUM(Table1[Total in "Dark" scene]))*100,1)</f>
        <v>0</v>
      </c>
      <c r="T68" s="111">
        <f>Table1[[#This Row],[Total in "Village" scene]]+Table1[[#This Row],[Total in "Castle" scene]]+Table1[[#This Row],[Total in "Dark" scene]]</f>
        <v>1</v>
      </c>
      <c r="U68" s="99">
        <f>ROUND((Table1[[#This Row],[Total in the game]]/SUM(Table1[Total in the game]))*100,1)</f>
        <v>0</v>
      </c>
      <c r="W68" s="150" t="s">
        <v>7328</v>
      </c>
      <c r="X68" s="150" t="s">
        <v>342</v>
      </c>
      <c r="Y68" s="150" t="s">
        <v>342</v>
      </c>
      <c r="Z68" s="150" t="s">
        <v>342</v>
      </c>
    </row>
    <row r="69" spans="4:26" x14ac:dyDescent="0.25">
      <c r="D69" s="78" t="s">
        <v>7317</v>
      </c>
      <c r="E69" s="78" t="s">
        <v>7275</v>
      </c>
      <c r="F69" s="78" t="s">
        <v>7327</v>
      </c>
      <c r="G69" s="103">
        <v>240</v>
      </c>
      <c r="H69" s="103">
        <v>240</v>
      </c>
      <c r="I69" s="108">
        <v>14</v>
      </c>
      <c r="J69" s="93">
        <v>50</v>
      </c>
      <c r="K69" s="93">
        <v>0</v>
      </c>
      <c r="L69" s="93">
        <v>0</v>
      </c>
      <c r="M69" s="93" t="s">
        <v>9</v>
      </c>
      <c r="N69" s="104">
        <f>COUNTIF(Table7[Spawner],Table1[[#This Row],[Spawner Prefab]])</f>
        <v>0</v>
      </c>
      <c r="O69" s="96">
        <f>ROUND((Table1[[#This Row],[Total in "Village" scene]]/SUM(Table1[Total in "Village" scene]))*100,1)</f>
        <v>0</v>
      </c>
      <c r="P69" s="110">
        <f>COUNTIF(Table15[Spawner],Table1[[#This Row],[Spawner Prefab]])</f>
        <v>0</v>
      </c>
      <c r="Q69" s="100">
        <f>ROUND((Table1[[#This Row],[Total in "Castle" scene]]/SUM(Table1[Total in "Castle" scene]))*100,1)</f>
        <v>0</v>
      </c>
      <c r="R69" s="105">
        <f>COUNTIF(Table20[Spawner],Table1[[#This Row],[Spawner Prefab]])</f>
        <v>13</v>
      </c>
      <c r="S69" s="97">
        <f>ROUND((Table1[[#This Row],[Total in "Dark" scene]]/SUM(Table1[Total in "Dark" scene]))*100,1)</f>
        <v>1.3</v>
      </c>
      <c r="T69" s="111">
        <f>Table1[[#This Row],[Total in "Village" scene]]+Table1[[#This Row],[Total in "Castle" scene]]+Table1[[#This Row],[Total in "Dark" scene]]</f>
        <v>13</v>
      </c>
      <c r="U69" s="99">
        <f>ROUND((Table1[[#This Row],[Total in the game]]/SUM(Table1[Total in the game]))*100,1)</f>
        <v>0.2</v>
      </c>
      <c r="W69" s="150" t="s">
        <v>7329</v>
      </c>
      <c r="X69" s="150" t="s">
        <v>342</v>
      </c>
      <c r="Y69" s="150" t="s">
        <v>342</v>
      </c>
      <c r="Z69" s="150" t="s">
        <v>342</v>
      </c>
    </row>
    <row r="70" spans="4:26" x14ac:dyDescent="0.25">
      <c r="D70" s="78" t="s">
        <v>7320</v>
      </c>
      <c r="E70" s="78" t="s">
        <v>7275</v>
      </c>
      <c r="F70" s="78" t="s">
        <v>7328</v>
      </c>
      <c r="G70" s="103">
        <v>240</v>
      </c>
      <c r="H70" s="103">
        <v>240</v>
      </c>
      <c r="I70" s="108">
        <v>14</v>
      </c>
      <c r="J70" s="93">
        <v>50</v>
      </c>
      <c r="K70" s="93">
        <v>0</v>
      </c>
      <c r="L70" s="93">
        <v>0</v>
      </c>
      <c r="M70" s="93" t="s">
        <v>9</v>
      </c>
      <c r="N70" s="104">
        <f>COUNTIF(Table7[Spawner],Table1[[#This Row],[Spawner Prefab]])</f>
        <v>0</v>
      </c>
      <c r="O70" s="96">
        <f>ROUND((Table1[[#This Row],[Total in "Village" scene]]/SUM(Table1[Total in "Village" scene]))*100,1)</f>
        <v>0</v>
      </c>
      <c r="P70" s="110">
        <f>COUNTIF(Table15[Spawner],Table1[[#This Row],[Spawner Prefab]])</f>
        <v>0</v>
      </c>
      <c r="Q70" s="100">
        <f>ROUND((Table1[[#This Row],[Total in "Castle" scene]]/SUM(Table1[Total in "Castle" scene]))*100,1)</f>
        <v>0</v>
      </c>
      <c r="R70" s="105">
        <f>COUNTIF(Table20[Spawner],Table1[[#This Row],[Spawner Prefab]])</f>
        <v>4</v>
      </c>
      <c r="S70" s="97">
        <f>ROUND((Table1[[#This Row],[Total in "Dark" scene]]/SUM(Table1[Total in "Dark" scene]))*100,1)</f>
        <v>0.4</v>
      </c>
      <c r="T70" s="111">
        <f>Table1[[#This Row],[Total in "Village" scene]]+Table1[[#This Row],[Total in "Castle" scene]]+Table1[[#This Row],[Total in "Dark" scene]]</f>
        <v>4</v>
      </c>
      <c r="U70" s="99">
        <f>ROUND((Table1[[#This Row],[Total in the game]]/SUM(Table1[Total in the game]))*100,1)</f>
        <v>0.1</v>
      </c>
      <c r="W70" s="115" t="s">
        <v>426</v>
      </c>
      <c r="X70" s="115" t="s">
        <v>342</v>
      </c>
      <c r="Y70" s="120" t="s">
        <v>342</v>
      </c>
      <c r="Z70" s="120" t="s">
        <v>342</v>
      </c>
    </row>
    <row r="71" spans="4:26" x14ac:dyDescent="0.25">
      <c r="D71" s="78" t="s">
        <v>7315</v>
      </c>
      <c r="E71" s="78" t="s">
        <v>7275</v>
      </c>
      <c r="F71" s="78" t="s">
        <v>7329</v>
      </c>
      <c r="G71" s="103">
        <v>240</v>
      </c>
      <c r="H71" s="103">
        <v>240</v>
      </c>
      <c r="I71" s="108">
        <v>14</v>
      </c>
      <c r="J71" s="93">
        <v>50</v>
      </c>
      <c r="K71" s="93">
        <v>0</v>
      </c>
      <c r="L71" s="93">
        <v>0</v>
      </c>
      <c r="M71" s="93" t="s">
        <v>9</v>
      </c>
      <c r="N71" s="104">
        <f>COUNTIF(Table7[Spawner],Table1[[#This Row],[Spawner Prefab]])</f>
        <v>0</v>
      </c>
      <c r="O71" s="96">
        <f>ROUND((Table1[[#This Row],[Total in "Village" scene]]/SUM(Table1[Total in "Village" scene]))*100,1)</f>
        <v>0</v>
      </c>
      <c r="P71" s="110">
        <f>COUNTIF(Table15[Spawner],Table1[[#This Row],[Spawner Prefab]])</f>
        <v>0</v>
      </c>
      <c r="Q71" s="100">
        <f>ROUND((Table1[[#This Row],[Total in "Castle" scene]]/SUM(Table1[Total in "Castle" scene]))*100,1)</f>
        <v>0</v>
      </c>
      <c r="R71" s="105">
        <f>COUNTIF(Table20[Spawner],Table1[[#This Row],[Spawner Prefab]])</f>
        <v>8</v>
      </c>
      <c r="S71" s="97">
        <f>ROUND((Table1[[#This Row],[Total in "Dark" scene]]/SUM(Table1[Total in "Dark" scene]))*100,1)</f>
        <v>0.8</v>
      </c>
      <c r="T71" s="111">
        <f>Table1[[#This Row],[Total in "Village" scene]]+Table1[[#This Row],[Total in "Castle" scene]]+Table1[[#This Row],[Total in "Dark" scene]]</f>
        <v>8</v>
      </c>
      <c r="U71" s="99">
        <f>ROUND((Table1[[#This Row],[Total in the game]]/SUM(Table1[Total in the game]))*100,1)</f>
        <v>0.1</v>
      </c>
      <c r="W71" s="115" t="s">
        <v>28</v>
      </c>
      <c r="X71" s="115" t="s">
        <v>342</v>
      </c>
      <c r="Y71" s="120" t="s">
        <v>342</v>
      </c>
      <c r="Z71" s="120" t="s">
        <v>342</v>
      </c>
    </row>
    <row r="72" spans="4:26" x14ac:dyDescent="0.25">
      <c r="D72" s="78" t="s">
        <v>425</v>
      </c>
      <c r="E72" s="78" t="s">
        <v>424</v>
      </c>
      <c r="F72" s="78" t="s">
        <v>426</v>
      </c>
      <c r="G72" s="103">
        <v>140</v>
      </c>
      <c r="H72" s="103">
        <v>140</v>
      </c>
      <c r="I72" s="108">
        <v>6</v>
      </c>
      <c r="J72" s="93">
        <v>75</v>
      </c>
      <c r="K72" s="93">
        <v>0</v>
      </c>
      <c r="L72" s="93">
        <v>0</v>
      </c>
      <c r="M72" s="93" t="s">
        <v>9</v>
      </c>
      <c r="N72" s="104">
        <f>COUNTIF(Table7[Spawner],Table1[[#This Row],[Spawner Prefab]])</f>
        <v>52</v>
      </c>
      <c r="O72" s="96">
        <f>ROUND((Table1[[#This Row],[Total in "Village" scene]]/SUM(Table1[Total in "Village" scene]))*100,1)</f>
        <v>2.1</v>
      </c>
      <c r="P72" s="110">
        <f>COUNTIF(Table15[Spawner],Table1[[#This Row],[Spawner Prefab]])</f>
        <v>6</v>
      </c>
      <c r="Q72" s="100">
        <f>ROUND((Table1[[#This Row],[Total in "Castle" scene]]/SUM(Table1[Total in "Castle" scene]))*100,1)</f>
        <v>0.3</v>
      </c>
      <c r="R72" s="105">
        <f>COUNTIF(Table20[Spawner],Table1[[#This Row],[Spawner Prefab]])</f>
        <v>10</v>
      </c>
      <c r="S72" s="97">
        <f>ROUND((Table1[[#This Row],[Total in "Dark" scene]]/SUM(Table1[Total in "Dark" scene]))*100,1)</f>
        <v>1</v>
      </c>
      <c r="T72" s="111">
        <f>Table1[[#This Row],[Total in "Village" scene]]+Table1[[#This Row],[Total in "Castle" scene]]+Table1[[#This Row],[Total in "Dark" scene]]</f>
        <v>68</v>
      </c>
      <c r="U72" s="99">
        <f>ROUND((Table1[[#This Row],[Total in the game]]/SUM(Table1[Total in the game]))*100,1)</f>
        <v>1.3</v>
      </c>
      <c r="W72" s="115" t="s">
        <v>582</v>
      </c>
      <c r="X72" s="115" t="s">
        <v>342</v>
      </c>
      <c r="Y72" s="120" t="s">
        <v>342</v>
      </c>
      <c r="Z72" s="120" t="s">
        <v>342</v>
      </c>
    </row>
    <row r="73" spans="4:26" x14ac:dyDescent="0.25">
      <c r="D73" s="78" t="s">
        <v>50</v>
      </c>
      <c r="E73" s="78" t="s">
        <v>113</v>
      </c>
      <c r="F73" s="78" t="s">
        <v>28</v>
      </c>
      <c r="G73" s="103">
        <v>5000</v>
      </c>
      <c r="H73" s="103">
        <v>5000</v>
      </c>
      <c r="I73" s="108">
        <v>70</v>
      </c>
      <c r="J73" s="93">
        <v>75</v>
      </c>
      <c r="K73" s="93">
        <v>0</v>
      </c>
      <c r="L73" s="93">
        <v>0</v>
      </c>
      <c r="M73" s="93" t="s">
        <v>9</v>
      </c>
      <c r="N73" s="104">
        <f>COUNTIF(Table7[Spawner],Table1[[#This Row],[Spawner Prefab]])</f>
        <v>21</v>
      </c>
      <c r="O73" s="96">
        <f>ROUND((Table1[[#This Row],[Total in "Village" scene]]/SUM(Table1[Total in "Village" scene]))*100,1)</f>
        <v>0.9</v>
      </c>
      <c r="P73" s="110">
        <f>COUNTIF(Table15[Spawner],Table1[[#This Row],[Spawner Prefab]])</f>
        <v>21</v>
      </c>
      <c r="Q73" s="100">
        <f>ROUND((Table1[[#This Row],[Total in "Castle" scene]]/SUM(Table1[Total in "Castle" scene]))*100,1)</f>
        <v>1.1000000000000001</v>
      </c>
      <c r="R73" s="105">
        <f>COUNTIF(Table20[Spawner],Table1[[#This Row],[Spawner Prefab]])</f>
        <v>26</v>
      </c>
      <c r="S73" s="97">
        <f>ROUND((Table1[[#This Row],[Total in "Dark" scene]]/SUM(Table1[Total in "Dark" scene]))*100,1)</f>
        <v>2.6</v>
      </c>
      <c r="T73" s="111">
        <f>Table1[[#This Row],[Total in "Village" scene]]+Table1[[#This Row],[Total in "Castle" scene]]+Table1[[#This Row],[Total in "Dark" scene]]</f>
        <v>68</v>
      </c>
      <c r="U73" s="99">
        <f>ROUND((Table1[[#This Row],[Total in the game]]/SUM(Table1[Total in the game]))*100,1)</f>
        <v>1.3</v>
      </c>
      <c r="W73" s="115" t="s">
        <v>20</v>
      </c>
      <c r="X73" s="115" t="s">
        <v>343</v>
      </c>
      <c r="Y73" s="120" t="s">
        <v>343</v>
      </c>
      <c r="Z73" s="120" t="s">
        <v>343</v>
      </c>
    </row>
    <row r="74" spans="4:26" x14ac:dyDescent="0.25">
      <c r="D74" s="78" t="s">
        <v>581</v>
      </c>
      <c r="E74" s="78" t="s">
        <v>580</v>
      </c>
      <c r="F74" s="78" t="s">
        <v>582</v>
      </c>
      <c r="G74" s="103">
        <v>5000</v>
      </c>
      <c r="H74" s="103">
        <v>5000</v>
      </c>
      <c r="I74" s="108">
        <v>0</v>
      </c>
      <c r="J74" s="93">
        <v>25</v>
      </c>
      <c r="K74" s="93">
        <v>0</v>
      </c>
      <c r="L74" s="93">
        <v>0</v>
      </c>
      <c r="M74" s="93" t="s">
        <v>9</v>
      </c>
      <c r="N74" s="104">
        <f>COUNTIF(Table7[Spawner],Table1[[#This Row],[Spawner Prefab]])</f>
        <v>29</v>
      </c>
      <c r="O74" s="96">
        <f>ROUND((Table1[[#This Row],[Total in "Village" scene]]/SUM(Table1[Total in "Village" scene]))*100,1)</f>
        <v>1.2</v>
      </c>
      <c r="P74" s="110">
        <f>COUNTIF(Table15[Spawner],Table1[[#This Row],[Spawner Prefab]])</f>
        <v>10</v>
      </c>
      <c r="Q74" s="100">
        <f>ROUND((Table1[[#This Row],[Total in "Castle" scene]]/SUM(Table1[Total in "Castle" scene]))*100,1)</f>
        <v>0.5</v>
      </c>
      <c r="R74" s="105">
        <f>COUNTIF(Table20[Spawner],Table1[[#This Row],[Spawner Prefab]])</f>
        <v>4</v>
      </c>
      <c r="S74" s="97">
        <f>ROUND((Table1[[#This Row],[Total in "Dark" scene]]/SUM(Table1[Total in "Dark" scene]))*100,1)</f>
        <v>0.4</v>
      </c>
      <c r="T74" s="111">
        <f>Table1[[#This Row],[Total in "Village" scene]]+Table1[[#This Row],[Total in "Castle" scene]]+Table1[[#This Row],[Total in "Dark" scene]]</f>
        <v>43</v>
      </c>
      <c r="U74" s="99">
        <f>ROUND((Table1[[#This Row],[Total in the game]]/SUM(Table1[Total in the game]))*100,1)</f>
        <v>0.8</v>
      </c>
      <c r="W74" s="115" t="s">
        <v>37</v>
      </c>
      <c r="X74" s="115" t="s">
        <v>343</v>
      </c>
      <c r="Y74" s="120" t="s">
        <v>343</v>
      </c>
      <c r="Z74" s="120" t="s">
        <v>343</v>
      </c>
    </row>
    <row r="75" spans="4:26" x14ac:dyDescent="0.25">
      <c r="D75" s="78" t="s">
        <v>21</v>
      </c>
      <c r="E75" s="78" t="s">
        <v>85</v>
      </c>
      <c r="F75" s="78" t="s">
        <v>20</v>
      </c>
      <c r="G75" s="103">
        <v>260</v>
      </c>
      <c r="H75" s="103">
        <v>260</v>
      </c>
      <c r="I75" s="108">
        <v>20</v>
      </c>
      <c r="J75" s="93">
        <v>55</v>
      </c>
      <c r="K75" s="93">
        <v>1</v>
      </c>
      <c r="L75" s="93">
        <v>1</v>
      </c>
      <c r="M75" s="93" t="s">
        <v>9</v>
      </c>
      <c r="N75" s="104">
        <f>COUNTIF(Table7[Spawner],Table1[[#This Row],[Spawner Prefab]])</f>
        <v>0</v>
      </c>
      <c r="O75" s="96">
        <f>ROUND((Table1[[#This Row],[Total in "Village" scene]]/SUM(Table1[Total in "Village" scene]))*100,1)</f>
        <v>0</v>
      </c>
      <c r="P75" s="110">
        <f>COUNTIF(Table15[Spawner],Table1[[#This Row],[Spawner Prefab]])</f>
        <v>0</v>
      </c>
      <c r="Q75" s="100">
        <f>ROUND((Table1[[#This Row],[Total in "Castle" scene]]/SUM(Table1[Total in "Castle" scene]))*100,1)</f>
        <v>0</v>
      </c>
      <c r="R75" s="105">
        <f>COUNTIF(Table20[Spawner],Table1[[#This Row],[Spawner Prefab]])</f>
        <v>0</v>
      </c>
      <c r="S75" s="97">
        <f>ROUND((Table1[[#This Row],[Total in "Dark" scene]]/SUM(Table1[Total in "Dark" scene]))*100,1)</f>
        <v>0</v>
      </c>
      <c r="T75" s="111">
        <f>Table1[[#This Row],[Total in "Village" scene]]+Table1[[#This Row],[Total in "Castle" scene]]+Table1[[#This Row],[Total in "Dark" scene]]</f>
        <v>0</v>
      </c>
      <c r="U75" s="99">
        <f>ROUND((Table1[[#This Row],[Total in the game]]/SUM(Table1[Total in the game]))*100,1)</f>
        <v>0</v>
      </c>
      <c r="W75" s="115" t="s">
        <v>273</v>
      </c>
      <c r="X75" s="115" t="s">
        <v>343</v>
      </c>
      <c r="Y75" s="120" t="s">
        <v>343</v>
      </c>
      <c r="Z75" s="120" t="s">
        <v>343</v>
      </c>
    </row>
    <row r="76" spans="4:26" x14ac:dyDescent="0.25">
      <c r="D76" s="78" t="s">
        <v>43</v>
      </c>
      <c r="E76" s="78" t="s">
        <v>114</v>
      </c>
      <c r="F76" s="78" t="s">
        <v>37</v>
      </c>
      <c r="G76" s="103">
        <v>250</v>
      </c>
      <c r="H76" s="103">
        <v>250</v>
      </c>
      <c r="I76" s="108">
        <v>3</v>
      </c>
      <c r="J76" s="93">
        <v>143</v>
      </c>
      <c r="K76" s="93">
        <v>3</v>
      </c>
      <c r="L76" s="93">
        <v>3</v>
      </c>
      <c r="M76" s="93">
        <v>5</v>
      </c>
      <c r="N76" s="104">
        <f>COUNTIF(Table7[Spawner],Table1[[#This Row],[Spawner Prefab]])</f>
        <v>81</v>
      </c>
      <c r="O76" s="96">
        <f>ROUND((Table1[[#This Row],[Total in "Village" scene]]/SUM(Table1[Total in "Village" scene]))*100,1)</f>
        <v>3.3</v>
      </c>
      <c r="P76" s="110">
        <f>COUNTIF(Table15[Spawner],Table1[[#This Row],[Spawner Prefab]])</f>
        <v>29</v>
      </c>
      <c r="Q76" s="100">
        <f>ROUND((Table1[[#This Row],[Total in "Castle" scene]]/SUM(Table1[Total in "Castle" scene]))*100,1)</f>
        <v>1.5</v>
      </c>
      <c r="R76" s="105">
        <f>COUNTIF(Table20[Spawner],Table1[[#This Row],[Spawner Prefab]])</f>
        <v>3</v>
      </c>
      <c r="S76" s="97">
        <f>ROUND((Table1[[#This Row],[Total in "Dark" scene]]/SUM(Table1[Total in "Dark" scene]))*100,1)</f>
        <v>0.3</v>
      </c>
      <c r="T76" s="111">
        <f>Table1[[#This Row],[Total in "Village" scene]]+Table1[[#This Row],[Total in "Castle" scene]]+Table1[[#This Row],[Total in "Dark" scene]]</f>
        <v>113</v>
      </c>
      <c r="U76" s="99">
        <f>ROUND((Table1[[#This Row],[Total in the game]]/SUM(Table1[Total in the game]))*100,1)</f>
        <v>2.1</v>
      </c>
      <c r="W76" s="115" t="s">
        <v>38</v>
      </c>
      <c r="X76" s="115" t="s">
        <v>343</v>
      </c>
      <c r="Y76" s="120" t="s">
        <v>343</v>
      </c>
      <c r="Z76" s="120" t="s">
        <v>343</v>
      </c>
    </row>
    <row r="77" spans="4:26" x14ac:dyDescent="0.25">
      <c r="D77" s="78" t="s">
        <v>269</v>
      </c>
      <c r="E77" s="78" t="s">
        <v>114</v>
      </c>
      <c r="F77" s="78" t="s">
        <v>273</v>
      </c>
      <c r="G77" s="103">
        <v>250</v>
      </c>
      <c r="H77" s="103">
        <v>250</v>
      </c>
      <c r="I77" s="108">
        <v>3</v>
      </c>
      <c r="J77" s="93">
        <v>143</v>
      </c>
      <c r="K77" s="93">
        <v>3</v>
      </c>
      <c r="L77" s="93">
        <v>3</v>
      </c>
      <c r="M77" s="93">
        <v>7</v>
      </c>
      <c r="N77" s="104">
        <f>COUNTIF(Table7[Spawner],Table1[[#This Row],[Spawner Prefab]])</f>
        <v>27</v>
      </c>
      <c r="O77" s="96">
        <f>ROUND((Table1[[#This Row],[Total in "Village" scene]]/SUM(Table1[Total in "Village" scene]))*100,1)</f>
        <v>1.1000000000000001</v>
      </c>
      <c r="P77" s="110">
        <f>COUNTIF(Table15[Spawner],Table1[[#This Row],[Spawner Prefab]])</f>
        <v>0</v>
      </c>
      <c r="Q77" s="100">
        <f>ROUND((Table1[[#This Row],[Total in "Castle" scene]]/SUM(Table1[Total in "Castle" scene]))*100,1)</f>
        <v>0</v>
      </c>
      <c r="R77" s="105">
        <f>COUNTIF(Table20[Spawner],Table1[[#This Row],[Spawner Prefab]])</f>
        <v>0</v>
      </c>
      <c r="S77" s="97">
        <f>ROUND((Table1[[#This Row],[Total in "Dark" scene]]/SUM(Table1[Total in "Dark" scene]))*100,1)</f>
        <v>0</v>
      </c>
      <c r="T77" s="111">
        <f>Table1[[#This Row],[Total in "Village" scene]]+Table1[[#This Row],[Total in "Castle" scene]]+Table1[[#This Row],[Total in "Dark" scene]]</f>
        <v>27</v>
      </c>
      <c r="U77" s="99">
        <f>ROUND((Table1[[#This Row],[Total in the game]]/SUM(Table1[Total in the game]))*100,1)</f>
        <v>0.5</v>
      </c>
      <c r="W77" s="115" t="s">
        <v>274</v>
      </c>
      <c r="X77" s="115" t="s">
        <v>343</v>
      </c>
      <c r="Y77" s="120" t="s">
        <v>343</v>
      </c>
      <c r="Z77" s="120" t="s">
        <v>343</v>
      </c>
    </row>
    <row r="78" spans="4:26" x14ac:dyDescent="0.25">
      <c r="D78" s="78" t="s">
        <v>44</v>
      </c>
      <c r="E78" s="78" t="s">
        <v>115</v>
      </c>
      <c r="F78" s="78" t="s">
        <v>38</v>
      </c>
      <c r="G78" s="103">
        <v>300</v>
      </c>
      <c r="H78" s="103">
        <v>300</v>
      </c>
      <c r="I78" s="108">
        <v>4</v>
      </c>
      <c r="J78" s="93">
        <v>195</v>
      </c>
      <c r="K78" s="93">
        <v>4</v>
      </c>
      <c r="L78" s="93">
        <v>4</v>
      </c>
      <c r="M78" s="93">
        <v>11</v>
      </c>
      <c r="N78" s="104">
        <f>COUNTIF(Table7[Spawner],Table1[[#This Row],[Spawner Prefab]])</f>
        <v>33</v>
      </c>
      <c r="O78" s="96">
        <f>ROUND((Table1[[#This Row],[Total in "Village" scene]]/SUM(Table1[Total in "Village" scene]))*100,1)</f>
        <v>1.3</v>
      </c>
      <c r="P78" s="110">
        <f>COUNTIF(Table15[Spawner],Table1[[#This Row],[Spawner Prefab]])</f>
        <v>8</v>
      </c>
      <c r="Q78" s="100">
        <f>ROUND((Table1[[#This Row],[Total in "Castle" scene]]/SUM(Table1[Total in "Castle" scene]))*100,1)</f>
        <v>0.4</v>
      </c>
      <c r="R78" s="105">
        <f>COUNTIF(Table20[Spawner],Table1[[#This Row],[Spawner Prefab]])</f>
        <v>13</v>
      </c>
      <c r="S78" s="97">
        <f>ROUND((Table1[[#This Row],[Total in "Dark" scene]]/SUM(Table1[Total in "Dark" scene]))*100,1)</f>
        <v>1.3</v>
      </c>
      <c r="T78" s="111">
        <f>Table1[[#This Row],[Total in "Village" scene]]+Table1[[#This Row],[Total in "Castle" scene]]+Table1[[#This Row],[Total in "Dark" scene]]</f>
        <v>54</v>
      </c>
      <c r="U78" s="99">
        <f>ROUND((Table1[[#This Row],[Total in the game]]/SUM(Table1[Total in the game]))*100,1)</f>
        <v>1</v>
      </c>
      <c r="W78" s="115" t="s">
        <v>39</v>
      </c>
      <c r="X78" s="115" t="s">
        <v>343</v>
      </c>
      <c r="Y78" s="120" t="s">
        <v>343</v>
      </c>
      <c r="Z78" s="120" t="s">
        <v>343</v>
      </c>
    </row>
    <row r="79" spans="4:26" x14ac:dyDescent="0.25">
      <c r="D79" s="78" t="s">
        <v>270</v>
      </c>
      <c r="E79" s="78" t="s">
        <v>115</v>
      </c>
      <c r="F79" s="78" t="s">
        <v>274</v>
      </c>
      <c r="G79" s="103">
        <v>300</v>
      </c>
      <c r="H79" s="103">
        <v>300</v>
      </c>
      <c r="I79" s="108">
        <v>4</v>
      </c>
      <c r="J79" s="93">
        <v>195</v>
      </c>
      <c r="K79" s="93">
        <v>4</v>
      </c>
      <c r="L79" s="93">
        <v>4</v>
      </c>
      <c r="M79" s="93">
        <v>11</v>
      </c>
      <c r="N79" s="104">
        <f>COUNTIF(Table7[Spawner],Table1[[#This Row],[Spawner Prefab]])</f>
        <v>27</v>
      </c>
      <c r="O79" s="96">
        <f>ROUND((Table1[[#This Row],[Total in "Village" scene]]/SUM(Table1[Total in "Village" scene]))*100,1)</f>
        <v>1.1000000000000001</v>
      </c>
      <c r="P79" s="110">
        <f>COUNTIF(Table15[Spawner],Table1[[#This Row],[Spawner Prefab]])</f>
        <v>0</v>
      </c>
      <c r="Q79" s="100">
        <f>ROUND((Table1[[#This Row],[Total in "Castle" scene]]/SUM(Table1[Total in "Castle" scene]))*100,1)</f>
        <v>0</v>
      </c>
      <c r="R79" s="105">
        <f>COUNTIF(Table20[Spawner],Table1[[#This Row],[Spawner Prefab]])</f>
        <v>8</v>
      </c>
      <c r="S79" s="97">
        <f>ROUND((Table1[[#This Row],[Total in "Dark" scene]]/SUM(Table1[Total in "Dark" scene]))*100,1)</f>
        <v>0.8</v>
      </c>
      <c r="T79" s="111">
        <f>Table1[[#This Row],[Total in "Village" scene]]+Table1[[#This Row],[Total in "Castle" scene]]+Table1[[#This Row],[Total in "Dark" scene]]</f>
        <v>35</v>
      </c>
      <c r="U79" s="99">
        <f>ROUND((Table1[[#This Row],[Total in the game]]/SUM(Table1[Total in the game]))*100,1)</f>
        <v>0.6</v>
      </c>
      <c r="W79" s="115" t="s">
        <v>275</v>
      </c>
      <c r="X79" s="115" t="s">
        <v>343</v>
      </c>
      <c r="Y79" s="120" t="s">
        <v>343</v>
      </c>
      <c r="Z79" s="120" t="s">
        <v>343</v>
      </c>
    </row>
    <row r="80" spans="4:26" x14ac:dyDescent="0.25">
      <c r="D80" s="78" t="s">
        <v>45</v>
      </c>
      <c r="E80" s="78" t="s">
        <v>116</v>
      </c>
      <c r="F80" s="78" t="s">
        <v>39</v>
      </c>
      <c r="G80" s="103">
        <v>340</v>
      </c>
      <c r="H80" s="103">
        <v>340</v>
      </c>
      <c r="I80" s="108">
        <v>5</v>
      </c>
      <c r="J80" s="93">
        <v>263</v>
      </c>
      <c r="K80" s="93">
        <v>5</v>
      </c>
      <c r="L80" s="93">
        <v>5</v>
      </c>
      <c r="M80" s="93">
        <v>21</v>
      </c>
      <c r="N80" s="104">
        <f>COUNTIF(Table7[Spawner],Table1[[#This Row],[Spawner Prefab]])</f>
        <v>13</v>
      </c>
      <c r="O80" s="96">
        <f>ROUND((Table1[[#This Row],[Total in "Village" scene]]/SUM(Table1[Total in "Village" scene]))*100,1)</f>
        <v>0.5</v>
      </c>
      <c r="P80" s="110">
        <f>COUNTIF(Table15[Spawner],Table1[[#This Row],[Spawner Prefab]])</f>
        <v>5</v>
      </c>
      <c r="Q80" s="100">
        <f>ROUND((Table1[[#This Row],[Total in "Castle" scene]]/SUM(Table1[Total in "Castle" scene]))*100,1)</f>
        <v>0.3</v>
      </c>
      <c r="R80" s="105">
        <f>COUNTIF(Table20[Spawner],Table1[[#This Row],[Spawner Prefab]])</f>
        <v>9</v>
      </c>
      <c r="S80" s="97">
        <f>ROUND((Table1[[#This Row],[Total in "Dark" scene]]/SUM(Table1[Total in "Dark" scene]))*100,1)</f>
        <v>0.9</v>
      </c>
      <c r="T80" s="111">
        <f>Table1[[#This Row],[Total in "Village" scene]]+Table1[[#This Row],[Total in "Castle" scene]]+Table1[[#This Row],[Total in "Dark" scene]]</f>
        <v>27</v>
      </c>
      <c r="U80" s="99">
        <f>ROUND((Table1[[#This Row],[Total in the game]]/SUM(Table1[Total in the game]))*100,1)</f>
        <v>0.5</v>
      </c>
      <c r="W80" s="115" t="s">
        <v>285</v>
      </c>
      <c r="X80" s="115" t="s">
        <v>342</v>
      </c>
      <c r="Y80" s="120" t="s">
        <v>342</v>
      </c>
      <c r="Z80" s="120" t="s">
        <v>342</v>
      </c>
    </row>
    <row r="81" spans="4:26" x14ac:dyDescent="0.25">
      <c r="D81" s="78" t="s">
        <v>271</v>
      </c>
      <c r="E81" s="78" t="s">
        <v>116</v>
      </c>
      <c r="F81" s="78" t="s">
        <v>275</v>
      </c>
      <c r="G81" s="103">
        <v>340</v>
      </c>
      <c r="H81" s="103">
        <v>340</v>
      </c>
      <c r="I81" s="108">
        <v>5</v>
      </c>
      <c r="J81" s="93">
        <v>263</v>
      </c>
      <c r="K81" s="93">
        <v>5</v>
      </c>
      <c r="L81" s="93">
        <v>5</v>
      </c>
      <c r="M81" s="93">
        <v>21</v>
      </c>
      <c r="N81" s="104">
        <f>COUNTIF(Table7[Spawner],Table1[[#This Row],[Spawner Prefab]])</f>
        <v>27</v>
      </c>
      <c r="O81" s="96">
        <f>ROUND((Table1[[#This Row],[Total in "Village" scene]]/SUM(Table1[Total in "Village" scene]))*100,1)</f>
        <v>1.1000000000000001</v>
      </c>
      <c r="P81" s="110">
        <f>COUNTIF(Table15[Spawner],Table1[[#This Row],[Spawner Prefab]])</f>
        <v>10</v>
      </c>
      <c r="Q81" s="100">
        <f>ROUND((Table1[[#This Row],[Total in "Castle" scene]]/SUM(Table1[Total in "Castle" scene]))*100,1)</f>
        <v>0.5</v>
      </c>
      <c r="R81" s="105">
        <f>COUNTIF(Table20[Spawner],Table1[[#This Row],[Spawner Prefab]])</f>
        <v>23</v>
      </c>
      <c r="S81" s="97">
        <f>ROUND((Table1[[#This Row],[Total in "Dark" scene]]/SUM(Table1[Total in "Dark" scene]))*100,1)</f>
        <v>2.2999999999999998</v>
      </c>
      <c r="T81" s="111">
        <f>Table1[[#This Row],[Total in "Village" scene]]+Table1[[#This Row],[Total in "Castle" scene]]+Table1[[#This Row],[Total in "Dark" scene]]</f>
        <v>60</v>
      </c>
      <c r="U81" s="99">
        <f>ROUND((Table1[[#This Row],[Total in the game]]/SUM(Table1[Total in the game]))*100,1)</f>
        <v>1.1000000000000001</v>
      </c>
      <c r="W81" s="115" t="s">
        <v>603</v>
      </c>
      <c r="X81" s="115" t="s">
        <v>342</v>
      </c>
      <c r="Y81" s="120" t="s">
        <v>342</v>
      </c>
      <c r="Z81" s="120" t="s">
        <v>342</v>
      </c>
    </row>
    <row r="82" spans="4:26" x14ac:dyDescent="0.25">
      <c r="D82" s="78" t="s">
        <v>277</v>
      </c>
      <c r="E82" s="78" t="s">
        <v>371</v>
      </c>
      <c r="F82" s="78" t="s">
        <v>285</v>
      </c>
      <c r="G82" s="103">
        <v>210</v>
      </c>
      <c r="H82" s="103">
        <v>210</v>
      </c>
      <c r="I82" s="108">
        <v>10</v>
      </c>
      <c r="J82" s="93">
        <v>83</v>
      </c>
      <c r="K82" s="93">
        <v>1</v>
      </c>
      <c r="L82" s="93">
        <v>1</v>
      </c>
      <c r="M82" s="93" t="s">
        <v>9</v>
      </c>
      <c r="N82" s="104">
        <f>COUNTIF(Table7[Spawner],Table1[[#This Row],[Spawner Prefab]])</f>
        <v>3</v>
      </c>
      <c r="O82" s="96">
        <f>ROUND((Table1[[#This Row],[Total in "Village" scene]]/SUM(Table1[Total in "Village" scene]))*100,1)</f>
        <v>0.1</v>
      </c>
      <c r="P82" s="110">
        <f>COUNTIF(Table15[Spawner],Table1[[#This Row],[Spawner Prefab]])</f>
        <v>0</v>
      </c>
      <c r="Q82" s="100">
        <f>ROUND((Table1[[#This Row],[Total in "Castle" scene]]/SUM(Table1[Total in "Castle" scene]))*100,1)</f>
        <v>0</v>
      </c>
      <c r="R82" s="105">
        <f>COUNTIF(Table20[Spawner],Table1[[#This Row],[Spawner Prefab]])</f>
        <v>0</v>
      </c>
      <c r="S82" s="97">
        <f>ROUND((Table1[[#This Row],[Total in "Dark" scene]]/SUM(Table1[Total in "Dark" scene]))*100,1)</f>
        <v>0</v>
      </c>
      <c r="T82" s="111">
        <f>Table1[[#This Row],[Total in "Village" scene]]+Table1[[#This Row],[Total in "Castle" scene]]+Table1[[#This Row],[Total in "Dark" scene]]</f>
        <v>3</v>
      </c>
      <c r="U82" s="99">
        <f>ROUND((Table1[[#This Row],[Total in the game]]/SUM(Table1[Total in the game]))*100,1)</f>
        <v>0.1</v>
      </c>
      <c r="W82" s="115" t="s">
        <v>504</v>
      </c>
      <c r="X82" s="115" t="s">
        <v>343</v>
      </c>
      <c r="Y82" s="120" t="s">
        <v>343</v>
      </c>
      <c r="Z82" s="120" t="s">
        <v>343</v>
      </c>
    </row>
    <row r="83" spans="4:26" x14ac:dyDescent="0.25">
      <c r="D83" s="78" t="s">
        <v>602</v>
      </c>
      <c r="E83" s="78" t="s">
        <v>371</v>
      </c>
      <c r="F83" s="78" t="s">
        <v>603</v>
      </c>
      <c r="G83" s="103">
        <v>210</v>
      </c>
      <c r="H83" s="103">
        <v>210</v>
      </c>
      <c r="I83" s="108">
        <v>10</v>
      </c>
      <c r="J83" s="93">
        <v>83</v>
      </c>
      <c r="K83" s="93">
        <v>1</v>
      </c>
      <c r="L83" s="93">
        <v>1</v>
      </c>
      <c r="M83" s="93" t="s">
        <v>9</v>
      </c>
      <c r="N83" s="104">
        <f>COUNTIF(Table7[Spawner],Table1[[#This Row],[Spawner Prefab]])</f>
        <v>6</v>
      </c>
      <c r="O83" s="96">
        <f>ROUND((Table1[[#This Row],[Total in "Village" scene]]/SUM(Table1[Total in "Village" scene]))*100,1)</f>
        <v>0.2</v>
      </c>
      <c r="P83" s="110">
        <f>COUNTIF(Table15[Spawner],Table1[[#This Row],[Spawner Prefab]])</f>
        <v>0</v>
      </c>
      <c r="Q83" s="100">
        <f>ROUND((Table1[[#This Row],[Total in "Castle" scene]]/SUM(Table1[Total in "Castle" scene]))*100,1)</f>
        <v>0</v>
      </c>
      <c r="R83" s="105">
        <f>COUNTIF(Table20[Spawner],Table1[[#This Row],[Spawner Prefab]])</f>
        <v>0</v>
      </c>
      <c r="S83" s="97">
        <f>ROUND((Table1[[#This Row],[Total in "Dark" scene]]/SUM(Table1[Total in "Dark" scene]))*100,1)</f>
        <v>0</v>
      </c>
      <c r="T83" s="111">
        <f>Table1[[#This Row],[Total in "Village" scene]]+Table1[[#This Row],[Total in "Castle" scene]]+Table1[[#This Row],[Total in "Dark" scene]]</f>
        <v>6</v>
      </c>
      <c r="U83" s="99">
        <f>ROUND((Table1[[#This Row],[Total in the game]]/SUM(Table1[Total in the game]))*100,1)</f>
        <v>0.1</v>
      </c>
      <c r="W83" s="115" t="s">
        <v>22</v>
      </c>
      <c r="X83" s="115" t="s">
        <v>342</v>
      </c>
      <c r="Y83" s="120" t="s">
        <v>342</v>
      </c>
      <c r="Z83" s="120" t="s">
        <v>342</v>
      </c>
    </row>
    <row r="84" spans="4:26" x14ac:dyDescent="0.25">
      <c r="D84" s="78" t="s">
        <v>501</v>
      </c>
      <c r="E84" s="78" t="s">
        <v>503</v>
      </c>
      <c r="F84" s="78" t="s">
        <v>504</v>
      </c>
      <c r="G84" s="103">
        <v>300</v>
      </c>
      <c r="H84" s="103">
        <v>300</v>
      </c>
      <c r="I84" s="108">
        <v>200</v>
      </c>
      <c r="J84" s="93">
        <v>83</v>
      </c>
      <c r="K84" s="93">
        <v>1</v>
      </c>
      <c r="L84" s="93">
        <v>1</v>
      </c>
      <c r="M84" s="93">
        <v>25</v>
      </c>
      <c r="N84" s="104">
        <f>COUNTIF(Table7[Spawner],Table1[[#This Row],[Spawner Prefab]])</f>
        <v>1</v>
      </c>
      <c r="O84" s="96">
        <f>ROUND((Table1[[#This Row],[Total in "Village" scene]]/SUM(Table1[Total in "Village" scene]))*100,1)</f>
        <v>0</v>
      </c>
      <c r="P84" s="110">
        <f>COUNTIF(Table15[Spawner],Table1[[#This Row],[Spawner Prefab]])</f>
        <v>3</v>
      </c>
      <c r="Q84" s="100">
        <f>ROUND((Table1[[#This Row],[Total in "Castle" scene]]/SUM(Table1[Total in "Castle" scene]))*100,1)</f>
        <v>0.2</v>
      </c>
      <c r="R84" s="105">
        <f>COUNTIF(Table20[Spawner],Table1[[#This Row],[Spawner Prefab]])</f>
        <v>0</v>
      </c>
      <c r="S84" s="97">
        <f>ROUND((Table1[[#This Row],[Total in "Dark" scene]]/SUM(Table1[Total in "Dark" scene]))*100,1)</f>
        <v>0</v>
      </c>
      <c r="T84" s="111">
        <f>Table1[[#This Row],[Total in "Village" scene]]+Table1[[#This Row],[Total in "Castle" scene]]+Table1[[#This Row],[Total in "Dark" scene]]</f>
        <v>4</v>
      </c>
      <c r="U84" s="99">
        <f>ROUND((Table1[[#This Row],[Total in the game]]/SUM(Table1[Total in the game]))*100,1)</f>
        <v>0.1</v>
      </c>
      <c r="W84" s="149" t="s">
        <v>601</v>
      </c>
      <c r="X84" s="149" t="s">
        <v>342</v>
      </c>
      <c r="Y84" s="150" t="s">
        <v>342</v>
      </c>
      <c r="Z84" s="150" t="s">
        <v>342</v>
      </c>
    </row>
    <row r="85" spans="4:26" x14ac:dyDescent="0.25">
      <c r="D85" s="78" t="s">
        <v>129</v>
      </c>
      <c r="E85" s="78" t="s">
        <v>86</v>
      </c>
      <c r="F85" s="78" t="s">
        <v>22</v>
      </c>
      <c r="G85" s="103">
        <v>500</v>
      </c>
      <c r="H85" s="103">
        <v>500</v>
      </c>
      <c r="I85" s="108">
        <v>0</v>
      </c>
      <c r="J85" s="93">
        <v>25</v>
      </c>
      <c r="K85" s="93">
        <v>0</v>
      </c>
      <c r="L85" s="93">
        <v>0</v>
      </c>
      <c r="M85" s="93" t="s">
        <v>9</v>
      </c>
      <c r="N85" s="104">
        <f>COUNTIF(Table7[Spawner],Table1[[#This Row],[Spawner Prefab]])</f>
        <v>21</v>
      </c>
      <c r="O85" s="96">
        <f>ROUND((Table1[[#This Row],[Total in "Village" scene]]/SUM(Table1[Total in "Village" scene]))*100,1)</f>
        <v>0.9</v>
      </c>
      <c r="P85" s="110">
        <f>COUNTIF(Table15[Spawner],Table1[[#This Row],[Spawner Prefab]])</f>
        <v>38</v>
      </c>
      <c r="Q85" s="100">
        <f>ROUND((Table1[[#This Row],[Total in "Castle" scene]]/SUM(Table1[Total in "Castle" scene]))*100,1)</f>
        <v>1.9</v>
      </c>
      <c r="R85" s="105">
        <f>COUNTIF(Table20[Spawner],Table1[[#This Row],[Spawner Prefab]])</f>
        <v>32</v>
      </c>
      <c r="S85" s="97">
        <f>ROUND((Table1[[#This Row],[Total in "Dark" scene]]/SUM(Table1[Total in "Dark" scene]))*100,1)</f>
        <v>3.2</v>
      </c>
      <c r="T85" s="111">
        <f>Table1[[#This Row],[Total in "Village" scene]]+Table1[[#This Row],[Total in "Castle" scene]]+Table1[[#This Row],[Total in "Dark" scene]]</f>
        <v>91</v>
      </c>
      <c r="U85" s="99">
        <f>ROUND((Table1[[#This Row],[Total in the game]]/SUM(Table1[Total in the game]))*100,1)</f>
        <v>1.7</v>
      </c>
      <c r="W85" s="115" t="s">
        <v>475</v>
      </c>
      <c r="X85" s="115" t="s">
        <v>343</v>
      </c>
      <c r="Y85" s="120" t="s">
        <v>343</v>
      </c>
      <c r="Z85" s="120" t="s">
        <v>343</v>
      </c>
    </row>
    <row r="86" spans="4:26" x14ac:dyDescent="0.25">
      <c r="D86" s="78" t="s">
        <v>600</v>
      </c>
      <c r="E86" s="78" t="s">
        <v>599</v>
      </c>
      <c r="F86" s="78" t="s">
        <v>601</v>
      </c>
      <c r="G86" s="103">
        <v>500</v>
      </c>
      <c r="H86" s="103">
        <v>500</v>
      </c>
      <c r="I86" s="108">
        <v>0</v>
      </c>
      <c r="J86" s="93">
        <v>50</v>
      </c>
      <c r="K86" s="93">
        <v>0</v>
      </c>
      <c r="L86" s="93">
        <v>0</v>
      </c>
      <c r="M86" s="93" t="s">
        <v>9</v>
      </c>
      <c r="N86" s="104">
        <f>COUNTIF(Table7[Spawner],Table1[[#This Row],[Spawner Prefab]])</f>
        <v>17</v>
      </c>
      <c r="O86" s="96">
        <f>ROUND((Table1[[#This Row],[Total in "Village" scene]]/SUM(Table1[Total in "Village" scene]))*100,1)</f>
        <v>0.7</v>
      </c>
      <c r="P86" s="110">
        <f>COUNTIF(Table15[Spawner],Table1[[#This Row],[Spawner Prefab]])</f>
        <v>17</v>
      </c>
      <c r="Q86" s="100">
        <f>ROUND((Table1[[#This Row],[Total in "Castle" scene]]/SUM(Table1[Total in "Castle" scene]))*100,1)</f>
        <v>0.9</v>
      </c>
      <c r="R86" s="105">
        <f>COUNTIF(Table20[Spawner],Table1[[#This Row],[Spawner Prefab]])</f>
        <v>26</v>
      </c>
      <c r="S86" s="97">
        <f>ROUND((Table1[[#This Row],[Total in "Dark" scene]]/SUM(Table1[Total in "Dark" scene]))*100,1)</f>
        <v>2.6</v>
      </c>
      <c r="T86" s="111">
        <f>Table1[[#This Row],[Total in "Village" scene]]+Table1[[#This Row],[Total in "Castle" scene]]+Table1[[#This Row],[Total in "Dark" scene]]</f>
        <v>60</v>
      </c>
      <c r="U86" s="99">
        <f>ROUND((Table1[[#This Row],[Total in the game]]/SUM(Table1[Total in the game]))*100,1)</f>
        <v>1.1000000000000001</v>
      </c>
      <c r="W86" s="149" t="s">
        <v>27</v>
      </c>
      <c r="X86" s="149" t="s">
        <v>342</v>
      </c>
      <c r="Y86" s="150" t="s">
        <v>342</v>
      </c>
      <c r="Z86" s="150" t="s">
        <v>342</v>
      </c>
    </row>
    <row r="87" spans="4:26" x14ac:dyDescent="0.25">
      <c r="D87" s="78" t="s">
        <v>438</v>
      </c>
      <c r="E87" s="78" t="s">
        <v>437</v>
      </c>
      <c r="F87" s="78" t="s">
        <v>544</v>
      </c>
      <c r="G87" s="103">
        <v>200</v>
      </c>
      <c r="H87" s="103">
        <v>200</v>
      </c>
      <c r="I87" s="108">
        <v>20</v>
      </c>
      <c r="J87" s="93">
        <v>25</v>
      </c>
      <c r="K87" s="93">
        <v>0</v>
      </c>
      <c r="L87" s="93">
        <v>0</v>
      </c>
      <c r="M87" s="93" t="s">
        <v>9</v>
      </c>
      <c r="N87" s="104">
        <f>COUNTIF(Table7[Spawner],Table1[[#This Row],[Spawner Prefab]])</f>
        <v>6</v>
      </c>
      <c r="O87" s="96">
        <f>ROUND((Table1[[#This Row],[Total in "Village" scene]]/SUM(Table1[Total in "Village" scene]))*100,1)</f>
        <v>0.2</v>
      </c>
      <c r="P87" s="110">
        <f>COUNTIF(Table15[Spawner],Table1[[#This Row],[Spawner Prefab]])</f>
        <v>0</v>
      </c>
      <c r="Q87" s="100">
        <f>ROUND((Table1[[#This Row],[Total in "Castle" scene]]/SUM(Table1[Total in "Castle" scene]))*100,1)</f>
        <v>0</v>
      </c>
      <c r="R87" s="105">
        <f>COUNTIF(Table20[Spawner],Table1[[#This Row],[Spawner Prefab]])</f>
        <v>11</v>
      </c>
      <c r="S87" s="97">
        <f>ROUND((Table1[[#This Row],[Total in "Dark" scene]]/SUM(Table1[Total in "Dark" scene]))*100,1)</f>
        <v>1.1000000000000001</v>
      </c>
      <c r="T87" s="111">
        <f>Table1[[#This Row],[Total in "Village" scene]]+Table1[[#This Row],[Total in "Castle" scene]]+Table1[[#This Row],[Total in "Dark" scene]]</f>
        <v>17</v>
      </c>
      <c r="U87" s="99">
        <f>ROUND((Table1[[#This Row],[Total in the game]]/SUM(Table1[Total in the game]))*100,1)</f>
        <v>0.3</v>
      </c>
      <c r="W87" s="115" t="s">
        <v>29</v>
      </c>
      <c r="X87" s="115" t="s">
        <v>343</v>
      </c>
      <c r="Y87" s="120" t="s">
        <v>343</v>
      </c>
      <c r="Z87" s="120" t="s">
        <v>343</v>
      </c>
    </row>
    <row r="88" spans="4:26" x14ac:dyDescent="0.25">
      <c r="D88" s="78" t="s">
        <v>605</v>
      </c>
      <c r="E88" s="78" t="s">
        <v>437</v>
      </c>
      <c r="F88" s="78" t="s">
        <v>544</v>
      </c>
      <c r="G88" s="103">
        <v>200</v>
      </c>
      <c r="H88" s="103">
        <v>200</v>
      </c>
      <c r="I88" s="108">
        <v>20</v>
      </c>
      <c r="J88" s="93">
        <v>25</v>
      </c>
      <c r="K88" s="93">
        <v>0</v>
      </c>
      <c r="L88" s="93">
        <v>0</v>
      </c>
      <c r="M88" s="93" t="s">
        <v>9</v>
      </c>
      <c r="N88" s="104">
        <f>COUNTIF(Table7[Spawner],Table1[[#This Row],[Spawner Prefab]])</f>
        <v>0</v>
      </c>
      <c r="O88" s="96">
        <f>ROUND((Table1[[#This Row],[Total in "Village" scene]]/SUM(Table1[Total in "Village" scene]))*100,1)</f>
        <v>0</v>
      </c>
      <c r="P88" s="110">
        <f>COUNTIF(Table15[Spawner],Table1[[#This Row],[Spawner Prefab]])</f>
        <v>0</v>
      </c>
      <c r="Q88" s="100">
        <f>ROUND((Table1[[#This Row],[Total in "Castle" scene]]/SUM(Table1[Total in "Castle" scene]))*100,1)</f>
        <v>0</v>
      </c>
      <c r="R88" s="105">
        <f>COUNTIF(Table20[Spawner],Table1[[#This Row],[Spawner Prefab]])</f>
        <v>13</v>
      </c>
      <c r="S88" s="97">
        <f>ROUND((Table1[[#This Row],[Total in "Dark" scene]]/SUM(Table1[Total in "Dark" scene]))*100,1)</f>
        <v>1.3</v>
      </c>
      <c r="T88" s="111">
        <f>Table1[[#This Row],[Total in "Village" scene]]+Table1[[#This Row],[Total in "Castle" scene]]+Table1[[#This Row],[Total in "Dark" scene]]</f>
        <v>13</v>
      </c>
      <c r="U88" s="99">
        <f>ROUND((Table1[[#This Row],[Total in the game]]/SUM(Table1[Total in the game]))*100,1)</f>
        <v>0.2</v>
      </c>
      <c r="W88" s="119" t="s">
        <v>7294</v>
      </c>
      <c r="X88" s="119" t="s">
        <v>342</v>
      </c>
      <c r="Y88" s="119" t="s">
        <v>342</v>
      </c>
      <c r="Z88" s="119" t="s">
        <v>342</v>
      </c>
    </row>
    <row r="89" spans="4:26" x14ac:dyDescent="0.25">
      <c r="D89" s="78" t="s">
        <v>584</v>
      </c>
      <c r="E89" s="78" t="s">
        <v>583</v>
      </c>
      <c r="F89" s="78" t="s">
        <v>585</v>
      </c>
      <c r="G89" s="103">
        <v>200</v>
      </c>
      <c r="H89" s="103">
        <v>200</v>
      </c>
      <c r="I89" s="108">
        <v>15</v>
      </c>
      <c r="J89" s="93">
        <v>95</v>
      </c>
      <c r="K89" s="93">
        <v>3</v>
      </c>
      <c r="L89" s="93">
        <v>3</v>
      </c>
      <c r="M89" s="93" t="s">
        <v>9</v>
      </c>
      <c r="N89" s="104">
        <f>COUNTIF(Table7[Spawner],Table1[[#This Row],[Spawner Prefab]])</f>
        <v>0</v>
      </c>
      <c r="O89" s="96">
        <f>ROUND((Table1[[#This Row],[Total in "Village" scene]]/SUM(Table1[Total in "Village" scene]))*100,1)</f>
        <v>0</v>
      </c>
      <c r="P89" s="110">
        <f>COUNTIF(Table15[Spawner],Table1[[#This Row],[Spawner Prefab]])</f>
        <v>0</v>
      </c>
      <c r="Q89" s="100">
        <f>ROUND((Table1[[#This Row],[Total in "Castle" scene]]/SUM(Table1[Total in "Castle" scene]))*100,1)</f>
        <v>0</v>
      </c>
      <c r="R89" s="105">
        <f>COUNTIF(Table20[Spawner],Table1[[#This Row],[Spawner Prefab]])</f>
        <v>0</v>
      </c>
      <c r="S89" s="97">
        <f>ROUND((Table1[[#This Row],[Total in "Dark" scene]]/SUM(Table1[Total in "Dark" scene]))*100,1)</f>
        <v>0</v>
      </c>
      <c r="T89" s="111">
        <f>Table1[[#This Row],[Total in "Village" scene]]+Table1[[#This Row],[Total in "Castle" scene]]+Table1[[#This Row],[Total in "Dark" scene]]</f>
        <v>0</v>
      </c>
      <c r="U89" s="99">
        <f>ROUND((Table1[[#This Row],[Total in the game]]/SUM(Table1[Total in the game]))*100,1)</f>
        <v>0</v>
      </c>
      <c r="W89" s="150" t="s">
        <v>7293</v>
      </c>
      <c r="X89" s="150" t="s">
        <v>342</v>
      </c>
      <c r="Y89" s="150" t="s">
        <v>342</v>
      </c>
      <c r="Z89" s="150" t="s">
        <v>342</v>
      </c>
    </row>
    <row r="90" spans="4:26" x14ac:dyDescent="0.25">
      <c r="D90" s="78" t="s">
        <v>474</v>
      </c>
      <c r="E90" s="78" t="s">
        <v>505</v>
      </c>
      <c r="F90" s="78" t="s">
        <v>475</v>
      </c>
      <c r="G90" s="103">
        <v>310</v>
      </c>
      <c r="H90" s="103">
        <v>310</v>
      </c>
      <c r="I90" s="108">
        <v>400</v>
      </c>
      <c r="J90" s="93">
        <v>83</v>
      </c>
      <c r="K90" s="93">
        <v>1</v>
      </c>
      <c r="L90" s="93">
        <v>2</v>
      </c>
      <c r="M90" s="93">
        <v>60</v>
      </c>
      <c r="N90" s="104">
        <f>COUNTIF(Table7[Spawner],Table1[[#This Row],[Spawner Prefab]])</f>
        <v>0</v>
      </c>
      <c r="O90" s="96">
        <f>ROUND((Table1[[#This Row],[Total in "Village" scene]]/SUM(Table1[Total in "Village" scene]))*100,1)</f>
        <v>0</v>
      </c>
      <c r="P90" s="110">
        <f>COUNTIF(Table15[Spawner],Table1[[#This Row],[Spawner Prefab]])</f>
        <v>15</v>
      </c>
      <c r="Q90" s="100">
        <f>ROUND((Table1[[#This Row],[Total in "Castle" scene]]/SUM(Table1[Total in "Castle" scene]))*100,1)</f>
        <v>0.8</v>
      </c>
      <c r="R90" s="105">
        <f>COUNTIF(Table20[Spawner],Table1[[#This Row],[Spawner Prefab]])</f>
        <v>0</v>
      </c>
      <c r="S90" s="97">
        <f>ROUND((Table1[[#This Row],[Total in "Dark" scene]]/SUM(Table1[Total in "Dark" scene]))*100,1)</f>
        <v>0</v>
      </c>
      <c r="T90" s="111">
        <f>Table1[[#This Row],[Total in "Village" scene]]+Table1[[#This Row],[Total in "Castle" scene]]+Table1[[#This Row],[Total in "Dark" scene]]</f>
        <v>15</v>
      </c>
      <c r="U90" s="99">
        <f>ROUND((Table1[[#This Row],[Total in the game]]/SUM(Table1[Total in the game]))*100,1)</f>
        <v>0.3</v>
      </c>
      <c r="W90" s="150" t="s">
        <v>7292</v>
      </c>
      <c r="X90" s="150" t="s">
        <v>342</v>
      </c>
      <c r="Y90" s="150" t="s">
        <v>342</v>
      </c>
      <c r="Z90" s="150" t="s">
        <v>342</v>
      </c>
    </row>
    <row r="91" spans="4:26" x14ac:dyDescent="0.25">
      <c r="D91" s="78" t="s">
        <v>144</v>
      </c>
      <c r="E91" s="78" t="s">
        <v>9</v>
      </c>
      <c r="F91" s="78" t="s">
        <v>27</v>
      </c>
      <c r="G91" s="103">
        <v>450</v>
      </c>
      <c r="H91" s="103">
        <v>450</v>
      </c>
      <c r="I91" s="108" t="s">
        <v>9</v>
      </c>
      <c r="J91" s="93"/>
      <c r="K91" s="93"/>
      <c r="L91" s="93"/>
      <c r="M91" s="93"/>
      <c r="N91" s="104">
        <f>COUNTIF(Table7[Spawner],Table1[[#This Row],[Spawner Prefab]])</f>
        <v>6</v>
      </c>
      <c r="O91" s="96">
        <f>ROUND((Table1[[#This Row],[Total in "Village" scene]]/SUM(Table1[Total in "Village" scene]))*100,1)</f>
        <v>0.2</v>
      </c>
      <c r="P91" s="110">
        <f>COUNTIF(Table15[Spawner],Table1[[#This Row],[Spawner Prefab]])</f>
        <v>7</v>
      </c>
      <c r="Q91" s="100">
        <f>ROUND((Table1[[#This Row],[Total in "Castle" scene]]/SUM(Table1[Total in "Castle" scene]))*100,1)</f>
        <v>0.4</v>
      </c>
      <c r="R91" s="105">
        <f>COUNTIF(Table20[Spawner],Table1[[#This Row],[Spawner Prefab]])</f>
        <v>7</v>
      </c>
      <c r="S91" s="97">
        <f>ROUND((Table1[[#This Row],[Total in "Dark" scene]]/SUM(Table1[Total in "Dark" scene]))*100,1)</f>
        <v>0.7</v>
      </c>
      <c r="T91" s="111">
        <f>Table1[[#This Row],[Total in "Village" scene]]+Table1[[#This Row],[Total in "Castle" scene]]+Table1[[#This Row],[Total in "Dark" scene]]</f>
        <v>20</v>
      </c>
      <c r="U91" s="99">
        <f>ROUND((Table1[[#This Row],[Total in the game]]/SUM(Table1[Total in the game]))*100,1)</f>
        <v>0.4</v>
      </c>
      <c r="W91" s="150" t="s">
        <v>7330</v>
      </c>
      <c r="X91" s="150" t="s">
        <v>343</v>
      </c>
      <c r="Y91" s="150" t="s">
        <v>343</v>
      </c>
      <c r="Z91" s="150" t="s">
        <v>343</v>
      </c>
    </row>
    <row r="92" spans="4:26" x14ac:dyDescent="0.25">
      <c r="D92" s="78" t="s">
        <v>49</v>
      </c>
      <c r="E92" s="78" t="s">
        <v>117</v>
      </c>
      <c r="F92" s="78" t="s">
        <v>29</v>
      </c>
      <c r="G92" s="103">
        <v>180</v>
      </c>
      <c r="H92" s="103">
        <v>180</v>
      </c>
      <c r="I92" s="108">
        <v>20</v>
      </c>
      <c r="J92" s="93">
        <v>25</v>
      </c>
      <c r="K92" s="93">
        <v>0</v>
      </c>
      <c r="L92" s="93">
        <v>0</v>
      </c>
      <c r="M92" s="93">
        <v>25</v>
      </c>
      <c r="N92" s="104">
        <f>COUNTIF(Table7[Spawner],Table1[[#This Row],[Spawner Prefab]])</f>
        <v>20</v>
      </c>
      <c r="O92" s="96">
        <f>ROUND((Table1[[#This Row],[Total in "Village" scene]]/SUM(Table1[Total in "Village" scene]))*100,1)</f>
        <v>0.8</v>
      </c>
      <c r="P92" s="110">
        <f>COUNTIF(Table15[Spawner],Table1[[#This Row],[Spawner Prefab]])</f>
        <v>8</v>
      </c>
      <c r="Q92" s="100">
        <f>ROUND((Table1[[#This Row],[Total in "Castle" scene]]/SUM(Table1[Total in "Castle" scene]))*100,1)</f>
        <v>0.4</v>
      </c>
      <c r="R92" s="105">
        <f>COUNTIF(Table20[Spawner],Table1[[#This Row],[Spawner Prefab]])</f>
        <v>0</v>
      </c>
      <c r="S92" s="97">
        <f>ROUND((Table1[[#This Row],[Total in "Dark" scene]]/SUM(Table1[Total in "Dark" scene]))*100,1)</f>
        <v>0</v>
      </c>
      <c r="T92" s="111">
        <f>Table1[[#This Row],[Total in "Village" scene]]+Table1[[#This Row],[Total in "Castle" scene]]+Table1[[#This Row],[Total in "Dark" scene]]</f>
        <v>28</v>
      </c>
      <c r="U92" s="99">
        <f>ROUND((Table1[[#This Row],[Total in the game]]/SUM(Table1[Total in the game]))*100,1)</f>
        <v>0.5</v>
      </c>
      <c r="W92" s="149" t="s">
        <v>7</v>
      </c>
      <c r="X92" s="149" t="s">
        <v>342</v>
      </c>
      <c r="Y92" s="150" t="s">
        <v>342</v>
      </c>
      <c r="Z92" s="150" t="s">
        <v>342</v>
      </c>
    </row>
    <row r="93" spans="4:26" x14ac:dyDescent="0.25">
      <c r="D93" s="78" t="s">
        <v>7321</v>
      </c>
      <c r="E93" s="78" t="s">
        <v>7276</v>
      </c>
      <c r="F93" s="78" t="s">
        <v>7294</v>
      </c>
      <c r="G93" s="103">
        <v>90</v>
      </c>
      <c r="H93" s="103">
        <v>90</v>
      </c>
      <c r="I93" s="108">
        <v>20</v>
      </c>
      <c r="J93" s="93">
        <v>25</v>
      </c>
      <c r="K93" s="93">
        <v>2</v>
      </c>
      <c r="L93" s="93">
        <v>2</v>
      </c>
      <c r="M93" s="93" t="s">
        <v>9</v>
      </c>
      <c r="N93" s="104">
        <f>COUNTIF(Table7[Spawner],Table1[[#This Row],[Spawner Prefab]])</f>
        <v>0</v>
      </c>
      <c r="O93" s="96">
        <f>ROUND((Table1[[#This Row],[Total in "Village" scene]]/SUM(Table1[Total in "Village" scene]))*100,1)</f>
        <v>0</v>
      </c>
      <c r="P93" s="110">
        <f>COUNTIF(Table15[Spawner],Table1[[#This Row],[Spawner Prefab]])</f>
        <v>0</v>
      </c>
      <c r="Q93" s="100">
        <f>ROUND((Table1[[#This Row],[Total in "Castle" scene]]/SUM(Table1[Total in "Castle" scene]))*100,1)</f>
        <v>0</v>
      </c>
      <c r="R93" s="105">
        <f>COUNTIF(Table20[Spawner],Table1[[#This Row],[Spawner Prefab]])</f>
        <v>15</v>
      </c>
      <c r="S93" s="97">
        <f>ROUND((Table1[[#This Row],[Total in "Dark" scene]]/SUM(Table1[Total in "Dark" scene]))*100,1)</f>
        <v>1.5</v>
      </c>
      <c r="T93" s="111">
        <f>Table1[[#This Row],[Total in "Village" scene]]+Table1[[#This Row],[Total in "Castle" scene]]+Table1[[#This Row],[Total in "Dark" scene]]</f>
        <v>15</v>
      </c>
      <c r="U93" s="99">
        <f>ROUND((Table1[[#This Row],[Total in the game]]/SUM(Table1[Total in the game]))*100,1)</f>
        <v>0.3</v>
      </c>
      <c r="W93" s="115" t="s">
        <v>18</v>
      </c>
      <c r="X93" s="115" t="s">
        <v>342</v>
      </c>
      <c r="Y93" s="120" t="s">
        <v>342</v>
      </c>
      <c r="Z93" s="120" t="s">
        <v>342</v>
      </c>
    </row>
    <row r="94" spans="4:26" x14ac:dyDescent="0.25">
      <c r="D94" s="78" t="s">
        <v>7308</v>
      </c>
      <c r="E94" s="78" t="s">
        <v>7277</v>
      </c>
      <c r="F94" s="78" t="s">
        <v>7293</v>
      </c>
      <c r="G94" s="103">
        <v>80</v>
      </c>
      <c r="H94" s="103">
        <v>80</v>
      </c>
      <c r="I94" s="108">
        <v>15</v>
      </c>
      <c r="J94" s="93">
        <v>25</v>
      </c>
      <c r="K94" s="93">
        <v>2</v>
      </c>
      <c r="L94" s="93">
        <v>2</v>
      </c>
      <c r="M94" s="93" t="s">
        <v>9</v>
      </c>
      <c r="N94" s="104">
        <f>COUNTIF(Table7[Spawner],Table1[[#This Row],[Spawner Prefab]])</f>
        <v>0</v>
      </c>
      <c r="O94" s="96">
        <f>ROUND((Table1[[#This Row],[Total in "Village" scene]]/SUM(Table1[Total in "Village" scene]))*100,1)</f>
        <v>0</v>
      </c>
      <c r="P94" s="110">
        <f>COUNTIF(Table15[Spawner],Table1[[#This Row],[Spawner Prefab]])</f>
        <v>0</v>
      </c>
      <c r="Q94" s="100">
        <f>ROUND((Table1[[#This Row],[Total in "Castle" scene]]/SUM(Table1[Total in "Castle" scene]))*100,1)</f>
        <v>0</v>
      </c>
      <c r="R94" s="105">
        <f>COUNTIF(Table20[Spawner],Table1[[#This Row],[Spawner Prefab]])</f>
        <v>35</v>
      </c>
      <c r="S94" s="97">
        <f>ROUND((Table1[[#This Row],[Total in "Dark" scene]]/SUM(Table1[Total in "Dark" scene]))*100,1)</f>
        <v>3.5</v>
      </c>
      <c r="T94" s="111">
        <f>Table1[[#This Row],[Total in "Village" scene]]+Table1[[#This Row],[Total in "Castle" scene]]+Table1[[#This Row],[Total in "Dark" scene]]</f>
        <v>35</v>
      </c>
      <c r="U94" s="99">
        <f>ROUND((Table1[[#This Row],[Total in the game]]/SUM(Table1[Total in the game]))*100,1)</f>
        <v>0.6</v>
      </c>
      <c r="W94" s="150" t="s">
        <v>7291</v>
      </c>
      <c r="X94" s="150" t="s">
        <v>343</v>
      </c>
      <c r="Y94" s="150" t="s">
        <v>343</v>
      </c>
      <c r="Z94" s="150" t="s">
        <v>343</v>
      </c>
    </row>
    <row r="95" spans="4:26" x14ac:dyDescent="0.25">
      <c r="D95" s="78" t="s">
        <v>7304</v>
      </c>
      <c r="E95" s="78" t="s">
        <v>7278</v>
      </c>
      <c r="F95" s="78" t="s">
        <v>7292</v>
      </c>
      <c r="G95" s="103">
        <v>80</v>
      </c>
      <c r="H95" s="103">
        <v>80</v>
      </c>
      <c r="I95" s="108">
        <v>15</v>
      </c>
      <c r="J95" s="93">
        <v>25</v>
      </c>
      <c r="K95" s="93">
        <v>2</v>
      </c>
      <c r="L95" s="93">
        <v>2</v>
      </c>
      <c r="M95" s="93" t="s">
        <v>9</v>
      </c>
      <c r="N95" s="104">
        <f>COUNTIF(Table7[Spawner],Table1[[#This Row],[Spawner Prefab]])</f>
        <v>0</v>
      </c>
      <c r="O95" s="96">
        <f>ROUND((Table1[[#This Row],[Total in "Village" scene]]/SUM(Table1[Total in "Village" scene]))*100,1)</f>
        <v>0</v>
      </c>
      <c r="P95" s="110">
        <f>COUNTIF(Table15[Spawner],Table1[[#This Row],[Spawner Prefab]])</f>
        <v>0</v>
      </c>
      <c r="Q95" s="100">
        <f>ROUND((Table1[[#This Row],[Total in "Castle" scene]]/SUM(Table1[Total in "Castle" scene]))*100,1)</f>
        <v>0</v>
      </c>
      <c r="R95" s="105">
        <f>COUNTIF(Table20[Spawner],Table1[[#This Row],[Spawner Prefab]])</f>
        <v>14</v>
      </c>
      <c r="S95" s="97">
        <f>ROUND((Table1[[#This Row],[Total in "Dark" scene]]/SUM(Table1[Total in "Dark" scene]))*100,1)</f>
        <v>1.4</v>
      </c>
      <c r="T95" s="111">
        <f>Table1[[#This Row],[Total in "Village" scene]]+Table1[[#This Row],[Total in "Castle" scene]]+Table1[[#This Row],[Total in "Dark" scene]]</f>
        <v>14</v>
      </c>
      <c r="U95" s="99">
        <f>ROUND((Table1[[#This Row],[Total in the game]]/SUM(Table1[Total in the game]))*100,1)</f>
        <v>0.3</v>
      </c>
      <c r="W95" s="150" t="s">
        <v>7331</v>
      </c>
      <c r="X95" s="150" t="s">
        <v>343</v>
      </c>
      <c r="Y95" s="150" t="s">
        <v>343</v>
      </c>
      <c r="Z95" s="150" t="s">
        <v>343</v>
      </c>
    </row>
    <row r="96" spans="4:26" x14ac:dyDescent="0.25">
      <c r="D96" s="78" t="s">
        <v>7318</v>
      </c>
      <c r="E96" s="78" t="s">
        <v>7279</v>
      </c>
      <c r="F96" s="78" t="s">
        <v>7330</v>
      </c>
      <c r="G96" s="103">
        <v>150</v>
      </c>
      <c r="H96" s="103">
        <v>150</v>
      </c>
      <c r="I96" s="108">
        <v>20</v>
      </c>
      <c r="J96" s="93">
        <v>55</v>
      </c>
      <c r="K96" s="93">
        <v>2</v>
      </c>
      <c r="L96" s="93">
        <v>2</v>
      </c>
      <c r="M96" s="93">
        <v>10</v>
      </c>
      <c r="N96" s="104">
        <f>COUNTIF(Table7[Spawner],Table1[[#This Row],[Spawner Prefab]])</f>
        <v>0</v>
      </c>
      <c r="O96" s="96">
        <f>ROUND((Table1[[#This Row],[Total in "Village" scene]]/SUM(Table1[Total in "Village" scene]))*100,1)</f>
        <v>0</v>
      </c>
      <c r="P96" s="110">
        <f>COUNTIF(Table15[Spawner],Table1[[#This Row],[Spawner Prefab]])</f>
        <v>0</v>
      </c>
      <c r="Q96" s="100">
        <f>ROUND((Table1[[#This Row],[Total in "Castle" scene]]/SUM(Table1[Total in "Castle" scene]))*100,1)</f>
        <v>0</v>
      </c>
      <c r="R96" s="105">
        <f>COUNTIF(Table20[Spawner],Table1[[#This Row],[Spawner Prefab]])</f>
        <v>7</v>
      </c>
      <c r="S96" s="97">
        <f>ROUND((Table1[[#This Row],[Total in "Dark" scene]]/SUM(Table1[Total in "Dark" scene]))*100,1)</f>
        <v>0.7</v>
      </c>
      <c r="T96" s="111">
        <f>Table1[[#This Row],[Total in "Village" scene]]+Table1[[#This Row],[Total in "Castle" scene]]+Table1[[#This Row],[Total in "Dark" scene]]</f>
        <v>7</v>
      </c>
      <c r="U96" s="99">
        <f>ROUND((Table1[[#This Row],[Total in the game]]/SUM(Table1[Total in the game]))*100,1)</f>
        <v>0.1</v>
      </c>
      <c r="W96" s="150" t="s">
        <v>7290</v>
      </c>
      <c r="X96" s="150" t="s">
        <v>343</v>
      </c>
      <c r="Y96" s="150" t="s">
        <v>343</v>
      </c>
      <c r="Z96" s="150" t="s">
        <v>343</v>
      </c>
    </row>
    <row r="97" spans="4:26" x14ac:dyDescent="0.25">
      <c r="D97" s="78" t="s">
        <v>17</v>
      </c>
      <c r="E97" s="78" t="s">
        <v>76</v>
      </c>
      <c r="F97" s="78" t="s">
        <v>7</v>
      </c>
      <c r="G97" s="103">
        <v>220</v>
      </c>
      <c r="H97" s="103">
        <v>220</v>
      </c>
      <c r="I97" s="108">
        <v>25</v>
      </c>
      <c r="J97" s="93">
        <v>83</v>
      </c>
      <c r="K97" s="93">
        <v>1</v>
      </c>
      <c r="L97" s="93">
        <v>1</v>
      </c>
      <c r="M97" s="93" t="s">
        <v>9</v>
      </c>
      <c r="N97" s="104">
        <f>COUNTIF(Table7[Spawner],Table1[[#This Row],[Spawner Prefab]])</f>
        <v>4</v>
      </c>
      <c r="O97" s="96">
        <f>ROUND((Table1[[#This Row],[Total in "Village" scene]]/SUM(Table1[Total in "Village" scene]))*100,1)</f>
        <v>0.2</v>
      </c>
      <c r="P97" s="110">
        <f>COUNTIF(Table15[Spawner],Table1[[#This Row],[Spawner Prefab]])</f>
        <v>0</v>
      </c>
      <c r="Q97" s="100">
        <f>ROUND((Table1[[#This Row],[Total in "Castle" scene]]/SUM(Table1[Total in "Castle" scene]))*100,1)</f>
        <v>0</v>
      </c>
      <c r="R97" s="105">
        <f>COUNTIF(Table20[Spawner],Table1[[#This Row],[Spawner Prefab]])</f>
        <v>0</v>
      </c>
      <c r="S97" s="97">
        <f>ROUND((Table1[[#This Row],[Total in "Dark" scene]]/SUM(Table1[Total in "Dark" scene]))*100,1)</f>
        <v>0</v>
      </c>
      <c r="T97" s="111">
        <f>Table1[[#This Row],[Total in "Village" scene]]+Table1[[#This Row],[Total in "Castle" scene]]+Table1[[#This Row],[Total in "Dark" scene]]</f>
        <v>4</v>
      </c>
      <c r="U97" s="99">
        <f>ROUND((Table1[[#This Row],[Total in the game]]/SUM(Table1[Total in the game]))*100,1)</f>
        <v>0.1</v>
      </c>
      <c r="W97" s="150" t="s">
        <v>7333</v>
      </c>
      <c r="X97" s="150" t="s">
        <v>343</v>
      </c>
      <c r="Y97" s="150" t="s">
        <v>343</v>
      </c>
      <c r="Z97" s="150" t="s">
        <v>343</v>
      </c>
    </row>
    <row r="98" spans="4:26" x14ac:dyDescent="0.25">
      <c r="D98" s="78" t="s">
        <v>19</v>
      </c>
      <c r="E98" s="78" t="s">
        <v>76</v>
      </c>
      <c r="F98" s="78" t="s">
        <v>18</v>
      </c>
      <c r="G98" s="103">
        <v>220</v>
      </c>
      <c r="H98" s="103">
        <v>220</v>
      </c>
      <c r="I98" s="108">
        <v>25</v>
      </c>
      <c r="J98" s="93">
        <v>83</v>
      </c>
      <c r="K98" s="93">
        <v>1</v>
      </c>
      <c r="L98" s="93">
        <v>1</v>
      </c>
      <c r="M98" s="93" t="s">
        <v>9</v>
      </c>
      <c r="N98" s="104">
        <f>COUNTIF(Table7[Spawner],Table1[[#This Row],[Spawner Prefab]])</f>
        <v>6</v>
      </c>
      <c r="O98" s="96">
        <f>ROUND((Table1[[#This Row],[Total in "Village" scene]]/SUM(Table1[Total in "Village" scene]))*100,1)</f>
        <v>0.2</v>
      </c>
      <c r="P98" s="110">
        <f>COUNTIF(Table15[Spawner],Table1[[#This Row],[Spawner Prefab]])</f>
        <v>3</v>
      </c>
      <c r="Q98" s="100">
        <f>ROUND((Table1[[#This Row],[Total in "Castle" scene]]/SUM(Table1[Total in "Castle" scene]))*100,1)</f>
        <v>0.2</v>
      </c>
      <c r="R98" s="105">
        <f>COUNTIF(Table20[Spawner],Table1[[#This Row],[Spawner Prefab]])</f>
        <v>0</v>
      </c>
      <c r="S98" s="97">
        <f>ROUND((Table1[[#This Row],[Total in "Dark" scene]]/SUM(Table1[Total in "Dark" scene]))*100,1)</f>
        <v>0</v>
      </c>
      <c r="T98" s="111">
        <f>Table1[[#This Row],[Total in "Village" scene]]+Table1[[#This Row],[Total in "Castle" scene]]+Table1[[#This Row],[Total in "Dark" scene]]</f>
        <v>9</v>
      </c>
      <c r="U98" s="99">
        <f>ROUND((Table1[[#This Row],[Total in the game]]/SUM(Table1[Total in the game]))*100,1)</f>
        <v>0.2</v>
      </c>
      <c r="W98" s="115" t="s">
        <v>24</v>
      </c>
      <c r="X98" s="115" t="s">
        <v>343</v>
      </c>
      <c r="Y98" s="120" t="s">
        <v>343</v>
      </c>
      <c r="Z98" s="120" t="s">
        <v>343</v>
      </c>
    </row>
    <row r="99" spans="4:26" ht="15" customHeight="1" x14ac:dyDescent="0.25">
      <c r="D99" s="78" t="s">
        <v>7314</v>
      </c>
      <c r="E99" s="78" t="s">
        <v>7280</v>
      </c>
      <c r="F99" s="78" t="s">
        <v>7291</v>
      </c>
      <c r="G99" s="103">
        <v>200</v>
      </c>
      <c r="H99" s="103">
        <v>200</v>
      </c>
      <c r="I99" s="108">
        <v>10</v>
      </c>
      <c r="J99" s="93">
        <v>130</v>
      </c>
      <c r="K99" s="93">
        <v>4</v>
      </c>
      <c r="L99" s="93">
        <v>4</v>
      </c>
      <c r="M99" s="93">
        <v>21</v>
      </c>
      <c r="N99" s="104">
        <f>COUNTIF(Table7[Spawner],Table1[[#This Row],[Spawner Prefab]])</f>
        <v>0</v>
      </c>
      <c r="O99" s="96">
        <f>ROUND((Table1[[#This Row],[Total in "Village" scene]]/SUM(Table1[Total in "Village" scene]))*100,1)</f>
        <v>0</v>
      </c>
      <c r="P99" s="110">
        <f>COUNTIF(Table15[Spawner],Table1[[#This Row],[Spawner Prefab]])</f>
        <v>0</v>
      </c>
      <c r="Q99" s="100">
        <f>ROUND((Table1[[#This Row],[Total in "Castle" scene]]/SUM(Table1[Total in "Castle" scene]))*100,1)</f>
        <v>0</v>
      </c>
      <c r="R99" s="105">
        <f>COUNTIF(Table20[Spawner],Table1[[#This Row],[Spawner Prefab]])</f>
        <v>24</v>
      </c>
      <c r="S99" s="97">
        <f>ROUND((Table1[[#This Row],[Total in "Dark" scene]]/SUM(Table1[Total in "Dark" scene]))*100,1)</f>
        <v>2.4</v>
      </c>
      <c r="T99" s="111">
        <f>Table1[[#This Row],[Total in "Village" scene]]+Table1[[#This Row],[Total in "Castle" scene]]+Table1[[#This Row],[Total in "Dark" scene]]</f>
        <v>24</v>
      </c>
      <c r="U99" s="99">
        <f>ROUND((Table1[[#This Row],[Total in the game]]/SUM(Table1[Total in the game]))*100,1)</f>
        <v>0.4</v>
      </c>
      <c r="W99" s="115" t="s">
        <v>6764</v>
      </c>
      <c r="X99" s="115" t="s">
        <v>342</v>
      </c>
      <c r="Y99" s="120" t="s">
        <v>342</v>
      </c>
      <c r="Z99" s="120" t="s">
        <v>342</v>
      </c>
    </row>
    <row r="100" spans="4:26" ht="15.75" customHeight="1" x14ac:dyDescent="0.25">
      <c r="D100" s="78" t="s">
        <v>7306</v>
      </c>
      <c r="E100" s="78" t="s">
        <v>7280</v>
      </c>
      <c r="F100" s="78" t="s">
        <v>7331</v>
      </c>
      <c r="G100" s="103">
        <v>200</v>
      </c>
      <c r="H100" s="103">
        <v>200</v>
      </c>
      <c r="I100" s="108">
        <v>10</v>
      </c>
      <c r="J100" s="93">
        <v>130</v>
      </c>
      <c r="K100" s="93">
        <v>4</v>
      </c>
      <c r="L100" s="93">
        <v>4</v>
      </c>
      <c r="M100" s="93">
        <v>21</v>
      </c>
      <c r="N100" s="104">
        <f>COUNTIF(Table7[Spawner],Table1[[#This Row],[Spawner Prefab]])</f>
        <v>0</v>
      </c>
      <c r="O100" s="96">
        <f>ROUND((Table1[[#This Row],[Total in "Village" scene]]/SUM(Table1[Total in "Village" scene]))*100,1)</f>
        <v>0</v>
      </c>
      <c r="P100" s="110">
        <f>COUNTIF(Table15[Spawner],Table1[[#This Row],[Spawner Prefab]])</f>
        <v>0</v>
      </c>
      <c r="Q100" s="100">
        <f>ROUND((Table1[[#This Row],[Total in "Castle" scene]]/SUM(Table1[Total in "Castle" scene]))*100,1)</f>
        <v>0</v>
      </c>
      <c r="R100" s="105">
        <f>COUNTIF(Table20[Spawner],Table1[[#This Row],[Spawner Prefab]])</f>
        <v>7</v>
      </c>
      <c r="S100" s="97">
        <f>ROUND((Table1[[#This Row],[Total in "Dark" scene]]/SUM(Table1[Total in "Dark" scene]))*100,1)</f>
        <v>0.7</v>
      </c>
      <c r="T100" s="111">
        <f>Table1[[#This Row],[Total in "Village" scene]]+Table1[[#This Row],[Total in "Castle" scene]]+Table1[[#This Row],[Total in "Dark" scene]]</f>
        <v>7</v>
      </c>
      <c r="U100" s="99">
        <f>ROUND((Table1[[#This Row],[Total in the game]]/SUM(Table1[Total in the game]))*100,1)</f>
        <v>0.1</v>
      </c>
      <c r="W100" s="115" t="s">
        <v>30</v>
      </c>
      <c r="X100" s="115" t="s">
        <v>343</v>
      </c>
      <c r="Y100" s="120" t="s">
        <v>342</v>
      </c>
      <c r="Z100" s="120" t="s">
        <v>342</v>
      </c>
    </row>
    <row r="101" spans="4:26" x14ac:dyDescent="0.25">
      <c r="D101" s="78" t="s">
        <v>7313</v>
      </c>
      <c r="E101" s="78" t="s">
        <v>7281</v>
      </c>
      <c r="F101" s="78" t="s">
        <v>7290</v>
      </c>
      <c r="G101" s="103">
        <v>250</v>
      </c>
      <c r="H101" s="103">
        <v>250</v>
      </c>
      <c r="I101" s="108">
        <v>12</v>
      </c>
      <c r="J101" s="93">
        <v>263</v>
      </c>
      <c r="K101" s="93">
        <v>5</v>
      </c>
      <c r="L101" s="93">
        <v>5</v>
      </c>
      <c r="M101" s="93">
        <v>25</v>
      </c>
      <c r="N101" s="104">
        <f>COUNTIF(Table7[Spawner],Table1[[#This Row],[Spawner Prefab]])</f>
        <v>0</v>
      </c>
      <c r="O101" s="96">
        <f>ROUND((Table1[[#This Row],[Total in "Village" scene]]/SUM(Table1[Total in "Village" scene]))*100,1)</f>
        <v>0</v>
      </c>
      <c r="P101" s="110">
        <f>COUNTIF(Table15[Spawner],Table1[[#This Row],[Spawner Prefab]])</f>
        <v>0</v>
      </c>
      <c r="Q101" s="100">
        <f>ROUND((Table1[[#This Row],[Total in "Castle" scene]]/SUM(Table1[Total in "Castle" scene]))*100,1)</f>
        <v>0</v>
      </c>
      <c r="R101" s="105">
        <f>COUNTIF(Table20[Spawner],Table1[[#This Row],[Spawner Prefab]])</f>
        <v>11</v>
      </c>
      <c r="S101" s="97">
        <f>ROUND((Table1[[#This Row],[Total in "Dark" scene]]/SUM(Table1[Total in "Dark" scene]))*100,1)</f>
        <v>1.1000000000000001</v>
      </c>
      <c r="T101" s="111">
        <f>Table1[[#This Row],[Total in "Village" scene]]+Table1[[#This Row],[Total in "Castle" scene]]+Table1[[#This Row],[Total in "Dark" scene]]</f>
        <v>11</v>
      </c>
      <c r="U101" s="99">
        <f>ROUND((Table1[[#This Row],[Total in the game]]/SUM(Table1[Total in the game]))*100,1)</f>
        <v>0.2</v>
      </c>
      <c r="W101" s="115" t="s">
        <v>587</v>
      </c>
      <c r="X101" s="115" t="s">
        <v>342</v>
      </c>
      <c r="Y101" s="120" t="s">
        <v>342</v>
      </c>
      <c r="Z101" s="120" t="s">
        <v>342</v>
      </c>
    </row>
    <row r="102" spans="4:26" x14ac:dyDescent="0.25">
      <c r="D102" s="78" t="s">
        <v>7332</v>
      </c>
      <c r="E102" s="78" t="s">
        <v>7281</v>
      </c>
      <c r="F102" s="78" t="s">
        <v>7333</v>
      </c>
      <c r="G102" s="103">
        <v>250</v>
      </c>
      <c r="H102" s="103">
        <v>250</v>
      </c>
      <c r="I102" s="108">
        <v>12</v>
      </c>
      <c r="J102" s="93">
        <v>263</v>
      </c>
      <c r="K102" s="93">
        <v>5</v>
      </c>
      <c r="L102" s="93">
        <v>5</v>
      </c>
      <c r="M102" s="93">
        <v>25</v>
      </c>
      <c r="N102" s="104">
        <f>COUNTIF(Table7[Spawner],Table1[[#This Row],[Spawner Prefab]])</f>
        <v>0</v>
      </c>
      <c r="O102" s="96">
        <f>ROUND((Table1[[#This Row],[Total in "Village" scene]]/SUM(Table1[Total in "Village" scene]))*100,1)</f>
        <v>0</v>
      </c>
      <c r="P102" s="110">
        <f>COUNTIF(Table15[Spawner],Table1[[#This Row],[Spawner Prefab]])</f>
        <v>0</v>
      </c>
      <c r="Q102" s="100">
        <f>ROUND((Table1[[#This Row],[Total in "Castle" scene]]/SUM(Table1[Total in "Castle" scene]))*100,1)</f>
        <v>0</v>
      </c>
      <c r="R102" s="105">
        <f>COUNTIF(Table20[Spawner],Table1[[#This Row],[Spawner Prefab]])</f>
        <v>1</v>
      </c>
      <c r="S102" s="97">
        <f>ROUND((Table1[[#This Row],[Total in "Dark" scene]]/SUM(Table1[Total in "Dark" scene]))*100,1)</f>
        <v>0.1</v>
      </c>
      <c r="T102" s="111">
        <f>Table1[[#This Row],[Total in "Village" scene]]+Table1[[#This Row],[Total in "Castle" scene]]+Table1[[#This Row],[Total in "Dark" scene]]</f>
        <v>1</v>
      </c>
      <c r="U102" s="99">
        <f>ROUND((Table1[[#This Row],[Total in the game]]/SUM(Table1[Total in the game]))*100,1)</f>
        <v>0</v>
      </c>
      <c r="W102" s="115" t="s">
        <v>8</v>
      </c>
      <c r="X102" s="115" t="s">
        <v>343</v>
      </c>
      <c r="Y102" s="120" t="s">
        <v>343</v>
      </c>
      <c r="Z102" s="120" t="s">
        <v>343</v>
      </c>
    </row>
    <row r="103" spans="4:26" x14ac:dyDescent="0.25">
      <c r="D103" s="78" t="s">
        <v>26</v>
      </c>
      <c r="E103" s="78" t="s">
        <v>88</v>
      </c>
      <c r="F103" s="78" t="s">
        <v>24</v>
      </c>
      <c r="G103" s="103">
        <v>200</v>
      </c>
      <c r="H103" s="103">
        <v>200</v>
      </c>
      <c r="I103" s="108">
        <v>32</v>
      </c>
      <c r="J103" s="93">
        <v>75</v>
      </c>
      <c r="K103" s="93">
        <v>0</v>
      </c>
      <c r="L103" s="93">
        <v>0</v>
      </c>
      <c r="M103" s="93">
        <v>40</v>
      </c>
      <c r="N103" s="104">
        <f>COUNTIF(Table7[Spawner],Table1[[#This Row],[Spawner Prefab]])</f>
        <v>18</v>
      </c>
      <c r="O103" s="96">
        <f>ROUND((Table1[[#This Row],[Total in "Village" scene]]/SUM(Table1[Total in "Village" scene]))*100,1)</f>
        <v>0.7</v>
      </c>
      <c r="P103" s="110">
        <f>COUNTIF(Table15[Spawner],Table1[[#This Row],[Spawner Prefab]])</f>
        <v>30</v>
      </c>
      <c r="Q103" s="100">
        <f>ROUND((Table1[[#This Row],[Total in "Castle" scene]]/SUM(Table1[Total in "Castle" scene]))*100,1)</f>
        <v>1.5</v>
      </c>
      <c r="R103" s="105">
        <f>COUNTIF(Table20[Spawner],Table1[[#This Row],[Spawner Prefab]])</f>
        <v>0</v>
      </c>
      <c r="S103" s="97">
        <f>ROUND((Table1[[#This Row],[Total in "Dark" scene]]/SUM(Table1[Total in "Dark" scene]))*100,1)</f>
        <v>0</v>
      </c>
      <c r="T103" s="111">
        <f>Table1[[#This Row],[Total in "Village" scene]]+Table1[[#This Row],[Total in "Castle" scene]]+Table1[[#This Row],[Total in "Dark" scene]]</f>
        <v>48</v>
      </c>
      <c r="U103" s="99">
        <f>ROUND((Table1[[#This Row],[Total in the game]]/SUM(Table1[Total in the game]))*100,1)</f>
        <v>0.9</v>
      </c>
      <c r="W103" s="115" t="s">
        <v>477</v>
      </c>
      <c r="X103" s="115" t="s">
        <v>343</v>
      </c>
      <c r="Y103" s="120" t="s">
        <v>343</v>
      </c>
      <c r="Z103" s="120" t="s">
        <v>343</v>
      </c>
    </row>
    <row r="104" spans="4:26" x14ac:dyDescent="0.25">
      <c r="D104" s="78" t="s">
        <v>6763</v>
      </c>
      <c r="E104" s="78" t="s">
        <v>604</v>
      </c>
      <c r="F104" s="78" t="s">
        <v>598</v>
      </c>
      <c r="G104" s="103">
        <v>120</v>
      </c>
      <c r="H104" s="103">
        <v>120</v>
      </c>
      <c r="I104" s="108">
        <v>15</v>
      </c>
      <c r="J104" s="93">
        <v>50</v>
      </c>
      <c r="K104" s="93">
        <v>0</v>
      </c>
      <c r="L104" s="93">
        <v>0</v>
      </c>
      <c r="M104" s="93" t="s">
        <v>9</v>
      </c>
      <c r="N104" s="104">
        <f>COUNTIF(Table7[Spawner],Table1[[#This Row],[Spawner Prefab]])</f>
        <v>0</v>
      </c>
      <c r="O104" s="96">
        <f>ROUND((Table1[[#This Row],[Total in "Village" scene]]/SUM(Table1[Total in "Village" scene]))*100,1)</f>
        <v>0</v>
      </c>
      <c r="P104" s="110">
        <f>COUNTIF(Table15[Spawner],Table1[[#This Row],[Spawner Prefab]])</f>
        <v>0</v>
      </c>
      <c r="Q104" s="100">
        <f>ROUND((Table1[[#This Row],[Total in "Castle" scene]]/SUM(Table1[Total in "Castle" scene]))*100,1)</f>
        <v>0</v>
      </c>
      <c r="R104" s="105">
        <f>COUNTIF(Table20[Spawner],Table1[[#This Row],[Spawner Prefab]])</f>
        <v>0</v>
      </c>
      <c r="S104" s="97">
        <f>ROUND((Table1[[#This Row],[Total in "Dark" scene]]/SUM(Table1[Total in "Dark" scene]))*100,1)</f>
        <v>0</v>
      </c>
      <c r="T104" s="111">
        <f>Table1[[#This Row],[Total in "Village" scene]]+Table1[[#This Row],[Total in "Castle" scene]]+Table1[[#This Row],[Total in "Dark" scene]]</f>
        <v>0</v>
      </c>
      <c r="U104" s="99">
        <f>ROUND((Table1[[#This Row],[Total in the game]]/SUM(Table1[Total in the game]))*100,1)</f>
        <v>0</v>
      </c>
      <c r="W104" s="115" t="s">
        <v>31</v>
      </c>
      <c r="X104" s="115" t="s">
        <v>343</v>
      </c>
      <c r="Y104" s="120" t="s">
        <v>343</v>
      </c>
      <c r="Z104" s="120" t="s">
        <v>343</v>
      </c>
    </row>
    <row r="105" spans="4:26" x14ac:dyDescent="0.25">
      <c r="D105" s="78" t="s">
        <v>130</v>
      </c>
      <c r="E105" s="78" t="s">
        <v>118</v>
      </c>
      <c r="F105" s="78" t="s">
        <v>30</v>
      </c>
      <c r="G105" s="103">
        <v>170</v>
      </c>
      <c r="H105" s="103">
        <v>170</v>
      </c>
      <c r="I105" s="108">
        <v>10</v>
      </c>
      <c r="J105" s="93">
        <v>70</v>
      </c>
      <c r="K105" s="93">
        <v>2</v>
      </c>
      <c r="L105" s="93">
        <v>2</v>
      </c>
      <c r="M105" s="93">
        <v>5</v>
      </c>
      <c r="N105" s="104">
        <f>COUNTIF(Table7[Spawner],Table1[[#This Row],[Spawner Prefab]])</f>
        <v>39</v>
      </c>
      <c r="O105" s="96">
        <f>ROUND((Table1[[#This Row],[Total in "Village" scene]]/SUM(Table1[Total in "Village" scene]))*100,1)</f>
        <v>1.6</v>
      </c>
      <c r="P105" s="110">
        <f>COUNTIF(Table15[Spawner],Table1[[#This Row],[Spawner Prefab]])</f>
        <v>71</v>
      </c>
      <c r="Q105" s="100">
        <f>ROUND((Table1[[#This Row],[Total in "Castle" scene]]/SUM(Table1[Total in "Castle" scene]))*100,1)</f>
        <v>3.6</v>
      </c>
      <c r="R105" s="105">
        <f>COUNTIF(Table20[Spawner],Table1[[#This Row],[Spawner Prefab]])</f>
        <v>0</v>
      </c>
      <c r="S105" s="97">
        <f>ROUND((Table1[[#This Row],[Total in "Dark" scene]]/SUM(Table1[Total in "Dark" scene]))*100,1)</f>
        <v>0</v>
      </c>
      <c r="T105" s="111">
        <f>Table1[[#This Row],[Total in "Village" scene]]+Table1[[#This Row],[Total in "Castle" scene]]+Table1[[#This Row],[Total in "Dark" scene]]</f>
        <v>110</v>
      </c>
      <c r="U105" s="99">
        <f>ROUND((Table1[[#This Row],[Total in the game]]/SUM(Table1[Total in the game]))*100,1)</f>
        <v>2</v>
      </c>
      <c r="W105" s="115" t="s">
        <v>32</v>
      </c>
      <c r="X105" s="115" t="s">
        <v>343</v>
      </c>
      <c r="Y105" s="120" t="s">
        <v>343</v>
      </c>
      <c r="Z105" s="120" t="s">
        <v>343</v>
      </c>
    </row>
    <row r="106" spans="4:26" x14ac:dyDescent="0.25">
      <c r="D106" s="78" t="s">
        <v>15</v>
      </c>
      <c r="E106" s="78" t="s">
        <v>77</v>
      </c>
      <c r="F106" s="78" t="s">
        <v>8</v>
      </c>
      <c r="G106" s="103">
        <v>280</v>
      </c>
      <c r="H106" s="103">
        <v>280</v>
      </c>
      <c r="I106" s="108">
        <v>20</v>
      </c>
      <c r="J106" s="93">
        <v>75</v>
      </c>
      <c r="K106" s="93">
        <v>0</v>
      </c>
      <c r="L106" s="93">
        <v>0</v>
      </c>
      <c r="M106" s="93">
        <v>13</v>
      </c>
      <c r="N106" s="104">
        <f>COUNTIF(Table7[Spawner],Table1[[#This Row],[Spawner Prefab]])</f>
        <v>0</v>
      </c>
      <c r="O106" s="96">
        <f>ROUND((Table1[[#This Row],[Total in "Village" scene]]/SUM(Table1[Total in "Village" scene]))*100,1)</f>
        <v>0</v>
      </c>
      <c r="P106" s="110">
        <f>COUNTIF(Table15[Spawner],Table1[[#This Row],[Spawner Prefab]])</f>
        <v>0</v>
      </c>
      <c r="Q106" s="100">
        <f>ROUND((Table1[[#This Row],[Total in "Castle" scene]]/SUM(Table1[Total in "Castle" scene]))*100,1)</f>
        <v>0</v>
      </c>
      <c r="R106" s="105">
        <f>COUNTIF(Table20[Spawner],Table1[[#This Row],[Spawner Prefab]])</f>
        <v>0</v>
      </c>
      <c r="S106" s="97">
        <f>ROUND((Table1[[#This Row],[Total in "Dark" scene]]/SUM(Table1[Total in "Dark" scene]))*100,1)</f>
        <v>0</v>
      </c>
      <c r="T106" s="111">
        <f>Table1[[#This Row],[Total in "Village" scene]]+Table1[[#This Row],[Total in "Castle" scene]]+Table1[[#This Row],[Total in "Dark" scene]]</f>
        <v>0</v>
      </c>
      <c r="U106" s="99">
        <f>ROUND((Table1[[#This Row],[Total in the game]]/SUM(Table1[Total in the game]))*100,1)</f>
        <v>0</v>
      </c>
      <c r="W106" s="115" t="s">
        <v>33</v>
      </c>
      <c r="X106" s="115" t="s">
        <v>343</v>
      </c>
      <c r="Y106" s="120" t="s">
        <v>343</v>
      </c>
      <c r="Z106" s="120" t="s">
        <v>343</v>
      </c>
    </row>
    <row r="107" spans="4:26" x14ac:dyDescent="0.25">
      <c r="D107" s="78" t="s">
        <v>476</v>
      </c>
      <c r="E107" s="78" t="s">
        <v>77</v>
      </c>
      <c r="F107" s="78" t="s">
        <v>477</v>
      </c>
      <c r="G107" s="103">
        <v>280</v>
      </c>
      <c r="H107" s="103">
        <v>280</v>
      </c>
      <c r="I107" s="108">
        <v>20</v>
      </c>
      <c r="J107" s="93">
        <v>75</v>
      </c>
      <c r="K107" s="93">
        <v>0</v>
      </c>
      <c r="L107" s="93">
        <v>0</v>
      </c>
      <c r="M107" s="93">
        <v>13</v>
      </c>
      <c r="N107" s="104">
        <f>COUNTIF(Table7[Spawner],Table1[[#This Row],[Spawner Prefab]])</f>
        <v>0</v>
      </c>
      <c r="O107" s="96">
        <f>ROUND((Table1[[#This Row],[Total in "Village" scene]]/SUM(Table1[Total in "Village" scene]))*100,1)</f>
        <v>0</v>
      </c>
      <c r="P107" s="110">
        <f>COUNTIF(Table15[Spawner],Table1[[#This Row],[Spawner Prefab]])</f>
        <v>0</v>
      </c>
      <c r="Q107" s="100">
        <f>ROUND((Table1[[#This Row],[Total in "Castle" scene]]/SUM(Table1[Total in "Castle" scene]))*100,1)</f>
        <v>0</v>
      </c>
      <c r="R107" s="105">
        <f>COUNTIF(Table20[Spawner],Table1[[#This Row],[Spawner Prefab]])</f>
        <v>0</v>
      </c>
      <c r="S107" s="97">
        <f>ROUND((Table1[[#This Row],[Total in "Dark" scene]]/SUM(Table1[Total in "Dark" scene]))*100,1)</f>
        <v>0</v>
      </c>
      <c r="T107" s="111">
        <f>Table1[[#This Row],[Total in "Village" scene]]+Table1[[#This Row],[Total in "Castle" scene]]+Table1[[#This Row],[Total in "Dark" scene]]</f>
        <v>0</v>
      </c>
      <c r="U107" s="99">
        <f>ROUND((Table1[[#This Row],[Total in the game]]/SUM(Table1[Total in the game]))*100,1)</f>
        <v>0</v>
      </c>
      <c r="W107" s="115" t="s">
        <v>287</v>
      </c>
      <c r="X107" s="115" t="s">
        <v>343</v>
      </c>
      <c r="Y107" s="120" t="s">
        <v>343</v>
      </c>
      <c r="Z107" s="120" t="s">
        <v>343</v>
      </c>
    </row>
    <row r="108" spans="4:26" x14ac:dyDescent="0.25">
      <c r="D108" s="78" t="s">
        <v>46</v>
      </c>
      <c r="E108" s="78" t="s">
        <v>119</v>
      </c>
      <c r="F108" s="78" t="s">
        <v>31</v>
      </c>
      <c r="G108" s="103">
        <v>2500</v>
      </c>
      <c r="H108" s="103">
        <v>2500</v>
      </c>
      <c r="I108" s="108">
        <v>0</v>
      </c>
      <c r="J108" s="93">
        <v>263</v>
      </c>
      <c r="K108" s="93">
        <v>5</v>
      </c>
      <c r="L108" s="93">
        <v>5</v>
      </c>
      <c r="M108" s="93">
        <v>350</v>
      </c>
      <c r="N108" s="104">
        <f>COUNTIF(Table7[Spawner],Table1[[#This Row],[Spawner Prefab]])</f>
        <v>15</v>
      </c>
      <c r="O108" s="96">
        <f>ROUND((Table1[[#This Row],[Total in "Village" scene]]/SUM(Table1[Total in "Village" scene]))*100,1)</f>
        <v>0.6</v>
      </c>
      <c r="P108" s="110">
        <f>COUNTIF(Table15[Spawner],Table1[[#This Row],[Spawner Prefab]])</f>
        <v>9</v>
      </c>
      <c r="Q108" s="100">
        <f>ROUND((Table1[[#This Row],[Total in "Castle" scene]]/SUM(Table1[Total in "Castle" scene]))*100,1)</f>
        <v>0.5</v>
      </c>
      <c r="R108" s="105">
        <f>COUNTIF(Table20[Spawner],Table1[[#This Row],[Spawner Prefab]])</f>
        <v>0</v>
      </c>
      <c r="S108" s="97">
        <f>ROUND((Table1[[#This Row],[Total in "Dark" scene]]/SUM(Table1[Total in "Dark" scene]))*100,1)</f>
        <v>0</v>
      </c>
      <c r="T108" s="111">
        <f>Table1[[#This Row],[Total in "Village" scene]]+Table1[[#This Row],[Total in "Castle" scene]]+Table1[[#This Row],[Total in "Dark" scene]]</f>
        <v>24</v>
      </c>
      <c r="U108" s="99">
        <f>ROUND((Table1[[#This Row],[Total in the game]]/SUM(Table1[Total in the game]))*100,1)</f>
        <v>0.4</v>
      </c>
      <c r="W108" s="115" t="s">
        <v>290</v>
      </c>
      <c r="X108" s="115" t="s">
        <v>343</v>
      </c>
      <c r="Y108" s="120" t="s">
        <v>343</v>
      </c>
      <c r="Z108" s="120" t="s">
        <v>343</v>
      </c>
    </row>
    <row r="109" spans="4:26" x14ac:dyDescent="0.25">
      <c r="D109" s="78" t="s">
        <v>47</v>
      </c>
      <c r="E109" s="78" t="s">
        <v>119</v>
      </c>
      <c r="F109" s="78" t="s">
        <v>32</v>
      </c>
      <c r="G109" s="103">
        <v>2500</v>
      </c>
      <c r="H109" s="103">
        <v>2500</v>
      </c>
      <c r="I109" s="108">
        <v>0</v>
      </c>
      <c r="J109" s="93">
        <v>263</v>
      </c>
      <c r="K109" s="93">
        <v>5</v>
      </c>
      <c r="L109" s="93">
        <v>5</v>
      </c>
      <c r="M109" s="93">
        <v>350</v>
      </c>
      <c r="N109" s="104">
        <f>COUNTIF(Table7[Spawner],Table1[[#This Row],[Spawner Prefab]])</f>
        <v>9</v>
      </c>
      <c r="O109" s="96">
        <f>ROUND((Table1[[#This Row],[Total in "Village" scene]]/SUM(Table1[Total in "Village" scene]))*100,1)</f>
        <v>0.4</v>
      </c>
      <c r="P109" s="110">
        <f>COUNTIF(Table15[Spawner],Table1[[#This Row],[Spawner Prefab]])</f>
        <v>8</v>
      </c>
      <c r="Q109" s="100">
        <f>ROUND((Table1[[#This Row],[Total in "Castle" scene]]/SUM(Table1[Total in "Castle" scene]))*100,1)</f>
        <v>0.4</v>
      </c>
      <c r="R109" s="105">
        <f>COUNTIF(Table20[Spawner],Table1[[#This Row],[Spawner Prefab]])</f>
        <v>0</v>
      </c>
      <c r="S109" s="97">
        <f>ROUND((Table1[[#This Row],[Total in "Dark" scene]]/SUM(Table1[Total in "Dark" scene]))*100,1)</f>
        <v>0</v>
      </c>
      <c r="T109" s="111">
        <f>Table1[[#This Row],[Total in "Village" scene]]+Table1[[#This Row],[Total in "Castle" scene]]+Table1[[#This Row],[Total in "Dark" scene]]</f>
        <v>17</v>
      </c>
      <c r="U109" s="99">
        <f>ROUND((Table1[[#This Row],[Total in the game]]/SUM(Table1[Total in the game]))*100,1)</f>
        <v>0.3</v>
      </c>
      <c r="W109" s="115" t="s">
        <v>292</v>
      </c>
      <c r="X109" s="115" t="s">
        <v>343</v>
      </c>
      <c r="Y109" s="120" t="s">
        <v>343</v>
      </c>
      <c r="Z109" s="120" t="s">
        <v>343</v>
      </c>
    </row>
    <row r="110" spans="4:26" x14ac:dyDescent="0.25">
      <c r="D110" s="78" t="s">
        <v>48</v>
      </c>
      <c r="E110" s="78" t="s">
        <v>120</v>
      </c>
      <c r="F110" s="78" t="s">
        <v>33</v>
      </c>
      <c r="G110" s="103">
        <v>2000</v>
      </c>
      <c r="H110" s="103">
        <v>2000</v>
      </c>
      <c r="I110" s="108">
        <v>0</v>
      </c>
      <c r="J110" s="93">
        <v>175</v>
      </c>
      <c r="K110" s="93">
        <v>5</v>
      </c>
      <c r="L110" s="93">
        <v>5</v>
      </c>
      <c r="M110" s="93">
        <v>150</v>
      </c>
      <c r="N110" s="104">
        <f>COUNTIF(Table7[Spawner],Table1[[#This Row],[Spawner Prefab]])</f>
        <v>4</v>
      </c>
      <c r="O110" s="96">
        <f>ROUND((Table1[[#This Row],[Total in "Village" scene]]/SUM(Table1[Total in "Village" scene]))*100,1)</f>
        <v>0.2</v>
      </c>
      <c r="P110" s="110">
        <f>COUNTIF(Table15[Spawner],Table1[[#This Row],[Spawner Prefab]])</f>
        <v>5</v>
      </c>
      <c r="Q110" s="100">
        <f>ROUND((Table1[[#This Row],[Total in "Castle" scene]]/SUM(Table1[Total in "Castle" scene]))*100,1)</f>
        <v>0.3</v>
      </c>
      <c r="R110" s="105">
        <f>COUNTIF(Table20[Spawner],Table1[[#This Row],[Spawner Prefab]])</f>
        <v>0</v>
      </c>
      <c r="S110" s="97">
        <f>ROUND((Table1[[#This Row],[Total in "Dark" scene]]/SUM(Table1[Total in "Dark" scene]))*100,1)</f>
        <v>0</v>
      </c>
      <c r="T110" s="111">
        <f>Table1[[#This Row],[Total in "Village" scene]]+Table1[[#This Row],[Total in "Castle" scene]]+Table1[[#This Row],[Total in "Dark" scene]]</f>
        <v>9</v>
      </c>
      <c r="U110" s="99">
        <f>ROUND((Table1[[#This Row],[Total in the game]]/SUM(Table1[Total in the game]))*100,1)</f>
        <v>0.2</v>
      </c>
      <c r="W110" s="115" t="s">
        <v>590</v>
      </c>
      <c r="X110" s="115" t="s">
        <v>343</v>
      </c>
      <c r="Y110" s="120" t="s">
        <v>343</v>
      </c>
      <c r="Z110" s="120" t="s">
        <v>343</v>
      </c>
    </row>
    <row r="111" spans="4:26" x14ac:dyDescent="0.25">
      <c r="D111" s="78" t="s">
        <v>286</v>
      </c>
      <c r="E111" s="78" t="s">
        <v>120</v>
      </c>
      <c r="F111" s="78" t="s">
        <v>287</v>
      </c>
      <c r="G111" s="103">
        <v>2000</v>
      </c>
      <c r="H111" s="103">
        <v>2000</v>
      </c>
      <c r="I111" s="108">
        <v>0</v>
      </c>
      <c r="J111" s="93">
        <v>175</v>
      </c>
      <c r="K111" s="93">
        <v>5</v>
      </c>
      <c r="L111" s="93">
        <v>5</v>
      </c>
      <c r="M111" s="93">
        <v>150</v>
      </c>
      <c r="N111" s="104">
        <f>COUNTIF(Table7[Spawner],Table1[[#This Row],[Spawner Prefab]])</f>
        <v>20</v>
      </c>
      <c r="O111" s="96">
        <f>ROUND((Table1[[#This Row],[Total in "Village" scene]]/SUM(Table1[Total in "Village" scene]))*100,1)</f>
        <v>0.8</v>
      </c>
      <c r="P111" s="110">
        <f>COUNTIF(Table15[Spawner],Table1[[#This Row],[Spawner Prefab]])</f>
        <v>9</v>
      </c>
      <c r="Q111" s="100">
        <f>ROUND((Table1[[#This Row],[Total in "Castle" scene]]/SUM(Table1[Total in "Castle" scene]))*100,1)</f>
        <v>0.5</v>
      </c>
      <c r="R111" s="105">
        <f>COUNTIF(Table20[Spawner],Table1[[#This Row],[Spawner Prefab]])</f>
        <v>0</v>
      </c>
      <c r="S111" s="97">
        <f>ROUND((Table1[[#This Row],[Total in "Dark" scene]]/SUM(Table1[Total in "Dark" scene]))*100,1)</f>
        <v>0</v>
      </c>
      <c r="T111" s="111">
        <f>Table1[[#This Row],[Total in "Village" scene]]+Table1[[#This Row],[Total in "Castle" scene]]+Table1[[#This Row],[Total in "Dark" scene]]</f>
        <v>29</v>
      </c>
      <c r="U111" s="99">
        <f>ROUND((Table1[[#This Row],[Total in the game]]/SUM(Table1[Total in the game]))*100,1)</f>
        <v>0.5</v>
      </c>
      <c r="W111" s="150" t="s">
        <v>7289</v>
      </c>
      <c r="X111" s="150" t="s">
        <v>342</v>
      </c>
      <c r="Y111" s="150" t="s">
        <v>342</v>
      </c>
      <c r="Z111" s="150" t="s">
        <v>342</v>
      </c>
    </row>
    <row r="112" spans="4:26" x14ac:dyDescent="0.25">
      <c r="D112" s="78" t="s">
        <v>483</v>
      </c>
      <c r="E112" s="78" t="s">
        <v>90</v>
      </c>
      <c r="F112" s="78" t="s">
        <v>484</v>
      </c>
      <c r="G112" s="103">
        <v>200</v>
      </c>
      <c r="H112" s="103">
        <v>200</v>
      </c>
      <c r="I112" s="108">
        <v>8</v>
      </c>
      <c r="J112" s="93">
        <v>75</v>
      </c>
      <c r="K112" s="93">
        <v>0</v>
      </c>
      <c r="L112" s="93">
        <v>0</v>
      </c>
      <c r="M112" s="93" t="s">
        <v>9</v>
      </c>
      <c r="N112" s="104">
        <f>COUNTIF(Table7[Spawner],Table1[[#This Row],[Spawner Prefab]])</f>
        <v>0</v>
      </c>
      <c r="O112" s="96">
        <f>ROUND((Table1[[#This Row],[Total in "Village" scene]]/SUM(Table1[Total in "Village" scene]))*100,1)</f>
        <v>0</v>
      </c>
      <c r="P112" s="110">
        <f>COUNTIF(Table15[Spawner],Table1[[#This Row],[Spawner Prefab]])</f>
        <v>165</v>
      </c>
      <c r="Q112" s="100">
        <f>ROUND((Table1[[#This Row],[Total in "Castle" scene]]/SUM(Table1[Total in "Castle" scene]))*100,1)</f>
        <v>8.4</v>
      </c>
      <c r="R112" s="105">
        <f>COUNTIF(Table20[Spawner],Table1[[#This Row],[Spawner Prefab]])</f>
        <v>0</v>
      </c>
      <c r="S112" s="97">
        <f>ROUND((Table1[[#This Row],[Total in "Dark" scene]]/SUM(Table1[Total in "Dark" scene]))*100,1)</f>
        <v>0</v>
      </c>
      <c r="T112" s="111">
        <f>Table1[[#This Row],[Total in "Village" scene]]+Table1[[#This Row],[Total in "Castle" scene]]+Table1[[#This Row],[Total in "Dark" scene]]</f>
        <v>165</v>
      </c>
      <c r="U112" s="99">
        <f>ROUND((Table1[[#This Row],[Total in the game]]/SUM(Table1[Total in the game]))*100,1)</f>
        <v>3</v>
      </c>
      <c r="W112" s="115" t="s">
        <v>294</v>
      </c>
      <c r="X112" s="115" t="s">
        <v>342</v>
      </c>
      <c r="Y112" s="120" t="s">
        <v>342</v>
      </c>
      <c r="Z112" s="120" t="s">
        <v>342</v>
      </c>
    </row>
    <row r="113" spans="4:26" x14ac:dyDescent="0.25">
      <c r="D113" s="78" t="s">
        <v>485</v>
      </c>
      <c r="E113" s="78" t="s">
        <v>90</v>
      </c>
      <c r="F113" s="78" t="s">
        <v>484</v>
      </c>
      <c r="G113" s="103">
        <v>200</v>
      </c>
      <c r="H113" s="103">
        <v>200</v>
      </c>
      <c r="I113" s="108">
        <v>8</v>
      </c>
      <c r="J113" s="93">
        <v>75</v>
      </c>
      <c r="K113" s="93">
        <v>0</v>
      </c>
      <c r="L113" s="93">
        <v>0</v>
      </c>
      <c r="M113" s="93" t="s">
        <v>9</v>
      </c>
      <c r="N113" s="104">
        <f>COUNTIF(Table7[Spawner],Table1[[#This Row],[Spawner Prefab]])</f>
        <v>0</v>
      </c>
      <c r="O113" s="96">
        <f>ROUND((Table1[[#This Row],[Total in "Village" scene]]/SUM(Table1[Total in "Village" scene]))*100,1)</f>
        <v>0</v>
      </c>
      <c r="P113" s="110">
        <f>COUNTIF(Table15[Spawner],Table1[[#This Row],[Spawner Prefab]])</f>
        <v>11</v>
      </c>
      <c r="Q113" s="100">
        <f>ROUND((Table1[[#This Row],[Total in "Castle" scene]]/SUM(Table1[Total in "Castle" scene]))*100,1)</f>
        <v>0.6</v>
      </c>
      <c r="R113" s="105">
        <f>COUNTIF(Table20[Spawner],Table1[[#This Row],[Spawner Prefab]])</f>
        <v>0</v>
      </c>
      <c r="S113" s="97">
        <f>ROUND((Table1[[#This Row],[Total in "Dark" scene]]/SUM(Table1[Total in "Dark" scene]))*100,1)</f>
        <v>0</v>
      </c>
      <c r="T113" s="111">
        <f>Table1[[#This Row],[Total in "Village" scene]]+Table1[[#This Row],[Total in "Castle" scene]]+Table1[[#This Row],[Total in "Dark" scene]]</f>
        <v>11</v>
      </c>
      <c r="U113" s="99">
        <f>ROUND((Table1[[#This Row],[Total in the game]]/SUM(Table1[Total in the game]))*100,1)</f>
        <v>0.2</v>
      </c>
      <c r="W113" s="115" t="s">
        <v>297</v>
      </c>
      <c r="X113" s="115" t="s">
        <v>343</v>
      </c>
      <c r="Y113" s="120" t="s">
        <v>343</v>
      </c>
      <c r="Z113" s="120" t="s">
        <v>343</v>
      </c>
    </row>
    <row r="114" spans="4:26" x14ac:dyDescent="0.25">
      <c r="D114" s="78" t="s">
        <v>486</v>
      </c>
      <c r="E114" s="78" t="s">
        <v>90</v>
      </c>
      <c r="F114" s="78" t="s">
        <v>484</v>
      </c>
      <c r="G114" s="103">
        <v>200</v>
      </c>
      <c r="H114" s="103">
        <v>200</v>
      </c>
      <c r="I114" s="108">
        <v>8</v>
      </c>
      <c r="J114" s="93">
        <v>75</v>
      </c>
      <c r="K114" s="93">
        <v>0</v>
      </c>
      <c r="L114" s="93">
        <v>0</v>
      </c>
      <c r="M114" s="93" t="s">
        <v>9</v>
      </c>
      <c r="N114" s="104">
        <f>COUNTIF(Table7[Spawner],Table1[[#This Row],[Spawner Prefab]])</f>
        <v>0</v>
      </c>
      <c r="O114" s="96">
        <f>ROUND((Table1[[#This Row],[Total in "Village" scene]]/SUM(Table1[Total in "Village" scene]))*100,1)</f>
        <v>0</v>
      </c>
      <c r="P114" s="110">
        <f>COUNTIF(Table15[Spawner],Table1[[#This Row],[Spawner Prefab]])</f>
        <v>34</v>
      </c>
      <c r="Q114" s="100">
        <f>ROUND((Table1[[#This Row],[Total in "Castle" scene]]/SUM(Table1[Total in "Castle" scene]))*100,1)</f>
        <v>1.7</v>
      </c>
      <c r="R114" s="105">
        <f>COUNTIF(Table20[Spawner],Table1[[#This Row],[Spawner Prefab]])</f>
        <v>0</v>
      </c>
      <c r="S114" s="97">
        <f>ROUND((Table1[[#This Row],[Total in "Dark" scene]]/SUM(Table1[Total in "Dark" scene]))*100,1)</f>
        <v>0</v>
      </c>
      <c r="T114" s="111">
        <f>Table1[[#This Row],[Total in "Village" scene]]+Table1[[#This Row],[Total in "Castle" scene]]+Table1[[#This Row],[Total in "Dark" scene]]</f>
        <v>34</v>
      </c>
      <c r="U114" s="99">
        <f>ROUND((Table1[[#This Row],[Total in the game]]/SUM(Table1[Total in the game]))*100,1)</f>
        <v>0.6</v>
      </c>
      <c r="W114" s="150" t="s">
        <v>7286</v>
      </c>
      <c r="X114" s="150" t="s">
        <v>343</v>
      </c>
      <c r="Y114" s="150" t="s">
        <v>343</v>
      </c>
      <c r="Z114" s="150" t="s">
        <v>343</v>
      </c>
    </row>
    <row r="115" spans="4:26" x14ac:dyDescent="0.25">
      <c r="D115" s="78" t="s">
        <v>289</v>
      </c>
      <c r="E115" s="78" t="s">
        <v>288</v>
      </c>
      <c r="F115" s="78" t="s">
        <v>290</v>
      </c>
      <c r="G115" s="103">
        <v>1500</v>
      </c>
      <c r="H115" s="103">
        <v>1500</v>
      </c>
      <c r="I115" s="108">
        <v>2</v>
      </c>
      <c r="J115" s="93">
        <v>130</v>
      </c>
      <c r="K115" s="93">
        <v>4</v>
      </c>
      <c r="L115" s="93">
        <v>4</v>
      </c>
      <c r="M115" s="93">
        <v>25</v>
      </c>
      <c r="N115" s="104">
        <f>COUNTIF(Table7[Spawner],Table1[[#This Row],[Spawner Prefab]])</f>
        <v>33</v>
      </c>
      <c r="O115" s="96">
        <f>ROUND((Table1[[#This Row],[Total in "Village" scene]]/SUM(Table1[Total in "Village" scene]))*100,1)</f>
        <v>1.3</v>
      </c>
      <c r="P115" s="110">
        <f>COUNTIF(Table15[Spawner],Table1[[#This Row],[Spawner Prefab]])</f>
        <v>5</v>
      </c>
      <c r="Q115" s="100">
        <f>ROUND((Table1[[#This Row],[Total in "Castle" scene]]/SUM(Table1[Total in "Castle" scene]))*100,1)</f>
        <v>0.3</v>
      </c>
      <c r="R115" s="105">
        <f>COUNTIF(Table20[Spawner],Table1[[#This Row],[Spawner Prefab]])</f>
        <v>0</v>
      </c>
      <c r="S115" s="97">
        <f>ROUND((Table1[[#This Row],[Total in "Dark" scene]]/SUM(Table1[Total in "Dark" scene]))*100,1)</f>
        <v>0</v>
      </c>
      <c r="T115" s="111">
        <f>Table1[[#This Row],[Total in "Village" scene]]+Table1[[#This Row],[Total in "Castle" scene]]+Table1[[#This Row],[Total in "Dark" scene]]</f>
        <v>38</v>
      </c>
      <c r="U115" s="99">
        <f>ROUND((Table1[[#This Row],[Total in the game]]/SUM(Table1[Total in the game]))*100,1)</f>
        <v>0.7</v>
      </c>
      <c r="W115" s="115" t="s">
        <v>300</v>
      </c>
      <c r="X115" s="115" t="s">
        <v>343</v>
      </c>
      <c r="Y115" s="120" t="s">
        <v>342</v>
      </c>
      <c r="Z115" s="120" t="s">
        <v>342</v>
      </c>
    </row>
    <row r="116" spans="4:26" x14ac:dyDescent="0.25">
      <c r="D116" s="78" t="s">
        <v>291</v>
      </c>
      <c r="E116" s="78" t="s">
        <v>288</v>
      </c>
      <c r="F116" s="78" t="s">
        <v>292</v>
      </c>
      <c r="G116" s="103">
        <v>1500</v>
      </c>
      <c r="H116" s="103">
        <v>1500</v>
      </c>
      <c r="I116" s="108">
        <v>2</v>
      </c>
      <c r="J116" s="93">
        <v>130</v>
      </c>
      <c r="K116" s="93">
        <v>4</v>
      </c>
      <c r="L116" s="93">
        <v>4</v>
      </c>
      <c r="M116" s="93">
        <v>25</v>
      </c>
      <c r="N116" s="104">
        <f>COUNTIF(Table7[Spawner],Table1[[#This Row],[Spawner Prefab]])</f>
        <v>34</v>
      </c>
      <c r="O116" s="96">
        <f>ROUND((Table1[[#This Row],[Total in "Village" scene]]/SUM(Table1[Total in "Village" scene]))*100,1)</f>
        <v>1.4</v>
      </c>
      <c r="P116" s="110">
        <f>COUNTIF(Table15[Spawner],Table1[[#This Row],[Spawner Prefab]])</f>
        <v>34</v>
      </c>
      <c r="Q116" s="100">
        <f>ROUND((Table1[[#This Row],[Total in "Castle" scene]]/SUM(Table1[Total in "Castle" scene]))*100,1)</f>
        <v>1.7</v>
      </c>
      <c r="R116" s="105">
        <f>COUNTIF(Table20[Spawner],Table1[[#This Row],[Spawner Prefab]])</f>
        <v>0</v>
      </c>
      <c r="S116" s="97">
        <f>ROUND((Table1[[#This Row],[Total in "Dark" scene]]/SUM(Table1[Total in "Dark" scene]))*100,1)</f>
        <v>0</v>
      </c>
      <c r="T116" s="111">
        <f>Table1[[#This Row],[Total in "Village" scene]]+Table1[[#This Row],[Total in "Castle" scene]]+Table1[[#This Row],[Total in "Dark" scene]]</f>
        <v>68</v>
      </c>
      <c r="U116" s="99">
        <f>ROUND((Table1[[#This Row],[Total in the game]]/SUM(Table1[Total in the game]))*100,1)</f>
        <v>1.3</v>
      </c>
      <c r="W116" s="115" t="s">
        <v>303</v>
      </c>
      <c r="X116" s="115" t="s">
        <v>342</v>
      </c>
      <c r="Y116" s="120" t="s">
        <v>342</v>
      </c>
      <c r="Z116" s="120" t="s">
        <v>342</v>
      </c>
    </row>
    <row r="117" spans="4:26" x14ac:dyDescent="0.25">
      <c r="D117" s="78" t="s">
        <v>589</v>
      </c>
      <c r="E117" s="78" t="s">
        <v>588</v>
      </c>
      <c r="F117" s="78" t="s">
        <v>590</v>
      </c>
      <c r="G117" s="103">
        <v>210</v>
      </c>
      <c r="H117" s="103">
        <v>210</v>
      </c>
      <c r="I117" s="108">
        <v>15</v>
      </c>
      <c r="J117" s="93">
        <v>65</v>
      </c>
      <c r="K117" s="93">
        <v>4</v>
      </c>
      <c r="L117" s="93">
        <v>4</v>
      </c>
      <c r="M117" s="93">
        <v>15</v>
      </c>
      <c r="N117" s="104">
        <f>COUNTIF(Table7[Spawner],Table1[[#This Row],[Spawner Prefab]])</f>
        <v>0</v>
      </c>
      <c r="O117" s="96">
        <f>ROUND((Table1[[#This Row],[Total in "Village" scene]]/SUM(Table1[Total in "Village" scene]))*100,1)</f>
        <v>0</v>
      </c>
      <c r="P117" s="110">
        <f>COUNTIF(Table15[Spawner],Table1[[#This Row],[Spawner Prefab]])</f>
        <v>0</v>
      </c>
      <c r="Q117" s="100">
        <f>ROUND((Table1[[#This Row],[Total in "Castle" scene]]/SUM(Table1[Total in "Castle" scene]))*100,1)</f>
        <v>0</v>
      </c>
      <c r="R117" s="105">
        <f>COUNTIF(Table20[Spawner],Table1[[#This Row],[Spawner Prefab]])</f>
        <v>13</v>
      </c>
      <c r="S117" s="97">
        <f>ROUND((Table1[[#This Row],[Total in "Dark" scene]]/SUM(Table1[Total in "Dark" scene]))*100,1)</f>
        <v>1.3</v>
      </c>
      <c r="T117" s="111">
        <f>Table1[[#This Row],[Total in "Village" scene]]+Table1[[#This Row],[Total in "Castle" scene]]+Table1[[#This Row],[Total in "Dark" scene]]</f>
        <v>13</v>
      </c>
      <c r="U117" s="99">
        <f>ROUND((Table1[[#This Row],[Total in the game]]/SUM(Table1[Total in the game]))*100,1)</f>
        <v>0.2</v>
      </c>
      <c r="W117" s="115" t="s">
        <v>645</v>
      </c>
      <c r="X117" s="115" t="s">
        <v>342</v>
      </c>
      <c r="Y117" s="120" t="s">
        <v>342</v>
      </c>
      <c r="Z117" s="120" t="s">
        <v>342</v>
      </c>
    </row>
    <row r="118" spans="4:26" x14ac:dyDescent="0.25">
      <c r="D118" s="78" t="s">
        <v>7316</v>
      </c>
      <c r="E118" s="78" t="s">
        <v>7282</v>
      </c>
      <c r="F118" s="78" t="s">
        <v>7289</v>
      </c>
      <c r="G118" s="103">
        <v>210</v>
      </c>
      <c r="H118" s="103">
        <v>210</v>
      </c>
      <c r="I118" s="108">
        <v>15</v>
      </c>
      <c r="J118" s="93">
        <v>50</v>
      </c>
      <c r="K118" s="93">
        <v>2</v>
      </c>
      <c r="L118" s="93">
        <v>2</v>
      </c>
      <c r="M118" s="93">
        <v>15</v>
      </c>
      <c r="N118" s="104">
        <f>COUNTIF(Table7[Spawner],Table1[[#This Row],[Spawner Prefab]])</f>
        <v>0</v>
      </c>
      <c r="O118" s="96">
        <f>ROUND((Table1[[#This Row],[Total in "Village" scene]]/SUM(Table1[Total in "Village" scene]))*100,1)</f>
        <v>0</v>
      </c>
      <c r="P118" s="110">
        <f>COUNTIF(Table15[Spawner],Table1[[#This Row],[Spawner Prefab]])</f>
        <v>0</v>
      </c>
      <c r="Q118" s="100">
        <f>ROUND((Table1[[#This Row],[Total in "Castle" scene]]/SUM(Table1[Total in "Castle" scene]))*100,1)</f>
        <v>0</v>
      </c>
      <c r="R118" s="105">
        <f>COUNTIF(Table20[Spawner],Table1[[#This Row],[Spawner Prefab]])</f>
        <v>3</v>
      </c>
      <c r="S118" s="97">
        <f>ROUND((Table1[[#This Row],[Total in "Dark" scene]]/SUM(Table1[Total in "Dark" scene]))*100,1)</f>
        <v>0.3</v>
      </c>
      <c r="T118" s="111">
        <f>Table1[[#This Row],[Total in "Village" scene]]+Table1[[#This Row],[Total in "Castle" scene]]+Table1[[#This Row],[Total in "Dark" scene]]</f>
        <v>3</v>
      </c>
      <c r="U118" s="99">
        <f>ROUND((Table1[[#This Row],[Total in the game]]/SUM(Table1[Total in the game]))*100,1)</f>
        <v>0.1</v>
      </c>
      <c r="W118" s="115" t="s">
        <v>642</v>
      </c>
      <c r="X118" s="115" t="s">
        <v>342</v>
      </c>
      <c r="Y118" s="120" t="s">
        <v>342</v>
      </c>
      <c r="Z118" s="120" t="s">
        <v>342</v>
      </c>
    </row>
    <row r="119" spans="4:26" x14ac:dyDescent="0.25">
      <c r="D119" s="78" t="s">
        <v>293</v>
      </c>
      <c r="E119" s="78" t="s">
        <v>122</v>
      </c>
      <c r="F119" s="78" t="s">
        <v>294</v>
      </c>
      <c r="G119" s="103">
        <v>200</v>
      </c>
      <c r="H119" s="103">
        <v>200</v>
      </c>
      <c r="I119" s="108">
        <v>10</v>
      </c>
      <c r="J119" s="93">
        <v>28</v>
      </c>
      <c r="K119" s="93">
        <v>1</v>
      </c>
      <c r="L119" s="93">
        <v>1</v>
      </c>
      <c r="M119" s="93" t="s">
        <v>9</v>
      </c>
      <c r="N119" s="104">
        <f>COUNTIF(Table7[Spawner],Table1[[#This Row],[Spawner Prefab]])</f>
        <v>10</v>
      </c>
      <c r="O119" s="96">
        <f>ROUND((Table1[[#This Row],[Total in "Village" scene]]/SUM(Table1[Total in "Village" scene]))*100,1)</f>
        <v>0.4</v>
      </c>
      <c r="P119" s="110">
        <f>COUNTIF(Table15[Spawner],Table1[[#This Row],[Spawner Prefab]])</f>
        <v>18</v>
      </c>
      <c r="Q119" s="100">
        <f>ROUND((Table1[[#This Row],[Total in "Castle" scene]]/SUM(Table1[Total in "Castle" scene]))*100,1)</f>
        <v>0.9</v>
      </c>
      <c r="R119" s="105">
        <f>COUNTIF(Table20[Spawner],Table1[[#This Row],[Spawner Prefab]])</f>
        <v>3</v>
      </c>
      <c r="S119" s="97">
        <f>ROUND((Table1[[#This Row],[Total in "Dark" scene]]/SUM(Table1[Total in "Dark" scene]))*100,1)</f>
        <v>0.3</v>
      </c>
      <c r="T119" s="111">
        <f>Table1[[#This Row],[Total in "Village" scene]]+Table1[[#This Row],[Total in "Castle" scene]]+Table1[[#This Row],[Total in "Dark" scene]]</f>
        <v>31</v>
      </c>
      <c r="U119" s="99">
        <f>ROUND((Table1[[#This Row],[Total in the game]]/SUM(Table1[Total in the game]))*100,1)</f>
        <v>0.6</v>
      </c>
      <c r="W119" s="115" t="s">
        <v>640</v>
      </c>
      <c r="X119" s="115" t="s">
        <v>342</v>
      </c>
      <c r="Y119" s="120" t="s">
        <v>342</v>
      </c>
      <c r="Z119" s="120" t="s">
        <v>342</v>
      </c>
    </row>
    <row r="120" spans="4:26" x14ac:dyDescent="0.25">
      <c r="D120" s="78" t="s">
        <v>296</v>
      </c>
      <c r="E120" s="78" t="s">
        <v>295</v>
      </c>
      <c r="F120" s="78" t="s">
        <v>297</v>
      </c>
      <c r="G120" s="103">
        <v>170</v>
      </c>
      <c r="H120" s="103">
        <v>170</v>
      </c>
      <c r="I120" s="108">
        <v>5</v>
      </c>
      <c r="J120" s="93">
        <v>28</v>
      </c>
      <c r="K120" s="93">
        <v>1</v>
      </c>
      <c r="L120" s="93">
        <v>1</v>
      </c>
      <c r="M120" s="93">
        <v>2</v>
      </c>
      <c r="N120" s="104">
        <f>COUNTIF(Table7[Spawner],Table1[[#This Row],[Spawner Prefab]])</f>
        <v>18</v>
      </c>
      <c r="O120" s="96">
        <f>ROUND((Table1[[#This Row],[Total in "Village" scene]]/SUM(Table1[Total in "Village" scene]))*100,1)</f>
        <v>0.7</v>
      </c>
      <c r="P120" s="110">
        <f>COUNTIF(Table15[Spawner],Table1[[#This Row],[Spawner Prefab]])</f>
        <v>18</v>
      </c>
      <c r="Q120" s="100">
        <f>ROUND((Table1[[#This Row],[Total in "Castle" scene]]/SUM(Table1[Total in "Castle" scene]))*100,1)</f>
        <v>0.9</v>
      </c>
      <c r="R120" s="105">
        <f>COUNTIF(Table20[Spawner],Table1[[#This Row],[Spawner Prefab]])</f>
        <v>0</v>
      </c>
      <c r="S120" s="97">
        <f>ROUND((Table1[[#This Row],[Total in "Dark" scene]]/SUM(Table1[Total in "Dark" scene]))*100,1)</f>
        <v>0</v>
      </c>
      <c r="T120" s="111">
        <f>Table1[[#This Row],[Total in "Village" scene]]+Table1[[#This Row],[Total in "Castle" scene]]+Table1[[#This Row],[Total in "Dark" scene]]</f>
        <v>36</v>
      </c>
      <c r="U120" s="99">
        <f>ROUND((Table1[[#This Row],[Total in the game]]/SUM(Table1[Total in the game]))*100,1)</f>
        <v>0.7</v>
      </c>
      <c r="W120" s="149" t="s">
        <v>641</v>
      </c>
      <c r="X120" s="149" t="s">
        <v>342</v>
      </c>
      <c r="Y120" s="150" t="s">
        <v>342</v>
      </c>
      <c r="Z120" s="150" t="s">
        <v>342</v>
      </c>
    </row>
    <row r="121" spans="4:26" x14ac:dyDescent="0.25">
      <c r="D121" s="78" t="s">
        <v>7307</v>
      </c>
      <c r="E121" s="78" t="s">
        <v>7283</v>
      </c>
      <c r="F121" s="78" t="s">
        <v>7286</v>
      </c>
      <c r="G121" s="103">
        <v>170</v>
      </c>
      <c r="H121" s="103">
        <v>170</v>
      </c>
      <c r="I121" s="108">
        <v>12</v>
      </c>
      <c r="J121" s="93">
        <v>70</v>
      </c>
      <c r="K121" s="93">
        <v>2</v>
      </c>
      <c r="L121" s="93">
        <v>2</v>
      </c>
      <c r="M121" s="93">
        <v>2</v>
      </c>
      <c r="N121" s="104">
        <f>COUNTIF(Table7[Spawner],Table1[[#This Row],[Spawner Prefab]])</f>
        <v>0</v>
      </c>
      <c r="O121" s="96">
        <f>ROUND((Table1[[#This Row],[Total in "Village" scene]]/SUM(Table1[Total in "Village" scene]))*100,1)</f>
        <v>0</v>
      </c>
      <c r="P121" s="110">
        <f>COUNTIF(Table15[Spawner],Table1[[#This Row],[Spawner Prefab]])</f>
        <v>0</v>
      </c>
      <c r="Q121" s="100">
        <f>ROUND((Table1[[#This Row],[Total in "Castle" scene]]/SUM(Table1[Total in "Castle" scene]))*100,1)</f>
        <v>0</v>
      </c>
      <c r="R121" s="105">
        <f>COUNTIF(Table20[Spawner],Table1[[#This Row],[Spawner Prefab]])</f>
        <v>5</v>
      </c>
      <c r="S121" s="97">
        <f>ROUND((Table1[[#This Row],[Total in "Dark" scene]]/SUM(Table1[Total in "Dark" scene]))*100,1)</f>
        <v>0.5</v>
      </c>
      <c r="T121" s="111">
        <f>Table1[[#This Row],[Total in "Village" scene]]+Table1[[#This Row],[Total in "Castle" scene]]+Table1[[#This Row],[Total in "Dark" scene]]</f>
        <v>5</v>
      </c>
      <c r="U121" s="99">
        <f>ROUND((Table1[[#This Row],[Total in the game]]/SUM(Table1[Total in the game]))*100,1)</f>
        <v>0.1</v>
      </c>
      <c r="W121" s="115" t="s">
        <v>546</v>
      </c>
      <c r="X121" s="115" t="s">
        <v>342</v>
      </c>
      <c r="Y121" s="120" t="s">
        <v>342</v>
      </c>
      <c r="Z121" s="120" t="s">
        <v>342</v>
      </c>
    </row>
    <row r="122" spans="4:26" x14ac:dyDescent="0.25">
      <c r="D122" s="78" t="s">
        <v>299</v>
      </c>
      <c r="E122" s="78" t="s">
        <v>298</v>
      </c>
      <c r="F122" s="78" t="s">
        <v>300</v>
      </c>
      <c r="G122" s="103">
        <v>220</v>
      </c>
      <c r="H122" s="103">
        <v>220</v>
      </c>
      <c r="I122" s="108">
        <v>8</v>
      </c>
      <c r="J122" s="93">
        <v>25</v>
      </c>
      <c r="K122" s="93">
        <v>0</v>
      </c>
      <c r="L122" s="93">
        <v>0</v>
      </c>
      <c r="M122" s="93">
        <v>8</v>
      </c>
      <c r="N122" s="104">
        <f>COUNTIF(Table7[Spawner],Table1[[#This Row],[Spawner Prefab]])</f>
        <v>27</v>
      </c>
      <c r="O122" s="96">
        <f>ROUND((Table1[[#This Row],[Total in "Village" scene]]/SUM(Table1[Total in "Village" scene]))*100,1)</f>
        <v>1.1000000000000001</v>
      </c>
      <c r="P122" s="110">
        <f>COUNTIF(Table15[Spawner],Table1[[#This Row],[Spawner Prefab]])</f>
        <v>17</v>
      </c>
      <c r="Q122" s="100">
        <f>ROUND((Table1[[#This Row],[Total in "Castle" scene]]/SUM(Table1[Total in "Castle" scene]))*100,1)</f>
        <v>0.9</v>
      </c>
      <c r="R122" s="105">
        <f>COUNTIF(Table20[Spawner],Table1[[#This Row],[Spawner Prefab]])</f>
        <v>0</v>
      </c>
      <c r="S122" s="97">
        <f>ROUND((Table1[[#This Row],[Total in "Dark" scene]]/SUM(Table1[Total in "Dark" scene]))*100,1)</f>
        <v>0</v>
      </c>
      <c r="T122" s="111">
        <f>Table1[[#This Row],[Total in "Village" scene]]+Table1[[#This Row],[Total in "Castle" scene]]+Table1[[#This Row],[Total in "Dark" scene]]</f>
        <v>44</v>
      </c>
      <c r="U122" s="99">
        <f>ROUND((Table1[[#This Row],[Total in the game]]/SUM(Table1[Total in the game]))*100,1)</f>
        <v>0.8</v>
      </c>
      <c r="W122" s="115" t="s">
        <v>441</v>
      </c>
      <c r="X122" s="115" t="s">
        <v>343</v>
      </c>
      <c r="Y122" s="120" t="s">
        <v>343</v>
      </c>
      <c r="Z122" s="120" t="s">
        <v>343</v>
      </c>
    </row>
    <row r="123" spans="4:26" x14ac:dyDescent="0.25">
      <c r="D123" s="78" t="s">
        <v>302</v>
      </c>
      <c r="E123" s="78" t="s">
        <v>301</v>
      </c>
      <c r="F123" s="78" t="s">
        <v>303</v>
      </c>
      <c r="G123" s="103">
        <v>120</v>
      </c>
      <c r="H123" s="103">
        <v>120</v>
      </c>
      <c r="I123" s="108">
        <v>2</v>
      </c>
      <c r="J123" s="93">
        <v>25</v>
      </c>
      <c r="K123" s="93">
        <v>0</v>
      </c>
      <c r="L123" s="93">
        <v>0</v>
      </c>
      <c r="M123" s="93" t="s">
        <v>9</v>
      </c>
      <c r="N123" s="104">
        <f>COUNTIF(Table7[Spawner],Table1[[#This Row],[Spawner Prefab]])</f>
        <v>64</v>
      </c>
      <c r="O123" s="96">
        <f>ROUND((Table1[[#This Row],[Total in "Village" scene]]/SUM(Table1[Total in "Village" scene]))*100,1)</f>
        <v>2.6</v>
      </c>
      <c r="P123" s="110">
        <f>COUNTIF(Table15[Spawner],Table1[[#This Row],[Spawner Prefab]])</f>
        <v>101</v>
      </c>
      <c r="Q123" s="100">
        <f>ROUND((Table1[[#This Row],[Total in "Castle" scene]]/SUM(Table1[Total in "Castle" scene]))*100,1)</f>
        <v>5.2</v>
      </c>
      <c r="R123" s="105">
        <f>COUNTIF(Table20[Spawner],Table1[[#This Row],[Spawner Prefab]])</f>
        <v>50</v>
      </c>
      <c r="S123" s="97">
        <f>ROUND((Table1[[#This Row],[Total in "Dark" scene]]/SUM(Table1[Total in "Dark" scene]))*100,1)</f>
        <v>4.9000000000000004</v>
      </c>
      <c r="T123" s="111">
        <f>Table1[[#This Row],[Total in "Village" scene]]+Table1[[#This Row],[Total in "Castle" scene]]+Table1[[#This Row],[Total in "Dark" scene]]</f>
        <v>215</v>
      </c>
      <c r="U123" s="99">
        <f>ROUND((Table1[[#This Row],[Total in the game]]/SUM(Table1[Total in the game]))*100,1)</f>
        <v>4</v>
      </c>
      <c r="W123" s="150" t="s">
        <v>6805</v>
      </c>
      <c r="X123" s="150" t="s">
        <v>342</v>
      </c>
      <c r="Y123" s="150" t="s">
        <v>342</v>
      </c>
      <c r="Z123" s="150" t="s">
        <v>342</v>
      </c>
    </row>
    <row r="124" spans="4:26" x14ac:dyDescent="0.25">
      <c r="D124" s="78" t="s">
        <v>643</v>
      </c>
      <c r="E124" s="78" t="s">
        <v>301</v>
      </c>
      <c r="F124" s="78" t="s">
        <v>645</v>
      </c>
      <c r="G124" s="103">
        <v>120</v>
      </c>
      <c r="H124" s="103">
        <v>120</v>
      </c>
      <c r="I124" s="108">
        <v>2</v>
      </c>
      <c r="J124" s="93">
        <v>25</v>
      </c>
      <c r="K124" s="93">
        <v>0</v>
      </c>
      <c r="L124" s="93">
        <v>0</v>
      </c>
      <c r="M124" s="93" t="s">
        <v>9</v>
      </c>
      <c r="N124" s="104">
        <f>COUNTIF(Table7[Spawner],Table1[[#This Row],[Spawner Prefab]])</f>
        <v>0</v>
      </c>
      <c r="O124" s="96">
        <f>ROUND((Table1[[#This Row],[Total in "Village" scene]]/SUM(Table1[Total in "Village" scene]))*100,1)</f>
        <v>0</v>
      </c>
      <c r="P124" s="110">
        <f>COUNTIF(Table15[Spawner],Table1[[#This Row],[Spawner Prefab]])</f>
        <v>0</v>
      </c>
      <c r="Q124" s="100">
        <f>ROUND((Table1[[#This Row],[Total in "Castle" scene]]/SUM(Table1[Total in "Castle" scene]))*100,1)</f>
        <v>0</v>
      </c>
      <c r="R124" s="105">
        <f>COUNTIF(Table20[Spawner],Table1[[#This Row],[Spawner Prefab]])</f>
        <v>0</v>
      </c>
      <c r="S124" s="97">
        <f>ROUND((Table1[[#This Row],[Total in "Dark" scene]]/SUM(Table1[Total in "Dark" scene]))*100,1)</f>
        <v>0</v>
      </c>
      <c r="T124" s="111">
        <f>Table1[[#This Row],[Total in "Village" scene]]+Table1[[#This Row],[Total in "Castle" scene]]+Table1[[#This Row],[Total in "Dark" scene]]</f>
        <v>0</v>
      </c>
      <c r="U124" s="99">
        <f>ROUND((Table1[[#This Row],[Total in the game]]/SUM(Table1[Total in the game]))*100,1)</f>
        <v>0</v>
      </c>
      <c r="W124" s="115" t="s">
        <v>305</v>
      </c>
      <c r="X124" s="115" t="s">
        <v>342</v>
      </c>
      <c r="Y124" s="120" t="s">
        <v>342</v>
      </c>
      <c r="Z124" s="120" t="s">
        <v>342</v>
      </c>
    </row>
    <row r="125" spans="4:26" x14ac:dyDescent="0.25">
      <c r="D125" s="78" t="s">
        <v>545</v>
      </c>
      <c r="E125" s="78" t="s">
        <v>301</v>
      </c>
      <c r="F125" s="78" t="s">
        <v>546</v>
      </c>
      <c r="G125" s="103">
        <v>120</v>
      </c>
      <c r="H125" s="103">
        <v>120</v>
      </c>
      <c r="I125" s="108">
        <v>2</v>
      </c>
      <c r="J125" s="93">
        <v>25</v>
      </c>
      <c r="K125" s="93">
        <v>0</v>
      </c>
      <c r="L125" s="93">
        <v>0</v>
      </c>
      <c r="M125" s="93" t="s">
        <v>9</v>
      </c>
      <c r="N125" s="104">
        <f>COUNTIF(Table7[Spawner],Table1[[#This Row],[Spawner Prefab]])</f>
        <v>1</v>
      </c>
      <c r="O125" s="96">
        <f>ROUND((Table1[[#This Row],[Total in "Village" scene]]/SUM(Table1[Total in "Village" scene]))*100,1)</f>
        <v>0</v>
      </c>
      <c r="P125" s="110">
        <f>COUNTIF(Table15[Spawner],Table1[[#This Row],[Spawner Prefab]])</f>
        <v>0</v>
      </c>
      <c r="Q125" s="100">
        <f>ROUND((Table1[[#This Row],[Total in "Castle" scene]]/SUM(Table1[Total in "Castle" scene]))*100,1)</f>
        <v>0</v>
      </c>
      <c r="R125" s="105">
        <f>COUNTIF(Table20[Spawner],Table1[[#This Row],[Spawner Prefab]])</f>
        <v>1</v>
      </c>
      <c r="S125" s="97">
        <f>ROUND((Table1[[#This Row],[Total in "Dark" scene]]/SUM(Table1[Total in "Dark" scene]))*100,1)</f>
        <v>0.1</v>
      </c>
      <c r="T125" s="111">
        <f>Table1[[#This Row],[Total in "Village" scene]]+Table1[[#This Row],[Total in "Castle" scene]]+Table1[[#This Row],[Total in "Dark" scene]]</f>
        <v>2</v>
      </c>
      <c r="U125" s="99">
        <f>ROUND((Table1[[#This Row],[Total in the game]]/SUM(Table1[Total in the game]))*100,1)</f>
        <v>0</v>
      </c>
      <c r="W125" s="115" t="s">
        <v>307</v>
      </c>
      <c r="X125" s="115" t="s">
        <v>342</v>
      </c>
      <c r="Y125" s="120" t="s">
        <v>342</v>
      </c>
      <c r="Z125" s="120" t="s">
        <v>342</v>
      </c>
    </row>
    <row r="126" spans="4:26" x14ac:dyDescent="0.25">
      <c r="D126" s="78" t="s">
        <v>440</v>
      </c>
      <c r="E126" s="78" t="s">
        <v>439</v>
      </c>
      <c r="F126" s="78" t="s">
        <v>441</v>
      </c>
      <c r="G126" s="103">
        <v>280</v>
      </c>
      <c r="H126" s="103">
        <v>280</v>
      </c>
      <c r="I126" s="108">
        <v>20</v>
      </c>
      <c r="J126" s="93">
        <v>70</v>
      </c>
      <c r="K126" s="93">
        <v>2</v>
      </c>
      <c r="L126" s="93">
        <v>2</v>
      </c>
      <c r="M126" s="93" t="s">
        <v>9</v>
      </c>
      <c r="N126" s="104">
        <f>COUNTIF(Table7[Spawner],Table1[[#This Row],[Spawner Prefab]])</f>
        <v>12</v>
      </c>
      <c r="O126" s="96">
        <f>ROUND((Table1[[#This Row],[Total in "Village" scene]]/SUM(Table1[Total in "Village" scene]))*100,1)</f>
        <v>0.5</v>
      </c>
      <c r="P126" s="110">
        <f>COUNTIF(Table15[Spawner],Table1[[#This Row],[Spawner Prefab]])</f>
        <v>7</v>
      </c>
      <c r="Q126" s="100">
        <f>ROUND((Table1[[#This Row],[Total in "Castle" scene]]/SUM(Table1[Total in "Castle" scene]))*100,1)</f>
        <v>0.4</v>
      </c>
      <c r="R126" s="105">
        <f>COUNTIF(Table20[Spawner],Table1[[#This Row],[Spawner Prefab]])</f>
        <v>7</v>
      </c>
      <c r="S126" s="97">
        <f>ROUND((Table1[[#This Row],[Total in "Dark" scene]]/SUM(Table1[Total in "Dark" scene]))*100,1)</f>
        <v>0.7</v>
      </c>
      <c r="T126" s="111">
        <f>Table1[[#This Row],[Total in "Village" scene]]+Table1[[#This Row],[Total in "Castle" scene]]+Table1[[#This Row],[Total in "Dark" scene]]</f>
        <v>26</v>
      </c>
      <c r="U126" s="99">
        <f>ROUND((Table1[[#This Row],[Total in the game]]/SUM(Table1[Total in the game]))*100,1)</f>
        <v>0.5</v>
      </c>
      <c r="W126" s="150" t="s">
        <v>7287</v>
      </c>
      <c r="X126" s="150" t="s">
        <v>342</v>
      </c>
      <c r="Y126" s="150" t="s">
        <v>342</v>
      </c>
      <c r="Z126" s="150" t="s">
        <v>342</v>
      </c>
    </row>
    <row r="127" spans="4:26" x14ac:dyDescent="0.25">
      <c r="D127" s="78" t="s">
        <v>6803</v>
      </c>
      <c r="E127" s="78" t="s">
        <v>6804</v>
      </c>
      <c r="F127" s="78" t="s">
        <v>6805</v>
      </c>
      <c r="G127" s="103">
        <v>240</v>
      </c>
      <c r="H127" s="103">
        <v>240</v>
      </c>
      <c r="I127" s="108">
        <v>12</v>
      </c>
      <c r="J127" s="93">
        <v>75</v>
      </c>
      <c r="K127" s="93">
        <v>0</v>
      </c>
      <c r="L127" s="93">
        <v>0</v>
      </c>
      <c r="M127" s="93" t="s">
        <v>9</v>
      </c>
      <c r="N127" s="104">
        <f>COUNTIF(Table7[Spawner],Table1[[#This Row],[Spawner Prefab]])</f>
        <v>6</v>
      </c>
      <c r="O127" s="96">
        <f>ROUND((Table1[[#This Row],[Total in "Village" scene]]/SUM(Table1[Total in "Village" scene]))*100,1)</f>
        <v>0.2</v>
      </c>
      <c r="P127" s="110">
        <f>COUNTIF(Table15[Spawner],Table1[[#This Row],[Spawner Prefab]])</f>
        <v>0</v>
      </c>
      <c r="Q127" s="100">
        <f>ROUND((Table1[[#This Row],[Total in "Castle" scene]]/SUM(Table1[Total in "Castle" scene]))*100,1)</f>
        <v>0</v>
      </c>
      <c r="R127" s="105">
        <f>COUNTIF(Table20[Spawner],Table1[[#This Row],[Spawner Prefab]])</f>
        <v>0</v>
      </c>
      <c r="S127" s="97">
        <f>ROUND((Table1[[#This Row],[Total in "Dark" scene]]/SUM(Table1[Total in "Dark" scene]))*100,1)</f>
        <v>0</v>
      </c>
      <c r="T127" s="111">
        <f>Table1[[#This Row],[Total in "Village" scene]]+Table1[[#This Row],[Total in "Castle" scene]]+Table1[[#This Row],[Total in "Dark" scene]]</f>
        <v>6</v>
      </c>
      <c r="U127" s="99">
        <f>ROUND((Table1[[#This Row],[Total in the game]]/SUM(Table1[Total in the game]))*100,1)</f>
        <v>0.1</v>
      </c>
      <c r="W127" s="115" t="s">
        <v>349</v>
      </c>
      <c r="X127" s="115" t="s">
        <v>342</v>
      </c>
      <c r="Y127" s="120" t="s">
        <v>342</v>
      </c>
      <c r="Z127" s="120" t="s">
        <v>342</v>
      </c>
    </row>
    <row r="128" spans="4:26" x14ac:dyDescent="0.25">
      <c r="D128" s="78" t="s">
        <v>304</v>
      </c>
      <c r="E128" s="78" t="s">
        <v>78</v>
      </c>
      <c r="F128" s="78" t="s">
        <v>305</v>
      </c>
      <c r="G128" s="103">
        <v>260</v>
      </c>
      <c r="H128" s="103">
        <v>260</v>
      </c>
      <c r="I128" s="108">
        <v>15</v>
      </c>
      <c r="J128" s="93">
        <v>50</v>
      </c>
      <c r="K128" s="93">
        <v>0</v>
      </c>
      <c r="L128" s="93">
        <v>0</v>
      </c>
      <c r="M128" s="93" t="s">
        <v>9</v>
      </c>
      <c r="N128" s="104">
        <f>COUNTIF(Table7[Spawner],Table1[[#This Row],[Spawner Prefab]])</f>
        <v>0</v>
      </c>
      <c r="O128" s="96">
        <f>ROUND((Table1[[#This Row],[Total in "Village" scene]]/SUM(Table1[Total in "Village" scene]))*100,1)</f>
        <v>0</v>
      </c>
      <c r="P128" s="110">
        <f>COUNTIF(Table15[Spawner],Table1[[#This Row],[Spawner Prefab]])</f>
        <v>2</v>
      </c>
      <c r="Q128" s="100">
        <f>ROUND((Table1[[#This Row],[Total in "Castle" scene]]/SUM(Table1[Total in "Castle" scene]))*100,1)</f>
        <v>0.1</v>
      </c>
      <c r="R128" s="105">
        <f>COUNTIF(Table20[Spawner],Table1[[#This Row],[Spawner Prefab]])</f>
        <v>0</v>
      </c>
      <c r="S128" s="97">
        <f>ROUND((Table1[[#This Row],[Total in "Dark" scene]]/SUM(Table1[Total in "Dark" scene]))*100,1)</f>
        <v>0</v>
      </c>
      <c r="T128" s="111">
        <f>Table1[[#This Row],[Total in "Village" scene]]+Table1[[#This Row],[Total in "Castle" scene]]+Table1[[#This Row],[Total in "Dark" scene]]</f>
        <v>2</v>
      </c>
      <c r="U128" s="99">
        <f>ROUND((Table1[[#This Row],[Total in the game]]/SUM(Table1[Total in the game]))*100,1)</f>
        <v>0</v>
      </c>
      <c r="W128" s="150" t="s">
        <v>7288</v>
      </c>
      <c r="X128" s="150" t="s">
        <v>343</v>
      </c>
      <c r="Y128" s="150" t="s">
        <v>343</v>
      </c>
      <c r="Z128" s="150" t="s">
        <v>343</v>
      </c>
    </row>
    <row r="129" spans="4:26" x14ac:dyDescent="0.25">
      <c r="D129" s="78" t="s">
        <v>306</v>
      </c>
      <c r="E129" s="78" t="s">
        <v>78</v>
      </c>
      <c r="F129" s="78" t="s">
        <v>307</v>
      </c>
      <c r="G129" s="103">
        <v>260</v>
      </c>
      <c r="H129" s="103">
        <v>260</v>
      </c>
      <c r="I129" s="108">
        <v>15</v>
      </c>
      <c r="J129" s="93">
        <v>50</v>
      </c>
      <c r="K129" s="93">
        <v>0</v>
      </c>
      <c r="L129" s="93">
        <v>0</v>
      </c>
      <c r="M129" s="93" t="s">
        <v>9</v>
      </c>
      <c r="N129" s="104">
        <f>COUNTIF(Table7[Spawner],Table1[[#This Row],[Spawner Prefab]])</f>
        <v>0</v>
      </c>
      <c r="O129" s="96">
        <f>ROUND((Table1[[#This Row],[Total in "Village" scene]]/SUM(Table1[Total in "Village" scene]))*100,1)</f>
        <v>0</v>
      </c>
      <c r="P129" s="110">
        <f>COUNTIF(Table15[Spawner],Table1[[#This Row],[Spawner Prefab]])</f>
        <v>1</v>
      </c>
      <c r="Q129" s="100">
        <f>ROUND((Table1[[#This Row],[Total in "Castle" scene]]/SUM(Table1[Total in "Castle" scene]))*100,1)</f>
        <v>0.1</v>
      </c>
      <c r="R129" s="105">
        <f>COUNTIF(Table20[Spawner],Table1[[#This Row],[Spawner Prefab]])</f>
        <v>0</v>
      </c>
      <c r="S129" s="97">
        <f>ROUND((Table1[[#This Row],[Total in "Dark" scene]]/SUM(Table1[Total in "Dark" scene]))*100,1)</f>
        <v>0</v>
      </c>
      <c r="T129" s="111">
        <f>Table1[[#This Row],[Total in "Village" scene]]+Table1[[#This Row],[Total in "Castle" scene]]+Table1[[#This Row],[Total in "Dark" scene]]</f>
        <v>1</v>
      </c>
      <c r="U129" s="99">
        <f>ROUND((Table1[[#This Row],[Total in the game]]/SUM(Table1[Total in the game]))*100,1)</f>
        <v>0</v>
      </c>
      <c r="W129" s="115" t="s">
        <v>309</v>
      </c>
      <c r="X129" s="115" t="s">
        <v>342</v>
      </c>
      <c r="Y129" s="120" t="s">
        <v>342</v>
      </c>
      <c r="Z129" s="120" t="s">
        <v>342</v>
      </c>
    </row>
    <row r="130" spans="4:26" x14ac:dyDescent="0.25">
      <c r="D130" s="78" t="s">
        <v>7303</v>
      </c>
      <c r="E130" s="78" t="s">
        <v>7284</v>
      </c>
      <c r="F130" s="78" t="s">
        <v>7287</v>
      </c>
      <c r="G130" s="103">
        <v>110</v>
      </c>
      <c r="H130" s="103">
        <v>110</v>
      </c>
      <c r="I130" s="108">
        <v>22</v>
      </c>
      <c r="J130" s="93">
        <v>105</v>
      </c>
      <c r="K130" s="93">
        <v>2</v>
      </c>
      <c r="L130" s="93">
        <v>2</v>
      </c>
      <c r="M130" s="93" t="s">
        <v>9</v>
      </c>
      <c r="N130" s="104">
        <f>COUNTIF(Table7[Spawner],Table1[[#This Row],[Spawner Prefab]])</f>
        <v>0</v>
      </c>
      <c r="O130" s="96">
        <f>ROUND((Table1[[#This Row],[Total in "Village" scene]]/SUM(Table1[Total in "Village" scene]))*100,1)</f>
        <v>0</v>
      </c>
      <c r="P130" s="110">
        <f>COUNTIF(Table15[Spawner],Table1[[#This Row],[Spawner Prefab]])</f>
        <v>0</v>
      </c>
      <c r="Q130" s="100">
        <f>ROUND((Table1[[#This Row],[Total in "Castle" scene]]/SUM(Table1[Total in "Castle" scene]))*100,1)</f>
        <v>0</v>
      </c>
      <c r="R130" s="105">
        <f>COUNTIF(Table20[Spawner],Table1[[#This Row],[Spawner Prefab]])</f>
        <v>11</v>
      </c>
      <c r="S130" s="97">
        <f>ROUND((Table1[[#This Row],[Total in "Dark" scene]]/SUM(Table1[Total in "Dark" scene]))*100,1)</f>
        <v>1.1000000000000001</v>
      </c>
      <c r="T130" s="111">
        <f>Table1[[#This Row],[Total in "Village" scene]]+Table1[[#This Row],[Total in "Castle" scene]]+Table1[[#This Row],[Total in "Dark" scene]]</f>
        <v>11</v>
      </c>
      <c r="U130" s="99">
        <f>ROUND((Table1[[#This Row],[Total in the game]]/SUM(Table1[Total in the game]))*100,1)</f>
        <v>0.2</v>
      </c>
      <c r="W130" s="115" t="s">
        <v>311</v>
      </c>
      <c r="X130" s="115" t="s">
        <v>342</v>
      </c>
      <c r="Y130" s="120" t="s">
        <v>342</v>
      </c>
      <c r="Z130" s="120" t="s">
        <v>342</v>
      </c>
    </row>
    <row r="131" spans="4:26" x14ac:dyDescent="0.25">
      <c r="D131" s="78" t="s">
        <v>348</v>
      </c>
      <c r="E131" s="78" t="s">
        <v>73</v>
      </c>
      <c r="F131" s="78" t="s">
        <v>349</v>
      </c>
      <c r="G131" s="103">
        <v>130</v>
      </c>
      <c r="H131" s="103">
        <v>130</v>
      </c>
      <c r="I131" s="108">
        <v>15</v>
      </c>
      <c r="J131" s="93">
        <v>50</v>
      </c>
      <c r="K131" s="93">
        <v>0</v>
      </c>
      <c r="L131" s="93">
        <v>0</v>
      </c>
      <c r="M131" s="93" t="s">
        <v>9</v>
      </c>
      <c r="N131" s="104">
        <f>COUNTIF(Table7[Spawner],Table1[[#This Row],[Spawner Prefab]])</f>
        <v>2</v>
      </c>
      <c r="O131" s="96">
        <f>ROUND((Table1[[#This Row],[Total in "Village" scene]]/SUM(Table1[Total in "Village" scene]))*100,1)</f>
        <v>0.1</v>
      </c>
      <c r="P131" s="110">
        <f>COUNTIF(Table15[Spawner],Table1[[#This Row],[Spawner Prefab]])</f>
        <v>0</v>
      </c>
      <c r="Q131" s="100">
        <f>ROUND((Table1[[#This Row],[Total in "Castle" scene]]/SUM(Table1[Total in "Castle" scene]))*100,1)</f>
        <v>0</v>
      </c>
      <c r="R131" s="105">
        <f>COUNTIF(Table20[Spawner],Table1[[#This Row],[Spawner Prefab]])</f>
        <v>0</v>
      </c>
      <c r="S131" s="97">
        <f>ROUND((Table1[[#This Row],[Total in "Dark" scene]]/SUM(Table1[Total in "Dark" scene]))*100,1)</f>
        <v>0</v>
      </c>
      <c r="T131" s="111">
        <f>Table1[[#This Row],[Total in "Village" scene]]+Table1[[#This Row],[Total in "Castle" scene]]+Table1[[#This Row],[Total in "Dark" scene]]</f>
        <v>2</v>
      </c>
      <c r="U131" s="99">
        <f>ROUND((Table1[[#This Row],[Total in the game]]/SUM(Table1[Total in the game]))*100,1)</f>
        <v>0</v>
      </c>
      <c r="W131" s="115" t="s">
        <v>314</v>
      </c>
      <c r="X131" s="115" t="s">
        <v>342</v>
      </c>
      <c r="Y131" s="120" t="s">
        <v>342</v>
      </c>
      <c r="Z131" s="120" t="s">
        <v>342</v>
      </c>
    </row>
    <row r="132" spans="4:26" x14ac:dyDescent="0.25">
      <c r="D132" s="78" t="s">
        <v>7310</v>
      </c>
      <c r="E132" s="78" t="s">
        <v>7285</v>
      </c>
      <c r="F132" s="78" t="s">
        <v>7288</v>
      </c>
      <c r="G132" s="103">
        <v>180</v>
      </c>
      <c r="H132" s="103">
        <v>180</v>
      </c>
      <c r="I132" s="108">
        <v>150</v>
      </c>
      <c r="J132" s="93">
        <v>195</v>
      </c>
      <c r="K132" s="93">
        <v>4</v>
      </c>
      <c r="L132" s="93">
        <v>4</v>
      </c>
      <c r="M132" s="93" t="s">
        <v>9</v>
      </c>
      <c r="N132" s="104">
        <f>COUNTIF(Table7[Spawner],Table1[[#This Row],[Spawner Prefab]])</f>
        <v>0</v>
      </c>
      <c r="O132" s="96">
        <f>ROUND((Table1[[#This Row],[Total in "Village" scene]]/SUM(Table1[Total in "Village" scene]))*100,1)</f>
        <v>0</v>
      </c>
      <c r="P132" s="110">
        <f>COUNTIF(Table15[Spawner],Table1[[#This Row],[Spawner Prefab]])</f>
        <v>0</v>
      </c>
      <c r="Q132" s="100">
        <f>ROUND((Table1[[#This Row],[Total in "Castle" scene]]/SUM(Table1[Total in "Castle" scene]))*100,1)</f>
        <v>0</v>
      </c>
      <c r="R132" s="105">
        <f>COUNTIF(Table20[Spawner],Table1[[#This Row],[Spawner Prefab]])</f>
        <v>4</v>
      </c>
      <c r="S132" s="97">
        <f>ROUND((Table1[[#This Row],[Total in "Dark" scene]]/SUM(Table1[Total in "Dark" scene]))*100,1)</f>
        <v>0.4</v>
      </c>
      <c r="T132" s="111">
        <f>Table1[[#This Row],[Total in "Village" scene]]+Table1[[#This Row],[Total in "Castle" scene]]+Table1[[#This Row],[Total in "Dark" scene]]</f>
        <v>4</v>
      </c>
      <c r="U132" s="99">
        <f>ROUND((Table1[[#This Row],[Total in the game]]/SUM(Table1[Total in the game]))*100,1)</f>
        <v>0.1</v>
      </c>
      <c r="W132" s="115" t="s">
        <v>593</v>
      </c>
      <c r="X132" s="115" t="s">
        <v>342</v>
      </c>
      <c r="Y132" s="120" t="s">
        <v>342</v>
      </c>
      <c r="Z132" s="120" t="s">
        <v>342</v>
      </c>
    </row>
    <row r="133" spans="4:26" x14ac:dyDescent="0.25">
      <c r="D133" s="78" t="s">
        <v>308</v>
      </c>
      <c r="E133" s="78" t="s">
        <v>79</v>
      </c>
      <c r="F133" s="78" t="s">
        <v>309</v>
      </c>
      <c r="G133" s="103">
        <v>200</v>
      </c>
      <c r="H133" s="103">
        <v>200</v>
      </c>
      <c r="I133" s="108">
        <v>7</v>
      </c>
      <c r="J133" s="93">
        <v>75</v>
      </c>
      <c r="K133" s="93">
        <v>0</v>
      </c>
      <c r="L133" s="93">
        <v>0</v>
      </c>
      <c r="M133" s="93" t="s">
        <v>9</v>
      </c>
      <c r="N133" s="104">
        <f>COUNTIF(Table7[Spawner],Table1[[#This Row],[Spawner Prefab]])</f>
        <v>48</v>
      </c>
      <c r="O133" s="96">
        <f>ROUND((Table1[[#This Row],[Total in "Village" scene]]/SUM(Table1[Total in "Village" scene]))*100,1)</f>
        <v>1.9</v>
      </c>
      <c r="P133" s="110">
        <f>COUNTIF(Table15[Spawner],Table1[[#This Row],[Spawner Prefab]])</f>
        <v>0</v>
      </c>
      <c r="Q133" s="100">
        <f>ROUND((Table1[[#This Row],[Total in "Castle" scene]]/SUM(Table1[Total in "Castle" scene]))*100,1)</f>
        <v>0</v>
      </c>
      <c r="R133" s="105">
        <f>COUNTIF(Table20[Spawner],Table1[[#This Row],[Spawner Prefab]])</f>
        <v>0</v>
      </c>
      <c r="S133" s="97">
        <f>ROUND((Table1[[#This Row],[Total in "Dark" scene]]/SUM(Table1[Total in "Dark" scene]))*100,1)</f>
        <v>0</v>
      </c>
      <c r="T133" s="111">
        <f>Table1[[#This Row],[Total in "Village" scene]]+Table1[[#This Row],[Total in "Castle" scene]]+Table1[[#This Row],[Total in "Dark" scene]]</f>
        <v>48</v>
      </c>
      <c r="U133" s="99">
        <f>ROUND((Table1[[#This Row],[Total in the game]]/SUM(Table1[Total in the game]))*100,1)</f>
        <v>0.9</v>
      </c>
      <c r="W133" s="149" t="s">
        <v>596</v>
      </c>
      <c r="X133" s="149" t="s">
        <v>343</v>
      </c>
      <c r="Y133" s="150" t="s">
        <v>343</v>
      </c>
      <c r="Z133" s="150" t="s">
        <v>343</v>
      </c>
    </row>
    <row r="134" spans="4:26" x14ac:dyDescent="0.25">
      <c r="D134" s="78" t="s">
        <v>310</v>
      </c>
      <c r="E134" s="78" t="s">
        <v>79</v>
      </c>
      <c r="F134" s="78" t="s">
        <v>311</v>
      </c>
      <c r="G134" s="103">
        <v>200</v>
      </c>
      <c r="H134" s="103">
        <v>200</v>
      </c>
      <c r="I134" s="108">
        <v>7</v>
      </c>
      <c r="J134" s="93">
        <v>75</v>
      </c>
      <c r="K134" s="93">
        <v>0</v>
      </c>
      <c r="L134" s="93">
        <v>0</v>
      </c>
      <c r="M134" s="93" t="s">
        <v>9</v>
      </c>
      <c r="N134" s="104">
        <f>COUNTIF(Table7[Spawner],Table1[[#This Row],[Spawner Prefab]])</f>
        <v>0</v>
      </c>
      <c r="O134" s="96">
        <f>ROUND((Table1[[#This Row],[Total in "Village" scene]]/SUM(Table1[Total in "Village" scene]))*100,1)</f>
        <v>0</v>
      </c>
      <c r="P134" s="110">
        <f>COUNTIF(Table15[Spawner],Table1[[#This Row],[Spawner Prefab]])</f>
        <v>0</v>
      </c>
      <c r="Q134" s="100">
        <f>ROUND((Table1[[#This Row],[Total in "Castle" scene]]/SUM(Table1[Total in "Castle" scene]))*100,1)</f>
        <v>0</v>
      </c>
      <c r="R134" s="105">
        <f>COUNTIF(Table20[Spawner],Table1[[#This Row],[Spawner Prefab]])</f>
        <v>0</v>
      </c>
      <c r="S134" s="97">
        <f>ROUND((Table1[[#This Row],[Total in "Dark" scene]]/SUM(Table1[Total in "Dark" scene]))*100,1)</f>
        <v>0</v>
      </c>
      <c r="T134" s="111">
        <f>Table1[[#This Row],[Total in "Village" scene]]+Table1[[#This Row],[Total in "Castle" scene]]+Table1[[#This Row],[Total in "Dark" scene]]</f>
        <v>0</v>
      </c>
      <c r="U134" s="99">
        <f>ROUND((Table1[[#This Row],[Total in the game]]/SUM(Table1[Total in the game]))*100,1)</f>
        <v>0</v>
      </c>
      <c r="W134" s="115" t="s">
        <v>637</v>
      </c>
      <c r="X134" s="115" t="s">
        <v>342</v>
      </c>
      <c r="Y134" s="120" t="s">
        <v>342</v>
      </c>
      <c r="Z134" s="120" t="s">
        <v>342</v>
      </c>
    </row>
    <row r="135" spans="4:26" x14ac:dyDescent="0.25">
      <c r="D135" s="78" t="s">
        <v>313</v>
      </c>
      <c r="E135" s="78" t="s">
        <v>312</v>
      </c>
      <c r="F135" s="78" t="s">
        <v>314</v>
      </c>
      <c r="G135" s="103">
        <v>300</v>
      </c>
      <c r="H135" s="103">
        <v>300</v>
      </c>
      <c r="I135" s="108">
        <v>30</v>
      </c>
      <c r="J135" s="93">
        <v>105</v>
      </c>
      <c r="K135" s="93">
        <v>2</v>
      </c>
      <c r="L135" s="93">
        <v>2</v>
      </c>
      <c r="M135" s="93" t="s">
        <v>9</v>
      </c>
      <c r="N135" s="104">
        <f>COUNTIF(Table7[Spawner],Table1[[#This Row],[Spawner Prefab]])</f>
        <v>0</v>
      </c>
      <c r="O135" s="96">
        <f>ROUND((Table1[[#This Row],[Total in "Village" scene]]/SUM(Table1[Total in "Village" scene]))*100,1)</f>
        <v>0</v>
      </c>
      <c r="P135" s="110">
        <f>COUNTIF(Table15[Spawner],Table1[[#This Row],[Spawner Prefab]])</f>
        <v>2</v>
      </c>
      <c r="Q135" s="100">
        <f>ROUND((Table1[[#This Row],[Total in "Castle" scene]]/SUM(Table1[Total in "Castle" scene]))*100,1)</f>
        <v>0.1</v>
      </c>
      <c r="R135" s="105">
        <f>COUNTIF(Table20[Spawner],Table1[[#This Row],[Spawner Prefab]])</f>
        <v>0</v>
      </c>
      <c r="S135" s="97">
        <f>ROUND((Table1[[#This Row],[Total in "Dark" scene]]/SUM(Table1[Total in "Dark" scene]))*100,1)</f>
        <v>0</v>
      </c>
      <c r="T135" s="111">
        <f>Table1[[#This Row],[Total in "Village" scene]]+Table1[[#This Row],[Total in "Castle" scene]]+Table1[[#This Row],[Total in "Dark" scene]]</f>
        <v>2</v>
      </c>
      <c r="U135" s="99">
        <f>ROUND((Table1[[#This Row],[Total in the game]]/SUM(Table1[Total in the game]))*100,1)</f>
        <v>0</v>
      </c>
      <c r="W135" s="149" t="s">
        <v>316</v>
      </c>
      <c r="X135" s="149" t="s">
        <v>343</v>
      </c>
      <c r="Y135" s="150" t="s">
        <v>343</v>
      </c>
      <c r="Z135" s="150" t="s">
        <v>343</v>
      </c>
    </row>
    <row r="136" spans="4:26" x14ac:dyDescent="0.25">
      <c r="D136" s="78" t="s">
        <v>592</v>
      </c>
      <c r="E136" s="78" t="s">
        <v>591</v>
      </c>
      <c r="F136" s="78" t="s">
        <v>593</v>
      </c>
      <c r="G136" s="103">
        <v>120</v>
      </c>
      <c r="H136" s="103">
        <v>120</v>
      </c>
      <c r="I136" s="108">
        <v>5</v>
      </c>
      <c r="J136" s="93">
        <v>35</v>
      </c>
      <c r="K136" s="93">
        <v>2</v>
      </c>
      <c r="L136" s="93">
        <v>2</v>
      </c>
      <c r="M136" s="93" t="s">
        <v>9</v>
      </c>
      <c r="N136" s="104">
        <f>COUNTIF(Table7[Spawner],Table1[[#This Row],[Spawner Prefab]])</f>
        <v>0</v>
      </c>
      <c r="O136" s="96">
        <f>ROUND((Table1[[#This Row],[Total in "Village" scene]]/SUM(Table1[Total in "Village" scene]))*100,1)</f>
        <v>0</v>
      </c>
      <c r="P136" s="110">
        <f>COUNTIF(Table15[Spawner],Table1[[#This Row],[Spawner Prefab]])</f>
        <v>0</v>
      </c>
      <c r="Q136" s="100">
        <f>ROUND((Table1[[#This Row],[Total in "Castle" scene]]/SUM(Table1[Total in "Castle" scene]))*100,1)</f>
        <v>0</v>
      </c>
      <c r="R136" s="105">
        <f>COUNTIF(Table20[Spawner],Table1[[#This Row],[Spawner Prefab]])</f>
        <v>18</v>
      </c>
      <c r="S136" s="97">
        <f>ROUND((Table1[[#This Row],[Total in "Dark" scene]]/SUM(Table1[Total in "Dark" scene]))*100,1)</f>
        <v>1.8</v>
      </c>
      <c r="T136" s="111">
        <f>Table1[[#This Row],[Total in "Village" scene]]+Table1[[#This Row],[Total in "Castle" scene]]+Table1[[#This Row],[Total in "Dark" scene]]</f>
        <v>18</v>
      </c>
      <c r="U136" s="99">
        <f>ROUND((Table1[[#This Row],[Total in the game]]/SUM(Table1[Total in the game]))*100,1)</f>
        <v>0.3</v>
      </c>
      <c r="W136" s="115" t="s">
        <v>318</v>
      </c>
      <c r="X136" s="115" t="s">
        <v>343</v>
      </c>
      <c r="Y136" s="120" t="s">
        <v>343</v>
      </c>
      <c r="Z136" s="120" t="s">
        <v>343</v>
      </c>
    </row>
    <row r="137" spans="4:26" x14ac:dyDescent="0.25">
      <c r="D137" s="78" t="s">
        <v>595</v>
      </c>
      <c r="E137" s="78" t="s">
        <v>594</v>
      </c>
      <c r="F137" s="78" t="s">
        <v>596</v>
      </c>
      <c r="G137" s="103">
        <v>120</v>
      </c>
      <c r="H137" s="103">
        <v>120</v>
      </c>
      <c r="I137" s="108">
        <v>50</v>
      </c>
      <c r="J137" s="93">
        <v>130</v>
      </c>
      <c r="K137" s="93">
        <v>4</v>
      </c>
      <c r="L137" s="93">
        <v>4</v>
      </c>
      <c r="M137" s="93">
        <v>50</v>
      </c>
      <c r="N137" s="104">
        <f>COUNTIF(Table7[Spawner],Table1[[#This Row],[Spawner Prefab]])</f>
        <v>0</v>
      </c>
      <c r="O137" s="96">
        <f>ROUND((Table1[[#This Row],[Total in "Village" scene]]/SUM(Table1[Total in "Village" scene]))*100,1)</f>
        <v>0</v>
      </c>
      <c r="P137" s="110">
        <f>COUNTIF(Table15[Spawner],Table1[[#This Row],[Spawner Prefab]])</f>
        <v>0</v>
      </c>
      <c r="Q137" s="100">
        <f>ROUND((Table1[[#This Row],[Total in "Castle" scene]]/SUM(Table1[Total in "Castle" scene]))*100,1)</f>
        <v>0</v>
      </c>
      <c r="R137" s="105">
        <f>COUNTIF(Table20[Spawner],Table1[[#This Row],[Spawner Prefab]])</f>
        <v>7</v>
      </c>
      <c r="S137" s="97">
        <f>ROUND((Table1[[#This Row],[Total in "Dark" scene]]/SUM(Table1[Total in "Dark" scene]))*100,1)</f>
        <v>0.7</v>
      </c>
      <c r="T137" s="111">
        <f>Table1[[#This Row],[Total in "Village" scene]]+Table1[[#This Row],[Total in "Castle" scene]]+Table1[[#This Row],[Total in "Dark" scene]]</f>
        <v>7</v>
      </c>
      <c r="U137" s="99">
        <f>ROUND((Table1[[#This Row],[Total in the game]]/SUM(Table1[Total in the game]))*100,1)</f>
        <v>0.1</v>
      </c>
      <c r="W137" s="149" t="s">
        <v>320</v>
      </c>
      <c r="X137" s="149" t="s">
        <v>343</v>
      </c>
      <c r="Y137" s="150" t="s">
        <v>343</v>
      </c>
      <c r="Z137" s="150" t="s">
        <v>343</v>
      </c>
    </row>
    <row r="138" spans="4:26" x14ac:dyDescent="0.25">
      <c r="D138" s="78" t="s">
        <v>636</v>
      </c>
      <c r="E138" s="78" t="s">
        <v>6765</v>
      </c>
      <c r="F138" s="78" t="s">
        <v>637</v>
      </c>
      <c r="G138" s="103">
        <v>120</v>
      </c>
      <c r="H138" s="103">
        <v>120</v>
      </c>
      <c r="I138" s="108">
        <v>50</v>
      </c>
      <c r="J138" s="93">
        <v>48</v>
      </c>
      <c r="K138" s="93">
        <v>3</v>
      </c>
      <c r="L138" s="93">
        <v>3</v>
      </c>
      <c r="M138" s="93" t="s">
        <v>9</v>
      </c>
      <c r="N138" s="104">
        <f>COUNTIF(Table7[Spawner],Table1[[#This Row],[Spawner Prefab]])</f>
        <v>0</v>
      </c>
      <c r="O138" s="96">
        <f>ROUND((Table1[[#This Row],[Total in "Village" scene]]/SUM(Table1[Total in "Village" scene]))*100,1)</f>
        <v>0</v>
      </c>
      <c r="P138" s="110">
        <f>COUNTIF(Table15[Spawner],Table1[[#This Row],[Spawner Prefab]])</f>
        <v>0</v>
      </c>
      <c r="Q138" s="100">
        <f>ROUND((Table1[[#This Row],[Total in "Castle" scene]]/SUM(Table1[Total in "Castle" scene]))*100,1)</f>
        <v>0</v>
      </c>
      <c r="R138" s="105">
        <f>COUNTIF(Table20[Spawner],Table1[[#This Row],[Spawner Prefab]])</f>
        <v>3</v>
      </c>
      <c r="S138" s="97">
        <f>ROUND((Table1[[#This Row],[Total in "Dark" scene]]/SUM(Table1[Total in "Dark" scene]))*100,1)</f>
        <v>0.3</v>
      </c>
      <c r="T138" s="111">
        <f>Table1[[#This Row],[Total in "Village" scene]]+Table1[[#This Row],[Total in "Castle" scene]]+Table1[[#This Row],[Total in "Dark" scene]]</f>
        <v>3</v>
      </c>
      <c r="U138" s="99">
        <f>ROUND((Table1[[#This Row],[Total in the game]]/SUM(Table1[Total in the game]))*100,1)</f>
        <v>0.1</v>
      </c>
      <c r="W138" s="115" t="s">
        <v>322</v>
      </c>
      <c r="X138" s="115" t="s">
        <v>343</v>
      </c>
      <c r="Y138" s="120" t="s">
        <v>343</v>
      </c>
      <c r="Z138" s="120" t="s">
        <v>343</v>
      </c>
    </row>
    <row r="139" spans="4:26" x14ac:dyDescent="0.25">
      <c r="D139" s="78" t="s">
        <v>315</v>
      </c>
      <c r="E139" s="78" t="s">
        <v>80</v>
      </c>
      <c r="F139" s="78" t="s">
        <v>316</v>
      </c>
      <c r="G139" s="103">
        <v>310</v>
      </c>
      <c r="H139" s="103">
        <v>310</v>
      </c>
      <c r="I139" s="108">
        <v>50</v>
      </c>
      <c r="J139" s="93">
        <v>70</v>
      </c>
      <c r="K139" s="93">
        <v>2</v>
      </c>
      <c r="L139" s="93">
        <v>1</v>
      </c>
      <c r="M139" s="93">
        <v>55</v>
      </c>
      <c r="N139" s="104">
        <f>COUNTIF(Table7[Spawner],Table1[[#This Row],[Spawner Prefab]])</f>
        <v>0</v>
      </c>
      <c r="O139" s="96">
        <f>ROUND((Table1[[#This Row],[Total in "Village" scene]]/SUM(Table1[Total in "Village" scene]))*100,1)</f>
        <v>0</v>
      </c>
      <c r="P139" s="110">
        <f>COUNTIF(Table15[Spawner],Table1[[#This Row],[Spawner Prefab]])</f>
        <v>3</v>
      </c>
      <c r="Q139" s="100">
        <f>ROUND((Table1[[#This Row],[Total in "Castle" scene]]/SUM(Table1[Total in "Castle" scene]))*100,1)</f>
        <v>0.2</v>
      </c>
      <c r="R139" s="105">
        <f>COUNTIF(Table20[Spawner],Table1[[#This Row],[Spawner Prefab]])</f>
        <v>0</v>
      </c>
      <c r="S139" s="97">
        <f>ROUND((Table1[[#This Row],[Total in "Dark" scene]]/SUM(Table1[Total in "Dark" scene]))*100,1)</f>
        <v>0</v>
      </c>
      <c r="T139" s="111">
        <f>Table1[[#This Row],[Total in "Village" scene]]+Table1[[#This Row],[Total in "Castle" scene]]+Table1[[#This Row],[Total in "Dark" scene]]</f>
        <v>3</v>
      </c>
      <c r="U139" s="99">
        <f>ROUND((Table1[[#This Row],[Total in the game]]/SUM(Table1[Total in the game]))*100,1)</f>
        <v>0.1</v>
      </c>
      <c r="W139" s="149" t="s">
        <v>325</v>
      </c>
      <c r="X139" s="149" t="s">
        <v>343</v>
      </c>
      <c r="Y139" s="150" t="s">
        <v>343</v>
      </c>
      <c r="Z139" s="150" t="s">
        <v>343</v>
      </c>
    </row>
    <row r="140" spans="4:26" x14ac:dyDescent="0.25">
      <c r="D140" s="78" t="s">
        <v>317</v>
      </c>
      <c r="E140" s="78" t="s">
        <v>80</v>
      </c>
      <c r="F140" s="78" t="s">
        <v>318</v>
      </c>
      <c r="G140" s="103">
        <v>310</v>
      </c>
      <c r="H140" s="103">
        <v>310</v>
      </c>
      <c r="I140" s="108">
        <v>50</v>
      </c>
      <c r="J140" s="93">
        <v>70</v>
      </c>
      <c r="K140" s="93">
        <v>2</v>
      </c>
      <c r="L140" s="93">
        <v>1</v>
      </c>
      <c r="M140" s="93">
        <v>55</v>
      </c>
      <c r="N140" s="104">
        <f>COUNTIF(Table7[Spawner],Table1[[#This Row],[Spawner Prefab]])</f>
        <v>0</v>
      </c>
      <c r="O140" s="96">
        <f>ROUND((Table1[[#This Row],[Total in "Village" scene]]/SUM(Table1[Total in "Village" scene]))*100,1)</f>
        <v>0</v>
      </c>
      <c r="P140" s="110">
        <f>COUNTIF(Table15[Spawner],Table1[[#This Row],[Spawner Prefab]])</f>
        <v>5</v>
      </c>
      <c r="Q140" s="100">
        <f>ROUND((Table1[[#This Row],[Total in "Castle" scene]]/SUM(Table1[Total in "Castle" scene]))*100,1)</f>
        <v>0.3</v>
      </c>
      <c r="R140" s="105">
        <f>COUNTIF(Table20[Spawner],Table1[[#This Row],[Spawner Prefab]])</f>
        <v>0</v>
      </c>
      <c r="S140" s="97">
        <f>ROUND((Table1[[#This Row],[Total in "Dark" scene]]/SUM(Table1[Total in "Dark" scene]))*100,1)</f>
        <v>0</v>
      </c>
      <c r="T140" s="111">
        <f>Table1[[#This Row],[Total in "Village" scene]]+Table1[[#This Row],[Total in "Castle" scene]]+Table1[[#This Row],[Total in "Dark" scene]]</f>
        <v>5</v>
      </c>
      <c r="U140" s="99">
        <f>ROUND((Table1[[#This Row],[Total in the game]]/SUM(Table1[Total in the game]))*100,1)</f>
        <v>0.1</v>
      </c>
      <c r="W140" s="115" t="s">
        <v>327</v>
      </c>
      <c r="X140" s="115" t="s">
        <v>343</v>
      </c>
      <c r="Y140" s="120" t="s">
        <v>343</v>
      </c>
      <c r="Z140" s="120" t="s">
        <v>343</v>
      </c>
    </row>
    <row r="141" spans="4:26" x14ac:dyDescent="0.25">
      <c r="D141" s="78" t="s">
        <v>319</v>
      </c>
      <c r="E141" s="78" t="s">
        <v>80</v>
      </c>
      <c r="F141" s="78" t="s">
        <v>320</v>
      </c>
      <c r="G141" s="103">
        <v>310</v>
      </c>
      <c r="H141" s="103">
        <v>310</v>
      </c>
      <c r="I141" s="108">
        <v>50</v>
      </c>
      <c r="J141" s="93">
        <v>70</v>
      </c>
      <c r="K141" s="93">
        <v>2</v>
      </c>
      <c r="L141" s="93">
        <v>1</v>
      </c>
      <c r="M141" s="93">
        <v>40</v>
      </c>
      <c r="N141" s="104">
        <f>COUNTIF(Table7[Spawner],Table1[[#This Row],[Spawner Prefab]])</f>
        <v>0</v>
      </c>
      <c r="O141" s="96">
        <f>ROUND((Table1[[#This Row],[Total in "Village" scene]]/SUM(Table1[Total in "Village" scene]))*100,1)</f>
        <v>0</v>
      </c>
      <c r="P141" s="110">
        <f>COUNTIF(Table15[Spawner],Table1[[#This Row],[Spawner Prefab]])</f>
        <v>0</v>
      </c>
      <c r="Q141" s="100">
        <f>ROUND((Table1[[#This Row],[Total in "Castle" scene]]/SUM(Table1[Total in "Castle" scene]))*100,1)</f>
        <v>0</v>
      </c>
      <c r="R141" s="105">
        <f>COUNTIF(Table20[Spawner],Table1[[#This Row],[Spawner Prefab]])</f>
        <v>0</v>
      </c>
      <c r="S141" s="97">
        <f>ROUND((Table1[[#This Row],[Total in "Dark" scene]]/SUM(Table1[Total in "Dark" scene]))*100,1)</f>
        <v>0</v>
      </c>
      <c r="T141" s="111">
        <f>Table1[[#This Row],[Total in "Village" scene]]+Table1[[#This Row],[Total in "Castle" scene]]+Table1[[#This Row],[Total in "Dark" scene]]</f>
        <v>0</v>
      </c>
      <c r="U141" s="99">
        <f>ROUND((Table1[[#This Row],[Total in the game]]/SUM(Table1[Total in the game]))*100,1)</f>
        <v>0</v>
      </c>
      <c r="W141" s="149" t="s">
        <v>329</v>
      </c>
      <c r="X141" s="149" t="s">
        <v>342</v>
      </c>
      <c r="Y141" s="150" t="s">
        <v>342</v>
      </c>
      <c r="Z141" s="150" t="s">
        <v>342</v>
      </c>
    </row>
    <row r="142" spans="4:26" x14ac:dyDescent="0.25">
      <c r="D142" s="78" t="s">
        <v>321</v>
      </c>
      <c r="E142" s="78" t="s">
        <v>89</v>
      </c>
      <c r="F142" s="78" t="s">
        <v>322</v>
      </c>
      <c r="G142" s="103">
        <v>180</v>
      </c>
      <c r="H142" s="103">
        <v>180</v>
      </c>
      <c r="I142" s="108">
        <v>30</v>
      </c>
      <c r="J142" s="93">
        <v>75</v>
      </c>
      <c r="K142" s="93">
        <v>0</v>
      </c>
      <c r="L142" s="93">
        <v>0</v>
      </c>
      <c r="M142" s="93">
        <v>5</v>
      </c>
      <c r="N142" s="104">
        <f>COUNTIF(Table7[Spawner],Table1[[#This Row],[Spawner Prefab]])</f>
        <v>14</v>
      </c>
      <c r="O142" s="96">
        <f>ROUND((Table1[[#This Row],[Total in "Village" scene]]/SUM(Table1[Total in "Village" scene]))*100,1)</f>
        <v>0.6</v>
      </c>
      <c r="P142" s="110">
        <f>COUNTIF(Table15[Spawner],Table1[[#This Row],[Spawner Prefab]])</f>
        <v>21</v>
      </c>
      <c r="Q142" s="100">
        <f>ROUND((Table1[[#This Row],[Total in "Castle" scene]]/SUM(Table1[Total in "Castle" scene]))*100,1)</f>
        <v>1.1000000000000001</v>
      </c>
      <c r="R142" s="105">
        <f>COUNTIF(Table20[Spawner],Table1[[#This Row],[Spawner Prefab]])</f>
        <v>0</v>
      </c>
      <c r="S142" s="97">
        <f>ROUND((Table1[[#This Row],[Total in "Dark" scene]]/SUM(Table1[Total in "Dark" scene]))*100,1)</f>
        <v>0</v>
      </c>
      <c r="T142" s="111">
        <f>Table1[[#This Row],[Total in "Village" scene]]+Table1[[#This Row],[Total in "Castle" scene]]+Table1[[#This Row],[Total in "Dark" scene]]</f>
        <v>35</v>
      </c>
      <c r="U142" s="99">
        <f>ROUND((Table1[[#This Row],[Total in the game]]/SUM(Table1[Total in the game]))*100,1)</f>
        <v>0.6</v>
      </c>
      <c r="W142" s="115" t="s">
        <v>331</v>
      </c>
      <c r="X142" s="115" t="s">
        <v>342</v>
      </c>
      <c r="Y142" s="120" t="s">
        <v>342</v>
      </c>
      <c r="Z142" s="120" t="s">
        <v>342</v>
      </c>
    </row>
    <row r="143" spans="4:26" x14ac:dyDescent="0.25">
      <c r="D143" s="78" t="s">
        <v>7334</v>
      </c>
      <c r="E143" s="78" t="s">
        <v>82</v>
      </c>
      <c r="F143" s="78" t="s">
        <v>7335</v>
      </c>
      <c r="G143" s="103">
        <v>150</v>
      </c>
      <c r="H143" s="103">
        <v>150</v>
      </c>
      <c r="I143" s="108">
        <v>4</v>
      </c>
      <c r="J143" s="93">
        <v>25</v>
      </c>
      <c r="K143" s="93">
        <v>0</v>
      </c>
      <c r="L143" s="93">
        <v>0</v>
      </c>
      <c r="M143" s="93" t="s">
        <v>9</v>
      </c>
      <c r="N143" s="104">
        <f>COUNTIF(Table7[Spawner],Table1[[#This Row],[Spawner Prefab]])</f>
        <v>0</v>
      </c>
      <c r="O143" s="96">
        <f>ROUND((Table1[[#This Row],[Total in "Village" scene]]/SUM(Table1[Total in "Village" scene]))*100,1)</f>
        <v>0</v>
      </c>
      <c r="P143" s="110">
        <f>COUNTIF(Table15[Spawner],Table1[[#This Row],[Spawner Prefab]])</f>
        <v>0</v>
      </c>
      <c r="Q143" s="100">
        <f>ROUND((Table1[[#This Row],[Total in "Castle" scene]]/SUM(Table1[Total in "Castle" scene]))*100,1)</f>
        <v>0</v>
      </c>
      <c r="R143" s="105">
        <f>COUNTIF(Table20[Spawner],Table1[[#This Row],[Spawner Prefab]])</f>
        <v>0</v>
      </c>
      <c r="S143" s="97">
        <f>ROUND((Table1[[#This Row],[Total in "Dark" scene]]/SUM(Table1[Total in "Dark" scene]))*100,1)</f>
        <v>0</v>
      </c>
      <c r="T143" s="111">
        <f>Table1[[#This Row],[Total in "Village" scene]]+Table1[[#This Row],[Total in "Castle" scene]]+Table1[[#This Row],[Total in "Dark" scene]]</f>
        <v>0</v>
      </c>
      <c r="U143" s="99">
        <f>ROUND((Table1[[#This Row],[Total in the game]]/SUM(Table1[Total in the game]))*100,1)</f>
        <v>0</v>
      </c>
      <c r="W143" s="149" t="s">
        <v>332</v>
      </c>
      <c r="X143" s="149" t="s">
        <v>342</v>
      </c>
      <c r="Y143" s="150" t="s">
        <v>342</v>
      </c>
      <c r="Z143" s="150" t="s">
        <v>342</v>
      </c>
    </row>
    <row r="144" spans="4:26" x14ac:dyDescent="0.25">
      <c r="D144" s="78" t="s">
        <v>324</v>
      </c>
      <c r="E144" s="78" t="s">
        <v>323</v>
      </c>
      <c r="F144" s="78" t="s">
        <v>325</v>
      </c>
      <c r="G144" s="103">
        <v>170</v>
      </c>
      <c r="H144" s="103">
        <v>170</v>
      </c>
      <c r="I144" s="108">
        <v>20</v>
      </c>
      <c r="J144" s="93">
        <v>70</v>
      </c>
      <c r="K144" s="93">
        <v>2</v>
      </c>
      <c r="L144" s="93">
        <v>2</v>
      </c>
      <c r="M144" s="93">
        <v>10</v>
      </c>
      <c r="N144" s="104">
        <f>COUNTIF(Table7[Spawner],Table1[[#This Row],[Spawner Prefab]])</f>
        <v>10</v>
      </c>
      <c r="O144" s="96">
        <f>ROUND((Table1[[#This Row],[Total in "Village" scene]]/SUM(Table1[Total in "Village" scene]))*100,1)</f>
        <v>0.4</v>
      </c>
      <c r="P144" s="110">
        <f>COUNTIF(Table15[Spawner],Table1[[#This Row],[Spawner Prefab]])</f>
        <v>21</v>
      </c>
      <c r="Q144" s="100">
        <f>ROUND((Table1[[#This Row],[Total in "Castle" scene]]/SUM(Table1[Total in "Castle" scene]))*100,1)</f>
        <v>1.1000000000000001</v>
      </c>
      <c r="R144" s="105">
        <f>COUNTIF(Table20[Spawner],Table1[[#This Row],[Spawner Prefab]])</f>
        <v>2</v>
      </c>
      <c r="S144" s="97">
        <f>ROUND((Table1[[#This Row],[Total in "Dark" scene]]/SUM(Table1[Total in "Dark" scene]))*100,1)</f>
        <v>0.2</v>
      </c>
      <c r="T144" s="111">
        <f>Table1[[#This Row],[Total in "Village" scene]]+Table1[[#This Row],[Total in "Castle" scene]]+Table1[[#This Row],[Total in "Dark" scene]]</f>
        <v>33</v>
      </c>
      <c r="U144" s="99">
        <f>ROUND((Table1[[#This Row],[Total in the game]]/SUM(Table1[Total in the game]))*100,1)</f>
        <v>0.6</v>
      </c>
      <c r="W144" s="115" t="s">
        <v>507</v>
      </c>
      <c r="X144" s="115" t="s">
        <v>343</v>
      </c>
      <c r="Y144" s="120" t="s">
        <v>343</v>
      </c>
      <c r="Z144" s="120" t="s">
        <v>343</v>
      </c>
    </row>
    <row r="145" spans="4:26" x14ac:dyDescent="0.25">
      <c r="D145" s="78" t="s">
        <v>326</v>
      </c>
      <c r="E145" s="78" t="s">
        <v>81</v>
      </c>
      <c r="F145" s="78" t="s">
        <v>327</v>
      </c>
      <c r="G145" s="103">
        <v>170</v>
      </c>
      <c r="H145" s="103">
        <v>170</v>
      </c>
      <c r="I145" s="108">
        <v>20</v>
      </c>
      <c r="J145" s="93">
        <v>70</v>
      </c>
      <c r="K145" s="93">
        <v>2</v>
      </c>
      <c r="L145" s="93">
        <v>2</v>
      </c>
      <c r="M145" s="93">
        <v>25</v>
      </c>
      <c r="N145" s="104">
        <f>COUNTIF(Table7[Spawner],Table1[[#This Row],[Spawner Prefab]])</f>
        <v>65</v>
      </c>
      <c r="O145" s="96">
        <f>ROUND((Table1[[#This Row],[Total in "Village" scene]]/SUM(Table1[Total in "Village" scene]))*100,1)</f>
        <v>2.6</v>
      </c>
      <c r="P145" s="110">
        <f>COUNTIF(Table15[Spawner],Table1[[#This Row],[Spawner Prefab]])</f>
        <v>38</v>
      </c>
      <c r="Q145" s="100">
        <f>ROUND((Table1[[#This Row],[Total in "Castle" scene]]/SUM(Table1[Total in "Castle" scene]))*100,1)</f>
        <v>1.9</v>
      </c>
      <c r="R145" s="105">
        <f>COUNTIF(Table20[Spawner],Table1[[#This Row],[Spawner Prefab]])</f>
        <v>13</v>
      </c>
      <c r="S145" s="97">
        <f>ROUND((Table1[[#This Row],[Total in "Dark" scene]]/SUM(Table1[Total in "Dark" scene]))*100,1)</f>
        <v>1.3</v>
      </c>
      <c r="T145" s="111">
        <f>Table1[[#This Row],[Total in "Village" scene]]+Table1[[#This Row],[Total in "Castle" scene]]+Table1[[#This Row],[Total in "Dark" scene]]</f>
        <v>116</v>
      </c>
      <c r="U145" s="99">
        <f>ROUND((Table1[[#This Row],[Total in the game]]/SUM(Table1[Total in the game]))*100,1)</f>
        <v>2.1</v>
      </c>
      <c r="W145" s="149" t="s">
        <v>509</v>
      </c>
      <c r="X145" s="149" t="s">
        <v>343</v>
      </c>
      <c r="Y145" s="150" t="s">
        <v>343</v>
      </c>
      <c r="Z145" s="150" t="s">
        <v>343</v>
      </c>
    </row>
    <row r="146" spans="4:26" x14ac:dyDescent="0.25">
      <c r="D146" s="78" t="s">
        <v>328</v>
      </c>
      <c r="E146" s="78" t="s">
        <v>82</v>
      </c>
      <c r="F146" s="78" t="s">
        <v>329</v>
      </c>
      <c r="G146" s="103">
        <v>150</v>
      </c>
      <c r="H146" s="103">
        <v>150</v>
      </c>
      <c r="I146" s="108">
        <v>4</v>
      </c>
      <c r="J146" s="93">
        <v>25</v>
      </c>
      <c r="K146" s="93">
        <v>0</v>
      </c>
      <c r="L146" s="93">
        <v>0</v>
      </c>
      <c r="M146" s="93" t="s">
        <v>9</v>
      </c>
      <c r="N146" s="104">
        <f>COUNTIF(Table7[Spawner],Table1[[#This Row],[Spawner Prefab]])</f>
        <v>234</v>
      </c>
      <c r="O146" s="96">
        <f>ROUND((Table1[[#This Row],[Total in "Village" scene]]/SUM(Table1[Total in "Village" scene]))*100,1)</f>
        <v>9.5</v>
      </c>
      <c r="P146" s="110">
        <f>COUNTIF(Table15[Spawner],Table1[[#This Row],[Spawner Prefab]])</f>
        <v>130</v>
      </c>
      <c r="Q146" s="100">
        <f>ROUND((Table1[[#This Row],[Total in "Castle" scene]]/SUM(Table1[Total in "Castle" scene]))*100,1)</f>
        <v>6.6</v>
      </c>
      <c r="R146" s="105">
        <f>COUNTIF(Table20[Spawner],Table1[[#This Row],[Spawner Prefab]])</f>
        <v>38</v>
      </c>
      <c r="S146" s="97">
        <f>ROUND((Table1[[#This Row],[Total in "Dark" scene]]/SUM(Table1[Total in "Dark" scene]))*100,1)</f>
        <v>3.8</v>
      </c>
      <c r="T146" s="111">
        <f>Table1[[#This Row],[Total in "Village" scene]]+Table1[[#This Row],[Total in "Castle" scene]]+Table1[[#This Row],[Total in "Dark" scene]]</f>
        <v>402</v>
      </c>
      <c r="U146" s="99">
        <f>ROUND((Table1[[#This Row],[Total in the game]]/SUM(Table1[Total in the game]))*100,1)</f>
        <v>7.4</v>
      </c>
      <c r="W146" s="115" t="s">
        <v>352</v>
      </c>
      <c r="X146" s="115" t="s">
        <v>343</v>
      </c>
      <c r="Y146" s="120" t="s">
        <v>343</v>
      </c>
      <c r="Z146" s="120" t="s">
        <v>343</v>
      </c>
    </row>
    <row r="147" spans="4:26" x14ac:dyDescent="0.25">
      <c r="D147" s="78" t="s">
        <v>330</v>
      </c>
      <c r="E147" s="78" t="s">
        <v>82</v>
      </c>
      <c r="F147" s="78" t="s">
        <v>331</v>
      </c>
      <c r="G147" s="103">
        <v>150</v>
      </c>
      <c r="H147" s="103">
        <v>150</v>
      </c>
      <c r="I147" s="108">
        <v>4</v>
      </c>
      <c r="J147" s="93">
        <v>25</v>
      </c>
      <c r="K147" s="93">
        <v>0</v>
      </c>
      <c r="L147" s="93">
        <v>0</v>
      </c>
      <c r="M147" s="93" t="s">
        <v>9</v>
      </c>
      <c r="N147" s="104">
        <f>COUNTIF(Table7[Spawner],Table1[[#This Row],[Spawner Prefab]])</f>
        <v>32</v>
      </c>
      <c r="O147" s="96">
        <f>ROUND((Table1[[#This Row],[Total in "Village" scene]]/SUM(Table1[Total in "Village" scene]))*100,1)</f>
        <v>1.3</v>
      </c>
      <c r="P147" s="110">
        <f>COUNTIF(Table15[Spawner],Table1[[#This Row],[Spawner Prefab]])</f>
        <v>80</v>
      </c>
      <c r="Q147" s="100">
        <f>ROUND((Table1[[#This Row],[Total in "Castle" scene]]/SUM(Table1[Total in "Castle" scene]))*100,1)</f>
        <v>4.0999999999999996</v>
      </c>
      <c r="R147" s="105">
        <f>COUNTIF(Table20[Spawner],Table1[[#This Row],[Spawner Prefab]])</f>
        <v>0</v>
      </c>
      <c r="S147" s="97">
        <f>ROUND((Table1[[#This Row],[Total in "Dark" scene]]/SUM(Table1[Total in "Dark" scene]))*100,1)</f>
        <v>0</v>
      </c>
      <c r="T147" s="111">
        <f>Table1[[#This Row],[Total in "Village" scene]]+Table1[[#This Row],[Total in "Castle" scene]]+Table1[[#This Row],[Total in "Dark" scene]]</f>
        <v>112</v>
      </c>
      <c r="U147" s="99">
        <f>ROUND((Table1[[#This Row],[Total in the game]]/SUM(Table1[Total in the game]))*100,1)</f>
        <v>2.1</v>
      </c>
      <c r="W147" s="153" t="s">
        <v>354</v>
      </c>
      <c r="X147" s="153" t="s">
        <v>342</v>
      </c>
      <c r="Y147" s="148" t="s">
        <v>342</v>
      </c>
      <c r="Z147" s="148" t="s">
        <v>342</v>
      </c>
    </row>
    <row r="148" spans="4:26" x14ac:dyDescent="0.25">
      <c r="D148" s="78" t="s">
        <v>333</v>
      </c>
      <c r="E148" s="78" t="s">
        <v>123</v>
      </c>
      <c r="F148" s="78" t="s">
        <v>332</v>
      </c>
      <c r="G148" s="103">
        <v>180</v>
      </c>
      <c r="H148" s="103">
        <v>180</v>
      </c>
      <c r="I148" s="108">
        <v>3</v>
      </c>
      <c r="J148" s="93">
        <v>25</v>
      </c>
      <c r="K148" s="93">
        <v>0</v>
      </c>
      <c r="L148" s="93">
        <v>0</v>
      </c>
      <c r="M148" s="93" t="s">
        <v>9</v>
      </c>
      <c r="N148" s="104">
        <f>COUNTIF(Table7[Spawner],Table1[[#This Row],[Spawner Prefab]])</f>
        <v>34</v>
      </c>
      <c r="O148" s="96">
        <f>ROUND((Table1[[#This Row],[Total in "Village" scene]]/SUM(Table1[Total in "Village" scene]))*100,1)</f>
        <v>1.4</v>
      </c>
      <c r="P148" s="110">
        <f>COUNTIF(Table15[Spawner],Table1[[#This Row],[Spawner Prefab]])</f>
        <v>0</v>
      </c>
      <c r="Q148" s="100">
        <f>ROUND((Table1[[#This Row],[Total in "Castle" scene]]/SUM(Table1[Total in "Castle" scene]))*100,1)</f>
        <v>0</v>
      </c>
      <c r="R148" s="105">
        <f>COUNTIF(Table20[Spawner],Table1[[#This Row],[Spawner Prefab]])</f>
        <v>0</v>
      </c>
      <c r="S148" s="97">
        <f>ROUND((Table1[[#This Row],[Total in "Dark" scene]]/SUM(Table1[Total in "Dark" scene]))*100,1)</f>
        <v>0</v>
      </c>
      <c r="T148" s="111">
        <f>Table1[[#This Row],[Total in "Village" scene]]+Table1[[#This Row],[Total in "Castle" scene]]+Table1[[#This Row],[Total in "Dark" scene]]</f>
        <v>34</v>
      </c>
      <c r="U148" s="99">
        <f>ROUND((Table1[[#This Row],[Total in the game]]/SUM(Table1[Total in the game]))*100,1)</f>
        <v>0.6</v>
      </c>
      <c r="W148" s="116" t="s">
        <v>639</v>
      </c>
      <c r="X148" s="116" t="s">
        <v>342</v>
      </c>
      <c r="Y148" s="121" t="s">
        <v>342</v>
      </c>
      <c r="Z148" s="121" t="s">
        <v>342</v>
      </c>
    </row>
    <row r="149" spans="4:26" x14ac:dyDescent="0.25">
      <c r="D149" s="78" t="s">
        <v>506</v>
      </c>
      <c r="E149" s="78" t="s">
        <v>547</v>
      </c>
      <c r="F149" s="78" t="s">
        <v>507</v>
      </c>
      <c r="G149" s="103">
        <v>180</v>
      </c>
      <c r="H149" s="103">
        <v>180</v>
      </c>
      <c r="I149" s="108">
        <v>100</v>
      </c>
      <c r="J149" s="93">
        <v>95</v>
      </c>
      <c r="K149" s="93">
        <v>3</v>
      </c>
      <c r="L149" s="93">
        <v>3</v>
      </c>
      <c r="M149" s="93">
        <v>25</v>
      </c>
      <c r="N149" s="104">
        <f>COUNTIF(Table7[Spawner],Table1[[#This Row],[Spawner Prefab]])</f>
        <v>0</v>
      </c>
      <c r="O149" s="96">
        <f>ROUND((Table1[[#This Row],[Total in "Village" scene]]/SUM(Table1[Total in "Village" scene]))*100,1)</f>
        <v>0</v>
      </c>
      <c r="P149" s="110">
        <f>COUNTIF(Table15[Spawner],Table1[[#This Row],[Spawner Prefab]])</f>
        <v>35</v>
      </c>
      <c r="Q149" s="100">
        <f>ROUND((Table1[[#This Row],[Total in "Castle" scene]]/SUM(Table1[Total in "Castle" scene]))*100,1)</f>
        <v>1.8</v>
      </c>
      <c r="R149" s="105">
        <f>COUNTIF(Table20[Spawner],Table1[[#This Row],[Spawner Prefab]])</f>
        <v>11</v>
      </c>
      <c r="S149" s="97">
        <f>ROUND((Table1[[#This Row],[Total in "Dark" scene]]/SUM(Table1[Total in "Dark" scene]))*100,1)</f>
        <v>1.1000000000000001</v>
      </c>
      <c r="T149" s="111">
        <f>Table1[[#This Row],[Total in "Village" scene]]+Table1[[#This Row],[Total in "Castle" scene]]+Table1[[#This Row],[Total in "Dark" scene]]</f>
        <v>46</v>
      </c>
      <c r="U149" s="99">
        <f>ROUND((Table1[[#This Row],[Total in the game]]/SUM(Table1[Total in the game]))*100,1)</f>
        <v>0.8</v>
      </c>
      <c r="W149" s="116" t="s">
        <v>356</v>
      </c>
      <c r="X149" s="116" t="s">
        <v>342</v>
      </c>
      <c r="Y149" s="121" t="s">
        <v>342</v>
      </c>
      <c r="Z149" s="121" t="s">
        <v>342</v>
      </c>
    </row>
    <row r="150" spans="4:26" x14ac:dyDescent="0.25">
      <c r="D150" s="78" t="s">
        <v>7336</v>
      </c>
      <c r="E150" s="78" t="s">
        <v>548</v>
      </c>
      <c r="F150" s="78" t="s">
        <v>7337</v>
      </c>
      <c r="G150" s="103">
        <v>120</v>
      </c>
      <c r="H150" s="103">
        <v>120</v>
      </c>
      <c r="I150" s="108">
        <v>35</v>
      </c>
      <c r="J150" s="93">
        <v>35</v>
      </c>
      <c r="K150" s="93">
        <v>2</v>
      </c>
      <c r="L150" s="93">
        <v>2</v>
      </c>
      <c r="M150" s="93" t="s">
        <v>9</v>
      </c>
      <c r="N150" s="104">
        <f>COUNTIF(Table7[Spawner],Table1[[#This Row],[Spawner Prefab]])</f>
        <v>0</v>
      </c>
      <c r="O150" s="96">
        <f>ROUND((Table1[[#This Row],[Total in "Village" scene]]/SUM(Table1[Total in "Village" scene]))*100,1)</f>
        <v>0</v>
      </c>
      <c r="P150" s="110">
        <f>COUNTIF(Table15[Spawner],Table1[[#This Row],[Spawner Prefab]])</f>
        <v>0</v>
      </c>
      <c r="Q150" s="100">
        <f>ROUND((Table1[[#This Row],[Total in "Castle" scene]]/SUM(Table1[Total in "Castle" scene]))*100,1)</f>
        <v>0</v>
      </c>
      <c r="R150" s="105">
        <f>COUNTIF(Table20[Spawner],Table1[[#This Row],[Spawner Prefab]])</f>
        <v>0</v>
      </c>
      <c r="S150" s="97">
        <f>ROUND((Table1[[#This Row],[Total in "Dark" scene]]/SUM(Table1[Total in "Dark" scene]))*100,1)</f>
        <v>0</v>
      </c>
      <c r="T150" s="111">
        <f>Table1[[#This Row],[Total in "Village" scene]]+Table1[[#This Row],[Total in "Castle" scene]]+Table1[[#This Row],[Total in "Dark" scene]]</f>
        <v>0</v>
      </c>
      <c r="U150" s="99">
        <f>ROUND((Table1[[#This Row],[Total in the game]]/SUM(Table1[Total in the game]))*100,1)</f>
        <v>0</v>
      </c>
      <c r="W150" s="116" t="s">
        <v>356</v>
      </c>
      <c r="X150" s="116" t="s">
        <v>342</v>
      </c>
      <c r="Y150" s="121" t="s">
        <v>342</v>
      </c>
      <c r="Z150" s="121" t="s">
        <v>342</v>
      </c>
    </row>
    <row r="151" spans="4:26" x14ac:dyDescent="0.25">
      <c r="D151" s="78" t="s">
        <v>508</v>
      </c>
      <c r="E151" s="78" t="s">
        <v>548</v>
      </c>
      <c r="F151" s="78" t="s">
        <v>509</v>
      </c>
      <c r="G151" s="103">
        <v>120</v>
      </c>
      <c r="H151" s="103">
        <v>120</v>
      </c>
      <c r="I151" s="108">
        <v>35</v>
      </c>
      <c r="J151" s="93">
        <v>35</v>
      </c>
      <c r="K151" s="93">
        <v>2</v>
      </c>
      <c r="L151" s="93">
        <v>2</v>
      </c>
      <c r="M151" s="93" t="s">
        <v>9</v>
      </c>
      <c r="N151" s="104">
        <f>COUNTIF(Table7[Spawner],Table1[[#This Row],[Spawner Prefab]])</f>
        <v>0</v>
      </c>
      <c r="O151" s="96">
        <f>ROUND((Table1[[#This Row],[Total in "Village" scene]]/SUM(Table1[Total in "Village" scene]))*100,1)</f>
        <v>0</v>
      </c>
      <c r="P151" s="110">
        <f>COUNTIF(Table15[Spawner],Table1[[#This Row],[Spawner Prefab]])</f>
        <v>52</v>
      </c>
      <c r="Q151" s="100">
        <f>ROUND((Table1[[#This Row],[Total in "Castle" scene]]/SUM(Table1[Total in "Castle" scene]))*100,1)</f>
        <v>2.7</v>
      </c>
      <c r="R151" s="105">
        <f>COUNTIF(Table20[Spawner],Table1[[#This Row],[Spawner Prefab]])</f>
        <v>49</v>
      </c>
      <c r="S151" s="97">
        <f>ROUND((Table1[[#This Row],[Total in "Dark" scene]]/SUM(Table1[Total in "Dark" scene]))*100,1)</f>
        <v>4.8</v>
      </c>
      <c r="T151" s="111">
        <f>Table1[[#This Row],[Total in "Village" scene]]+Table1[[#This Row],[Total in "Castle" scene]]+Table1[[#This Row],[Total in "Dark" scene]]</f>
        <v>101</v>
      </c>
      <c r="U151" s="99">
        <f>ROUND((Table1[[#This Row],[Total in the game]]/SUM(Table1[Total in the game]))*100,1)</f>
        <v>1.9</v>
      </c>
      <c r="W151" s="116" t="s">
        <v>358</v>
      </c>
      <c r="X151" s="116" t="s">
        <v>342</v>
      </c>
      <c r="Y151" s="121" t="s">
        <v>342</v>
      </c>
      <c r="Z151" s="121" t="s">
        <v>342</v>
      </c>
    </row>
    <row r="152" spans="4:26" x14ac:dyDescent="0.25">
      <c r="D152" s="78" t="s">
        <v>351</v>
      </c>
      <c r="E152" s="78" t="s">
        <v>350</v>
      </c>
      <c r="F152" s="78" t="s">
        <v>352</v>
      </c>
      <c r="G152" s="103">
        <v>420</v>
      </c>
      <c r="H152" s="103">
        <v>420</v>
      </c>
      <c r="I152" s="108">
        <v>300</v>
      </c>
      <c r="J152" s="93">
        <v>83</v>
      </c>
      <c r="K152" s="93">
        <v>1</v>
      </c>
      <c r="L152" s="93">
        <v>2</v>
      </c>
      <c r="M152" s="93">
        <v>60</v>
      </c>
      <c r="N152" s="104">
        <f>COUNTIF(Table7[Spawner],Table1[[#This Row],[Spawner Prefab]])</f>
        <v>15</v>
      </c>
      <c r="O152" s="96">
        <f>ROUND((Table1[[#This Row],[Total in "Village" scene]]/SUM(Table1[Total in "Village" scene]))*100,1)</f>
        <v>0.6</v>
      </c>
      <c r="P152" s="110">
        <f>COUNTIF(Table15[Spawner],Table1[[#This Row],[Spawner Prefab]])</f>
        <v>0</v>
      </c>
      <c r="Q152" s="100">
        <f>ROUND((Table1[[#This Row],[Total in "Castle" scene]]/SUM(Table1[Total in "Castle" scene]))*100,1)</f>
        <v>0</v>
      </c>
      <c r="R152" s="105">
        <f>COUNTIF(Table20[Spawner],Table1[[#This Row],[Spawner Prefab]])</f>
        <v>2</v>
      </c>
      <c r="S152" s="97">
        <f>ROUND((Table1[[#This Row],[Total in "Dark" scene]]/SUM(Table1[Total in "Dark" scene]))*100,1)</f>
        <v>0.2</v>
      </c>
      <c r="T152" s="111">
        <f>Table1[[#This Row],[Total in "Village" scene]]+Table1[[#This Row],[Total in "Castle" scene]]+Table1[[#This Row],[Total in "Dark" scene]]</f>
        <v>17</v>
      </c>
      <c r="U152" s="99">
        <f>ROUND((Table1[[#This Row],[Total in the game]]/SUM(Table1[Total in the game]))*100,1)</f>
        <v>0.3</v>
      </c>
      <c r="W152" s="116" t="s">
        <v>360</v>
      </c>
      <c r="X152" s="116" t="s">
        <v>342</v>
      </c>
      <c r="Y152" s="121" t="s">
        <v>342</v>
      </c>
      <c r="Z152" s="121" t="s">
        <v>342</v>
      </c>
    </row>
    <row r="153" spans="4:26" x14ac:dyDescent="0.25">
      <c r="D153" s="78" t="s">
        <v>353</v>
      </c>
      <c r="E153" s="78" t="s">
        <v>126</v>
      </c>
      <c r="F153" s="78" t="s">
        <v>354</v>
      </c>
      <c r="G153" s="103">
        <v>140</v>
      </c>
      <c r="H153" s="103">
        <v>140</v>
      </c>
      <c r="I153" s="108">
        <v>2</v>
      </c>
      <c r="J153" s="93">
        <v>25</v>
      </c>
      <c r="K153" s="93">
        <v>0</v>
      </c>
      <c r="L153" s="93">
        <v>0</v>
      </c>
      <c r="M153" s="93" t="s">
        <v>9</v>
      </c>
      <c r="N153" s="104">
        <f>COUNTIF(Table7[Spawner],Table1[[#This Row],[Spawner Prefab]])</f>
        <v>0</v>
      </c>
      <c r="O153" s="96">
        <f>ROUND((Table1[[#This Row],[Total in "Village" scene]]/SUM(Table1[Total in "Village" scene]))*100,1)</f>
        <v>0</v>
      </c>
      <c r="P153" s="110">
        <f>COUNTIF(Table15[Spawner],Table1[[#This Row],[Spawner Prefab]])</f>
        <v>0</v>
      </c>
      <c r="Q153" s="100">
        <f>ROUND((Table1[[#This Row],[Total in "Castle" scene]]/SUM(Table1[Total in "Castle" scene]))*100,1)</f>
        <v>0</v>
      </c>
      <c r="R153" s="105">
        <f>COUNTIF(Table20[Spawner],Table1[[#This Row],[Spawner Prefab]])</f>
        <v>0</v>
      </c>
      <c r="S153" s="97">
        <f>ROUND((Table1[[#This Row],[Total in "Dark" scene]]/SUM(Table1[Total in "Dark" scene]))*100,1)</f>
        <v>0</v>
      </c>
      <c r="T153" s="111">
        <f>Table1[[#This Row],[Total in "Village" scene]]+Table1[[#This Row],[Total in "Castle" scene]]+Table1[[#This Row],[Total in "Dark" scene]]</f>
        <v>0</v>
      </c>
      <c r="U153" s="99">
        <f>ROUND((Table1[[#This Row],[Total in the game]]/SUM(Table1[Total in the game]))*100,1)</f>
        <v>0</v>
      </c>
      <c r="W153" s="116" t="s">
        <v>362</v>
      </c>
      <c r="X153" s="116" t="s">
        <v>342</v>
      </c>
      <c r="Y153" s="121" t="s">
        <v>342</v>
      </c>
      <c r="Z153" s="121" t="s">
        <v>342</v>
      </c>
    </row>
    <row r="154" spans="4:26" x14ac:dyDescent="0.25">
      <c r="D154" s="78" t="s">
        <v>638</v>
      </c>
      <c r="E154" s="78" t="s">
        <v>90</v>
      </c>
      <c r="F154" s="78" t="s">
        <v>639</v>
      </c>
      <c r="G154" s="103">
        <v>120</v>
      </c>
      <c r="H154" s="103">
        <v>120</v>
      </c>
      <c r="I154" s="108">
        <v>8</v>
      </c>
      <c r="J154" s="93">
        <v>75</v>
      </c>
      <c r="K154" s="93">
        <v>0</v>
      </c>
      <c r="L154" s="93">
        <v>0</v>
      </c>
      <c r="M154" s="93" t="s">
        <v>9</v>
      </c>
      <c r="N154" s="104">
        <f>COUNTIF(Table7[Spawner],Table1[[#This Row],[Spawner Prefab]])</f>
        <v>0</v>
      </c>
      <c r="O154" s="96">
        <f>ROUND((Table1[[#This Row],[Total in "Village" scene]]/SUM(Table1[Total in "Village" scene]))*100,1)</f>
        <v>0</v>
      </c>
      <c r="P154" s="110">
        <f>COUNTIF(Table15[Spawner],Table1[[#This Row],[Spawner Prefab]])</f>
        <v>0</v>
      </c>
      <c r="Q154" s="100">
        <f>ROUND((Table1[[#This Row],[Total in "Castle" scene]]/SUM(Table1[Total in "Castle" scene]))*100,1)</f>
        <v>0</v>
      </c>
      <c r="R154" s="105">
        <f>COUNTIF(Table20[Spawner],Table1[[#This Row],[Spawner Prefab]])</f>
        <v>14</v>
      </c>
      <c r="S154" s="97">
        <f>ROUND((Table1[[#This Row],[Total in "Dark" scene]]/SUM(Table1[Total in "Dark" scene]))*100,1)</f>
        <v>1.4</v>
      </c>
      <c r="T154" s="111">
        <f>Table1[[#This Row],[Total in "Village" scene]]+Table1[[#This Row],[Total in "Castle" scene]]+Table1[[#This Row],[Total in "Dark" scene]]</f>
        <v>14</v>
      </c>
      <c r="U154" s="99">
        <f>ROUND((Table1[[#This Row],[Total in the game]]/SUM(Table1[Total in the game]))*100,1)</f>
        <v>0.3</v>
      </c>
      <c r="W154" s="116" t="s">
        <v>443</v>
      </c>
      <c r="X154" s="116" t="s">
        <v>342</v>
      </c>
      <c r="Y154" s="121" t="s">
        <v>342</v>
      </c>
      <c r="Z154" s="121" t="s">
        <v>342</v>
      </c>
    </row>
    <row r="155" spans="4:26" x14ac:dyDescent="0.25">
      <c r="D155" s="78" t="s">
        <v>413</v>
      </c>
      <c r="E155" s="78" t="s">
        <v>83</v>
      </c>
      <c r="F155" s="78" t="s">
        <v>356</v>
      </c>
      <c r="G155" s="103">
        <v>120</v>
      </c>
      <c r="H155" s="103">
        <v>120</v>
      </c>
      <c r="I155" s="108">
        <v>15</v>
      </c>
      <c r="J155" s="93">
        <v>50</v>
      </c>
      <c r="K155" s="93">
        <v>0</v>
      </c>
      <c r="L155" s="93">
        <v>0</v>
      </c>
      <c r="M155" s="93" t="s">
        <v>9</v>
      </c>
      <c r="N155" s="104">
        <f>COUNTIF(Table7[Spawner],Table1[[#This Row],[Spawner Prefab]])</f>
        <v>12</v>
      </c>
      <c r="O155" s="96">
        <f>ROUND((Table1[[#This Row],[Total in "Village" scene]]/SUM(Table1[Total in "Village" scene]))*100,1)</f>
        <v>0.5</v>
      </c>
      <c r="P155" s="110">
        <f>COUNTIF(Table15[Spawner],Table1[[#This Row],[Spawner Prefab]])</f>
        <v>10</v>
      </c>
      <c r="Q155" s="100">
        <f>ROUND((Table1[[#This Row],[Total in "Castle" scene]]/SUM(Table1[Total in "Castle" scene]))*100,1)</f>
        <v>0.5</v>
      </c>
      <c r="R155" s="105">
        <f>COUNTIF(Table20[Spawner],Table1[[#This Row],[Spawner Prefab]])</f>
        <v>0</v>
      </c>
      <c r="S155" s="97">
        <f>ROUND((Table1[[#This Row],[Total in "Dark" scene]]/SUM(Table1[Total in "Dark" scene]))*100,1)</f>
        <v>0</v>
      </c>
      <c r="T155" s="111">
        <f>Table1[[#This Row],[Total in "Village" scene]]+Table1[[#This Row],[Total in "Castle" scene]]+Table1[[#This Row],[Total in "Dark" scene]]</f>
        <v>22</v>
      </c>
      <c r="U155" s="99">
        <f>ROUND((Table1[[#This Row],[Total in the game]]/SUM(Table1[Total in the game]))*100,1)</f>
        <v>0.4</v>
      </c>
      <c r="W155" s="116" t="s">
        <v>466</v>
      </c>
      <c r="X155" s="116" t="s">
        <v>342</v>
      </c>
      <c r="Y155" s="121" t="s">
        <v>342</v>
      </c>
      <c r="Z155" s="121" t="s">
        <v>342</v>
      </c>
    </row>
    <row r="156" spans="4:26" x14ac:dyDescent="0.25">
      <c r="D156" s="78" t="s">
        <v>355</v>
      </c>
      <c r="E156" s="78" t="s">
        <v>83</v>
      </c>
      <c r="F156" s="78" t="s">
        <v>356</v>
      </c>
      <c r="G156" s="103">
        <v>220</v>
      </c>
      <c r="H156" s="103">
        <v>220</v>
      </c>
      <c r="I156" s="108">
        <v>15</v>
      </c>
      <c r="J156" s="93">
        <v>50</v>
      </c>
      <c r="K156" s="93">
        <v>0</v>
      </c>
      <c r="L156" s="93">
        <v>0</v>
      </c>
      <c r="M156" s="93" t="s">
        <v>9</v>
      </c>
      <c r="N156" s="104">
        <f>COUNTIF(Table7[Spawner],Table1[[#This Row],[Spawner Prefab]])</f>
        <v>32</v>
      </c>
      <c r="O156" s="96">
        <f>ROUND((Table1[[#This Row],[Total in "Village" scene]]/SUM(Table1[Total in "Village" scene]))*100,1)</f>
        <v>1.3</v>
      </c>
      <c r="P156" s="110">
        <f>COUNTIF(Table15[Spawner],Table1[[#This Row],[Spawner Prefab]])</f>
        <v>5</v>
      </c>
      <c r="Q156" s="100">
        <f>ROUND((Table1[[#This Row],[Total in "Castle" scene]]/SUM(Table1[Total in "Castle" scene]))*100,1)</f>
        <v>0.3</v>
      </c>
      <c r="R156" s="105">
        <f>COUNTIF(Table20[Spawner],Table1[[#This Row],[Spawner Prefab]])</f>
        <v>0</v>
      </c>
      <c r="S156" s="97">
        <f>ROUND((Table1[[#This Row],[Total in "Dark" scene]]/SUM(Table1[Total in "Dark" scene]))*100,1)</f>
        <v>0</v>
      </c>
      <c r="T156" s="111">
        <f>Table1[[#This Row],[Total in "Village" scene]]+Table1[[#This Row],[Total in "Castle" scene]]+Table1[[#This Row],[Total in "Dark" scene]]</f>
        <v>37</v>
      </c>
      <c r="U156" s="99">
        <f>ROUND((Table1[[#This Row],[Total in the game]]/SUM(Table1[Total in the game]))*100,1)</f>
        <v>0.7</v>
      </c>
      <c r="W156" s="116" t="s">
        <v>488</v>
      </c>
      <c r="X156" s="116" t="s">
        <v>342</v>
      </c>
      <c r="Y156" s="121" t="s">
        <v>342</v>
      </c>
      <c r="Z156" s="121" t="s">
        <v>342</v>
      </c>
    </row>
    <row r="157" spans="4:26" x14ac:dyDescent="0.25">
      <c r="D157" s="78" t="s">
        <v>357</v>
      </c>
      <c r="E157" s="78" t="s">
        <v>83</v>
      </c>
      <c r="F157" s="78" t="s">
        <v>358</v>
      </c>
      <c r="G157" s="103">
        <v>220</v>
      </c>
      <c r="H157" s="103">
        <v>220</v>
      </c>
      <c r="I157" s="108">
        <v>15</v>
      </c>
      <c r="J157" s="93">
        <v>50</v>
      </c>
      <c r="K157" s="93">
        <v>0</v>
      </c>
      <c r="L157" s="93">
        <v>0</v>
      </c>
      <c r="M157" s="93" t="s">
        <v>9</v>
      </c>
      <c r="N157" s="104">
        <f>COUNTIF(Table7[Spawner],Table1[[#This Row],[Spawner Prefab]])</f>
        <v>9</v>
      </c>
      <c r="O157" s="96">
        <f>ROUND((Table1[[#This Row],[Total in "Village" scene]]/SUM(Table1[Total in "Village" scene]))*100,1)</f>
        <v>0.4</v>
      </c>
      <c r="P157" s="110">
        <f>COUNTIF(Table15[Spawner],Table1[[#This Row],[Spawner Prefab]])</f>
        <v>0</v>
      </c>
      <c r="Q157" s="100">
        <f>ROUND((Table1[[#This Row],[Total in "Castle" scene]]/SUM(Table1[Total in "Castle" scene]))*100,1)</f>
        <v>0</v>
      </c>
      <c r="R157" s="105">
        <f>COUNTIF(Table20[Spawner],Table1[[#This Row],[Spawner Prefab]])</f>
        <v>0</v>
      </c>
      <c r="S157" s="97">
        <f>ROUND((Table1[[#This Row],[Total in "Dark" scene]]/SUM(Table1[Total in "Dark" scene]))*100,1)</f>
        <v>0</v>
      </c>
      <c r="T157" s="111">
        <f>Table1[[#This Row],[Total in "Village" scene]]+Table1[[#This Row],[Total in "Castle" scene]]+Table1[[#This Row],[Total in "Dark" scene]]</f>
        <v>9</v>
      </c>
      <c r="U157" s="99">
        <f>ROUND((Table1[[#This Row],[Total in the game]]/SUM(Table1[Total in the game]))*100,1)</f>
        <v>0.2</v>
      </c>
      <c r="W157" s="116" t="s">
        <v>510</v>
      </c>
      <c r="X157" s="116" t="s">
        <v>342</v>
      </c>
      <c r="Y157" s="121" t="s">
        <v>342</v>
      </c>
      <c r="Z157" s="121" t="s">
        <v>342</v>
      </c>
    </row>
    <row r="158" spans="4:26" x14ac:dyDescent="0.25">
      <c r="D158" s="78" t="s">
        <v>359</v>
      </c>
      <c r="E158" s="78" t="s">
        <v>84</v>
      </c>
      <c r="F158" s="78" t="s">
        <v>360</v>
      </c>
      <c r="G158" s="103">
        <v>220</v>
      </c>
      <c r="H158" s="103">
        <v>220</v>
      </c>
      <c r="I158" s="108">
        <v>15</v>
      </c>
      <c r="J158" s="93">
        <v>50</v>
      </c>
      <c r="K158" s="93">
        <v>0</v>
      </c>
      <c r="L158" s="93">
        <v>0</v>
      </c>
      <c r="M158" s="93" t="s">
        <v>9</v>
      </c>
      <c r="N158" s="104">
        <f>COUNTIF(Table7[Spawner],Table1[[#This Row],[Spawner Prefab]])</f>
        <v>3</v>
      </c>
      <c r="O158" s="96">
        <f>ROUND((Table1[[#This Row],[Total in "Village" scene]]/SUM(Table1[Total in "Village" scene]))*100,1)</f>
        <v>0.1</v>
      </c>
      <c r="P158" s="110">
        <f>COUNTIF(Table15[Spawner],Table1[[#This Row],[Spawner Prefab]])</f>
        <v>0</v>
      </c>
      <c r="Q158" s="100">
        <f>ROUND((Table1[[#This Row],[Total in "Castle" scene]]/SUM(Table1[Total in "Castle" scene]))*100,1)</f>
        <v>0</v>
      </c>
      <c r="R158" s="105">
        <f>COUNTIF(Table20[Spawner],Table1[[#This Row],[Spawner Prefab]])</f>
        <v>0</v>
      </c>
      <c r="S158" s="97">
        <f>ROUND((Table1[[#This Row],[Total in "Dark" scene]]/SUM(Table1[Total in "Dark" scene]))*100,1)</f>
        <v>0</v>
      </c>
      <c r="T158" s="111">
        <f>Table1[[#This Row],[Total in "Village" scene]]+Table1[[#This Row],[Total in "Castle" scene]]+Table1[[#This Row],[Total in "Dark" scene]]</f>
        <v>3</v>
      </c>
      <c r="U158" s="99">
        <f>ROUND((Table1[[#This Row],[Total in the game]]/SUM(Table1[Total in the game]))*100,1)</f>
        <v>0.1</v>
      </c>
      <c r="W158" s="116" t="s">
        <v>598</v>
      </c>
      <c r="X158" s="116" t="s">
        <v>342</v>
      </c>
      <c r="Y158" s="121" t="s">
        <v>342</v>
      </c>
      <c r="Z158" s="121" t="s">
        <v>342</v>
      </c>
    </row>
    <row r="159" spans="4:26" x14ac:dyDescent="0.25">
      <c r="D159" s="78" t="s">
        <v>361</v>
      </c>
      <c r="E159" s="78" t="s">
        <v>84</v>
      </c>
      <c r="F159" s="78" t="s">
        <v>362</v>
      </c>
      <c r="G159" s="103">
        <v>220</v>
      </c>
      <c r="H159" s="103">
        <v>220</v>
      </c>
      <c r="I159" s="108">
        <v>15</v>
      </c>
      <c r="J159" s="93">
        <v>50</v>
      </c>
      <c r="K159" s="93">
        <v>0</v>
      </c>
      <c r="L159" s="93">
        <v>0</v>
      </c>
      <c r="M159" s="93" t="s">
        <v>9</v>
      </c>
      <c r="N159" s="104">
        <f>COUNTIF(Table7[Spawner],Table1[[#This Row],[Spawner Prefab]])</f>
        <v>2</v>
      </c>
      <c r="O159" s="96">
        <f>ROUND((Table1[[#This Row],[Total in "Village" scene]]/SUM(Table1[Total in "Village" scene]))*100,1)</f>
        <v>0.1</v>
      </c>
      <c r="P159" s="110">
        <f>COUNTIF(Table15[Spawner],Table1[[#This Row],[Spawner Prefab]])</f>
        <v>0</v>
      </c>
      <c r="Q159" s="100">
        <f>ROUND((Table1[[#This Row],[Total in "Castle" scene]]/SUM(Table1[Total in "Castle" scene]))*100,1)</f>
        <v>0</v>
      </c>
      <c r="R159" s="105">
        <f>COUNTIF(Table20[Spawner],Table1[[#This Row],[Spawner Prefab]])</f>
        <v>0</v>
      </c>
      <c r="S159" s="97">
        <f>ROUND((Table1[[#This Row],[Total in "Dark" scene]]/SUM(Table1[Total in "Dark" scene]))*100,1)</f>
        <v>0</v>
      </c>
      <c r="T159" s="111">
        <f>Table1[[#This Row],[Total in "Village" scene]]+Table1[[#This Row],[Total in "Castle" scene]]+Table1[[#This Row],[Total in "Dark" scene]]</f>
        <v>2</v>
      </c>
      <c r="U159" s="99">
        <f>ROUND((Table1[[#This Row],[Total in the game]]/SUM(Table1[Total in the game]))*100,1)</f>
        <v>0</v>
      </c>
      <c r="W159" s="116" t="s">
        <v>549</v>
      </c>
      <c r="X159" s="116" t="s">
        <v>343</v>
      </c>
      <c r="Y159" s="121" t="s">
        <v>343</v>
      </c>
      <c r="Z159" s="121" t="s">
        <v>343</v>
      </c>
    </row>
    <row r="160" spans="4:26" x14ac:dyDescent="0.25">
      <c r="D160" s="78" t="s">
        <v>442</v>
      </c>
      <c r="E160" s="78" t="s">
        <v>78</v>
      </c>
      <c r="F160" s="78" t="s">
        <v>443</v>
      </c>
      <c r="G160" s="103">
        <v>220</v>
      </c>
      <c r="H160" s="103">
        <v>220</v>
      </c>
      <c r="I160" s="108">
        <v>15</v>
      </c>
      <c r="J160" s="93">
        <v>50</v>
      </c>
      <c r="K160" s="93">
        <v>0</v>
      </c>
      <c r="L160" s="93">
        <v>0</v>
      </c>
      <c r="M160" s="93" t="s">
        <v>9</v>
      </c>
      <c r="N160" s="104">
        <f>COUNTIF(Table7[Spawner],Table1[[#This Row],[Spawner Prefab]])</f>
        <v>0</v>
      </c>
      <c r="O160" s="96">
        <f>ROUND((Table1[[#This Row],[Total in "Village" scene]]/SUM(Table1[Total in "Village" scene]))*100,1)</f>
        <v>0</v>
      </c>
      <c r="P160" s="110">
        <f>COUNTIF(Table15[Spawner],Table1[[#This Row],[Spawner Prefab]])</f>
        <v>0</v>
      </c>
      <c r="Q160" s="100">
        <f>ROUND((Table1[[#This Row],[Total in "Castle" scene]]/SUM(Table1[Total in "Castle" scene]))*100,1)</f>
        <v>0</v>
      </c>
      <c r="R160" s="105">
        <f>COUNTIF(Table20[Spawner],Table1[[#This Row],[Spawner Prefab]])</f>
        <v>0</v>
      </c>
      <c r="S160" s="97">
        <f>ROUND((Table1[[#This Row],[Total in "Dark" scene]]/SUM(Table1[Total in "Dark" scene]))*100,1)</f>
        <v>0</v>
      </c>
      <c r="T160" s="111">
        <f>Table1[[#This Row],[Total in "Village" scene]]+Table1[[#This Row],[Total in "Castle" scene]]+Table1[[#This Row],[Total in "Dark" scene]]</f>
        <v>0</v>
      </c>
      <c r="U160" s="99">
        <f>ROUND((Table1[[#This Row],[Total in the game]]/SUM(Table1[Total in the game]))*100,1)</f>
        <v>0</v>
      </c>
      <c r="W160" s="116" t="s">
        <v>543</v>
      </c>
      <c r="X160" s="116" t="s">
        <v>343</v>
      </c>
      <c r="Y160" s="121" t="s">
        <v>343</v>
      </c>
      <c r="Z160" s="121" t="s">
        <v>343</v>
      </c>
    </row>
    <row r="161" spans="4:26" x14ac:dyDescent="0.25">
      <c r="D161" s="78" t="s">
        <v>444</v>
      </c>
      <c r="E161" s="78" t="s">
        <v>78</v>
      </c>
      <c r="F161" s="78" t="s">
        <v>466</v>
      </c>
      <c r="G161" s="103">
        <v>220</v>
      </c>
      <c r="H161" s="103">
        <v>220</v>
      </c>
      <c r="I161" s="108">
        <v>15</v>
      </c>
      <c r="J161" s="93">
        <v>50</v>
      </c>
      <c r="K161" s="93">
        <v>0</v>
      </c>
      <c r="L161" s="93">
        <v>0</v>
      </c>
      <c r="M161" s="93" t="s">
        <v>9</v>
      </c>
      <c r="N161" s="104">
        <f>COUNTIF(Table7[Spawner],Table1[[#This Row],[Spawner Prefab]])</f>
        <v>3</v>
      </c>
      <c r="O161" s="96">
        <f>ROUND((Table1[[#This Row],[Total in "Village" scene]]/SUM(Table1[Total in "Village" scene]))*100,1)</f>
        <v>0.1</v>
      </c>
      <c r="P161" s="110">
        <f>COUNTIF(Table15[Spawner],Table1[[#This Row],[Spawner Prefab]])</f>
        <v>0</v>
      </c>
      <c r="Q161" s="100">
        <f>ROUND((Table1[[#This Row],[Total in "Castle" scene]]/SUM(Table1[Total in "Castle" scene]))*100,1)</f>
        <v>0</v>
      </c>
      <c r="R161" s="105">
        <f>COUNTIF(Table20[Spawner],Table1[[#This Row],[Spawner Prefab]])</f>
        <v>0</v>
      </c>
      <c r="S161" s="97">
        <f>ROUND((Table1[[#This Row],[Total in "Dark" scene]]/SUM(Table1[Total in "Dark" scene]))*100,1)</f>
        <v>0</v>
      </c>
      <c r="T161" s="111">
        <f>Table1[[#This Row],[Total in "Village" scene]]+Table1[[#This Row],[Total in "Castle" scene]]+Table1[[#This Row],[Total in "Dark" scene]]</f>
        <v>3</v>
      </c>
      <c r="U161" s="99">
        <f>ROUND((Table1[[#This Row],[Total in the game]]/SUM(Table1[Total in the game]))*100,1)</f>
        <v>0.1</v>
      </c>
      <c r="W161" s="116" t="s">
        <v>544</v>
      </c>
      <c r="X161" s="116" t="s">
        <v>342</v>
      </c>
      <c r="Y161" s="121" t="s">
        <v>342</v>
      </c>
      <c r="Z161" s="121" t="s">
        <v>342</v>
      </c>
    </row>
    <row r="162" spans="4:26" x14ac:dyDescent="0.25">
      <c r="D162" s="78" t="s">
        <v>487</v>
      </c>
      <c r="E162" s="78" t="s">
        <v>84</v>
      </c>
      <c r="F162" s="78" t="s">
        <v>488</v>
      </c>
      <c r="G162" s="103">
        <v>220</v>
      </c>
      <c r="H162" s="103">
        <v>220</v>
      </c>
      <c r="I162" s="108">
        <v>15</v>
      </c>
      <c r="J162" s="93">
        <v>50</v>
      </c>
      <c r="K162" s="93">
        <v>0</v>
      </c>
      <c r="L162" s="93">
        <v>0</v>
      </c>
      <c r="M162" s="93" t="s">
        <v>9</v>
      </c>
      <c r="N162" s="104">
        <f>COUNTIF(Table7[Spawner],Table1[[#This Row],[Spawner Prefab]])</f>
        <v>2</v>
      </c>
      <c r="O162" s="96">
        <f>ROUND((Table1[[#This Row],[Total in "Village" scene]]/SUM(Table1[Total in "Village" scene]))*100,1)</f>
        <v>0.1</v>
      </c>
      <c r="P162" s="110">
        <f>COUNTIF(Table15[Spawner],Table1[[#This Row],[Spawner Prefab]])</f>
        <v>0</v>
      </c>
      <c r="Q162" s="100">
        <f>ROUND((Table1[[#This Row],[Total in "Castle" scene]]/SUM(Table1[Total in "Castle" scene]))*100,1)</f>
        <v>0</v>
      </c>
      <c r="R162" s="105">
        <f>COUNTIF(Table20[Spawner],Table1[[#This Row],[Spawner Prefab]])</f>
        <v>0</v>
      </c>
      <c r="S162" s="97">
        <f>ROUND((Table1[[#This Row],[Total in "Dark" scene]]/SUM(Table1[Total in "Dark" scene]))*100,1)</f>
        <v>0</v>
      </c>
      <c r="T162" s="111">
        <f>Table1[[#This Row],[Total in "Village" scene]]+Table1[[#This Row],[Total in "Castle" scene]]+Table1[[#This Row],[Total in "Dark" scene]]</f>
        <v>2</v>
      </c>
      <c r="U162" s="99">
        <f>ROUND((Table1[[#This Row],[Total in the game]]/SUM(Table1[Total in the game]))*100,1)</f>
        <v>0</v>
      </c>
      <c r="W162" s="116" t="s">
        <v>544</v>
      </c>
      <c r="X162" s="116" t="s">
        <v>342</v>
      </c>
      <c r="Y162" s="121" t="s">
        <v>342</v>
      </c>
      <c r="Z162" s="121" t="s">
        <v>342</v>
      </c>
    </row>
    <row r="163" spans="4:26" x14ac:dyDescent="0.25">
      <c r="D163" s="78" t="s">
        <v>489</v>
      </c>
      <c r="E163" s="78" t="s">
        <v>84</v>
      </c>
      <c r="F163" s="78" t="s">
        <v>510</v>
      </c>
      <c r="G163" s="103">
        <v>220</v>
      </c>
      <c r="H163" s="103">
        <v>220</v>
      </c>
      <c r="I163" s="108">
        <v>15</v>
      </c>
      <c r="J163" s="93">
        <v>50</v>
      </c>
      <c r="K163" s="93">
        <v>0</v>
      </c>
      <c r="L163" s="93">
        <v>0</v>
      </c>
      <c r="M163" s="93" t="s">
        <v>9</v>
      </c>
      <c r="N163" s="104">
        <f>COUNTIF(Table7[Spawner],Table1[[#This Row],[Spawner Prefab]])</f>
        <v>8</v>
      </c>
      <c r="O163" s="96">
        <f>ROUND((Table1[[#This Row],[Total in "Village" scene]]/SUM(Table1[Total in "Village" scene]))*100,1)</f>
        <v>0.3</v>
      </c>
      <c r="P163" s="110">
        <f>COUNTIF(Table15[Spawner],Table1[[#This Row],[Spawner Prefab]])</f>
        <v>0</v>
      </c>
      <c r="Q163" s="100">
        <f>ROUND((Table1[[#This Row],[Total in "Castle" scene]]/SUM(Table1[Total in "Castle" scene]))*100,1)</f>
        <v>0</v>
      </c>
      <c r="R163" s="105">
        <f>COUNTIF(Table20[Spawner],Table1[[#This Row],[Spawner Prefab]])</f>
        <v>0</v>
      </c>
      <c r="S163" s="97">
        <f>ROUND((Table1[[#This Row],[Total in "Dark" scene]]/SUM(Table1[Total in "Dark" scene]))*100,1)</f>
        <v>0</v>
      </c>
      <c r="T163" s="111">
        <f>Table1[[#This Row],[Total in "Village" scene]]+Table1[[#This Row],[Total in "Castle" scene]]+Table1[[#This Row],[Total in "Dark" scene]]</f>
        <v>8</v>
      </c>
      <c r="U163" s="99">
        <f>ROUND((Table1[[#This Row],[Total in the game]]/SUM(Table1[Total in the game]))*100,1)</f>
        <v>0.1</v>
      </c>
      <c r="W163" s="116" t="s">
        <v>585</v>
      </c>
      <c r="X163" s="116" t="s">
        <v>342</v>
      </c>
      <c r="Y163" s="121" t="s">
        <v>342</v>
      </c>
      <c r="Z163" s="121" t="s">
        <v>342</v>
      </c>
    </row>
    <row r="164" spans="4:26" x14ac:dyDescent="0.25">
      <c r="D164" s="78" t="s">
        <v>597</v>
      </c>
      <c r="E164" s="78" t="s">
        <v>604</v>
      </c>
      <c r="F164" s="78" t="s">
        <v>598</v>
      </c>
      <c r="G164" s="103">
        <v>120</v>
      </c>
      <c r="H164" s="103">
        <v>120</v>
      </c>
      <c r="I164" s="108">
        <v>15</v>
      </c>
      <c r="J164" s="93">
        <v>50</v>
      </c>
      <c r="K164" s="93">
        <v>0</v>
      </c>
      <c r="L164" s="93">
        <v>0</v>
      </c>
      <c r="M164" s="93" t="s">
        <v>9</v>
      </c>
      <c r="N164" s="104">
        <f>COUNTIF(Table7[Spawner],Table1[[#This Row],[Spawner Prefab]])</f>
        <v>33</v>
      </c>
      <c r="O164" s="96">
        <f>ROUND((Table1[[#This Row],[Total in "Village" scene]]/SUM(Table1[Total in "Village" scene]))*100,1)</f>
        <v>1.3</v>
      </c>
      <c r="P164" s="110">
        <f>COUNTIF(Table15[Spawner],Table1[[#This Row],[Spawner Prefab]])</f>
        <v>59</v>
      </c>
      <c r="Q164" s="100">
        <f>ROUND((Table1[[#This Row],[Total in "Castle" scene]]/SUM(Table1[Total in "Castle" scene]))*100,1)</f>
        <v>3</v>
      </c>
      <c r="R164" s="105">
        <f>COUNTIF(Table20[Spawner],Table1[[#This Row],[Spawner Prefab]])</f>
        <v>29</v>
      </c>
      <c r="S164" s="97">
        <f>ROUND((Table1[[#This Row],[Total in "Dark" scene]]/SUM(Table1[Total in "Dark" scene]))*100,1)</f>
        <v>2.9</v>
      </c>
      <c r="T164" s="111">
        <f>Table1[[#This Row],[Total in "Village" scene]]+Table1[[#This Row],[Total in "Castle" scene]]+Table1[[#This Row],[Total in "Dark" scene]]</f>
        <v>121</v>
      </c>
      <c r="U164" s="99">
        <f>ROUND((Table1[[#This Row],[Total in the game]]/SUM(Table1[Total in the game]))*100,1)</f>
        <v>2.2000000000000002</v>
      </c>
      <c r="W164" s="116" t="s">
        <v>365</v>
      </c>
      <c r="X164" s="116" t="s">
        <v>342</v>
      </c>
      <c r="Y164" s="121" t="s">
        <v>342</v>
      </c>
      <c r="Z164" s="121" t="s">
        <v>342</v>
      </c>
    </row>
    <row r="165" spans="4:26" x14ac:dyDescent="0.25">
      <c r="D165" s="78" t="s">
        <v>363</v>
      </c>
      <c r="E165" s="78" t="s">
        <v>124</v>
      </c>
      <c r="F165" s="78" t="s">
        <v>549</v>
      </c>
      <c r="G165" s="103">
        <v>300</v>
      </c>
      <c r="H165" s="103">
        <v>300</v>
      </c>
      <c r="I165" s="108">
        <v>20</v>
      </c>
      <c r="J165" s="93">
        <v>50</v>
      </c>
      <c r="K165" s="93">
        <v>0</v>
      </c>
      <c r="L165" s="93">
        <v>0</v>
      </c>
      <c r="M165" s="93">
        <v>32</v>
      </c>
      <c r="N165" s="104">
        <f>COUNTIF(Table7[Spawner],Table1[[#This Row],[Spawner Prefab]])</f>
        <v>20</v>
      </c>
      <c r="O165" s="96">
        <f>ROUND((Table1[[#This Row],[Total in "Village" scene]]/SUM(Table1[Total in "Village" scene]))*100,1)</f>
        <v>0.8</v>
      </c>
      <c r="P165" s="110">
        <f>COUNTIF(Table15[Spawner],Table1[[#This Row],[Spawner Prefab]])</f>
        <v>0</v>
      </c>
      <c r="Q165" s="100">
        <f>ROUND((Table1[[#This Row],[Total in "Castle" scene]]/SUM(Table1[Total in "Castle" scene]))*100,1)</f>
        <v>0</v>
      </c>
      <c r="R165" s="105">
        <f>COUNTIF(Table20[Spawner],Table1[[#This Row],[Spawner Prefab]])</f>
        <v>10</v>
      </c>
      <c r="S165" s="97">
        <f>ROUND((Table1[[#This Row],[Total in "Dark" scene]]/SUM(Table1[Total in "Dark" scene]))*100,1)</f>
        <v>1</v>
      </c>
      <c r="T165" s="111">
        <f>Table1[[#This Row],[Total in "Village" scene]]+Table1[[#This Row],[Total in "Castle" scene]]+Table1[[#This Row],[Total in "Dark" scene]]</f>
        <v>30</v>
      </c>
      <c r="U165" s="99">
        <f>ROUND((Table1[[#This Row],[Total in the game]]/SUM(Table1[Total in the game]))*100,1)</f>
        <v>0.6</v>
      </c>
      <c r="W165" s="116" t="s">
        <v>365</v>
      </c>
      <c r="X165" s="116" t="s">
        <v>342</v>
      </c>
      <c r="Y165" s="121" t="s">
        <v>342</v>
      </c>
      <c r="Z165" s="121" t="s">
        <v>342</v>
      </c>
    </row>
    <row r="166" spans="4:26" x14ac:dyDescent="0.25">
      <c r="D166" s="78" t="s">
        <v>414</v>
      </c>
      <c r="E166" s="78" t="s">
        <v>90</v>
      </c>
      <c r="F166" s="78" t="s">
        <v>365</v>
      </c>
      <c r="G166" s="103">
        <v>200</v>
      </c>
      <c r="H166" s="103">
        <v>200</v>
      </c>
      <c r="I166" s="108">
        <v>8</v>
      </c>
      <c r="J166" s="93">
        <v>75</v>
      </c>
      <c r="K166" s="93">
        <v>0</v>
      </c>
      <c r="L166" s="93">
        <v>0</v>
      </c>
      <c r="M166" s="93" t="s">
        <v>9</v>
      </c>
      <c r="N166" s="104">
        <f>COUNTIF(Table7[Spawner],Table1[[#This Row],[Spawner Prefab]])</f>
        <v>139</v>
      </c>
      <c r="O166" s="96">
        <f>ROUND((Table1[[#This Row],[Total in "Village" scene]]/SUM(Table1[Total in "Village" scene]))*100,1)</f>
        <v>5.6</v>
      </c>
      <c r="P166" s="110">
        <f>COUNTIF(Table15[Spawner],Table1[[#This Row],[Spawner Prefab]])</f>
        <v>17</v>
      </c>
      <c r="Q166" s="100">
        <f>ROUND((Table1[[#This Row],[Total in "Castle" scene]]/SUM(Table1[Total in "Castle" scene]))*100,1)</f>
        <v>0.9</v>
      </c>
      <c r="R166" s="105">
        <f>COUNTIF(Table20[Spawner],Table1[[#This Row],[Spawner Prefab]])</f>
        <v>0</v>
      </c>
      <c r="S166" s="97">
        <f>ROUND((Table1[[#This Row],[Total in "Dark" scene]]/SUM(Table1[Total in "Dark" scene]))*100,1)</f>
        <v>0</v>
      </c>
      <c r="T166" s="111">
        <f>Table1[[#This Row],[Total in "Village" scene]]+Table1[[#This Row],[Total in "Castle" scene]]+Table1[[#This Row],[Total in "Dark" scene]]</f>
        <v>156</v>
      </c>
      <c r="U166" s="99">
        <f>ROUND((Table1[[#This Row],[Total in the game]]/SUM(Table1[Total in the game]))*100,1)</f>
        <v>2.9</v>
      </c>
      <c r="W166" s="116" t="s">
        <v>367</v>
      </c>
      <c r="X166" s="116" t="s">
        <v>342</v>
      </c>
      <c r="Y166" s="121" t="s">
        <v>342</v>
      </c>
      <c r="Z166" s="121" t="s">
        <v>342</v>
      </c>
    </row>
    <row r="167" spans="4:26" x14ac:dyDescent="0.25">
      <c r="D167" s="78" t="s">
        <v>364</v>
      </c>
      <c r="E167" s="78" t="s">
        <v>90</v>
      </c>
      <c r="F167" s="78" t="s">
        <v>365</v>
      </c>
      <c r="G167" s="103">
        <v>200</v>
      </c>
      <c r="H167" s="103">
        <v>200</v>
      </c>
      <c r="I167" s="108">
        <v>8</v>
      </c>
      <c r="J167" s="93">
        <v>75</v>
      </c>
      <c r="K167" s="93">
        <v>0</v>
      </c>
      <c r="L167" s="93">
        <v>0</v>
      </c>
      <c r="M167" s="93" t="s">
        <v>9</v>
      </c>
      <c r="N167" s="104">
        <f>COUNTIF(Table7[Spawner],Table1[[#This Row],[Spawner Prefab]])</f>
        <v>4</v>
      </c>
      <c r="O167" s="96">
        <f>ROUND((Table1[[#This Row],[Total in "Village" scene]]/SUM(Table1[Total in "Village" scene]))*100,1)</f>
        <v>0.2</v>
      </c>
      <c r="P167" s="110">
        <f>COUNTIF(Table15[Spawner],Table1[[#This Row],[Spawner Prefab]])</f>
        <v>0</v>
      </c>
      <c r="Q167" s="100">
        <f>ROUND((Table1[[#This Row],[Total in "Castle" scene]]/SUM(Table1[Total in "Castle" scene]))*100,1)</f>
        <v>0</v>
      </c>
      <c r="R167" s="105">
        <f>COUNTIF(Table20[Spawner],Table1[[#This Row],[Spawner Prefab]])</f>
        <v>0</v>
      </c>
      <c r="S167" s="97">
        <f>ROUND((Table1[[#This Row],[Total in "Dark" scene]]/SUM(Table1[Total in "Dark" scene]))*100,1)</f>
        <v>0</v>
      </c>
      <c r="T167" s="111">
        <f>Table1[[#This Row],[Total in "Village" scene]]+Table1[[#This Row],[Total in "Castle" scene]]+Table1[[#This Row],[Total in "Dark" scene]]</f>
        <v>4</v>
      </c>
      <c r="U167" s="99">
        <f>ROUND((Table1[[#This Row],[Total in the game]]/SUM(Table1[Total in the game]))*100,1)</f>
        <v>0.1</v>
      </c>
      <c r="W167" s="116" t="s">
        <v>484</v>
      </c>
      <c r="X167" s="116" t="s">
        <v>342</v>
      </c>
      <c r="Y167" s="121" t="s">
        <v>342</v>
      </c>
      <c r="Z167" s="121" t="s">
        <v>342</v>
      </c>
    </row>
    <row r="168" spans="4:26" x14ac:dyDescent="0.25">
      <c r="D168" s="78" t="s">
        <v>366</v>
      </c>
      <c r="E168" s="78" t="s">
        <v>90</v>
      </c>
      <c r="F168" s="78" t="s">
        <v>367</v>
      </c>
      <c r="G168" s="103">
        <v>200</v>
      </c>
      <c r="H168" s="103">
        <v>200</v>
      </c>
      <c r="I168" s="108">
        <v>8</v>
      </c>
      <c r="J168" s="93">
        <v>75</v>
      </c>
      <c r="K168" s="93">
        <v>0</v>
      </c>
      <c r="L168" s="93">
        <v>0</v>
      </c>
      <c r="M168" s="93" t="s">
        <v>9</v>
      </c>
      <c r="N168" s="104">
        <f>COUNTIF(Table7[Spawner],Table1[[#This Row],[Spawner Prefab]])</f>
        <v>0</v>
      </c>
      <c r="O168" s="96">
        <f>ROUND((Table1[[#This Row],[Total in "Village" scene]]/SUM(Table1[Total in "Village" scene]))*100,1)</f>
        <v>0</v>
      </c>
      <c r="P168" s="110">
        <f>COUNTIF(Table15[Spawner],Table1[[#This Row],[Spawner Prefab]])</f>
        <v>0</v>
      </c>
      <c r="Q168" s="100">
        <f>ROUND((Table1[[#This Row],[Total in "Castle" scene]]/SUM(Table1[Total in "Castle" scene]))*100,1)</f>
        <v>0</v>
      </c>
      <c r="R168" s="105">
        <f>COUNTIF(Table20[Spawner],Table1[[#This Row],[Spawner Prefab]])</f>
        <v>0</v>
      </c>
      <c r="S168" s="97">
        <f>ROUND((Table1[[#This Row],[Total in "Dark" scene]]/SUM(Table1[Total in "Dark" scene]))*100,1)</f>
        <v>0</v>
      </c>
      <c r="T168" s="111">
        <f>Table1[[#This Row],[Total in "Village" scene]]+Table1[[#This Row],[Total in "Castle" scene]]+Table1[[#This Row],[Total in "Dark" scene]]</f>
        <v>0</v>
      </c>
      <c r="U168" s="99">
        <f>ROUND((Table1[[#This Row],[Total in the game]]/SUM(Table1[Total in the game]))*100,1)</f>
        <v>0</v>
      </c>
      <c r="W168" s="116" t="s">
        <v>484</v>
      </c>
      <c r="X168" s="116" t="s">
        <v>342</v>
      </c>
      <c r="Y168" s="121" t="s">
        <v>342</v>
      </c>
      <c r="Z168" s="121" t="s">
        <v>342</v>
      </c>
    </row>
    <row r="169" spans="4:26" x14ac:dyDescent="0.25">
      <c r="D169" s="78" t="s">
        <v>368</v>
      </c>
      <c r="E169" s="78" t="s">
        <v>90</v>
      </c>
      <c r="F169" s="78" t="s">
        <v>369</v>
      </c>
      <c r="G169" s="103">
        <v>200</v>
      </c>
      <c r="H169" s="103">
        <v>200</v>
      </c>
      <c r="I169" s="108">
        <v>8</v>
      </c>
      <c r="J169" s="93">
        <v>75</v>
      </c>
      <c r="K169" s="93">
        <v>0</v>
      </c>
      <c r="L169" s="93">
        <v>0</v>
      </c>
      <c r="M169" s="93" t="s">
        <v>9</v>
      </c>
      <c r="N169" s="104">
        <f>COUNTIF(Table7[Spawner],Table1[[#This Row],[Spawner Prefab]])</f>
        <v>1</v>
      </c>
      <c r="O169" s="96">
        <f>ROUND((Table1[[#This Row],[Total in "Village" scene]]/SUM(Table1[Total in "Village" scene]))*100,1)</f>
        <v>0</v>
      </c>
      <c r="P169" s="110">
        <f>COUNTIF(Table15[Spawner],Table1[[#This Row],[Spawner Prefab]])</f>
        <v>0</v>
      </c>
      <c r="Q169" s="100">
        <f>ROUND((Table1[[#This Row],[Total in "Castle" scene]]/SUM(Table1[Total in "Castle" scene]))*100,1)</f>
        <v>0</v>
      </c>
      <c r="R169" s="105">
        <f>COUNTIF(Table20[Spawner],Table1[[#This Row],[Spawner Prefab]])</f>
        <v>0</v>
      </c>
      <c r="S169" s="97">
        <f>ROUND((Table1[[#This Row],[Total in "Dark" scene]]/SUM(Table1[Total in "Dark" scene]))*100,1)</f>
        <v>0</v>
      </c>
      <c r="T169" s="111">
        <f>Table1[[#This Row],[Total in "Village" scene]]+Table1[[#This Row],[Total in "Castle" scene]]+Table1[[#This Row],[Total in "Dark" scene]]</f>
        <v>1</v>
      </c>
      <c r="U169" s="99">
        <f>ROUND((Table1[[#This Row],[Total in the game]]/SUM(Table1[Total in the game]))*100,1)</f>
        <v>0</v>
      </c>
      <c r="W169" s="116" t="s">
        <v>484</v>
      </c>
      <c r="X169" s="116" t="s">
        <v>342</v>
      </c>
      <c r="Y169" s="121" t="s">
        <v>342</v>
      </c>
      <c r="Z169" s="121" t="s">
        <v>342</v>
      </c>
    </row>
    <row r="170" spans="4:26" x14ac:dyDescent="0.25">
      <c r="W170" s="116" t="s">
        <v>369</v>
      </c>
      <c r="X170" s="116" t="s">
        <v>342</v>
      </c>
      <c r="Y170" s="121" t="s">
        <v>342</v>
      </c>
      <c r="Z170" s="121" t="s">
        <v>342</v>
      </c>
    </row>
  </sheetData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F2:M2719"/>
  <sheetViews>
    <sheetView topLeftCell="B1" workbookViewId="0">
      <selection activeCell="G7" sqref="G7"/>
    </sheetView>
  </sheetViews>
  <sheetFormatPr defaultRowHeight="15" x14ac:dyDescent="0.25"/>
  <cols>
    <col min="6" max="6" width="26.140625" customWidth="1"/>
    <col min="7" max="7" width="24" customWidth="1"/>
    <col min="9" max="9" width="35.7109375" customWidth="1"/>
    <col min="10" max="10" width="30.42578125" customWidth="1"/>
    <col min="12" max="12" width="34.42578125" customWidth="1"/>
    <col min="13" max="13" width="24.7109375" customWidth="1"/>
  </cols>
  <sheetData>
    <row r="2" spans="6:13" x14ac:dyDescent="0.25">
      <c r="F2" t="s">
        <v>655</v>
      </c>
    </row>
    <row r="5" spans="6:13" x14ac:dyDescent="0.25">
      <c r="F5" s="1" t="s">
        <v>1652</v>
      </c>
      <c r="I5" s="1" t="s">
        <v>1653</v>
      </c>
      <c r="L5" s="1" t="s">
        <v>4538</v>
      </c>
    </row>
    <row r="6" spans="6:13" x14ac:dyDescent="0.25">
      <c r="F6" t="s">
        <v>654</v>
      </c>
      <c r="G6" t="s">
        <v>832</v>
      </c>
      <c r="I6" t="s">
        <v>654</v>
      </c>
      <c r="J6" t="s">
        <v>832</v>
      </c>
      <c r="L6" t="s">
        <v>654</v>
      </c>
      <c r="M6" t="s">
        <v>832</v>
      </c>
    </row>
    <row r="7" spans="6:13" x14ac:dyDescent="0.25">
      <c r="F7" t="s">
        <v>770</v>
      </c>
      <c r="G7" t="s">
        <v>1333</v>
      </c>
      <c r="I7" t="s">
        <v>130</v>
      </c>
      <c r="J7" t="s">
        <v>3052</v>
      </c>
      <c r="L7" t="s">
        <v>770</v>
      </c>
      <c r="M7" t="s">
        <v>2332</v>
      </c>
    </row>
    <row r="8" spans="6:13" x14ac:dyDescent="0.25">
      <c r="F8" t="s">
        <v>508</v>
      </c>
      <c r="G8" t="s">
        <v>1011</v>
      </c>
      <c r="I8" t="s">
        <v>328</v>
      </c>
      <c r="J8" t="s">
        <v>3342</v>
      </c>
      <c r="L8" t="s">
        <v>770</v>
      </c>
      <c r="M8" t="s">
        <v>2332</v>
      </c>
    </row>
    <row r="9" spans="6:13" x14ac:dyDescent="0.25">
      <c r="F9" t="s">
        <v>743</v>
      </c>
      <c r="G9" t="s">
        <v>1198</v>
      </c>
      <c r="I9" t="s">
        <v>3897</v>
      </c>
      <c r="J9" t="s">
        <v>3898</v>
      </c>
      <c r="L9" t="s">
        <v>770</v>
      </c>
      <c r="M9" t="s">
        <v>2332</v>
      </c>
    </row>
    <row r="10" spans="6:13" x14ac:dyDescent="0.25">
      <c r="F10" t="s">
        <v>776</v>
      </c>
      <c r="G10" t="s">
        <v>1363</v>
      </c>
      <c r="I10" t="s">
        <v>328</v>
      </c>
      <c r="J10" t="s">
        <v>2588</v>
      </c>
      <c r="L10" t="s">
        <v>770</v>
      </c>
      <c r="M10" t="s">
        <v>2332</v>
      </c>
    </row>
    <row r="11" spans="6:13" x14ac:dyDescent="0.25">
      <c r="F11" t="s">
        <v>129</v>
      </c>
      <c r="G11" t="s">
        <v>1188</v>
      </c>
      <c r="I11" t="s">
        <v>566</v>
      </c>
      <c r="J11" t="s">
        <v>4194</v>
      </c>
      <c r="L11" t="s">
        <v>770</v>
      </c>
      <c r="M11" t="s">
        <v>2332</v>
      </c>
    </row>
    <row r="12" spans="6:13" x14ac:dyDescent="0.25">
      <c r="F12" t="s">
        <v>831</v>
      </c>
      <c r="G12" t="s">
        <v>1629</v>
      </c>
      <c r="I12" t="s">
        <v>770</v>
      </c>
      <c r="J12" t="s">
        <v>2332</v>
      </c>
      <c r="L12" t="s">
        <v>770</v>
      </c>
      <c r="M12" t="s">
        <v>2332</v>
      </c>
    </row>
    <row r="13" spans="6:13" x14ac:dyDescent="0.25">
      <c r="F13" t="s">
        <v>425</v>
      </c>
      <c r="G13" t="s">
        <v>1618</v>
      </c>
      <c r="I13" t="s">
        <v>770</v>
      </c>
      <c r="J13" t="s">
        <v>2332</v>
      </c>
      <c r="L13" t="s">
        <v>770</v>
      </c>
      <c r="M13" t="s">
        <v>2332</v>
      </c>
    </row>
    <row r="14" spans="6:13" x14ac:dyDescent="0.25">
      <c r="F14" t="s">
        <v>597</v>
      </c>
      <c r="G14" t="s">
        <v>1437</v>
      </c>
      <c r="I14" t="s">
        <v>770</v>
      </c>
      <c r="J14" t="s">
        <v>2332</v>
      </c>
      <c r="L14" t="s">
        <v>4861</v>
      </c>
      <c r="M14" t="s">
        <v>5115</v>
      </c>
    </row>
    <row r="15" spans="6:13" x14ac:dyDescent="0.25">
      <c r="F15" t="s">
        <v>657</v>
      </c>
      <c r="G15" t="s">
        <v>837</v>
      </c>
      <c r="I15" t="s">
        <v>770</v>
      </c>
      <c r="J15" t="s">
        <v>2332</v>
      </c>
      <c r="L15" t="s">
        <v>483</v>
      </c>
      <c r="M15" t="s">
        <v>5881</v>
      </c>
    </row>
    <row r="16" spans="6:13" x14ac:dyDescent="0.25">
      <c r="F16" t="s">
        <v>688</v>
      </c>
      <c r="G16" t="s">
        <v>948</v>
      </c>
      <c r="I16" t="s">
        <v>770</v>
      </c>
      <c r="J16" t="s">
        <v>2332</v>
      </c>
      <c r="L16" t="s">
        <v>485</v>
      </c>
      <c r="M16" t="s">
        <v>5801</v>
      </c>
    </row>
    <row r="17" spans="6:13" x14ac:dyDescent="0.25">
      <c r="F17" t="s">
        <v>40</v>
      </c>
      <c r="G17" t="s">
        <v>1624</v>
      </c>
      <c r="I17" t="s">
        <v>770</v>
      </c>
      <c r="J17" t="s">
        <v>2332</v>
      </c>
      <c r="L17" t="s">
        <v>5932</v>
      </c>
      <c r="M17" t="s">
        <v>5933</v>
      </c>
    </row>
    <row r="18" spans="6:13" x14ac:dyDescent="0.25">
      <c r="F18" t="s">
        <v>302</v>
      </c>
      <c r="G18" t="s">
        <v>1259</v>
      </c>
      <c r="I18" t="s">
        <v>770</v>
      </c>
      <c r="J18" t="s">
        <v>2332</v>
      </c>
      <c r="L18" t="s">
        <v>483</v>
      </c>
      <c r="M18" t="s">
        <v>6370</v>
      </c>
    </row>
    <row r="19" spans="6:13" x14ac:dyDescent="0.25">
      <c r="F19" t="s">
        <v>699</v>
      </c>
      <c r="G19" t="s">
        <v>993</v>
      </c>
      <c r="I19" t="s">
        <v>770</v>
      </c>
      <c r="J19" t="s">
        <v>2332</v>
      </c>
      <c r="L19" t="s">
        <v>483</v>
      </c>
      <c r="M19" t="s">
        <v>4822</v>
      </c>
    </row>
    <row r="20" spans="6:13" x14ac:dyDescent="0.25">
      <c r="F20" t="s">
        <v>701</v>
      </c>
      <c r="G20" t="s">
        <v>1004</v>
      </c>
      <c r="I20" t="s">
        <v>770</v>
      </c>
      <c r="J20" t="s">
        <v>2332</v>
      </c>
      <c r="L20" t="s">
        <v>41</v>
      </c>
      <c r="M20" t="s">
        <v>6219</v>
      </c>
    </row>
    <row r="21" spans="6:13" x14ac:dyDescent="0.25">
      <c r="F21" t="s">
        <v>651</v>
      </c>
      <c r="G21" t="s">
        <v>1647</v>
      </c>
      <c r="I21" t="s">
        <v>770</v>
      </c>
      <c r="J21" t="s">
        <v>2332</v>
      </c>
      <c r="L21" t="s">
        <v>26</v>
      </c>
      <c r="M21" t="s">
        <v>4973</v>
      </c>
    </row>
    <row r="22" spans="6:13" x14ac:dyDescent="0.25">
      <c r="F22" t="s">
        <v>729</v>
      </c>
      <c r="G22" t="s">
        <v>1127</v>
      </c>
      <c r="I22" t="s">
        <v>770</v>
      </c>
      <c r="J22" t="s">
        <v>2332</v>
      </c>
      <c r="L22" t="s">
        <v>483</v>
      </c>
      <c r="M22" t="s">
        <v>6140</v>
      </c>
    </row>
    <row r="23" spans="6:13" x14ac:dyDescent="0.25">
      <c r="F23" t="s">
        <v>589</v>
      </c>
      <c r="G23" t="s">
        <v>1597</v>
      </c>
      <c r="I23" t="s">
        <v>770</v>
      </c>
      <c r="J23" t="s">
        <v>2332</v>
      </c>
      <c r="L23" t="s">
        <v>483</v>
      </c>
      <c r="M23" t="s">
        <v>5565</v>
      </c>
    </row>
    <row r="24" spans="6:13" x14ac:dyDescent="0.25">
      <c r="F24" t="s">
        <v>425</v>
      </c>
      <c r="G24" t="s">
        <v>1184</v>
      </c>
      <c r="I24" t="s">
        <v>770</v>
      </c>
      <c r="J24" t="s">
        <v>2332</v>
      </c>
      <c r="L24" t="s">
        <v>45</v>
      </c>
      <c r="M24" t="s">
        <v>5671</v>
      </c>
    </row>
    <row r="25" spans="6:13" x14ac:dyDescent="0.25">
      <c r="F25" t="s">
        <v>302</v>
      </c>
      <c r="G25" t="s">
        <v>923</v>
      </c>
      <c r="I25" t="s">
        <v>770</v>
      </c>
      <c r="J25" t="s">
        <v>2332</v>
      </c>
      <c r="L25" t="s">
        <v>6264</v>
      </c>
      <c r="M25" t="s">
        <v>6265</v>
      </c>
    </row>
    <row r="26" spans="6:13" x14ac:dyDescent="0.25">
      <c r="F26" t="s">
        <v>6626</v>
      </c>
      <c r="G26" t="s">
        <v>1582</v>
      </c>
      <c r="I26" t="s">
        <v>770</v>
      </c>
      <c r="J26" t="s">
        <v>2332</v>
      </c>
      <c r="L26" t="s">
        <v>4934</v>
      </c>
      <c r="M26" t="s">
        <v>4935</v>
      </c>
    </row>
    <row r="27" spans="6:13" x14ac:dyDescent="0.25">
      <c r="F27" t="s">
        <v>425</v>
      </c>
      <c r="G27" t="s">
        <v>1560</v>
      </c>
      <c r="I27" t="s">
        <v>770</v>
      </c>
      <c r="J27" t="s">
        <v>2332</v>
      </c>
      <c r="L27" t="s">
        <v>5332</v>
      </c>
      <c r="M27" t="s">
        <v>5333</v>
      </c>
    </row>
    <row r="28" spans="6:13" x14ac:dyDescent="0.25">
      <c r="F28" t="s">
        <v>597</v>
      </c>
      <c r="G28" t="s">
        <v>1309</v>
      </c>
      <c r="I28" t="s">
        <v>770</v>
      </c>
      <c r="J28" t="s">
        <v>2332</v>
      </c>
      <c r="L28" t="s">
        <v>45</v>
      </c>
      <c r="M28" t="s">
        <v>5665</v>
      </c>
    </row>
    <row r="29" spans="6:13" x14ac:dyDescent="0.25">
      <c r="F29" t="s">
        <v>754</v>
      </c>
      <c r="G29" t="s">
        <v>1253</v>
      </c>
      <c r="I29" t="s">
        <v>770</v>
      </c>
      <c r="J29" t="s">
        <v>2332</v>
      </c>
      <c r="L29" t="s">
        <v>328</v>
      </c>
      <c r="M29" t="s">
        <v>6599</v>
      </c>
    </row>
    <row r="30" spans="6:13" x14ac:dyDescent="0.25">
      <c r="F30" t="s">
        <v>302</v>
      </c>
      <c r="G30" t="s">
        <v>1086</v>
      </c>
      <c r="I30" t="s">
        <v>770</v>
      </c>
      <c r="J30" t="s">
        <v>2332</v>
      </c>
      <c r="L30" t="s">
        <v>5739</v>
      </c>
      <c r="M30" t="s">
        <v>5740</v>
      </c>
    </row>
    <row r="31" spans="6:13" x14ac:dyDescent="0.25">
      <c r="F31" t="s">
        <v>720</v>
      </c>
      <c r="G31" t="s">
        <v>1401</v>
      </c>
      <c r="I31" t="s">
        <v>770</v>
      </c>
      <c r="J31" t="s">
        <v>2332</v>
      </c>
      <c r="L31" t="s">
        <v>41</v>
      </c>
      <c r="M31" t="s">
        <v>5128</v>
      </c>
    </row>
    <row r="32" spans="6:13" x14ac:dyDescent="0.25">
      <c r="F32" t="s">
        <v>425</v>
      </c>
      <c r="G32" t="s">
        <v>1038</v>
      </c>
      <c r="I32" t="s">
        <v>770</v>
      </c>
      <c r="J32" t="s">
        <v>2332</v>
      </c>
      <c r="L32" t="s">
        <v>4767</v>
      </c>
      <c r="M32" t="s">
        <v>4768</v>
      </c>
    </row>
    <row r="33" spans="6:13" x14ac:dyDescent="0.25">
      <c r="F33" t="s">
        <v>6626</v>
      </c>
      <c r="G33" t="s">
        <v>1442</v>
      </c>
      <c r="I33" t="s">
        <v>770</v>
      </c>
      <c r="J33" t="s">
        <v>2332</v>
      </c>
      <c r="L33" t="s">
        <v>6096</v>
      </c>
      <c r="M33" t="s">
        <v>6097</v>
      </c>
    </row>
    <row r="34" spans="6:13" x14ac:dyDescent="0.25">
      <c r="F34" t="s">
        <v>425</v>
      </c>
      <c r="G34" t="s">
        <v>1584</v>
      </c>
      <c r="I34" t="s">
        <v>770</v>
      </c>
      <c r="J34" t="s">
        <v>2332</v>
      </c>
      <c r="L34" t="s">
        <v>731</v>
      </c>
      <c r="M34" t="s">
        <v>7222</v>
      </c>
    </row>
    <row r="35" spans="6:13" x14ac:dyDescent="0.25">
      <c r="F35" t="s">
        <v>508</v>
      </c>
      <c r="G35" t="s">
        <v>1252</v>
      </c>
      <c r="I35" t="s">
        <v>770</v>
      </c>
      <c r="J35" t="s">
        <v>2332</v>
      </c>
      <c r="L35" t="s">
        <v>6626</v>
      </c>
      <c r="M35" t="s">
        <v>5700</v>
      </c>
    </row>
    <row r="36" spans="6:13" x14ac:dyDescent="0.25">
      <c r="F36" t="s">
        <v>302</v>
      </c>
      <c r="G36" t="s">
        <v>862</v>
      </c>
      <c r="I36" t="s">
        <v>770</v>
      </c>
      <c r="J36" t="s">
        <v>2332</v>
      </c>
      <c r="L36" t="s">
        <v>731</v>
      </c>
      <c r="M36" t="s">
        <v>7211</v>
      </c>
    </row>
    <row r="37" spans="6:13" x14ac:dyDescent="0.25">
      <c r="F37" t="s">
        <v>600</v>
      </c>
      <c r="G37" t="s">
        <v>1006</v>
      </c>
      <c r="I37" t="s">
        <v>770</v>
      </c>
      <c r="J37" t="s">
        <v>2332</v>
      </c>
      <c r="L37" t="s">
        <v>483</v>
      </c>
      <c r="M37" t="s">
        <v>5811</v>
      </c>
    </row>
    <row r="38" spans="6:13" x14ac:dyDescent="0.25">
      <c r="F38" t="s">
        <v>302</v>
      </c>
      <c r="G38" t="s">
        <v>1377</v>
      </c>
      <c r="I38" t="s">
        <v>770</v>
      </c>
      <c r="J38" t="s">
        <v>2332</v>
      </c>
      <c r="L38" t="s">
        <v>483</v>
      </c>
      <c r="M38" t="s">
        <v>5170</v>
      </c>
    </row>
    <row r="39" spans="6:13" x14ac:dyDescent="0.25">
      <c r="F39" t="s">
        <v>800</v>
      </c>
      <c r="G39" t="s">
        <v>1455</v>
      </c>
      <c r="I39" t="s">
        <v>770</v>
      </c>
      <c r="J39" t="s">
        <v>2332</v>
      </c>
      <c r="L39" t="s">
        <v>328</v>
      </c>
      <c r="M39" t="s">
        <v>6037</v>
      </c>
    </row>
    <row r="40" spans="6:13" x14ac:dyDescent="0.25">
      <c r="F40" t="s">
        <v>589</v>
      </c>
      <c r="G40" t="s">
        <v>1130</v>
      </c>
      <c r="I40" t="s">
        <v>770</v>
      </c>
      <c r="J40" t="s">
        <v>2332</v>
      </c>
      <c r="L40" t="s">
        <v>486</v>
      </c>
      <c r="M40" t="s">
        <v>4607</v>
      </c>
    </row>
    <row r="41" spans="6:13" x14ac:dyDescent="0.25">
      <c r="F41" t="s">
        <v>326</v>
      </c>
      <c r="G41" t="s">
        <v>1380</v>
      </c>
      <c r="I41" t="s">
        <v>770</v>
      </c>
      <c r="J41" t="s">
        <v>2332</v>
      </c>
      <c r="L41" t="s">
        <v>5358</v>
      </c>
      <c r="M41" t="s">
        <v>5359</v>
      </c>
    </row>
    <row r="42" spans="6:13" x14ac:dyDescent="0.25">
      <c r="F42" t="s">
        <v>425</v>
      </c>
      <c r="G42" t="s">
        <v>978</v>
      </c>
      <c r="I42" t="s">
        <v>770</v>
      </c>
      <c r="J42" t="s">
        <v>2332</v>
      </c>
      <c r="L42" t="s">
        <v>804</v>
      </c>
      <c r="M42" t="s">
        <v>7081</v>
      </c>
    </row>
    <row r="43" spans="6:13" x14ac:dyDescent="0.25">
      <c r="F43" t="s">
        <v>508</v>
      </c>
      <c r="G43" t="s">
        <v>1211</v>
      </c>
      <c r="I43" t="s">
        <v>770</v>
      </c>
      <c r="J43" t="s">
        <v>2332</v>
      </c>
      <c r="L43" t="s">
        <v>804</v>
      </c>
      <c r="M43" t="s">
        <v>5089</v>
      </c>
    </row>
    <row r="44" spans="6:13" x14ac:dyDescent="0.25">
      <c r="F44" t="s">
        <v>302</v>
      </c>
      <c r="G44" t="s">
        <v>1478</v>
      </c>
      <c r="I44" t="s">
        <v>770</v>
      </c>
      <c r="J44" t="s">
        <v>2332</v>
      </c>
      <c r="L44" t="s">
        <v>130</v>
      </c>
      <c r="M44" t="s">
        <v>5796</v>
      </c>
    </row>
    <row r="45" spans="6:13" x14ac:dyDescent="0.25">
      <c r="F45" t="s">
        <v>420</v>
      </c>
      <c r="G45" t="s">
        <v>865</v>
      </c>
      <c r="I45" t="s">
        <v>770</v>
      </c>
      <c r="J45" t="s">
        <v>2332</v>
      </c>
      <c r="L45" t="s">
        <v>483</v>
      </c>
      <c r="M45" t="s">
        <v>4646</v>
      </c>
    </row>
    <row r="46" spans="6:13" x14ac:dyDescent="0.25">
      <c r="F46" t="s">
        <v>425</v>
      </c>
      <c r="G46" t="s">
        <v>1312</v>
      </c>
      <c r="I46" t="s">
        <v>770</v>
      </c>
      <c r="J46" t="s">
        <v>2332</v>
      </c>
      <c r="L46" t="s">
        <v>4674</v>
      </c>
      <c r="M46" t="s">
        <v>5184</v>
      </c>
    </row>
    <row r="47" spans="6:13" x14ac:dyDescent="0.25">
      <c r="F47" t="s">
        <v>716</v>
      </c>
      <c r="G47" t="s">
        <v>1063</v>
      </c>
      <c r="I47" t="s">
        <v>770</v>
      </c>
      <c r="J47" t="s">
        <v>2332</v>
      </c>
      <c r="L47" t="s">
        <v>804</v>
      </c>
      <c r="M47" t="s">
        <v>7124</v>
      </c>
    </row>
    <row r="48" spans="6:13" x14ac:dyDescent="0.25">
      <c r="F48" t="s">
        <v>302</v>
      </c>
      <c r="G48" t="s">
        <v>1243</v>
      </c>
      <c r="I48" t="s">
        <v>770</v>
      </c>
      <c r="J48" t="s">
        <v>2332</v>
      </c>
      <c r="L48" t="s">
        <v>804</v>
      </c>
      <c r="M48" t="s">
        <v>7011</v>
      </c>
    </row>
    <row r="49" spans="6:13" x14ac:dyDescent="0.25">
      <c r="F49" t="s">
        <v>422</v>
      </c>
      <c r="G49" t="s">
        <v>1255</v>
      </c>
      <c r="I49" t="s">
        <v>770</v>
      </c>
      <c r="J49" t="s">
        <v>2332</v>
      </c>
      <c r="L49" t="s">
        <v>486</v>
      </c>
      <c r="M49" t="s">
        <v>6491</v>
      </c>
    </row>
    <row r="50" spans="6:13" x14ac:dyDescent="0.25">
      <c r="F50" t="s">
        <v>102</v>
      </c>
      <c r="G50" t="s">
        <v>1565</v>
      </c>
      <c r="I50" t="s">
        <v>770</v>
      </c>
      <c r="J50" t="s">
        <v>2332</v>
      </c>
      <c r="L50" t="s">
        <v>130</v>
      </c>
      <c r="M50" t="s">
        <v>4785</v>
      </c>
    </row>
    <row r="51" spans="6:13" x14ac:dyDescent="0.25">
      <c r="F51" t="s">
        <v>508</v>
      </c>
      <c r="G51" t="s">
        <v>850</v>
      </c>
      <c r="I51" t="s">
        <v>291</v>
      </c>
      <c r="J51" t="s">
        <v>4200</v>
      </c>
      <c r="L51" t="s">
        <v>4674</v>
      </c>
      <c r="M51" t="s">
        <v>4675</v>
      </c>
    </row>
    <row r="52" spans="6:13" x14ac:dyDescent="0.25">
      <c r="F52" t="s">
        <v>508</v>
      </c>
      <c r="G52" t="s">
        <v>1640</v>
      </c>
      <c r="I52" t="s">
        <v>328</v>
      </c>
      <c r="J52" t="s">
        <v>3974</v>
      </c>
      <c r="L52" t="s">
        <v>129</v>
      </c>
      <c r="M52" t="s">
        <v>4586</v>
      </c>
    </row>
    <row r="53" spans="6:13" x14ac:dyDescent="0.25">
      <c r="F53" t="s">
        <v>638</v>
      </c>
      <c r="G53" t="s">
        <v>889</v>
      </c>
      <c r="I53" t="s">
        <v>3222</v>
      </c>
      <c r="J53" t="s">
        <v>3223</v>
      </c>
      <c r="L53" t="s">
        <v>302</v>
      </c>
      <c r="M53" t="s">
        <v>7262</v>
      </c>
    </row>
    <row r="54" spans="6:13" x14ac:dyDescent="0.25">
      <c r="F54" t="s">
        <v>373</v>
      </c>
      <c r="G54" t="s">
        <v>1366</v>
      </c>
      <c r="I54" t="s">
        <v>267</v>
      </c>
      <c r="J54" t="s">
        <v>4234</v>
      </c>
      <c r="L54" t="s">
        <v>4674</v>
      </c>
      <c r="M54" t="s">
        <v>5779</v>
      </c>
    </row>
    <row r="55" spans="6:13" x14ac:dyDescent="0.25">
      <c r="F55" t="s">
        <v>597</v>
      </c>
      <c r="G55" t="s">
        <v>1554</v>
      </c>
      <c r="I55" t="s">
        <v>3978</v>
      </c>
      <c r="J55" t="s">
        <v>3979</v>
      </c>
      <c r="L55" t="s">
        <v>330</v>
      </c>
      <c r="M55" t="s">
        <v>4752</v>
      </c>
    </row>
    <row r="56" spans="6:13" x14ac:dyDescent="0.25">
      <c r="F56" t="s">
        <v>434</v>
      </c>
      <c r="G56" t="s">
        <v>933</v>
      </c>
      <c r="I56" t="s">
        <v>269</v>
      </c>
      <c r="J56" t="s">
        <v>2722</v>
      </c>
      <c r="L56" t="s">
        <v>4674</v>
      </c>
      <c r="M56" t="s">
        <v>4867</v>
      </c>
    </row>
    <row r="57" spans="6:13" x14ac:dyDescent="0.25">
      <c r="F57" t="s">
        <v>728</v>
      </c>
      <c r="G57" t="s">
        <v>1123</v>
      </c>
      <c r="I57" t="s">
        <v>267</v>
      </c>
      <c r="J57" t="s">
        <v>1914</v>
      </c>
      <c r="L57" t="s">
        <v>4904</v>
      </c>
      <c r="M57" t="s">
        <v>4905</v>
      </c>
    </row>
    <row r="58" spans="6:13" x14ac:dyDescent="0.25">
      <c r="F58" t="s">
        <v>102</v>
      </c>
      <c r="G58" t="s">
        <v>1070</v>
      </c>
      <c r="I58" t="s">
        <v>3773</v>
      </c>
      <c r="J58" t="s">
        <v>3774</v>
      </c>
      <c r="L58" t="s">
        <v>4856</v>
      </c>
      <c r="M58" t="s">
        <v>4857</v>
      </c>
    </row>
    <row r="59" spans="6:13" x14ac:dyDescent="0.25">
      <c r="F59" t="s">
        <v>597</v>
      </c>
      <c r="G59" t="s">
        <v>1148</v>
      </c>
      <c r="I59" t="s">
        <v>269</v>
      </c>
      <c r="J59" t="s">
        <v>4184</v>
      </c>
      <c r="L59" t="s">
        <v>483</v>
      </c>
      <c r="M59" t="s">
        <v>6478</v>
      </c>
    </row>
    <row r="60" spans="6:13" x14ac:dyDescent="0.25">
      <c r="F60" t="s">
        <v>638</v>
      </c>
      <c r="G60" t="s">
        <v>1035</v>
      </c>
      <c r="I60" t="s">
        <v>6813</v>
      </c>
      <c r="J60" t="s">
        <v>3813</v>
      </c>
      <c r="L60" t="s">
        <v>804</v>
      </c>
      <c r="M60" t="s">
        <v>5243</v>
      </c>
    </row>
    <row r="61" spans="6:13" x14ac:dyDescent="0.25">
      <c r="F61" t="s">
        <v>328</v>
      </c>
      <c r="G61" t="s">
        <v>1467</v>
      </c>
      <c r="I61" t="s">
        <v>1689</v>
      </c>
      <c r="J61" t="s">
        <v>3366</v>
      </c>
      <c r="L61" t="s">
        <v>302</v>
      </c>
      <c r="M61" t="s">
        <v>7052</v>
      </c>
    </row>
    <row r="62" spans="6:13" x14ac:dyDescent="0.25">
      <c r="F62" t="s">
        <v>595</v>
      </c>
      <c r="G62" t="s">
        <v>1094</v>
      </c>
      <c r="I62" t="s">
        <v>425</v>
      </c>
      <c r="J62" t="s">
        <v>3368</v>
      </c>
      <c r="L62" t="s">
        <v>5661</v>
      </c>
      <c r="M62" t="s">
        <v>5662</v>
      </c>
    </row>
    <row r="63" spans="6:13" x14ac:dyDescent="0.25">
      <c r="F63" t="s">
        <v>589</v>
      </c>
      <c r="G63" t="s">
        <v>1435</v>
      </c>
      <c r="I63" t="s">
        <v>1689</v>
      </c>
      <c r="J63" t="s">
        <v>3662</v>
      </c>
      <c r="L63" t="s">
        <v>486</v>
      </c>
      <c r="M63" t="s">
        <v>5349</v>
      </c>
    </row>
    <row r="64" spans="6:13" x14ac:dyDescent="0.25">
      <c r="F64" t="s">
        <v>595</v>
      </c>
      <c r="G64" t="s">
        <v>886</v>
      </c>
      <c r="I64" t="s">
        <v>267</v>
      </c>
      <c r="J64" t="s">
        <v>2009</v>
      </c>
      <c r="L64" t="s">
        <v>4674</v>
      </c>
      <c r="M64" t="s">
        <v>6293</v>
      </c>
    </row>
    <row r="65" spans="6:13" x14ac:dyDescent="0.25">
      <c r="F65" t="s">
        <v>592</v>
      </c>
      <c r="G65" t="s">
        <v>869</v>
      </c>
      <c r="I65" t="s">
        <v>1689</v>
      </c>
      <c r="J65" t="s">
        <v>2970</v>
      </c>
      <c r="L65" t="s">
        <v>5711</v>
      </c>
      <c r="M65" t="s">
        <v>5712</v>
      </c>
    </row>
    <row r="66" spans="6:13" x14ac:dyDescent="0.25">
      <c r="F66" t="s">
        <v>597</v>
      </c>
      <c r="G66" t="s">
        <v>1174</v>
      </c>
      <c r="I66" t="s">
        <v>328</v>
      </c>
      <c r="J66" t="s">
        <v>3830</v>
      </c>
      <c r="L66" t="s">
        <v>483</v>
      </c>
      <c r="M66" t="s">
        <v>6489</v>
      </c>
    </row>
    <row r="67" spans="6:13" x14ac:dyDescent="0.25">
      <c r="F67" t="s">
        <v>696</v>
      </c>
      <c r="G67" t="s">
        <v>975</v>
      </c>
      <c r="I67" t="s">
        <v>41</v>
      </c>
      <c r="J67" t="s">
        <v>6972</v>
      </c>
      <c r="L67" t="s">
        <v>4674</v>
      </c>
      <c r="M67" t="s">
        <v>5632</v>
      </c>
    </row>
    <row r="68" spans="6:13" x14ac:dyDescent="0.25">
      <c r="F68" t="s">
        <v>44</v>
      </c>
      <c r="G68" t="s">
        <v>863</v>
      </c>
      <c r="I68" t="s">
        <v>289</v>
      </c>
      <c r="J68" t="s">
        <v>3080</v>
      </c>
      <c r="L68" t="s">
        <v>302</v>
      </c>
      <c r="M68" t="s">
        <v>6169</v>
      </c>
    </row>
    <row r="69" spans="6:13" x14ac:dyDescent="0.25">
      <c r="F69" t="s">
        <v>696</v>
      </c>
      <c r="G69" t="s">
        <v>1508</v>
      </c>
      <c r="I69" t="s">
        <v>267</v>
      </c>
      <c r="J69" t="s">
        <v>2155</v>
      </c>
      <c r="L69" t="s">
        <v>330</v>
      </c>
      <c r="M69" t="s">
        <v>5703</v>
      </c>
    </row>
    <row r="70" spans="6:13" x14ac:dyDescent="0.25">
      <c r="F70" t="s">
        <v>702</v>
      </c>
      <c r="G70" t="s">
        <v>1009</v>
      </c>
      <c r="I70" t="s">
        <v>414</v>
      </c>
      <c r="J70" t="s">
        <v>3374</v>
      </c>
      <c r="L70" t="s">
        <v>330</v>
      </c>
      <c r="M70" t="s">
        <v>5351</v>
      </c>
    </row>
    <row r="71" spans="6:13" x14ac:dyDescent="0.25">
      <c r="F71" t="s">
        <v>702</v>
      </c>
      <c r="G71" t="s">
        <v>1350</v>
      </c>
      <c r="I71" t="s">
        <v>3897</v>
      </c>
      <c r="J71" t="s">
        <v>4508</v>
      </c>
      <c r="L71" t="s">
        <v>5608</v>
      </c>
      <c r="M71" t="s">
        <v>5609</v>
      </c>
    </row>
    <row r="72" spans="6:13" x14ac:dyDescent="0.25">
      <c r="F72" t="s">
        <v>696</v>
      </c>
      <c r="G72" t="s">
        <v>1165</v>
      </c>
      <c r="I72" t="s">
        <v>414</v>
      </c>
      <c r="J72" t="s">
        <v>4384</v>
      </c>
      <c r="L72" t="s">
        <v>330</v>
      </c>
      <c r="M72" t="s">
        <v>5802</v>
      </c>
    </row>
    <row r="73" spans="6:13" x14ac:dyDescent="0.25">
      <c r="F73" t="s">
        <v>597</v>
      </c>
      <c r="G73" t="s">
        <v>835</v>
      </c>
      <c r="I73" t="s">
        <v>291</v>
      </c>
      <c r="J73" t="s">
        <v>2839</v>
      </c>
      <c r="L73" t="s">
        <v>5011</v>
      </c>
      <c r="M73" t="s">
        <v>5012</v>
      </c>
    </row>
    <row r="74" spans="6:13" x14ac:dyDescent="0.25">
      <c r="F74" t="s">
        <v>713</v>
      </c>
      <c r="G74" t="s">
        <v>1559</v>
      </c>
      <c r="I74" t="s">
        <v>289</v>
      </c>
      <c r="J74" t="s">
        <v>2937</v>
      </c>
      <c r="L74" t="s">
        <v>302</v>
      </c>
      <c r="M74" t="s">
        <v>7091</v>
      </c>
    </row>
    <row r="75" spans="6:13" x14ac:dyDescent="0.25">
      <c r="F75" t="s">
        <v>324</v>
      </c>
      <c r="G75" t="s">
        <v>1590</v>
      </c>
      <c r="I75" t="s">
        <v>1689</v>
      </c>
      <c r="J75" t="s">
        <v>2566</v>
      </c>
      <c r="L75" t="s">
        <v>4904</v>
      </c>
      <c r="M75" t="s">
        <v>5426</v>
      </c>
    </row>
    <row r="76" spans="6:13" x14ac:dyDescent="0.25">
      <c r="F76" t="s">
        <v>44</v>
      </c>
      <c r="G76" t="s">
        <v>1362</v>
      </c>
      <c r="I76" t="s">
        <v>289</v>
      </c>
      <c r="J76" t="s">
        <v>3552</v>
      </c>
      <c r="L76" t="s">
        <v>4904</v>
      </c>
      <c r="M76" t="s">
        <v>5750</v>
      </c>
    </row>
    <row r="77" spans="6:13" x14ac:dyDescent="0.25">
      <c r="F77" t="s">
        <v>44</v>
      </c>
      <c r="G77" t="s">
        <v>1444</v>
      </c>
      <c r="I77" t="s">
        <v>1777</v>
      </c>
      <c r="J77" t="s">
        <v>2866</v>
      </c>
      <c r="L77" t="s">
        <v>4614</v>
      </c>
      <c r="M77" t="s">
        <v>7010</v>
      </c>
    </row>
    <row r="78" spans="6:13" x14ac:dyDescent="0.25">
      <c r="F78" t="s">
        <v>102</v>
      </c>
      <c r="G78" t="s">
        <v>1523</v>
      </c>
      <c r="I78" t="s">
        <v>291</v>
      </c>
      <c r="J78" t="s">
        <v>2837</v>
      </c>
      <c r="L78" t="s">
        <v>5469</v>
      </c>
      <c r="M78" t="s">
        <v>5470</v>
      </c>
    </row>
    <row r="79" spans="6:13" x14ac:dyDescent="0.25">
      <c r="F79" t="s">
        <v>828</v>
      </c>
      <c r="G79" t="s">
        <v>1610</v>
      </c>
      <c r="I79" t="s">
        <v>425</v>
      </c>
      <c r="J79" t="s">
        <v>4481</v>
      </c>
      <c r="L79" t="s">
        <v>731</v>
      </c>
      <c r="M79" t="s">
        <v>7089</v>
      </c>
    </row>
    <row r="80" spans="6:13" x14ac:dyDescent="0.25">
      <c r="F80" t="s">
        <v>595</v>
      </c>
      <c r="G80" t="s">
        <v>1558</v>
      </c>
      <c r="I80" t="s">
        <v>3685</v>
      </c>
      <c r="J80" t="s">
        <v>4400</v>
      </c>
      <c r="L80" t="s">
        <v>5854</v>
      </c>
      <c r="M80" t="s">
        <v>5855</v>
      </c>
    </row>
    <row r="81" spans="6:13" x14ac:dyDescent="0.25">
      <c r="F81" t="s">
        <v>589</v>
      </c>
      <c r="G81" t="s">
        <v>1291</v>
      </c>
      <c r="I81" t="s">
        <v>1689</v>
      </c>
      <c r="J81" t="s">
        <v>1690</v>
      </c>
      <c r="L81" t="s">
        <v>4713</v>
      </c>
      <c r="M81" t="s">
        <v>4714</v>
      </c>
    </row>
    <row r="82" spans="6:13" x14ac:dyDescent="0.25">
      <c r="F82" t="s">
        <v>592</v>
      </c>
      <c r="G82" t="s">
        <v>1594</v>
      </c>
      <c r="I82" t="s">
        <v>328</v>
      </c>
      <c r="J82" t="s">
        <v>4025</v>
      </c>
      <c r="L82" t="s">
        <v>731</v>
      </c>
      <c r="M82" t="s">
        <v>7213</v>
      </c>
    </row>
    <row r="83" spans="6:13" x14ac:dyDescent="0.25">
      <c r="F83" t="s">
        <v>592</v>
      </c>
      <c r="G83" t="s">
        <v>1617</v>
      </c>
      <c r="I83" t="s">
        <v>355</v>
      </c>
      <c r="J83" t="s">
        <v>3525</v>
      </c>
      <c r="L83" t="s">
        <v>805</v>
      </c>
      <c r="M83" t="s">
        <v>6494</v>
      </c>
    </row>
    <row r="84" spans="6:13" x14ac:dyDescent="0.25">
      <c r="F84" t="s">
        <v>597</v>
      </c>
      <c r="G84" t="s">
        <v>1430</v>
      </c>
      <c r="I84" t="s">
        <v>1888</v>
      </c>
      <c r="J84" t="s">
        <v>2764</v>
      </c>
      <c r="L84" t="s">
        <v>5784</v>
      </c>
      <c r="M84" t="s">
        <v>5785</v>
      </c>
    </row>
    <row r="85" spans="6:13" x14ac:dyDescent="0.25">
      <c r="F85" t="s">
        <v>638</v>
      </c>
      <c r="G85" t="s">
        <v>1613</v>
      </c>
      <c r="I85" t="s">
        <v>97</v>
      </c>
      <c r="J85" t="s">
        <v>2113</v>
      </c>
      <c r="L85" t="s">
        <v>5126</v>
      </c>
      <c r="M85" t="s">
        <v>5127</v>
      </c>
    </row>
    <row r="86" spans="6:13" x14ac:dyDescent="0.25">
      <c r="F86" t="s">
        <v>102</v>
      </c>
      <c r="G86" t="s">
        <v>1284</v>
      </c>
      <c r="I86" t="s">
        <v>51</v>
      </c>
      <c r="J86" t="s">
        <v>6931</v>
      </c>
      <c r="L86" t="s">
        <v>474</v>
      </c>
      <c r="M86" t="s">
        <v>6291</v>
      </c>
    </row>
    <row r="87" spans="6:13" x14ac:dyDescent="0.25">
      <c r="F87" t="s">
        <v>755</v>
      </c>
      <c r="G87" t="s">
        <v>1257</v>
      </c>
      <c r="I87" t="s">
        <v>425</v>
      </c>
      <c r="J87" t="s">
        <v>1760</v>
      </c>
      <c r="L87" t="s">
        <v>330</v>
      </c>
      <c r="M87" t="s">
        <v>6410</v>
      </c>
    </row>
    <row r="88" spans="6:13" x14ac:dyDescent="0.25">
      <c r="F88" t="s">
        <v>638</v>
      </c>
      <c r="G88" t="s">
        <v>1374</v>
      </c>
      <c r="I88" t="s">
        <v>289</v>
      </c>
      <c r="J88" t="s">
        <v>2121</v>
      </c>
      <c r="L88" t="s">
        <v>4691</v>
      </c>
      <c r="M88" t="s">
        <v>4868</v>
      </c>
    </row>
    <row r="89" spans="6:13" x14ac:dyDescent="0.25">
      <c r="F89" t="s">
        <v>592</v>
      </c>
      <c r="G89" t="s">
        <v>1424</v>
      </c>
      <c r="I89" t="s">
        <v>2916</v>
      </c>
      <c r="J89" t="s">
        <v>2917</v>
      </c>
      <c r="L89" t="s">
        <v>6245</v>
      </c>
      <c r="M89" t="s">
        <v>6246</v>
      </c>
    </row>
    <row r="90" spans="6:13" x14ac:dyDescent="0.25">
      <c r="F90" t="s">
        <v>589</v>
      </c>
      <c r="G90" t="s">
        <v>946</v>
      </c>
      <c r="I90" t="s">
        <v>266</v>
      </c>
      <c r="J90" t="s">
        <v>6664</v>
      </c>
      <c r="L90" t="s">
        <v>5837</v>
      </c>
      <c r="M90" t="s">
        <v>6280</v>
      </c>
    </row>
    <row r="91" spans="6:13" x14ac:dyDescent="0.25">
      <c r="F91" t="s">
        <v>592</v>
      </c>
      <c r="G91" t="s">
        <v>1326</v>
      </c>
      <c r="I91" t="s">
        <v>328</v>
      </c>
      <c r="J91" t="s">
        <v>1912</v>
      </c>
      <c r="L91" t="s">
        <v>5073</v>
      </c>
      <c r="M91" t="s">
        <v>5310</v>
      </c>
    </row>
    <row r="92" spans="6:13" x14ac:dyDescent="0.25">
      <c r="F92" t="s">
        <v>589</v>
      </c>
      <c r="G92" t="s">
        <v>1078</v>
      </c>
      <c r="I92" t="s">
        <v>291</v>
      </c>
      <c r="J92" t="s">
        <v>2471</v>
      </c>
      <c r="L92" t="s">
        <v>302</v>
      </c>
      <c r="M92" t="s">
        <v>4778</v>
      </c>
    </row>
    <row r="93" spans="6:13" x14ac:dyDescent="0.25">
      <c r="F93" t="s">
        <v>713</v>
      </c>
      <c r="G93" t="s">
        <v>1051</v>
      </c>
      <c r="I93" t="s">
        <v>266</v>
      </c>
      <c r="J93" t="s">
        <v>3028</v>
      </c>
      <c r="L93" t="s">
        <v>412</v>
      </c>
      <c r="M93" t="s">
        <v>7039</v>
      </c>
    </row>
    <row r="94" spans="6:13" x14ac:dyDescent="0.25">
      <c r="F94" t="s">
        <v>592</v>
      </c>
      <c r="G94" t="s">
        <v>1639</v>
      </c>
      <c r="I94" t="s">
        <v>2116</v>
      </c>
      <c r="J94" t="s">
        <v>3679</v>
      </c>
      <c r="L94" t="s">
        <v>328</v>
      </c>
      <c r="M94" t="s">
        <v>5524</v>
      </c>
    </row>
    <row r="95" spans="6:13" x14ac:dyDescent="0.25">
      <c r="F95" t="s">
        <v>589</v>
      </c>
      <c r="G95" t="s">
        <v>1436</v>
      </c>
      <c r="I95" t="s">
        <v>326</v>
      </c>
      <c r="J95" t="s">
        <v>2108</v>
      </c>
      <c r="L95" t="s">
        <v>4594</v>
      </c>
      <c r="M95" t="s">
        <v>6447</v>
      </c>
    </row>
    <row r="96" spans="6:13" x14ac:dyDescent="0.25">
      <c r="F96" t="s">
        <v>129</v>
      </c>
      <c r="G96" t="s">
        <v>1175</v>
      </c>
      <c r="I96" t="s">
        <v>6813</v>
      </c>
      <c r="J96" t="s">
        <v>4491</v>
      </c>
      <c r="L96" t="s">
        <v>5242</v>
      </c>
      <c r="M96" t="s">
        <v>7194</v>
      </c>
    </row>
    <row r="97" spans="6:13" x14ac:dyDescent="0.25">
      <c r="F97" t="s">
        <v>586</v>
      </c>
      <c r="G97" t="s">
        <v>875</v>
      </c>
      <c r="I97" t="s">
        <v>1777</v>
      </c>
      <c r="J97" t="s">
        <v>1778</v>
      </c>
      <c r="L97" t="s">
        <v>41</v>
      </c>
      <c r="M97" t="s">
        <v>5528</v>
      </c>
    </row>
    <row r="98" spans="6:13" x14ac:dyDescent="0.25">
      <c r="F98" t="s">
        <v>597</v>
      </c>
      <c r="G98" t="s">
        <v>1235</v>
      </c>
      <c r="I98" t="s">
        <v>2926</v>
      </c>
      <c r="J98" t="s">
        <v>3875</v>
      </c>
      <c r="L98" t="s">
        <v>321</v>
      </c>
      <c r="M98" t="s">
        <v>6197</v>
      </c>
    </row>
    <row r="99" spans="6:13" x14ac:dyDescent="0.25">
      <c r="F99" t="s">
        <v>597</v>
      </c>
      <c r="G99" t="s">
        <v>930</v>
      </c>
      <c r="I99" t="s">
        <v>266</v>
      </c>
      <c r="J99" t="s">
        <v>3754</v>
      </c>
      <c r="L99" t="s">
        <v>326</v>
      </c>
      <c r="M99" t="s">
        <v>6092</v>
      </c>
    </row>
    <row r="100" spans="6:13" x14ac:dyDescent="0.25">
      <c r="F100" t="s">
        <v>592</v>
      </c>
      <c r="G100" t="s">
        <v>1486</v>
      </c>
      <c r="I100" t="s">
        <v>267</v>
      </c>
      <c r="J100" t="s">
        <v>3025</v>
      </c>
      <c r="L100" t="s">
        <v>328</v>
      </c>
      <c r="M100" t="s">
        <v>5631</v>
      </c>
    </row>
    <row r="101" spans="6:13" x14ac:dyDescent="0.25">
      <c r="F101" t="s">
        <v>597</v>
      </c>
      <c r="G101" t="s">
        <v>909</v>
      </c>
      <c r="I101" t="s">
        <v>6733</v>
      </c>
      <c r="J101" t="s">
        <v>4296</v>
      </c>
      <c r="L101" t="s">
        <v>330</v>
      </c>
      <c r="M101" t="s">
        <v>5381</v>
      </c>
    </row>
    <row r="102" spans="6:13" x14ac:dyDescent="0.25">
      <c r="F102" t="s">
        <v>508</v>
      </c>
      <c r="G102" t="s">
        <v>1113</v>
      </c>
      <c r="I102" t="s">
        <v>4422</v>
      </c>
      <c r="J102" t="s">
        <v>4423</v>
      </c>
      <c r="L102" t="s">
        <v>412</v>
      </c>
      <c r="M102" t="s">
        <v>7143</v>
      </c>
    </row>
    <row r="103" spans="6:13" x14ac:dyDescent="0.25">
      <c r="F103" t="s">
        <v>720</v>
      </c>
      <c r="G103" t="s">
        <v>1089</v>
      </c>
      <c r="I103" t="s">
        <v>326</v>
      </c>
      <c r="J103" t="s">
        <v>1744</v>
      </c>
      <c r="L103" t="s">
        <v>328</v>
      </c>
      <c r="M103" t="s">
        <v>5454</v>
      </c>
    </row>
    <row r="104" spans="6:13" x14ac:dyDescent="0.25">
      <c r="F104" t="s">
        <v>586</v>
      </c>
      <c r="G104" t="s">
        <v>904</v>
      </c>
      <c r="I104" t="s">
        <v>289</v>
      </c>
      <c r="J104" t="s">
        <v>4307</v>
      </c>
      <c r="L104" t="s">
        <v>5219</v>
      </c>
      <c r="M104" t="s">
        <v>5220</v>
      </c>
    </row>
    <row r="105" spans="6:13" x14ac:dyDescent="0.25">
      <c r="F105" t="s">
        <v>129</v>
      </c>
      <c r="G105" t="s">
        <v>1615</v>
      </c>
      <c r="I105" t="s">
        <v>6813</v>
      </c>
      <c r="J105" t="s">
        <v>1829</v>
      </c>
      <c r="L105" t="s">
        <v>486</v>
      </c>
      <c r="M105" t="s">
        <v>6070</v>
      </c>
    </row>
    <row r="106" spans="6:13" x14ac:dyDescent="0.25">
      <c r="F106" t="s">
        <v>422</v>
      </c>
      <c r="G106" t="s">
        <v>891</v>
      </c>
      <c r="I106" t="s">
        <v>50</v>
      </c>
      <c r="J106" t="s">
        <v>3796</v>
      </c>
      <c r="L106" t="s">
        <v>5503</v>
      </c>
      <c r="M106" t="s">
        <v>5504</v>
      </c>
    </row>
    <row r="107" spans="6:13" x14ac:dyDescent="0.25">
      <c r="F107" t="s">
        <v>40</v>
      </c>
      <c r="G107" t="s">
        <v>1218</v>
      </c>
      <c r="I107" t="s">
        <v>414</v>
      </c>
      <c r="J107" t="s">
        <v>6700</v>
      </c>
      <c r="L107" t="s">
        <v>302</v>
      </c>
      <c r="M107" t="s">
        <v>6093</v>
      </c>
    </row>
    <row r="108" spans="6:13" x14ac:dyDescent="0.25">
      <c r="F108" t="s">
        <v>50</v>
      </c>
      <c r="G108" t="s">
        <v>1002</v>
      </c>
      <c r="I108" t="s">
        <v>98</v>
      </c>
      <c r="J108" t="s">
        <v>2929</v>
      </c>
      <c r="L108" t="s">
        <v>731</v>
      </c>
      <c r="M108" t="s">
        <v>7259</v>
      </c>
    </row>
    <row r="109" spans="6:13" x14ac:dyDescent="0.25">
      <c r="F109" t="s">
        <v>665</v>
      </c>
      <c r="G109" t="s">
        <v>6646</v>
      </c>
      <c r="I109" t="s">
        <v>4954</v>
      </c>
      <c r="J109" t="s">
        <v>6974</v>
      </c>
      <c r="L109" t="s">
        <v>324</v>
      </c>
      <c r="M109" t="s">
        <v>4568</v>
      </c>
    </row>
    <row r="110" spans="6:13" x14ac:dyDescent="0.25">
      <c r="F110" t="s">
        <v>508</v>
      </c>
      <c r="G110" t="s">
        <v>1189</v>
      </c>
      <c r="I110" t="s">
        <v>291</v>
      </c>
      <c r="J110" t="s">
        <v>2651</v>
      </c>
      <c r="L110" t="s">
        <v>483</v>
      </c>
      <c r="M110" t="s">
        <v>5972</v>
      </c>
    </row>
    <row r="111" spans="6:13" x14ac:dyDescent="0.25">
      <c r="F111" t="s">
        <v>102</v>
      </c>
      <c r="G111" t="s">
        <v>1346</v>
      </c>
      <c r="I111" t="s">
        <v>597</v>
      </c>
      <c r="J111" t="s">
        <v>4454</v>
      </c>
      <c r="L111" t="s">
        <v>5242</v>
      </c>
      <c r="M111" t="s">
        <v>7085</v>
      </c>
    </row>
    <row r="112" spans="6:13" x14ac:dyDescent="0.25">
      <c r="F112" t="s">
        <v>597</v>
      </c>
      <c r="G112" t="s">
        <v>1183</v>
      </c>
      <c r="I112" t="s">
        <v>267</v>
      </c>
      <c r="J112" t="s">
        <v>4289</v>
      </c>
      <c r="L112" t="s">
        <v>731</v>
      </c>
      <c r="M112" t="s">
        <v>7097</v>
      </c>
    </row>
    <row r="113" spans="6:13" x14ac:dyDescent="0.25">
      <c r="F113" t="s">
        <v>102</v>
      </c>
      <c r="G113" t="s">
        <v>1265</v>
      </c>
      <c r="I113" t="s">
        <v>328</v>
      </c>
      <c r="J113" t="s">
        <v>3966</v>
      </c>
      <c r="L113" t="s">
        <v>6542</v>
      </c>
      <c r="M113" t="s">
        <v>6543</v>
      </c>
    </row>
    <row r="114" spans="6:13" x14ac:dyDescent="0.25">
      <c r="F114" t="s">
        <v>586</v>
      </c>
      <c r="G114" t="s">
        <v>1342</v>
      </c>
      <c r="I114" t="s">
        <v>97</v>
      </c>
      <c r="J114" t="s">
        <v>3409</v>
      </c>
      <c r="L114" t="s">
        <v>26</v>
      </c>
      <c r="M114" t="s">
        <v>5206</v>
      </c>
    </row>
    <row r="115" spans="6:13" x14ac:dyDescent="0.25">
      <c r="F115" t="s">
        <v>592</v>
      </c>
      <c r="G115" t="s">
        <v>1605</v>
      </c>
      <c r="I115" t="s">
        <v>425</v>
      </c>
      <c r="J115" t="s">
        <v>2812</v>
      </c>
      <c r="L115" t="s">
        <v>5928</v>
      </c>
      <c r="M115" t="s">
        <v>5929</v>
      </c>
    </row>
    <row r="116" spans="6:13" x14ac:dyDescent="0.25">
      <c r="F116" t="s">
        <v>592</v>
      </c>
      <c r="G116" t="s">
        <v>1075</v>
      </c>
      <c r="I116" t="s">
        <v>267</v>
      </c>
      <c r="J116" t="s">
        <v>3562</v>
      </c>
      <c r="L116" t="s">
        <v>412</v>
      </c>
      <c r="M116" t="s">
        <v>7147</v>
      </c>
    </row>
    <row r="117" spans="6:13" x14ac:dyDescent="0.25">
      <c r="F117" t="s">
        <v>508</v>
      </c>
      <c r="G117" t="s">
        <v>907</v>
      </c>
      <c r="I117" t="s">
        <v>291</v>
      </c>
      <c r="J117" t="s">
        <v>2338</v>
      </c>
      <c r="L117" t="s">
        <v>483</v>
      </c>
      <c r="M117" t="s">
        <v>5693</v>
      </c>
    </row>
    <row r="118" spans="6:13" x14ac:dyDescent="0.25">
      <c r="F118" t="s">
        <v>129</v>
      </c>
      <c r="G118" t="s">
        <v>997</v>
      </c>
      <c r="I118" t="s">
        <v>328</v>
      </c>
      <c r="J118" t="s">
        <v>4407</v>
      </c>
      <c r="L118" t="s">
        <v>328</v>
      </c>
      <c r="M118" t="s">
        <v>5947</v>
      </c>
    </row>
    <row r="119" spans="6:13" x14ac:dyDescent="0.25">
      <c r="F119" t="s">
        <v>102</v>
      </c>
      <c r="G119" t="s">
        <v>967</v>
      </c>
      <c r="I119" t="s">
        <v>328</v>
      </c>
      <c r="J119" t="s">
        <v>2270</v>
      </c>
      <c r="L119" t="s">
        <v>330</v>
      </c>
      <c r="M119" t="s">
        <v>5642</v>
      </c>
    </row>
    <row r="120" spans="6:13" x14ac:dyDescent="0.25">
      <c r="F120" t="s">
        <v>420</v>
      </c>
      <c r="G120" t="s">
        <v>1307</v>
      </c>
      <c r="I120" t="s">
        <v>43</v>
      </c>
      <c r="J120" t="s">
        <v>2868</v>
      </c>
      <c r="L120" t="s">
        <v>5219</v>
      </c>
      <c r="M120" t="s">
        <v>5787</v>
      </c>
    </row>
    <row r="121" spans="6:13" x14ac:dyDescent="0.25">
      <c r="F121" t="s">
        <v>102</v>
      </c>
      <c r="G121" t="s">
        <v>1301</v>
      </c>
      <c r="I121" t="s">
        <v>414</v>
      </c>
      <c r="J121" t="s">
        <v>4433</v>
      </c>
      <c r="L121" t="s">
        <v>330</v>
      </c>
      <c r="M121" t="s">
        <v>4854</v>
      </c>
    </row>
    <row r="122" spans="6:13" x14ac:dyDescent="0.25">
      <c r="F122" t="s">
        <v>592</v>
      </c>
      <c r="G122" t="s">
        <v>1389</v>
      </c>
      <c r="I122" t="s">
        <v>2209</v>
      </c>
      <c r="J122" t="s">
        <v>3818</v>
      </c>
      <c r="L122" t="s">
        <v>6626</v>
      </c>
      <c r="M122" t="s">
        <v>6309</v>
      </c>
    </row>
    <row r="123" spans="6:13" x14ac:dyDescent="0.25">
      <c r="F123" t="s">
        <v>592</v>
      </c>
      <c r="G123" t="s">
        <v>1118</v>
      </c>
      <c r="I123" t="s">
        <v>328</v>
      </c>
      <c r="J123" t="s">
        <v>2156</v>
      </c>
      <c r="L123" t="s">
        <v>373</v>
      </c>
      <c r="M123" t="s">
        <v>4840</v>
      </c>
    </row>
    <row r="124" spans="6:13" x14ac:dyDescent="0.25">
      <c r="F124" t="s">
        <v>597</v>
      </c>
      <c r="G124" t="s">
        <v>1053</v>
      </c>
      <c r="I124" t="s">
        <v>328</v>
      </c>
      <c r="J124" t="s">
        <v>3580</v>
      </c>
      <c r="L124" t="s">
        <v>330</v>
      </c>
      <c r="M124" t="s">
        <v>5474</v>
      </c>
    </row>
    <row r="125" spans="6:13" x14ac:dyDescent="0.25">
      <c r="F125" t="s">
        <v>102</v>
      </c>
      <c r="G125" t="s">
        <v>1529</v>
      </c>
      <c r="I125" t="s">
        <v>328</v>
      </c>
      <c r="J125" t="s">
        <v>3807</v>
      </c>
      <c r="L125" t="s">
        <v>328</v>
      </c>
      <c r="M125" t="s">
        <v>5182</v>
      </c>
    </row>
    <row r="126" spans="6:13" x14ac:dyDescent="0.25">
      <c r="F126" t="s">
        <v>102</v>
      </c>
      <c r="G126" t="s">
        <v>937</v>
      </c>
      <c r="I126" t="s">
        <v>3335</v>
      </c>
      <c r="J126" t="s">
        <v>3357</v>
      </c>
      <c r="L126" t="s">
        <v>25</v>
      </c>
      <c r="M126" t="s">
        <v>6629</v>
      </c>
    </row>
    <row r="127" spans="6:13" x14ac:dyDescent="0.25">
      <c r="F127" t="s">
        <v>638</v>
      </c>
      <c r="G127" t="s">
        <v>6652</v>
      </c>
      <c r="I127" t="s">
        <v>414</v>
      </c>
      <c r="J127" t="s">
        <v>3549</v>
      </c>
      <c r="L127" t="s">
        <v>41</v>
      </c>
      <c r="M127" t="s">
        <v>4871</v>
      </c>
    </row>
    <row r="128" spans="6:13" x14ac:dyDescent="0.25">
      <c r="F128" t="s">
        <v>102</v>
      </c>
      <c r="G128" t="s">
        <v>918</v>
      </c>
      <c r="I128" t="s">
        <v>267</v>
      </c>
      <c r="J128" t="s">
        <v>2564</v>
      </c>
      <c r="L128" t="s">
        <v>5654</v>
      </c>
      <c r="M128" t="s">
        <v>5655</v>
      </c>
    </row>
    <row r="129" spans="6:13" x14ac:dyDescent="0.25">
      <c r="F129" t="s">
        <v>638</v>
      </c>
      <c r="G129" t="s">
        <v>1236</v>
      </c>
      <c r="I129" t="s">
        <v>2257</v>
      </c>
      <c r="J129" t="s">
        <v>2258</v>
      </c>
      <c r="L129" t="s">
        <v>4878</v>
      </c>
      <c r="M129" t="s">
        <v>6369</v>
      </c>
    </row>
    <row r="130" spans="6:13" x14ac:dyDescent="0.25">
      <c r="F130" t="s">
        <v>129</v>
      </c>
      <c r="G130" t="s">
        <v>1331</v>
      </c>
      <c r="I130" t="s">
        <v>2645</v>
      </c>
      <c r="J130" t="s">
        <v>2646</v>
      </c>
      <c r="L130" t="s">
        <v>330</v>
      </c>
      <c r="M130" t="s">
        <v>5536</v>
      </c>
    </row>
    <row r="131" spans="6:13" x14ac:dyDescent="0.25">
      <c r="F131" t="s">
        <v>638</v>
      </c>
      <c r="G131" t="s">
        <v>1245</v>
      </c>
      <c r="I131" t="s">
        <v>3560</v>
      </c>
      <c r="J131" t="s">
        <v>3561</v>
      </c>
      <c r="L131" t="s">
        <v>483</v>
      </c>
      <c r="M131" t="s">
        <v>4798</v>
      </c>
    </row>
    <row r="132" spans="6:13" x14ac:dyDescent="0.25">
      <c r="F132" t="s">
        <v>638</v>
      </c>
      <c r="G132" t="s">
        <v>1234</v>
      </c>
      <c r="I132" t="s">
        <v>328</v>
      </c>
      <c r="J132" t="s">
        <v>3313</v>
      </c>
      <c r="L132" t="s">
        <v>330</v>
      </c>
      <c r="M132" t="s">
        <v>6535</v>
      </c>
    </row>
    <row r="133" spans="6:13" x14ac:dyDescent="0.25">
      <c r="F133" t="s">
        <v>638</v>
      </c>
      <c r="G133" t="s">
        <v>1287</v>
      </c>
      <c r="I133" t="s">
        <v>425</v>
      </c>
      <c r="J133" t="s">
        <v>2995</v>
      </c>
      <c r="L133" t="s">
        <v>26</v>
      </c>
      <c r="M133" t="s">
        <v>6523</v>
      </c>
    </row>
    <row r="134" spans="6:13" x14ac:dyDescent="0.25">
      <c r="F134" t="s">
        <v>638</v>
      </c>
      <c r="G134" t="s">
        <v>1623</v>
      </c>
      <c r="I134" t="s">
        <v>1954</v>
      </c>
      <c r="J134" t="s">
        <v>3331</v>
      </c>
      <c r="L134" t="s">
        <v>330</v>
      </c>
      <c r="M134" t="s">
        <v>4916</v>
      </c>
    </row>
    <row r="135" spans="6:13" x14ac:dyDescent="0.25">
      <c r="F135" t="s">
        <v>638</v>
      </c>
      <c r="G135" t="s">
        <v>912</v>
      </c>
      <c r="I135" t="s">
        <v>1954</v>
      </c>
      <c r="J135" t="s">
        <v>1955</v>
      </c>
      <c r="L135" t="s">
        <v>328</v>
      </c>
      <c r="M135" t="s">
        <v>6054</v>
      </c>
    </row>
    <row r="136" spans="6:13" x14ac:dyDescent="0.25">
      <c r="F136" t="s">
        <v>102</v>
      </c>
      <c r="G136" t="s">
        <v>1073</v>
      </c>
      <c r="I136" t="s">
        <v>414</v>
      </c>
      <c r="J136" t="s">
        <v>3965</v>
      </c>
      <c r="L136" t="s">
        <v>324</v>
      </c>
      <c r="M136" t="s">
        <v>5190</v>
      </c>
    </row>
    <row r="137" spans="6:13" x14ac:dyDescent="0.25">
      <c r="F137" t="s">
        <v>638</v>
      </c>
      <c r="G137" t="s">
        <v>880</v>
      </c>
      <c r="I137" t="s">
        <v>2926</v>
      </c>
      <c r="J137" t="s">
        <v>4232</v>
      </c>
      <c r="L137" t="s">
        <v>324</v>
      </c>
      <c r="M137" t="s">
        <v>4999</v>
      </c>
    </row>
    <row r="138" spans="6:13" x14ac:dyDescent="0.25">
      <c r="F138" t="s">
        <v>638</v>
      </c>
      <c r="G138" t="s">
        <v>1083</v>
      </c>
      <c r="I138" t="s">
        <v>6813</v>
      </c>
      <c r="J138" t="s">
        <v>4431</v>
      </c>
      <c r="L138" t="s">
        <v>328</v>
      </c>
      <c r="M138" t="s">
        <v>5683</v>
      </c>
    </row>
    <row r="139" spans="6:13" x14ac:dyDescent="0.25">
      <c r="F139" t="s">
        <v>638</v>
      </c>
      <c r="G139" t="s">
        <v>1391</v>
      </c>
      <c r="I139" t="s">
        <v>0</v>
      </c>
      <c r="J139" t="s">
        <v>3719</v>
      </c>
      <c r="L139" t="s">
        <v>6575</v>
      </c>
      <c r="M139" t="s">
        <v>6576</v>
      </c>
    </row>
    <row r="140" spans="6:13" x14ac:dyDescent="0.25">
      <c r="F140" t="s">
        <v>638</v>
      </c>
      <c r="G140" t="s">
        <v>858</v>
      </c>
      <c r="I140" t="s">
        <v>1954</v>
      </c>
      <c r="J140" t="s">
        <v>3751</v>
      </c>
      <c r="L140" t="s">
        <v>483</v>
      </c>
      <c r="M140" t="s">
        <v>5826</v>
      </c>
    </row>
    <row r="141" spans="6:13" x14ac:dyDescent="0.25">
      <c r="F141" t="s">
        <v>638</v>
      </c>
      <c r="G141" t="s">
        <v>1340</v>
      </c>
      <c r="I141" t="s">
        <v>2271</v>
      </c>
      <c r="J141" t="s">
        <v>3045</v>
      </c>
      <c r="L141" t="s">
        <v>485</v>
      </c>
      <c r="M141" t="s">
        <v>5545</v>
      </c>
    </row>
    <row r="142" spans="6:13" x14ac:dyDescent="0.25">
      <c r="F142" t="s">
        <v>638</v>
      </c>
      <c r="G142" t="s">
        <v>1249</v>
      </c>
      <c r="I142" t="s">
        <v>328</v>
      </c>
      <c r="J142" t="s">
        <v>2392</v>
      </c>
      <c r="L142" t="s">
        <v>412</v>
      </c>
      <c r="M142" t="s">
        <v>7028</v>
      </c>
    </row>
    <row r="143" spans="6:13" x14ac:dyDescent="0.25">
      <c r="F143" t="s">
        <v>638</v>
      </c>
      <c r="G143" t="s">
        <v>1353</v>
      </c>
      <c r="I143" t="s">
        <v>440</v>
      </c>
      <c r="J143" t="s">
        <v>4067</v>
      </c>
      <c r="L143" t="s">
        <v>328</v>
      </c>
      <c r="M143" t="s">
        <v>6498</v>
      </c>
    </row>
    <row r="144" spans="6:13" x14ac:dyDescent="0.25">
      <c r="F144" t="s">
        <v>663</v>
      </c>
      <c r="G144" t="s">
        <v>1066</v>
      </c>
      <c r="I144" t="s">
        <v>597</v>
      </c>
      <c r="J144" t="s">
        <v>2246</v>
      </c>
      <c r="L144" t="s">
        <v>412</v>
      </c>
      <c r="M144" t="s">
        <v>5020</v>
      </c>
    </row>
    <row r="145" spans="6:13" x14ac:dyDescent="0.25">
      <c r="F145" t="s">
        <v>600</v>
      </c>
      <c r="G145" t="s">
        <v>1413</v>
      </c>
      <c r="I145" t="s">
        <v>1954</v>
      </c>
      <c r="J145" t="s">
        <v>3528</v>
      </c>
      <c r="L145" t="s">
        <v>5358</v>
      </c>
      <c r="M145" t="s">
        <v>5491</v>
      </c>
    </row>
    <row r="146" spans="6:13" x14ac:dyDescent="0.25">
      <c r="F146" t="s">
        <v>102</v>
      </c>
      <c r="G146" t="s">
        <v>1370</v>
      </c>
      <c r="I146" t="s">
        <v>669</v>
      </c>
      <c r="J146" t="s">
        <v>2092</v>
      </c>
      <c r="L146" t="s">
        <v>328</v>
      </c>
      <c r="M146" t="s">
        <v>5324</v>
      </c>
    </row>
    <row r="147" spans="6:13" x14ac:dyDescent="0.25">
      <c r="F147" t="s">
        <v>302</v>
      </c>
      <c r="G147" t="s">
        <v>1261</v>
      </c>
      <c r="I147" t="s">
        <v>440</v>
      </c>
      <c r="J147" t="s">
        <v>4110</v>
      </c>
      <c r="L147" t="s">
        <v>412</v>
      </c>
      <c r="M147" t="s">
        <v>4989</v>
      </c>
    </row>
    <row r="148" spans="6:13" x14ac:dyDescent="0.25">
      <c r="F148" t="s">
        <v>302</v>
      </c>
      <c r="G148" t="s">
        <v>1534</v>
      </c>
      <c r="I148" t="s">
        <v>440</v>
      </c>
      <c r="J148" t="s">
        <v>3855</v>
      </c>
      <c r="L148" t="s">
        <v>483</v>
      </c>
      <c r="M148" t="s">
        <v>4863</v>
      </c>
    </row>
    <row r="149" spans="6:13" x14ac:dyDescent="0.25">
      <c r="F149" t="s">
        <v>102</v>
      </c>
      <c r="G149" t="s">
        <v>1566</v>
      </c>
      <c r="I149" t="s">
        <v>414</v>
      </c>
      <c r="J149" t="s">
        <v>6719</v>
      </c>
      <c r="L149" t="s">
        <v>326</v>
      </c>
      <c r="M149" t="s">
        <v>5591</v>
      </c>
    </row>
    <row r="150" spans="6:13" x14ac:dyDescent="0.25">
      <c r="F150" t="s">
        <v>102</v>
      </c>
      <c r="G150" t="s">
        <v>1619</v>
      </c>
      <c r="I150" t="s">
        <v>1954</v>
      </c>
      <c r="J150" t="s">
        <v>3400</v>
      </c>
      <c r="L150" t="s">
        <v>42</v>
      </c>
      <c r="M150" t="s">
        <v>5140</v>
      </c>
    </row>
    <row r="151" spans="6:13" x14ac:dyDescent="0.25">
      <c r="F151" t="s">
        <v>605</v>
      </c>
      <c r="G151" t="s">
        <v>999</v>
      </c>
      <c r="I151" t="s">
        <v>97</v>
      </c>
      <c r="J151" t="s">
        <v>3960</v>
      </c>
      <c r="L151" t="s">
        <v>4632</v>
      </c>
      <c r="M151" t="s">
        <v>5571</v>
      </c>
    </row>
    <row r="152" spans="6:13" x14ac:dyDescent="0.25">
      <c r="F152" t="s">
        <v>129</v>
      </c>
      <c r="G152" t="s">
        <v>1240</v>
      </c>
      <c r="I152" t="s">
        <v>267</v>
      </c>
      <c r="J152" t="s">
        <v>3260</v>
      </c>
      <c r="L152" t="s">
        <v>40</v>
      </c>
      <c r="M152" t="s">
        <v>5976</v>
      </c>
    </row>
    <row r="153" spans="6:13" x14ac:dyDescent="0.25">
      <c r="F153" t="s">
        <v>102</v>
      </c>
      <c r="G153" t="s">
        <v>1381</v>
      </c>
      <c r="I153" t="s">
        <v>51</v>
      </c>
      <c r="J153" t="s">
        <v>4338</v>
      </c>
      <c r="L153" t="s">
        <v>412</v>
      </c>
      <c r="M153" t="s">
        <v>7138</v>
      </c>
    </row>
    <row r="154" spans="6:13" x14ac:dyDescent="0.25">
      <c r="F154" t="s">
        <v>302</v>
      </c>
      <c r="G154" t="s">
        <v>1229</v>
      </c>
      <c r="I154" t="s">
        <v>328</v>
      </c>
      <c r="J154" t="s">
        <v>2552</v>
      </c>
      <c r="L154" t="s">
        <v>4888</v>
      </c>
      <c r="M154" t="s">
        <v>4889</v>
      </c>
    </row>
    <row r="155" spans="6:13" x14ac:dyDescent="0.25">
      <c r="F155" t="s">
        <v>102</v>
      </c>
      <c r="G155" t="s">
        <v>1581</v>
      </c>
      <c r="I155" t="s">
        <v>425</v>
      </c>
      <c r="J155" t="s">
        <v>3918</v>
      </c>
      <c r="L155" t="s">
        <v>40</v>
      </c>
      <c r="M155" t="s">
        <v>5193</v>
      </c>
    </row>
    <row r="156" spans="6:13" x14ac:dyDescent="0.25">
      <c r="F156" t="s">
        <v>102</v>
      </c>
      <c r="G156" t="s">
        <v>1110</v>
      </c>
      <c r="I156" t="s">
        <v>1954</v>
      </c>
      <c r="J156" t="s">
        <v>2586</v>
      </c>
      <c r="L156" t="s">
        <v>673</v>
      </c>
      <c r="M156" t="s">
        <v>5725</v>
      </c>
    </row>
    <row r="157" spans="6:13" x14ac:dyDescent="0.25">
      <c r="F157" t="s">
        <v>508</v>
      </c>
      <c r="G157" t="s">
        <v>1422</v>
      </c>
      <c r="I157" t="s">
        <v>6803</v>
      </c>
      <c r="J157" t="s">
        <v>6980</v>
      </c>
      <c r="L157" t="s">
        <v>42</v>
      </c>
      <c r="M157" t="s">
        <v>4923</v>
      </c>
    </row>
    <row r="158" spans="6:13" x14ac:dyDescent="0.25">
      <c r="F158" t="s">
        <v>102</v>
      </c>
      <c r="G158" t="s">
        <v>1387</v>
      </c>
      <c r="I158" t="s">
        <v>6803</v>
      </c>
      <c r="J158" t="s">
        <v>1726</v>
      </c>
      <c r="L158" t="s">
        <v>302</v>
      </c>
      <c r="M158" t="s">
        <v>4608</v>
      </c>
    </row>
    <row r="159" spans="6:13" x14ac:dyDescent="0.25">
      <c r="F159" t="s">
        <v>302</v>
      </c>
      <c r="G159" t="s">
        <v>1161</v>
      </c>
      <c r="I159" t="s">
        <v>440</v>
      </c>
      <c r="J159" t="s">
        <v>4010</v>
      </c>
      <c r="L159" t="s">
        <v>682</v>
      </c>
      <c r="M159" t="s">
        <v>6488</v>
      </c>
    </row>
    <row r="160" spans="6:13" x14ac:dyDescent="0.25">
      <c r="F160" t="s">
        <v>605</v>
      </c>
      <c r="G160" t="s">
        <v>928</v>
      </c>
      <c r="I160" t="s">
        <v>6803</v>
      </c>
      <c r="J160" t="s">
        <v>4462</v>
      </c>
      <c r="L160" t="s">
        <v>5358</v>
      </c>
      <c r="M160" t="s">
        <v>5895</v>
      </c>
    </row>
    <row r="161" spans="6:13" x14ac:dyDescent="0.25">
      <c r="F161" t="s">
        <v>102</v>
      </c>
      <c r="G161" t="s">
        <v>1141</v>
      </c>
      <c r="I161" t="s">
        <v>440</v>
      </c>
      <c r="J161" t="s">
        <v>4270</v>
      </c>
      <c r="L161" t="s">
        <v>5543</v>
      </c>
      <c r="M161" t="s">
        <v>7119</v>
      </c>
    </row>
    <row r="162" spans="6:13" x14ac:dyDescent="0.25">
      <c r="F162" t="s">
        <v>600</v>
      </c>
      <c r="G162" t="s">
        <v>877</v>
      </c>
      <c r="I162" t="s">
        <v>440</v>
      </c>
      <c r="J162" t="s">
        <v>3466</v>
      </c>
      <c r="L162" t="s">
        <v>483</v>
      </c>
      <c r="M162" t="s">
        <v>4958</v>
      </c>
    </row>
    <row r="163" spans="6:13" x14ac:dyDescent="0.25">
      <c r="F163" t="s">
        <v>41</v>
      </c>
      <c r="G163" t="s">
        <v>1022</v>
      </c>
      <c r="I163" t="s">
        <v>440</v>
      </c>
      <c r="J163" t="s">
        <v>3109</v>
      </c>
      <c r="L163" t="s">
        <v>302</v>
      </c>
      <c r="M163" t="s">
        <v>5760</v>
      </c>
    </row>
    <row r="164" spans="6:13" x14ac:dyDescent="0.25">
      <c r="F164" t="s">
        <v>600</v>
      </c>
      <c r="G164" t="s">
        <v>929</v>
      </c>
      <c r="I164" t="s">
        <v>1954</v>
      </c>
      <c r="J164" t="s">
        <v>3394</v>
      </c>
      <c r="L164" t="s">
        <v>5344</v>
      </c>
      <c r="M164" t="s">
        <v>5345</v>
      </c>
    </row>
    <row r="165" spans="6:13" x14ac:dyDescent="0.25">
      <c r="F165" t="s">
        <v>600</v>
      </c>
      <c r="G165" t="s">
        <v>1460</v>
      </c>
      <c r="I165" t="s">
        <v>1954</v>
      </c>
      <c r="J165" t="s">
        <v>3310</v>
      </c>
      <c r="L165" t="s">
        <v>4888</v>
      </c>
      <c r="M165" t="s">
        <v>5070</v>
      </c>
    </row>
    <row r="166" spans="6:13" x14ac:dyDescent="0.25">
      <c r="F166" t="s">
        <v>420</v>
      </c>
      <c r="G166" t="s">
        <v>1570</v>
      </c>
      <c r="I166" t="s">
        <v>267</v>
      </c>
      <c r="J166" t="s">
        <v>2204</v>
      </c>
      <c r="L166" t="s">
        <v>302</v>
      </c>
      <c r="M166" t="s">
        <v>5622</v>
      </c>
    </row>
    <row r="167" spans="6:13" x14ac:dyDescent="0.25">
      <c r="F167" t="s">
        <v>600</v>
      </c>
      <c r="G167" t="s">
        <v>1093</v>
      </c>
      <c r="I167" t="s">
        <v>1954</v>
      </c>
      <c r="J167" t="s">
        <v>3235</v>
      </c>
      <c r="L167" t="s">
        <v>5722</v>
      </c>
      <c r="M167" t="s">
        <v>7261</v>
      </c>
    </row>
    <row r="168" spans="6:13" x14ac:dyDescent="0.25">
      <c r="F168" t="s">
        <v>736</v>
      </c>
      <c r="G168" t="s">
        <v>1163</v>
      </c>
      <c r="I168" t="s">
        <v>328</v>
      </c>
      <c r="J168" t="s">
        <v>1952</v>
      </c>
      <c r="L168" t="s">
        <v>5559</v>
      </c>
      <c r="M168" t="s">
        <v>6282</v>
      </c>
    </row>
    <row r="169" spans="6:13" x14ac:dyDescent="0.25">
      <c r="F169" t="s">
        <v>129</v>
      </c>
      <c r="G169" t="s">
        <v>893</v>
      </c>
      <c r="I169" t="s">
        <v>6803</v>
      </c>
      <c r="J169" t="s">
        <v>2644</v>
      </c>
      <c r="L169" t="s">
        <v>302</v>
      </c>
      <c r="M169" t="s">
        <v>5164</v>
      </c>
    </row>
    <row r="170" spans="6:13" x14ac:dyDescent="0.25">
      <c r="F170" t="s">
        <v>41</v>
      </c>
      <c r="G170" t="s">
        <v>1463</v>
      </c>
      <c r="I170" t="s">
        <v>440</v>
      </c>
      <c r="J170" t="s">
        <v>4327</v>
      </c>
      <c r="L170" t="s">
        <v>130</v>
      </c>
      <c r="M170" t="s">
        <v>6254</v>
      </c>
    </row>
    <row r="171" spans="6:13" x14ac:dyDescent="0.25">
      <c r="F171" t="s">
        <v>508</v>
      </c>
      <c r="G171" t="s">
        <v>1276</v>
      </c>
      <c r="I171" t="s">
        <v>51</v>
      </c>
      <c r="J171" t="s">
        <v>2302</v>
      </c>
      <c r="L171" t="s">
        <v>326</v>
      </c>
      <c r="M171" t="s">
        <v>6108</v>
      </c>
    </row>
    <row r="172" spans="6:13" x14ac:dyDescent="0.25">
      <c r="F172" t="s">
        <v>102</v>
      </c>
      <c r="G172" t="s">
        <v>1122</v>
      </c>
      <c r="I172" t="s">
        <v>6733</v>
      </c>
      <c r="J172" t="s">
        <v>3571</v>
      </c>
      <c r="L172" t="s">
        <v>373</v>
      </c>
      <c r="M172" t="s">
        <v>6001</v>
      </c>
    </row>
    <row r="173" spans="6:13" x14ac:dyDescent="0.25">
      <c r="F173" t="s">
        <v>808</v>
      </c>
      <c r="G173" t="s">
        <v>1510</v>
      </c>
      <c r="I173" t="s">
        <v>425</v>
      </c>
      <c r="J173" t="s">
        <v>6890</v>
      </c>
      <c r="L173" t="s">
        <v>412</v>
      </c>
      <c r="M173" t="s">
        <v>7216</v>
      </c>
    </row>
    <row r="174" spans="6:13" x14ac:dyDescent="0.25">
      <c r="F174" t="s">
        <v>581</v>
      </c>
      <c r="G174" t="s">
        <v>1513</v>
      </c>
      <c r="I174" t="s">
        <v>600</v>
      </c>
      <c r="J174" t="s">
        <v>4380</v>
      </c>
      <c r="L174" t="s">
        <v>483</v>
      </c>
      <c r="M174" t="s">
        <v>6243</v>
      </c>
    </row>
    <row r="175" spans="6:13" x14ac:dyDescent="0.25">
      <c r="F175" t="s">
        <v>722</v>
      </c>
      <c r="G175" t="s">
        <v>1100</v>
      </c>
      <c r="I175" t="s">
        <v>1954</v>
      </c>
      <c r="J175" t="s">
        <v>2107</v>
      </c>
      <c r="L175" t="s">
        <v>130</v>
      </c>
      <c r="M175" t="s">
        <v>5834</v>
      </c>
    </row>
    <row r="176" spans="6:13" x14ac:dyDescent="0.25">
      <c r="F176" t="s">
        <v>817</v>
      </c>
      <c r="G176" t="s">
        <v>1550</v>
      </c>
      <c r="I176" t="s">
        <v>3797</v>
      </c>
      <c r="J176" t="s">
        <v>6947</v>
      </c>
      <c r="L176" t="s">
        <v>326</v>
      </c>
      <c r="M176" t="s">
        <v>6184</v>
      </c>
    </row>
    <row r="177" spans="6:13" x14ac:dyDescent="0.25">
      <c r="F177" t="s">
        <v>102</v>
      </c>
      <c r="G177" t="s">
        <v>1033</v>
      </c>
      <c r="I177" t="s">
        <v>308</v>
      </c>
      <c r="J177" t="s">
        <v>3670</v>
      </c>
      <c r="L177" t="s">
        <v>5010</v>
      </c>
      <c r="M177" t="s">
        <v>7064</v>
      </c>
    </row>
    <row r="178" spans="6:13" x14ac:dyDescent="0.25">
      <c r="F178" t="s">
        <v>779</v>
      </c>
      <c r="G178" t="s">
        <v>1371</v>
      </c>
      <c r="I178" t="s">
        <v>328</v>
      </c>
      <c r="J178" t="s">
        <v>3800</v>
      </c>
      <c r="L178" t="s">
        <v>25</v>
      </c>
      <c r="M178" t="s">
        <v>5759</v>
      </c>
    </row>
    <row r="179" spans="6:13" x14ac:dyDescent="0.25">
      <c r="F179" t="s">
        <v>41</v>
      </c>
      <c r="G179" t="s">
        <v>1631</v>
      </c>
      <c r="I179" t="s">
        <v>6813</v>
      </c>
      <c r="J179" t="s">
        <v>1790</v>
      </c>
      <c r="L179" t="s">
        <v>130</v>
      </c>
      <c r="M179" t="s">
        <v>6474</v>
      </c>
    </row>
    <row r="180" spans="6:13" x14ac:dyDescent="0.25">
      <c r="F180" t="s">
        <v>827</v>
      </c>
      <c r="G180" t="s">
        <v>1604</v>
      </c>
      <c r="I180" t="s">
        <v>328</v>
      </c>
      <c r="J180" t="s">
        <v>2361</v>
      </c>
      <c r="L180" t="s">
        <v>130</v>
      </c>
      <c r="M180" t="s">
        <v>5747</v>
      </c>
    </row>
    <row r="181" spans="6:13" x14ac:dyDescent="0.25">
      <c r="F181" t="s">
        <v>45</v>
      </c>
      <c r="G181" t="s">
        <v>1225</v>
      </c>
      <c r="I181" t="s">
        <v>97</v>
      </c>
      <c r="J181" t="s">
        <v>2857</v>
      </c>
      <c r="L181" t="s">
        <v>600</v>
      </c>
      <c r="M181" t="s">
        <v>6193</v>
      </c>
    </row>
    <row r="182" spans="6:13" x14ac:dyDescent="0.25">
      <c r="F182" t="s">
        <v>102</v>
      </c>
      <c r="G182" t="s">
        <v>968</v>
      </c>
      <c r="I182" t="s">
        <v>267</v>
      </c>
      <c r="J182" t="s">
        <v>4052</v>
      </c>
      <c r="L182" t="s">
        <v>130</v>
      </c>
      <c r="M182" t="s">
        <v>4549</v>
      </c>
    </row>
    <row r="183" spans="6:13" x14ac:dyDescent="0.25">
      <c r="F183" t="s">
        <v>41</v>
      </c>
      <c r="G183" t="s">
        <v>1269</v>
      </c>
      <c r="I183" t="s">
        <v>97</v>
      </c>
      <c r="J183" t="s">
        <v>4414</v>
      </c>
      <c r="L183" t="s">
        <v>130</v>
      </c>
      <c r="M183" t="s">
        <v>5477</v>
      </c>
    </row>
    <row r="184" spans="6:13" x14ac:dyDescent="0.25">
      <c r="F184" t="s">
        <v>45</v>
      </c>
      <c r="G184" t="s">
        <v>1115</v>
      </c>
      <c r="I184" t="s">
        <v>440</v>
      </c>
      <c r="J184" t="s">
        <v>6919</v>
      </c>
      <c r="L184" t="s">
        <v>43</v>
      </c>
      <c r="M184" t="s">
        <v>5186</v>
      </c>
    </row>
    <row r="185" spans="6:13" x14ac:dyDescent="0.25">
      <c r="F185" t="s">
        <v>508</v>
      </c>
      <c r="G185" t="s">
        <v>1304</v>
      </c>
      <c r="I185" t="s">
        <v>1954</v>
      </c>
      <c r="J185" t="s">
        <v>4089</v>
      </c>
      <c r="L185" t="s">
        <v>6109</v>
      </c>
      <c r="M185" t="s">
        <v>6110</v>
      </c>
    </row>
    <row r="186" spans="6:13" x14ac:dyDescent="0.25">
      <c r="F186" t="s">
        <v>44</v>
      </c>
      <c r="G186" t="s">
        <v>1489</v>
      </c>
      <c r="I186" t="s">
        <v>414</v>
      </c>
      <c r="J186" t="s">
        <v>4250</v>
      </c>
      <c r="L186" t="s">
        <v>6345</v>
      </c>
      <c r="M186" t="s">
        <v>6346</v>
      </c>
    </row>
    <row r="187" spans="6:13" x14ac:dyDescent="0.25">
      <c r="F187" t="s">
        <v>670</v>
      </c>
      <c r="G187" t="s">
        <v>879</v>
      </c>
      <c r="I187" t="s">
        <v>3110</v>
      </c>
      <c r="J187" t="s">
        <v>3988</v>
      </c>
      <c r="L187" t="s">
        <v>5033</v>
      </c>
      <c r="M187" t="s">
        <v>5034</v>
      </c>
    </row>
    <row r="188" spans="6:13" x14ac:dyDescent="0.25">
      <c r="F188" t="s">
        <v>784</v>
      </c>
      <c r="G188" t="s">
        <v>879</v>
      </c>
      <c r="I188" t="s">
        <v>6803</v>
      </c>
      <c r="J188" t="s">
        <v>4146</v>
      </c>
      <c r="L188" t="s">
        <v>41</v>
      </c>
      <c r="M188" t="s">
        <v>5614</v>
      </c>
    </row>
    <row r="189" spans="6:13" x14ac:dyDescent="0.25">
      <c r="F189" t="s">
        <v>41</v>
      </c>
      <c r="G189" t="s">
        <v>1608</v>
      </c>
      <c r="I189" t="s">
        <v>6803</v>
      </c>
      <c r="J189" t="s">
        <v>3747</v>
      </c>
      <c r="L189" t="s">
        <v>41</v>
      </c>
      <c r="M189" t="s">
        <v>6517</v>
      </c>
    </row>
    <row r="190" spans="6:13" x14ac:dyDescent="0.25">
      <c r="F190" t="s">
        <v>102</v>
      </c>
      <c r="G190" t="s">
        <v>894</v>
      </c>
      <c r="I190" t="s">
        <v>440</v>
      </c>
      <c r="J190" t="s">
        <v>2688</v>
      </c>
      <c r="L190" t="s">
        <v>41</v>
      </c>
      <c r="M190" t="s">
        <v>6566</v>
      </c>
    </row>
    <row r="191" spans="6:13" x14ac:dyDescent="0.25">
      <c r="F191" t="s">
        <v>129</v>
      </c>
      <c r="G191" t="s">
        <v>1539</v>
      </c>
      <c r="I191" t="s">
        <v>440</v>
      </c>
      <c r="J191" t="s">
        <v>1929</v>
      </c>
      <c r="L191" t="s">
        <v>6541</v>
      </c>
      <c r="M191" t="s">
        <v>7257</v>
      </c>
    </row>
    <row r="192" spans="6:13" x14ac:dyDescent="0.25">
      <c r="F192" t="s">
        <v>783</v>
      </c>
      <c r="G192" t="s">
        <v>1388</v>
      </c>
      <c r="I192" t="s">
        <v>440</v>
      </c>
      <c r="J192" t="s">
        <v>4181</v>
      </c>
      <c r="L192" t="s">
        <v>4581</v>
      </c>
      <c r="M192" t="s">
        <v>4582</v>
      </c>
    </row>
    <row r="193" spans="6:13" x14ac:dyDescent="0.25">
      <c r="F193" t="s">
        <v>683</v>
      </c>
      <c r="G193" t="s">
        <v>927</v>
      </c>
      <c r="I193" t="s">
        <v>97</v>
      </c>
      <c r="J193" t="s">
        <v>2228</v>
      </c>
      <c r="L193" t="s">
        <v>412</v>
      </c>
      <c r="M193" t="s">
        <v>7265</v>
      </c>
    </row>
    <row r="194" spans="6:13" x14ac:dyDescent="0.25">
      <c r="F194" t="s">
        <v>508</v>
      </c>
      <c r="G194" t="s">
        <v>1632</v>
      </c>
      <c r="I194" t="s">
        <v>355</v>
      </c>
      <c r="J194" t="s">
        <v>1665</v>
      </c>
      <c r="L194" t="s">
        <v>130</v>
      </c>
      <c r="M194" t="s">
        <v>4803</v>
      </c>
    </row>
    <row r="195" spans="6:13" x14ac:dyDescent="0.25">
      <c r="F195" t="s">
        <v>102</v>
      </c>
      <c r="G195" t="s">
        <v>962</v>
      </c>
      <c r="I195" t="s">
        <v>269</v>
      </c>
      <c r="J195" t="s">
        <v>2625</v>
      </c>
      <c r="L195" t="s">
        <v>130</v>
      </c>
      <c r="M195" t="s">
        <v>4876</v>
      </c>
    </row>
    <row r="196" spans="6:13" x14ac:dyDescent="0.25">
      <c r="F196" t="s">
        <v>41</v>
      </c>
      <c r="G196" t="s">
        <v>1343</v>
      </c>
      <c r="I196" t="s">
        <v>6813</v>
      </c>
      <c r="J196" t="s">
        <v>1877</v>
      </c>
      <c r="L196" t="s">
        <v>6087</v>
      </c>
      <c r="M196" t="s">
        <v>6088</v>
      </c>
    </row>
    <row r="197" spans="6:13" x14ac:dyDescent="0.25">
      <c r="F197" t="s">
        <v>50</v>
      </c>
      <c r="G197" t="s">
        <v>1056</v>
      </c>
      <c r="I197" t="s">
        <v>3105</v>
      </c>
      <c r="J197" t="s">
        <v>3106</v>
      </c>
      <c r="L197" t="s">
        <v>321</v>
      </c>
      <c r="M197" t="s">
        <v>5175</v>
      </c>
    </row>
    <row r="198" spans="6:13" x14ac:dyDescent="0.25">
      <c r="F198" t="s">
        <v>762</v>
      </c>
      <c r="G198" t="s">
        <v>1313</v>
      </c>
      <c r="I198" t="s">
        <v>414</v>
      </c>
      <c r="J198" t="s">
        <v>2809</v>
      </c>
      <c r="L198" t="s">
        <v>130</v>
      </c>
      <c r="M198" t="s">
        <v>4696</v>
      </c>
    </row>
    <row r="199" spans="6:13" x14ac:dyDescent="0.25">
      <c r="F199" t="s">
        <v>41</v>
      </c>
      <c r="G199" t="s">
        <v>1634</v>
      </c>
      <c r="I199" t="s">
        <v>414</v>
      </c>
      <c r="J199" t="s">
        <v>2299</v>
      </c>
      <c r="L199" t="s">
        <v>5681</v>
      </c>
      <c r="M199" t="s">
        <v>7139</v>
      </c>
    </row>
    <row r="200" spans="6:13" x14ac:dyDescent="0.25">
      <c r="F200" t="s">
        <v>420</v>
      </c>
      <c r="G200" t="s">
        <v>1468</v>
      </c>
      <c r="I200" t="s">
        <v>1917</v>
      </c>
      <c r="J200" t="s">
        <v>2828</v>
      </c>
      <c r="L200" t="s">
        <v>6047</v>
      </c>
      <c r="M200" t="s">
        <v>6048</v>
      </c>
    </row>
    <row r="201" spans="6:13" x14ac:dyDescent="0.25">
      <c r="F201" t="s">
        <v>373</v>
      </c>
      <c r="G201" t="s">
        <v>1354</v>
      </c>
      <c r="I201" t="s">
        <v>328</v>
      </c>
      <c r="J201" t="s">
        <v>3716</v>
      </c>
      <c r="L201" t="s">
        <v>328</v>
      </c>
      <c r="M201" t="s">
        <v>6161</v>
      </c>
    </row>
    <row r="202" spans="6:13" x14ac:dyDescent="0.25">
      <c r="F202" t="s">
        <v>41</v>
      </c>
      <c r="G202" t="s">
        <v>1628</v>
      </c>
      <c r="I202" t="s">
        <v>600</v>
      </c>
      <c r="J202" t="s">
        <v>4520</v>
      </c>
      <c r="L202" t="s">
        <v>271</v>
      </c>
      <c r="M202" t="s">
        <v>5370</v>
      </c>
    </row>
    <row r="203" spans="6:13" x14ac:dyDescent="0.25">
      <c r="F203" t="s">
        <v>794</v>
      </c>
      <c r="G203" t="s">
        <v>1447</v>
      </c>
      <c r="I203" t="s">
        <v>6813</v>
      </c>
      <c r="J203" t="s">
        <v>4435</v>
      </c>
      <c r="L203" t="s">
        <v>581</v>
      </c>
      <c r="M203" t="s">
        <v>5645</v>
      </c>
    </row>
    <row r="204" spans="6:13" x14ac:dyDescent="0.25">
      <c r="F204" t="s">
        <v>373</v>
      </c>
      <c r="G204" t="s">
        <v>1365</v>
      </c>
      <c r="I204" t="s">
        <v>414</v>
      </c>
      <c r="J204" t="s">
        <v>6727</v>
      </c>
      <c r="L204" t="s">
        <v>483</v>
      </c>
      <c r="M204" t="s">
        <v>5430</v>
      </c>
    </row>
    <row r="205" spans="6:13" x14ac:dyDescent="0.25">
      <c r="F205" t="s">
        <v>786</v>
      </c>
      <c r="G205" t="s">
        <v>1404</v>
      </c>
      <c r="I205" t="s">
        <v>2313</v>
      </c>
      <c r="J205" t="s">
        <v>2314</v>
      </c>
      <c r="L205" t="s">
        <v>412</v>
      </c>
      <c r="M205" t="s">
        <v>7181</v>
      </c>
    </row>
    <row r="206" spans="6:13" x14ac:dyDescent="0.25">
      <c r="F206" t="s">
        <v>41</v>
      </c>
      <c r="G206" t="s">
        <v>1025</v>
      </c>
      <c r="I206" t="s">
        <v>269</v>
      </c>
      <c r="J206" t="s">
        <v>1949</v>
      </c>
      <c r="L206" t="s">
        <v>271</v>
      </c>
      <c r="M206" t="s">
        <v>5163</v>
      </c>
    </row>
    <row r="207" spans="6:13" x14ac:dyDescent="0.25">
      <c r="F207" t="s">
        <v>744</v>
      </c>
      <c r="G207" t="s">
        <v>1203</v>
      </c>
      <c r="I207" t="s">
        <v>412</v>
      </c>
      <c r="J207" t="s">
        <v>6956</v>
      </c>
      <c r="L207" t="s">
        <v>4922</v>
      </c>
      <c r="M207" t="s">
        <v>7051</v>
      </c>
    </row>
    <row r="208" spans="6:13" x14ac:dyDescent="0.25">
      <c r="F208" t="s">
        <v>374</v>
      </c>
      <c r="G208" t="s">
        <v>957</v>
      </c>
      <c r="I208" t="s">
        <v>328</v>
      </c>
      <c r="J208" t="s">
        <v>1660</v>
      </c>
      <c r="L208" t="s">
        <v>130</v>
      </c>
      <c r="M208" t="s">
        <v>4690</v>
      </c>
    </row>
    <row r="209" spans="6:13" x14ac:dyDescent="0.25">
      <c r="F209" t="s">
        <v>508</v>
      </c>
      <c r="G209" t="s">
        <v>998</v>
      </c>
      <c r="I209" t="s">
        <v>2189</v>
      </c>
      <c r="J209" t="s">
        <v>2190</v>
      </c>
      <c r="L209" t="s">
        <v>50</v>
      </c>
      <c r="M209" t="s">
        <v>4579</v>
      </c>
    </row>
    <row r="210" spans="6:13" x14ac:dyDescent="0.25">
      <c r="F210" t="s">
        <v>102</v>
      </c>
      <c r="G210" t="s">
        <v>1465</v>
      </c>
      <c r="I210" t="s">
        <v>267</v>
      </c>
      <c r="J210" t="s">
        <v>3362</v>
      </c>
      <c r="L210" t="s">
        <v>3280</v>
      </c>
      <c r="M210" t="s">
        <v>5236</v>
      </c>
    </row>
    <row r="211" spans="6:13" x14ac:dyDescent="0.25">
      <c r="F211" t="s">
        <v>508</v>
      </c>
      <c r="G211" t="s">
        <v>1042</v>
      </c>
      <c r="I211" t="s">
        <v>2087</v>
      </c>
      <c r="J211" t="s">
        <v>2088</v>
      </c>
      <c r="L211" t="s">
        <v>271</v>
      </c>
      <c r="M211" t="s">
        <v>5230</v>
      </c>
    </row>
    <row r="212" spans="6:13" x14ac:dyDescent="0.25">
      <c r="F212" t="s">
        <v>129</v>
      </c>
      <c r="G212" t="s">
        <v>1170</v>
      </c>
      <c r="I212" t="s">
        <v>266</v>
      </c>
      <c r="J212" t="s">
        <v>4064</v>
      </c>
      <c r="L212" t="s">
        <v>328</v>
      </c>
      <c r="M212" t="s">
        <v>6460</v>
      </c>
    </row>
    <row r="213" spans="6:13" x14ac:dyDescent="0.25">
      <c r="F213" t="s">
        <v>658</v>
      </c>
      <c r="G213" t="s">
        <v>838</v>
      </c>
      <c r="I213" t="s">
        <v>581</v>
      </c>
      <c r="J213" t="s">
        <v>2465</v>
      </c>
      <c r="L213" t="s">
        <v>420</v>
      </c>
      <c r="M213" t="s">
        <v>6340</v>
      </c>
    </row>
    <row r="214" spans="6:13" x14ac:dyDescent="0.25">
      <c r="F214" t="s">
        <v>605</v>
      </c>
      <c r="G214" t="s">
        <v>1588</v>
      </c>
      <c r="I214" t="s">
        <v>44</v>
      </c>
      <c r="J214" t="s">
        <v>2692</v>
      </c>
      <c r="L214" t="s">
        <v>5044</v>
      </c>
      <c r="M214" t="s">
        <v>5045</v>
      </c>
    </row>
    <row r="215" spans="6:13" x14ac:dyDescent="0.25">
      <c r="F215" t="s">
        <v>605</v>
      </c>
      <c r="G215" t="s">
        <v>860</v>
      </c>
      <c r="I215" t="s">
        <v>414</v>
      </c>
      <c r="J215" t="s">
        <v>6730</v>
      </c>
      <c r="L215" t="s">
        <v>420</v>
      </c>
      <c r="M215" t="s">
        <v>6386</v>
      </c>
    </row>
    <row r="216" spans="6:13" x14ac:dyDescent="0.25">
      <c r="F216" t="s">
        <v>723</v>
      </c>
      <c r="G216" t="s">
        <v>1126</v>
      </c>
      <c r="I216" t="s">
        <v>566</v>
      </c>
      <c r="J216" t="s">
        <v>3980</v>
      </c>
      <c r="L216" t="s">
        <v>483</v>
      </c>
      <c r="M216" t="s">
        <v>4780</v>
      </c>
    </row>
    <row r="217" spans="6:13" x14ac:dyDescent="0.25">
      <c r="F217" t="s">
        <v>43</v>
      </c>
      <c r="G217" t="s">
        <v>1077</v>
      </c>
      <c r="I217" t="s">
        <v>1672</v>
      </c>
      <c r="J217" t="s">
        <v>1673</v>
      </c>
      <c r="L217" t="s">
        <v>271</v>
      </c>
      <c r="M217" t="s">
        <v>6433</v>
      </c>
    </row>
    <row r="218" spans="6:13" x14ac:dyDescent="0.25">
      <c r="F218" t="s">
        <v>592</v>
      </c>
      <c r="G218" t="s">
        <v>1003</v>
      </c>
      <c r="I218" t="s">
        <v>1984</v>
      </c>
      <c r="J218" t="s">
        <v>1985</v>
      </c>
      <c r="L218" t="s">
        <v>4648</v>
      </c>
      <c r="M218" t="s">
        <v>4649</v>
      </c>
    </row>
    <row r="219" spans="6:13" x14ac:dyDescent="0.25">
      <c r="F219" t="s">
        <v>102</v>
      </c>
      <c r="G219" t="s">
        <v>938</v>
      </c>
      <c r="I219" t="s">
        <v>3318</v>
      </c>
      <c r="J219" t="s">
        <v>3319</v>
      </c>
      <c r="L219" t="s">
        <v>41</v>
      </c>
      <c r="M219" t="s">
        <v>4779</v>
      </c>
    </row>
    <row r="220" spans="6:13" x14ac:dyDescent="0.25">
      <c r="F220" t="s">
        <v>41</v>
      </c>
      <c r="G220" t="s">
        <v>1092</v>
      </c>
      <c r="I220" t="s">
        <v>328</v>
      </c>
      <c r="J220" t="s">
        <v>2411</v>
      </c>
      <c r="L220" t="s">
        <v>271</v>
      </c>
      <c r="M220" t="s">
        <v>4902</v>
      </c>
    </row>
    <row r="221" spans="6:13" x14ac:dyDescent="0.25">
      <c r="F221" t="s">
        <v>302</v>
      </c>
      <c r="G221" t="s">
        <v>1159</v>
      </c>
      <c r="I221" t="s">
        <v>425</v>
      </c>
      <c r="J221" t="s">
        <v>6912</v>
      </c>
      <c r="L221" t="s">
        <v>483</v>
      </c>
      <c r="M221" t="s">
        <v>5234</v>
      </c>
    </row>
    <row r="222" spans="6:13" x14ac:dyDescent="0.25">
      <c r="F222" t="s">
        <v>44</v>
      </c>
      <c r="G222" t="s">
        <v>1452</v>
      </c>
      <c r="I222" t="s">
        <v>425</v>
      </c>
      <c r="J222" t="s">
        <v>6868</v>
      </c>
      <c r="L222" t="s">
        <v>474</v>
      </c>
      <c r="M222" t="s">
        <v>6114</v>
      </c>
    </row>
    <row r="223" spans="6:13" x14ac:dyDescent="0.25">
      <c r="F223" t="s">
        <v>694</v>
      </c>
      <c r="G223" t="s">
        <v>971</v>
      </c>
      <c r="I223" t="s">
        <v>328</v>
      </c>
      <c r="J223" t="s">
        <v>3748</v>
      </c>
      <c r="L223" t="s">
        <v>6003</v>
      </c>
      <c r="M223" t="s">
        <v>6004</v>
      </c>
    </row>
    <row r="224" spans="6:13" x14ac:dyDescent="0.25">
      <c r="F224" t="s">
        <v>605</v>
      </c>
      <c r="G224" t="s">
        <v>1418</v>
      </c>
      <c r="I224" t="s">
        <v>2128</v>
      </c>
      <c r="J224" t="s">
        <v>2129</v>
      </c>
      <c r="L224" t="s">
        <v>326</v>
      </c>
      <c r="M224" t="s">
        <v>6300</v>
      </c>
    </row>
    <row r="225" spans="6:13" x14ac:dyDescent="0.25">
      <c r="F225" t="s">
        <v>41</v>
      </c>
      <c r="G225" t="s">
        <v>1328</v>
      </c>
      <c r="I225" t="s">
        <v>2014</v>
      </c>
      <c r="J225" t="s">
        <v>2129</v>
      </c>
      <c r="L225" t="s">
        <v>731</v>
      </c>
      <c r="M225" t="s">
        <v>7176</v>
      </c>
    </row>
    <row r="226" spans="6:13" x14ac:dyDescent="0.25">
      <c r="F226" t="s">
        <v>811</v>
      </c>
      <c r="G226" t="s">
        <v>1516</v>
      </c>
      <c r="I226" t="s">
        <v>328</v>
      </c>
      <c r="J226" t="s">
        <v>3937</v>
      </c>
      <c r="L226" t="s">
        <v>731</v>
      </c>
      <c r="M226" t="s">
        <v>7165</v>
      </c>
    </row>
    <row r="227" spans="6:13" x14ac:dyDescent="0.25">
      <c r="F227" t="s">
        <v>374</v>
      </c>
      <c r="G227" t="s">
        <v>1176</v>
      </c>
      <c r="I227" t="s">
        <v>326</v>
      </c>
      <c r="J227" t="s">
        <v>3710</v>
      </c>
      <c r="L227" t="s">
        <v>130</v>
      </c>
      <c r="M227" t="s">
        <v>6038</v>
      </c>
    </row>
    <row r="228" spans="6:13" x14ac:dyDescent="0.25">
      <c r="F228" t="s">
        <v>422</v>
      </c>
      <c r="G228" t="s">
        <v>1072</v>
      </c>
      <c r="I228" t="s">
        <v>44</v>
      </c>
      <c r="J228" t="s">
        <v>3752</v>
      </c>
      <c r="L228" t="s">
        <v>41</v>
      </c>
      <c r="M228" t="s">
        <v>6607</v>
      </c>
    </row>
    <row r="229" spans="6:13" x14ac:dyDescent="0.25">
      <c r="F229" t="s">
        <v>144</v>
      </c>
      <c r="G229" t="s">
        <v>1014</v>
      </c>
      <c r="I229" t="s">
        <v>1938</v>
      </c>
      <c r="J229" t="s">
        <v>1939</v>
      </c>
      <c r="L229" t="s">
        <v>102</v>
      </c>
      <c r="M229" t="s">
        <v>5916</v>
      </c>
    </row>
    <row r="230" spans="6:13" x14ac:dyDescent="0.25">
      <c r="F230" t="s">
        <v>656</v>
      </c>
      <c r="G230" t="s">
        <v>1531</v>
      </c>
      <c r="I230" t="s">
        <v>414</v>
      </c>
      <c r="J230" t="s">
        <v>2912</v>
      </c>
      <c r="L230" t="s">
        <v>41</v>
      </c>
      <c r="M230" t="s">
        <v>5910</v>
      </c>
    </row>
    <row r="231" spans="6:13" x14ac:dyDescent="0.25">
      <c r="F231" t="s">
        <v>592</v>
      </c>
      <c r="G231" t="s">
        <v>1545</v>
      </c>
      <c r="I231" t="s">
        <v>266</v>
      </c>
      <c r="J231" t="s">
        <v>2090</v>
      </c>
      <c r="L231" t="s">
        <v>4653</v>
      </c>
      <c r="M231" t="s">
        <v>7020</v>
      </c>
    </row>
    <row r="232" spans="6:13" x14ac:dyDescent="0.25">
      <c r="F232" t="s">
        <v>302</v>
      </c>
      <c r="G232" t="s">
        <v>1472</v>
      </c>
      <c r="I232" t="s">
        <v>6813</v>
      </c>
      <c r="J232" t="s">
        <v>4249</v>
      </c>
      <c r="L232" t="s">
        <v>328</v>
      </c>
      <c r="M232" t="s">
        <v>4638</v>
      </c>
    </row>
    <row r="233" spans="6:13" x14ac:dyDescent="0.25">
      <c r="F233" t="s">
        <v>102</v>
      </c>
      <c r="G233" t="s">
        <v>887</v>
      </c>
      <c r="I233" t="s">
        <v>328</v>
      </c>
      <c r="J233" t="s">
        <v>4124</v>
      </c>
      <c r="L233" t="s">
        <v>412</v>
      </c>
      <c r="M233" t="s">
        <v>6554</v>
      </c>
    </row>
    <row r="234" spans="6:13" x14ac:dyDescent="0.25">
      <c r="F234" t="s">
        <v>43</v>
      </c>
      <c r="G234" t="s">
        <v>1431</v>
      </c>
      <c r="I234" t="s">
        <v>328</v>
      </c>
      <c r="J234" t="s">
        <v>2244</v>
      </c>
      <c r="L234" t="s">
        <v>102</v>
      </c>
      <c r="M234" t="s">
        <v>5898</v>
      </c>
    </row>
    <row r="235" spans="6:13" x14ac:dyDescent="0.25">
      <c r="F235" t="s">
        <v>102</v>
      </c>
      <c r="G235" t="s">
        <v>1402</v>
      </c>
      <c r="I235" t="s">
        <v>2398</v>
      </c>
      <c r="J235" t="s">
        <v>2399</v>
      </c>
      <c r="L235" t="s">
        <v>671</v>
      </c>
      <c r="M235" t="s">
        <v>5541</v>
      </c>
    </row>
    <row r="236" spans="6:13" x14ac:dyDescent="0.25">
      <c r="F236" t="s">
        <v>44</v>
      </c>
      <c r="G236" t="s">
        <v>1137</v>
      </c>
      <c r="I236" t="s">
        <v>67</v>
      </c>
      <c r="J236" t="s">
        <v>6818</v>
      </c>
      <c r="L236" t="s">
        <v>731</v>
      </c>
      <c r="M236" t="s">
        <v>7137</v>
      </c>
    </row>
    <row r="237" spans="6:13" x14ac:dyDescent="0.25">
      <c r="F237" t="s">
        <v>434</v>
      </c>
      <c r="G237" t="s">
        <v>1005</v>
      </c>
      <c r="I237" t="s">
        <v>44</v>
      </c>
      <c r="J237" t="s">
        <v>4078</v>
      </c>
      <c r="L237" t="s">
        <v>412</v>
      </c>
      <c r="M237" t="s">
        <v>5015</v>
      </c>
    </row>
    <row r="238" spans="6:13" x14ac:dyDescent="0.25">
      <c r="F238" t="s">
        <v>682</v>
      </c>
      <c r="G238" t="s">
        <v>925</v>
      </c>
      <c r="I238" t="s">
        <v>269</v>
      </c>
      <c r="J238" t="s">
        <v>4295</v>
      </c>
      <c r="L238" t="s">
        <v>600</v>
      </c>
      <c r="M238" t="s">
        <v>6301</v>
      </c>
    </row>
    <row r="239" spans="6:13" x14ac:dyDescent="0.25">
      <c r="F239" t="s">
        <v>102</v>
      </c>
      <c r="G239" t="s">
        <v>1518</v>
      </c>
      <c r="I239" t="s">
        <v>266</v>
      </c>
      <c r="J239" t="s">
        <v>2020</v>
      </c>
      <c r="L239" t="s">
        <v>412</v>
      </c>
      <c r="M239" t="s">
        <v>6528</v>
      </c>
    </row>
    <row r="240" spans="6:13" x14ac:dyDescent="0.25">
      <c r="F240" t="s">
        <v>592</v>
      </c>
      <c r="G240" t="s">
        <v>1065</v>
      </c>
      <c r="I240" t="s">
        <v>6813</v>
      </c>
      <c r="J240" t="s">
        <v>6705</v>
      </c>
      <c r="L240" t="s">
        <v>326</v>
      </c>
      <c r="M240" t="s">
        <v>5923</v>
      </c>
    </row>
    <row r="241" spans="6:13" x14ac:dyDescent="0.25">
      <c r="F241" t="s">
        <v>43</v>
      </c>
      <c r="G241" t="s">
        <v>1578</v>
      </c>
      <c r="I241" t="s">
        <v>44</v>
      </c>
      <c r="J241" t="s">
        <v>3724</v>
      </c>
      <c r="L241" t="s">
        <v>302</v>
      </c>
      <c r="M241" t="s">
        <v>7219</v>
      </c>
    </row>
    <row r="242" spans="6:13" x14ac:dyDescent="0.25">
      <c r="F242" t="s">
        <v>41</v>
      </c>
      <c r="G242" t="s">
        <v>1096</v>
      </c>
      <c r="I242" t="s">
        <v>2110</v>
      </c>
      <c r="J242" t="s">
        <v>3225</v>
      </c>
      <c r="L242" t="s">
        <v>412</v>
      </c>
      <c r="M242" t="s">
        <v>5393</v>
      </c>
    </row>
    <row r="243" spans="6:13" x14ac:dyDescent="0.25">
      <c r="F243" t="s">
        <v>656</v>
      </c>
      <c r="G243" t="s">
        <v>972</v>
      </c>
      <c r="I243" t="s">
        <v>414</v>
      </c>
      <c r="J243" t="s">
        <v>6718</v>
      </c>
      <c r="L243" t="s">
        <v>302</v>
      </c>
      <c r="M243" t="s">
        <v>7172</v>
      </c>
    </row>
    <row r="244" spans="6:13" x14ac:dyDescent="0.25">
      <c r="F244" t="s">
        <v>102</v>
      </c>
      <c r="G244" t="s">
        <v>1248</v>
      </c>
      <c r="I244" t="s">
        <v>6830</v>
      </c>
      <c r="J244" t="s">
        <v>2033</v>
      </c>
      <c r="L244" t="s">
        <v>302</v>
      </c>
      <c r="M244" t="s">
        <v>4952</v>
      </c>
    </row>
    <row r="245" spans="6:13" x14ac:dyDescent="0.25">
      <c r="F245" t="s">
        <v>363</v>
      </c>
      <c r="G245" t="s">
        <v>1367</v>
      </c>
      <c r="I245" t="s">
        <v>6733</v>
      </c>
      <c r="J245" t="s">
        <v>4278</v>
      </c>
      <c r="L245" t="s">
        <v>467</v>
      </c>
      <c r="M245" t="s">
        <v>5551</v>
      </c>
    </row>
    <row r="246" spans="6:13" x14ac:dyDescent="0.25">
      <c r="F246" t="s">
        <v>438</v>
      </c>
      <c r="G246" t="s">
        <v>1564</v>
      </c>
      <c r="I246" t="s">
        <v>4954</v>
      </c>
      <c r="J246" t="s">
        <v>6971</v>
      </c>
      <c r="L246" t="s">
        <v>373</v>
      </c>
      <c r="M246" t="s">
        <v>4859</v>
      </c>
    </row>
    <row r="247" spans="6:13" x14ac:dyDescent="0.25">
      <c r="F247" t="s">
        <v>819</v>
      </c>
      <c r="G247" t="s">
        <v>1571</v>
      </c>
      <c r="I247" t="s">
        <v>6733</v>
      </c>
      <c r="J247" t="s">
        <v>3203</v>
      </c>
      <c r="L247" t="s">
        <v>302</v>
      </c>
      <c r="M247" t="s">
        <v>6499</v>
      </c>
    </row>
    <row r="248" spans="6:13" x14ac:dyDescent="0.25">
      <c r="F248" t="s">
        <v>302</v>
      </c>
      <c r="G248" t="s">
        <v>1644</v>
      </c>
      <c r="I248" t="s">
        <v>267</v>
      </c>
      <c r="J248" t="s">
        <v>4509</v>
      </c>
      <c r="L248" t="s">
        <v>467</v>
      </c>
      <c r="M248" t="s">
        <v>5799</v>
      </c>
    </row>
    <row r="249" spans="6:13" x14ac:dyDescent="0.25">
      <c r="F249" t="s">
        <v>597</v>
      </c>
      <c r="G249" t="s">
        <v>1573</v>
      </c>
      <c r="I249" t="s">
        <v>44</v>
      </c>
      <c r="J249" t="s">
        <v>3595</v>
      </c>
      <c r="L249" t="s">
        <v>302</v>
      </c>
      <c r="M249" t="s">
        <v>5001</v>
      </c>
    </row>
    <row r="250" spans="6:13" x14ac:dyDescent="0.25">
      <c r="F250" t="s">
        <v>777</v>
      </c>
      <c r="G250" t="s">
        <v>1364</v>
      </c>
      <c r="I250" t="s">
        <v>267</v>
      </c>
      <c r="J250" t="s">
        <v>3066</v>
      </c>
      <c r="L250" t="s">
        <v>4919</v>
      </c>
      <c r="M250" t="s">
        <v>5738</v>
      </c>
    </row>
    <row r="251" spans="6:13" x14ac:dyDescent="0.25">
      <c r="F251" t="s">
        <v>41</v>
      </c>
      <c r="G251" t="s">
        <v>1059</v>
      </c>
      <c r="I251" t="s">
        <v>266</v>
      </c>
      <c r="J251" t="s">
        <v>4411</v>
      </c>
      <c r="L251" t="s">
        <v>102</v>
      </c>
      <c r="M251" t="s">
        <v>5308</v>
      </c>
    </row>
    <row r="252" spans="6:13" x14ac:dyDescent="0.25">
      <c r="F252" t="s">
        <v>712</v>
      </c>
      <c r="G252" t="s">
        <v>1047</v>
      </c>
      <c r="I252" t="s">
        <v>3676</v>
      </c>
      <c r="J252" t="s">
        <v>3677</v>
      </c>
      <c r="L252" t="s">
        <v>302</v>
      </c>
      <c r="M252" t="s">
        <v>6012</v>
      </c>
    </row>
    <row r="253" spans="6:13" x14ac:dyDescent="0.25">
      <c r="F253" t="s">
        <v>373</v>
      </c>
      <c r="G253" t="s">
        <v>1440</v>
      </c>
      <c r="I253" t="s">
        <v>266</v>
      </c>
      <c r="J253" t="s">
        <v>1662</v>
      </c>
      <c r="L253" t="s">
        <v>600</v>
      </c>
      <c r="M253" t="s">
        <v>6504</v>
      </c>
    </row>
    <row r="254" spans="6:13" x14ac:dyDescent="0.25">
      <c r="F254" t="s">
        <v>605</v>
      </c>
      <c r="G254" t="s">
        <v>1546</v>
      </c>
      <c r="I254" t="s">
        <v>3784</v>
      </c>
      <c r="J254" t="s">
        <v>3785</v>
      </c>
      <c r="L254" t="s">
        <v>41</v>
      </c>
      <c r="M254" t="s">
        <v>5956</v>
      </c>
    </row>
    <row r="255" spans="6:13" x14ac:dyDescent="0.25">
      <c r="F255" t="s">
        <v>302</v>
      </c>
      <c r="G255" t="s">
        <v>1182</v>
      </c>
      <c r="I255" t="s">
        <v>6813</v>
      </c>
      <c r="J255" t="s">
        <v>2429</v>
      </c>
      <c r="L255" t="s">
        <v>422</v>
      </c>
      <c r="M255" t="s">
        <v>6458</v>
      </c>
    </row>
    <row r="256" spans="6:13" x14ac:dyDescent="0.25">
      <c r="F256" t="s">
        <v>302</v>
      </c>
      <c r="G256" t="s">
        <v>1589</v>
      </c>
      <c r="I256" t="s">
        <v>267</v>
      </c>
      <c r="J256" t="s">
        <v>6984</v>
      </c>
      <c r="L256" t="s">
        <v>6317</v>
      </c>
      <c r="M256" t="s">
        <v>6318</v>
      </c>
    </row>
    <row r="257" spans="6:13" x14ac:dyDescent="0.25">
      <c r="F257" t="s">
        <v>41</v>
      </c>
      <c r="G257" t="s">
        <v>1079</v>
      </c>
      <c r="I257" t="s">
        <v>67</v>
      </c>
      <c r="J257" t="s">
        <v>6864</v>
      </c>
      <c r="L257" t="s">
        <v>5463</v>
      </c>
      <c r="M257" t="s">
        <v>7112</v>
      </c>
    </row>
    <row r="258" spans="6:13" x14ac:dyDescent="0.25">
      <c r="F258" t="s">
        <v>41</v>
      </c>
      <c r="G258" t="s">
        <v>1071</v>
      </c>
      <c r="I258" t="s">
        <v>267</v>
      </c>
      <c r="J258" t="s">
        <v>3742</v>
      </c>
      <c r="L258" t="s">
        <v>412</v>
      </c>
      <c r="M258" t="s">
        <v>5964</v>
      </c>
    </row>
    <row r="259" spans="6:13" x14ac:dyDescent="0.25">
      <c r="F259" t="s">
        <v>129</v>
      </c>
      <c r="G259" t="s">
        <v>921</v>
      </c>
      <c r="I259" t="s">
        <v>420</v>
      </c>
      <c r="J259" t="s">
        <v>2486</v>
      </c>
      <c r="L259" t="s">
        <v>302</v>
      </c>
      <c r="M259" t="s">
        <v>5407</v>
      </c>
    </row>
    <row r="260" spans="6:13" x14ac:dyDescent="0.25">
      <c r="F260" t="s">
        <v>144</v>
      </c>
      <c r="G260" t="s">
        <v>1537</v>
      </c>
      <c r="I260" t="s">
        <v>267</v>
      </c>
      <c r="J260" t="s">
        <v>3380</v>
      </c>
      <c r="L260" t="s">
        <v>5988</v>
      </c>
      <c r="M260" t="s">
        <v>5989</v>
      </c>
    </row>
    <row r="261" spans="6:13" x14ac:dyDescent="0.25">
      <c r="F261" t="s">
        <v>373</v>
      </c>
      <c r="G261" t="s">
        <v>1500</v>
      </c>
      <c r="I261" t="s">
        <v>1777</v>
      </c>
      <c r="J261" t="s">
        <v>1864</v>
      </c>
      <c r="L261" t="s">
        <v>474</v>
      </c>
      <c r="M261" t="s">
        <v>5248</v>
      </c>
    </row>
    <row r="262" spans="6:13" x14ac:dyDescent="0.25">
      <c r="F262" t="s">
        <v>656</v>
      </c>
      <c r="G262" t="s">
        <v>1128</v>
      </c>
      <c r="I262" t="s">
        <v>6813</v>
      </c>
      <c r="J262" t="s">
        <v>4003</v>
      </c>
      <c r="L262" t="s">
        <v>302</v>
      </c>
      <c r="M262" t="s">
        <v>4651</v>
      </c>
    </row>
    <row r="263" spans="6:13" x14ac:dyDescent="0.25">
      <c r="F263" t="s">
        <v>801</v>
      </c>
      <c r="G263" t="s">
        <v>1456</v>
      </c>
      <c r="I263" t="s">
        <v>3168</v>
      </c>
      <c r="J263" t="s">
        <v>3169</v>
      </c>
      <c r="L263" t="s">
        <v>4028</v>
      </c>
      <c r="M263" t="s">
        <v>5806</v>
      </c>
    </row>
    <row r="264" spans="6:13" x14ac:dyDescent="0.25">
      <c r="F264" t="s">
        <v>302</v>
      </c>
      <c r="G264" t="s">
        <v>939</v>
      </c>
      <c r="I264" t="s">
        <v>597</v>
      </c>
      <c r="J264" t="s">
        <v>2589</v>
      </c>
      <c r="L264" t="s">
        <v>302</v>
      </c>
      <c r="M264" t="s">
        <v>7127</v>
      </c>
    </row>
    <row r="265" spans="6:13" x14ac:dyDescent="0.25">
      <c r="F265" t="s">
        <v>41</v>
      </c>
      <c r="G265" t="s">
        <v>834</v>
      </c>
      <c r="I265" t="s">
        <v>130</v>
      </c>
      <c r="J265" t="s">
        <v>2179</v>
      </c>
      <c r="L265" t="s">
        <v>302</v>
      </c>
      <c r="M265" t="s">
        <v>4881</v>
      </c>
    </row>
    <row r="266" spans="6:13" x14ac:dyDescent="0.25">
      <c r="F266" t="s">
        <v>373</v>
      </c>
      <c r="G266" t="s">
        <v>1256</v>
      </c>
      <c r="I266" t="s">
        <v>296</v>
      </c>
      <c r="J266" t="s">
        <v>6948</v>
      </c>
      <c r="L266" t="s">
        <v>50</v>
      </c>
      <c r="M266" t="s">
        <v>5733</v>
      </c>
    </row>
    <row r="267" spans="6:13" x14ac:dyDescent="0.25">
      <c r="F267" t="s">
        <v>680</v>
      </c>
      <c r="G267" t="s">
        <v>917</v>
      </c>
      <c r="I267" t="s">
        <v>2491</v>
      </c>
      <c r="J267" t="s">
        <v>2492</v>
      </c>
      <c r="L267" t="s">
        <v>6351</v>
      </c>
      <c r="M267" t="s">
        <v>6352</v>
      </c>
    </row>
    <row r="268" spans="6:13" x14ac:dyDescent="0.25">
      <c r="F268" t="s">
        <v>597</v>
      </c>
      <c r="G268" t="s">
        <v>1153</v>
      </c>
      <c r="I268" t="s">
        <v>6813</v>
      </c>
      <c r="J268" t="s">
        <v>4345</v>
      </c>
      <c r="L268" t="s">
        <v>731</v>
      </c>
      <c r="M268" t="s">
        <v>7231</v>
      </c>
    </row>
    <row r="269" spans="6:13" x14ac:dyDescent="0.25">
      <c r="F269" t="s">
        <v>662</v>
      </c>
      <c r="G269" t="s">
        <v>852</v>
      </c>
      <c r="I269" t="s">
        <v>6626</v>
      </c>
      <c r="J269" t="s">
        <v>3929</v>
      </c>
      <c r="L269" t="s">
        <v>41</v>
      </c>
      <c r="M269" t="s">
        <v>6208</v>
      </c>
    </row>
    <row r="270" spans="6:13" x14ac:dyDescent="0.25">
      <c r="F270" t="s">
        <v>634</v>
      </c>
      <c r="G270" t="s">
        <v>842</v>
      </c>
      <c r="I270" t="s">
        <v>1966</v>
      </c>
      <c r="J270" t="s">
        <v>1967</v>
      </c>
      <c r="L270" t="s">
        <v>486</v>
      </c>
      <c r="M270" t="s">
        <v>6040</v>
      </c>
    </row>
    <row r="271" spans="6:13" x14ac:dyDescent="0.25">
      <c r="F271" t="s">
        <v>41</v>
      </c>
      <c r="G271" t="s">
        <v>1288</v>
      </c>
      <c r="I271" t="s">
        <v>267</v>
      </c>
      <c r="J271" t="s">
        <v>1766</v>
      </c>
      <c r="L271" t="s">
        <v>330</v>
      </c>
      <c r="M271" t="s">
        <v>6398</v>
      </c>
    </row>
    <row r="272" spans="6:13" x14ac:dyDescent="0.25">
      <c r="F272" t="s">
        <v>302</v>
      </c>
      <c r="G272" t="s">
        <v>1101</v>
      </c>
      <c r="I272" t="s">
        <v>299</v>
      </c>
      <c r="J272" t="s">
        <v>2815</v>
      </c>
      <c r="L272" t="s">
        <v>41</v>
      </c>
      <c r="M272" t="s">
        <v>4817</v>
      </c>
    </row>
    <row r="273" spans="6:13" x14ac:dyDescent="0.25">
      <c r="F273" t="s">
        <v>102</v>
      </c>
      <c r="G273" t="s">
        <v>1439</v>
      </c>
      <c r="I273" t="s">
        <v>328</v>
      </c>
      <c r="J273" t="s">
        <v>2611</v>
      </c>
      <c r="L273" t="s">
        <v>412</v>
      </c>
      <c r="M273" t="s">
        <v>7021</v>
      </c>
    </row>
    <row r="274" spans="6:13" x14ac:dyDescent="0.25">
      <c r="F274" t="s">
        <v>597</v>
      </c>
      <c r="G274" t="s">
        <v>1201</v>
      </c>
      <c r="I274" t="s">
        <v>2065</v>
      </c>
      <c r="J274" t="s">
        <v>2066</v>
      </c>
      <c r="L274" t="s">
        <v>302</v>
      </c>
      <c r="M274" t="s">
        <v>5563</v>
      </c>
    </row>
    <row r="275" spans="6:13" x14ac:dyDescent="0.25">
      <c r="F275" t="s">
        <v>672</v>
      </c>
      <c r="G275" t="s">
        <v>882</v>
      </c>
      <c r="I275" t="s">
        <v>267</v>
      </c>
      <c r="J275" t="s">
        <v>2500</v>
      </c>
      <c r="L275" t="s">
        <v>43</v>
      </c>
      <c r="M275" t="s">
        <v>4918</v>
      </c>
    </row>
    <row r="276" spans="6:13" x14ac:dyDescent="0.25">
      <c r="F276" t="s">
        <v>102</v>
      </c>
      <c r="G276" t="s">
        <v>1469</v>
      </c>
      <c r="I276" t="s">
        <v>266</v>
      </c>
      <c r="J276" t="s">
        <v>2490</v>
      </c>
      <c r="L276" t="s">
        <v>6431</v>
      </c>
      <c r="M276" t="s">
        <v>6432</v>
      </c>
    </row>
    <row r="277" spans="6:13" x14ac:dyDescent="0.25">
      <c r="F277" t="s">
        <v>597</v>
      </c>
      <c r="G277" t="s">
        <v>942</v>
      </c>
      <c r="I277" t="s">
        <v>2128</v>
      </c>
      <c r="J277" t="s">
        <v>2620</v>
      </c>
      <c r="L277" t="s">
        <v>600</v>
      </c>
      <c r="M277" t="s">
        <v>6417</v>
      </c>
    </row>
    <row r="278" spans="6:13" x14ac:dyDescent="0.25">
      <c r="F278" t="s">
        <v>41</v>
      </c>
      <c r="G278" t="s">
        <v>1277</v>
      </c>
      <c r="I278" t="s">
        <v>6723</v>
      </c>
      <c r="J278" t="s">
        <v>2620</v>
      </c>
      <c r="L278" t="s">
        <v>731</v>
      </c>
      <c r="M278" t="s">
        <v>7202</v>
      </c>
    </row>
    <row r="279" spans="6:13" x14ac:dyDescent="0.25">
      <c r="F279" t="s">
        <v>41</v>
      </c>
      <c r="G279" t="s">
        <v>1305</v>
      </c>
      <c r="I279" t="s">
        <v>420</v>
      </c>
      <c r="J279" t="s">
        <v>2501</v>
      </c>
      <c r="L279" t="s">
        <v>5646</v>
      </c>
      <c r="M279" t="s">
        <v>5647</v>
      </c>
    </row>
    <row r="280" spans="6:13" x14ac:dyDescent="0.25">
      <c r="F280" t="s">
        <v>102</v>
      </c>
      <c r="G280" t="s">
        <v>1050</v>
      </c>
      <c r="I280" t="s">
        <v>267</v>
      </c>
      <c r="J280" t="s">
        <v>2505</v>
      </c>
      <c r="L280" t="s">
        <v>474</v>
      </c>
      <c r="M280" t="s">
        <v>5307</v>
      </c>
    </row>
    <row r="281" spans="6:13" x14ac:dyDescent="0.25">
      <c r="F281" t="s">
        <v>41</v>
      </c>
      <c r="G281" t="s">
        <v>848</v>
      </c>
      <c r="I281" t="s">
        <v>6813</v>
      </c>
      <c r="J281" t="s">
        <v>3564</v>
      </c>
      <c r="L281" t="s">
        <v>600</v>
      </c>
      <c r="M281" t="s">
        <v>5962</v>
      </c>
    </row>
    <row r="282" spans="6:13" x14ac:dyDescent="0.25">
      <c r="F282" t="s">
        <v>129</v>
      </c>
      <c r="G282" t="s">
        <v>843</v>
      </c>
      <c r="I282" t="s">
        <v>418</v>
      </c>
      <c r="J282" t="s">
        <v>3617</v>
      </c>
      <c r="L282" t="s">
        <v>6083</v>
      </c>
      <c r="M282" t="s">
        <v>6084</v>
      </c>
    </row>
    <row r="283" spans="6:13" x14ac:dyDescent="0.25">
      <c r="F283" t="s">
        <v>41</v>
      </c>
      <c r="G283" t="s">
        <v>1474</v>
      </c>
      <c r="I283" t="s">
        <v>418</v>
      </c>
      <c r="J283" t="s">
        <v>4001</v>
      </c>
      <c r="L283" t="s">
        <v>373</v>
      </c>
      <c r="M283" t="s">
        <v>5093</v>
      </c>
    </row>
    <row r="284" spans="6:13" x14ac:dyDescent="0.25">
      <c r="F284" t="s">
        <v>695</v>
      </c>
      <c r="G284" t="s">
        <v>974</v>
      </c>
      <c r="I284" t="s">
        <v>49</v>
      </c>
      <c r="J284" t="s">
        <v>3822</v>
      </c>
      <c r="L284" t="s">
        <v>5745</v>
      </c>
      <c r="M284" t="s">
        <v>5746</v>
      </c>
    </row>
    <row r="285" spans="6:13" x14ac:dyDescent="0.25">
      <c r="F285" t="s">
        <v>102</v>
      </c>
      <c r="G285" t="s">
        <v>1499</v>
      </c>
      <c r="I285" t="s">
        <v>6733</v>
      </c>
      <c r="J285" t="s">
        <v>4099</v>
      </c>
      <c r="L285" t="s">
        <v>422</v>
      </c>
      <c r="M285" t="s">
        <v>5441</v>
      </c>
    </row>
    <row r="286" spans="6:13" x14ac:dyDescent="0.25">
      <c r="F286" t="s">
        <v>102</v>
      </c>
      <c r="G286" t="s">
        <v>1150</v>
      </c>
      <c r="I286" t="s">
        <v>6832</v>
      </c>
      <c r="J286" t="s">
        <v>2892</v>
      </c>
      <c r="L286" t="s">
        <v>40</v>
      </c>
      <c r="M286" t="s">
        <v>4917</v>
      </c>
    </row>
    <row r="287" spans="6:13" x14ac:dyDescent="0.25">
      <c r="F287" t="s">
        <v>53</v>
      </c>
      <c r="G287" t="s">
        <v>1369</v>
      </c>
      <c r="I287" t="s">
        <v>418</v>
      </c>
      <c r="J287" t="s">
        <v>3625</v>
      </c>
      <c r="L287" t="s">
        <v>731</v>
      </c>
      <c r="M287" t="s">
        <v>7148</v>
      </c>
    </row>
    <row r="288" spans="6:13" x14ac:dyDescent="0.25">
      <c r="F288" t="s">
        <v>660</v>
      </c>
      <c r="G288" t="s">
        <v>841</v>
      </c>
      <c r="I288" t="s">
        <v>99</v>
      </c>
      <c r="J288" t="s">
        <v>3993</v>
      </c>
      <c r="L288" t="s">
        <v>41</v>
      </c>
      <c r="M288" t="s">
        <v>5914</v>
      </c>
    </row>
    <row r="289" spans="6:13" x14ac:dyDescent="0.25">
      <c r="F289" t="s">
        <v>711</v>
      </c>
      <c r="G289" t="s">
        <v>1039</v>
      </c>
      <c r="I289" t="s">
        <v>2614</v>
      </c>
      <c r="J289" t="s">
        <v>3414</v>
      </c>
      <c r="L289" t="s">
        <v>302</v>
      </c>
      <c r="M289" t="s">
        <v>7042</v>
      </c>
    </row>
    <row r="290" spans="6:13" x14ac:dyDescent="0.25">
      <c r="F290" t="s">
        <v>41</v>
      </c>
      <c r="G290" t="s">
        <v>1061</v>
      </c>
      <c r="I290" t="s">
        <v>267</v>
      </c>
      <c r="J290" t="s">
        <v>3684</v>
      </c>
      <c r="L290" t="s">
        <v>731</v>
      </c>
      <c r="M290" t="s">
        <v>7121</v>
      </c>
    </row>
    <row r="291" spans="6:13" x14ac:dyDescent="0.25">
      <c r="F291" t="s">
        <v>592</v>
      </c>
      <c r="G291" t="s">
        <v>1568</v>
      </c>
      <c r="I291" t="s">
        <v>412</v>
      </c>
      <c r="J291" t="s">
        <v>6913</v>
      </c>
      <c r="L291" t="s">
        <v>302</v>
      </c>
      <c r="M291" t="s">
        <v>7012</v>
      </c>
    </row>
    <row r="292" spans="6:13" x14ac:dyDescent="0.25">
      <c r="F292" t="s">
        <v>681</v>
      </c>
      <c r="G292" t="s">
        <v>924</v>
      </c>
      <c r="I292" t="s">
        <v>566</v>
      </c>
      <c r="J292" t="s">
        <v>2941</v>
      </c>
      <c r="L292" t="s">
        <v>412</v>
      </c>
      <c r="M292" t="s">
        <v>7226</v>
      </c>
    </row>
    <row r="293" spans="6:13" x14ac:dyDescent="0.25">
      <c r="F293" t="s">
        <v>41</v>
      </c>
      <c r="G293" t="s">
        <v>851</v>
      </c>
      <c r="I293" t="s">
        <v>50</v>
      </c>
      <c r="J293" t="s">
        <v>1825</v>
      </c>
      <c r="L293" t="s">
        <v>412</v>
      </c>
      <c r="M293" t="s">
        <v>4695</v>
      </c>
    </row>
    <row r="294" spans="6:13" x14ac:dyDescent="0.25">
      <c r="F294" t="s">
        <v>373</v>
      </c>
      <c r="G294" t="s">
        <v>1614</v>
      </c>
      <c r="I294" t="s">
        <v>2398</v>
      </c>
      <c r="J294" t="s">
        <v>3590</v>
      </c>
      <c r="L294" t="s">
        <v>302</v>
      </c>
      <c r="M294" t="s">
        <v>5021</v>
      </c>
    </row>
    <row r="295" spans="6:13" x14ac:dyDescent="0.25">
      <c r="F295" t="s">
        <v>656</v>
      </c>
      <c r="G295" t="s">
        <v>6657</v>
      </c>
      <c r="I295" t="s">
        <v>267</v>
      </c>
      <c r="J295" t="s">
        <v>2618</v>
      </c>
      <c r="L295" t="s">
        <v>412</v>
      </c>
      <c r="M295" t="s">
        <v>7096</v>
      </c>
    </row>
    <row r="296" spans="6:13" x14ac:dyDescent="0.25">
      <c r="F296" t="s">
        <v>592</v>
      </c>
      <c r="G296" t="s">
        <v>959</v>
      </c>
      <c r="I296" t="s">
        <v>266</v>
      </c>
      <c r="J296" t="s">
        <v>2595</v>
      </c>
      <c r="L296" t="s">
        <v>684</v>
      </c>
      <c r="M296" t="s">
        <v>5721</v>
      </c>
    </row>
    <row r="297" spans="6:13" x14ac:dyDescent="0.25">
      <c r="F297" t="s">
        <v>597</v>
      </c>
      <c r="G297" t="s">
        <v>947</v>
      </c>
      <c r="I297" t="s">
        <v>412</v>
      </c>
      <c r="J297" t="s">
        <v>6909</v>
      </c>
      <c r="L297" t="s">
        <v>302</v>
      </c>
      <c r="M297" t="s">
        <v>4593</v>
      </c>
    </row>
    <row r="298" spans="6:13" x14ac:dyDescent="0.25">
      <c r="F298" t="s">
        <v>102</v>
      </c>
      <c r="G298" t="s">
        <v>984</v>
      </c>
      <c r="I298" t="s">
        <v>326</v>
      </c>
      <c r="J298" t="s">
        <v>2445</v>
      </c>
      <c r="L298" t="s">
        <v>102</v>
      </c>
      <c r="M298" t="s">
        <v>6514</v>
      </c>
    </row>
    <row r="299" spans="6:13" x14ac:dyDescent="0.25">
      <c r="F299" t="s">
        <v>50</v>
      </c>
      <c r="G299" t="s">
        <v>1147</v>
      </c>
      <c r="I299" t="s">
        <v>2381</v>
      </c>
      <c r="J299" t="s">
        <v>4482</v>
      </c>
      <c r="L299" t="s">
        <v>5967</v>
      </c>
      <c r="M299" t="s">
        <v>5968</v>
      </c>
    </row>
    <row r="300" spans="6:13" x14ac:dyDescent="0.25">
      <c r="F300" t="s">
        <v>756</v>
      </c>
      <c r="G300" t="s">
        <v>1274</v>
      </c>
      <c r="I300" t="s">
        <v>418</v>
      </c>
      <c r="J300" t="s">
        <v>4114</v>
      </c>
      <c r="L300" t="s">
        <v>40</v>
      </c>
      <c r="M300" t="s">
        <v>6589</v>
      </c>
    </row>
    <row r="301" spans="6:13" x14ac:dyDescent="0.25">
      <c r="F301" t="s">
        <v>508</v>
      </c>
      <c r="G301" t="s">
        <v>1114</v>
      </c>
      <c r="I301" t="s">
        <v>289</v>
      </c>
      <c r="J301" t="s">
        <v>3088</v>
      </c>
      <c r="L301" t="s">
        <v>731</v>
      </c>
      <c r="M301" t="s">
        <v>7199</v>
      </c>
    </row>
    <row r="302" spans="6:13" x14ac:dyDescent="0.25">
      <c r="F302" t="s">
        <v>813</v>
      </c>
      <c r="G302" t="s">
        <v>1528</v>
      </c>
      <c r="I302" t="s">
        <v>267</v>
      </c>
      <c r="J302" t="s">
        <v>4290</v>
      </c>
      <c r="L302" t="s">
        <v>5047</v>
      </c>
      <c r="M302" t="s">
        <v>5048</v>
      </c>
    </row>
    <row r="303" spans="6:13" x14ac:dyDescent="0.25">
      <c r="F303" t="s">
        <v>724</v>
      </c>
      <c r="G303" t="s">
        <v>1603</v>
      </c>
      <c r="I303" t="s">
        <v>328</v>
      </c>
      <c r="J303" t="s">
        <v>3051</v>
      </c>
      <c r="L303" t="s">
        <v>6117</v>
      </c>
      <c r="M303" t="s">
        <v>6118</v>
      </c>
    </row>
    <row r="304" spans="6:13" x14ac:dyDescent="0.25">
      <c r="F304" t="s">
        <v>41</v>
      </c>
      <c r="G304" t="s">
        <v>1599</v>
      </c>
      <c r="I304" t="s">
        <v>328</v>
      </c>
      <c r="J304" t="s">
        <v>2448</v>
      </c>
      <c r="L304" t="s">
        <v>40</v>
      </c>
      <c r="M304" t="s">
        <v>5438</v>
      </c>
    </row>
    <row r="305" spans="6:13" x14ac:dyDescent="0.25">
      <c r="F305" t="s">
        <v>821</v>
      </c>
      <c r="G305" t="s">
        <v>1585</v>
      </c>
      <c r="I305" t="s">
        <v>328</v>
      </c>
      <c r="J305" t="s">
        <v>6914</v>
      </c>
      <c r="L305" t="s">
        <v>4684</v>
      </c>
      <c r="M305" t="s">
        <v>4685</v>
      </c>
    </row>
    <row r="306" spans="6:13" x14ac:dyDescent="0.25">
      <c r="F306" t="s">
        <v>422</v>
      </c>
      <c r="G306" t="s">
        <v>1224</v>
      </c>
      <c r="I306" t="s">
        <v>2526</v>
      </c>
      <c r="J306" t="s">
        <v>3221</v>
      </c>
      <c r="L306" t="s">
        <v>483</v>
      </c>
      <c r="M306" t="s">
        <v>6077</v>
      </c>
    </row>
    <row r="307" spans="6:13" x14ac:dyDescent="0.25">
      <c r="F307" t="s">
        <v>373</v>
      </c>
      <c r="G307" t="s">
        <v>1230</v>
      </c>
      <c r="I307" t="s">
        <v>49</v>
      </c>
      <c r="J307" t="s">
        <v>2697</v>
      </c>
      <c r="L307" t="s">
        <v>302</v>
      </c>
      <c r="M307" t="s">
        <v>4747</v>
      </c>
    </row>
    <row r="308" spans="6:13" x14ac:dyDescent="0.25">
      <c r="F308" t="s">
        <v>595</v>
      </c>
      <c r="G308" t="s">
        <v>1015</v>
      </c>
      <c r="I308" t="s">
        <v>130</v>
      </c>
      <c r="J308" t="s">
        <v>1793</v>
      </c>
      <c r="L308" t="s">
        <v>5636</v>
      </c>
      <c r="M308" t="s">
        <v>6112</v>
      </c>
    </row>
    <row r="309" spans="6:13" x14ac:dyDescent="0.25">
      <c r="F309" t="s">
        <v>422</v>
      </c>
      <c r="G309" t="s">
        <v>1525</v>
      </c>
      <c r="I309" t="s">
        <v>266</v>
      </c>
      <c r="J309" t="s">
        <v>3101</v>
      </c>
      <c r="L309" t="s">
        <v>4906</v>
      </c>
      <c r="M309" t="s">
        <v>4907</v>
      </c>
    </row>
    <row r="310" spans="6:13" x14ac:dyDescent="0.25">
      <c r="F310" t="s">
        <v>102</v>
      </c>
      <c r="G310" t="s">
        <v>1244</v>
      </c>
      <c r="I310" t="s">
        <v>299</v>
      </c>
      <c r="J310" t="s">
        <v>2547</v>
      </c>
      <c r="L310" t="s">
        <v>412</v>
      </c>
      <c r="M310" t="s">
        <v>7115</v>
      </c>
    </row>
    <row r="311" spans="6:13" x14ac:dyDescent="0.25">
      <c r="F311" t="s">
        <v>636</v>
      </c>
      <c r="G311" t="s">
        <v>1223</v>
      </c>
      <c r="I311" t="s">
        <v>49</v>
      </c>
      <c r="J311" t="s">
        <v>4119</v>
      </c>
      <c r="L311" t="s">
        <v>483</v>
      </c>
      <c r="M311" t="s">
        <v>4874</v>
      </c>
    </row>
    <row r="312" spans="6:13" x14ac:dyDescent="0.25">
      <c r="F312" t="s">
        <v>41</v>
      </c>
      <c r="G312" t="s">
        <v>1357</v>
      </c>
      <c r="I312" t="s">
        <v>2118</v>
      </c>
      <c r="J312" t="s">
        <v>2119</v>
      </c>
      <c r="L312" t="s">
        <v>25</v>
      </c>
      <c r="M312" t="s">
        <v>5880</v>
      </c>
    </row>
    <row r="313" spans="6:13" x14ac:dyDescent="0.25">
      <c r="F313" t="s">
        <v>748</v>
      </c>
      <c r="G313" t="s">
        <v>1221</v>
      </c>
      <c r="I313" t="s">
        <v>4245</v>
      </c>
      <c r="J313" t="s">
        <v>4246</v>
      </c>
      <c r="L313" t="s">
        <v>4962</v>
      </c>
      <c r="M313" t="s">
        <v>4963</v>
      </c>
    </row>
    <row r="314" spans="6:13" x14ac:dyDescent="0.25">
      <c r="F314" t="s">
        <v>758</v>
      </c>
      <c r="G314" t="s">
        <v>1280</v>
      </c>
      <c r="I314" t="s">
        <v>328</v>
      </c>
      <c r="J314" t="s">
        <v>4143</v>
      </c>
      <c r="L314" t="s">
        <v>330</v>
      </c>
      <c r="M314" t="s">
        <v>6205</v>
      </c>
    </row>
    <row r="315" spans="6:13" x14ac:dyDescent="0.25">
      <c r="F315" t="s">
        <v>597</v>
      </c>
      <c r="G315" t="s">
        <v>1197</v>
      </c>
      <c r="I315" t="s">
        <v>581</v>
      </c>
      <c r="J315" t="s">
        <v>3386</v>
      </c>
      <c r="L315" t="s">
        <v>4919</v>
      </c>
      <c r="M315" t="s">
        <v>4920</v>
      </c>
    </row>
    <row r="316" spans="6:13" x14ac:dyDescent="0.25">
      <c r="F316" t="s">
        <v>592</v>
      </c>
      <c r="G316" t="s">
        <v>941</v>
      </c>
      <c r="I316" t="s">
        <v>597</v>
      </c>
      <c r="J316" t="s">
        <v>3262</v>
      </c>
      <c r="L316" t="s">
        <v>5047</v>
      </c>
      <c r="M316" t="s">
        <v>5174</v>
      </c>
    </row>
    <row r="317" spans="6:13" x14ac:dyDescent="0.25">
      <c r="F317" t="s">
        <v>605</v>
      </c>
      <c r="G317" t="s">
        <v>1238</v>
      </c>
      <c r="I317" t="s">
        <v>412</v>
      </c>
      <c r="J317" t="s">
        <v>6949</v>
      </c>
      <c r="L317" t="s">
        <v>296</v>
      </c>
      <c r="M317" t="s">
        <v>5067</v>
      </c>
    </row>
    <row r="318" spans="6:13" x14ac:dyDescent="0.25">
      <c r="F318" t="s">
        <v>662</v>
      </c>
      <c r="G318" t="s">
        <v>1104</v>
      </c>
      <c r="I318" t="s">
        <v>267</v>
      </c>
      <c r="J318" t="s">
        <v>3660</v>
      </c>
      <c r="L318" t="s">
        <v>5113</v>
      </c>
      <c r="M318" t="s">
        <v>6279</v>
      </c>
    </row>
    <row r="319" spans="6:13" x14ac:dyDescent="0.25">
      <c r="F319" t="s">
        <v>373</v>
      </c>
      <c r="G319" t="s">
        <v>1057</v>
      </c>
      <c r="I319" t="s">
        <v>6813</v>
      </c>
      <c r="J319" t="s">
        <v>3417</v>
      </c>
      <c r="L319" t="s">
        <v>731</v>
      </c>
      <c r="M319" t="s">
        <v>7058</v>
      </c>
    </row>
    <row r="320" spans="6:13" x14ac:dyDescent="0.25">
      <c r="F320" t="s">
        <v>721</v>
      </c>
      <c r="G320" t="s">
        <v>1095</v>
      </c>
      <c r="I320" t="s">
        <v>581</v>
      </c>
      <c r="J320" t="s">
        <v>3843</v>
      </c>
      <c r="L320" t="s">
        <v>5150</v>
      </c>
      <c r="M320" t="s">
        <v>5151</v>
      </c>
    </row>
    <row r="321" spans="6:13" x14ac:dyDescent="0.25">
      <c r="F321" t="s">
        <v>508</v>
      </c>
      <c r="G321" t="s">
        <v>1146</v>
      </c>
      <c r="I321" t="s">
        <v>130</v>
      </c>
      <c r="J321" t="s">
        <v>2150</v>
      </c>
      <c r="L321" t="s">
        <v>41</v>
      </c>
      <c r="M321" t="s">
        <v>6393</v>
      </c>
    </row>
    <row r="322" spans="6:13" x14ac:dyDescent="0.25">
      <c r="F322" t="s">
        <v>508</v>
      </c>
      <c r="G322" t="s">
        <v>1330</v>
      </c>
      <c r="I322" t="s">
        <v>2056</v>
      </c>
      <c r="J322" t="s">
        <v>2336</v>
      </c>
      <c r="L322" t="s">
        <v>302</v>
      </c>
      <c r="M322" t="s">
        <v>5719</v>
      </c>
    </row>
    <row r="323" spans="6:13" x14ac:dyDescent="0.25">
      <c r="F323" t="s">
        <v>709</v>
      </c>
      <c r="G323" t="s">
        <v>1034</v>
      </c>
      <c r="I323" t="s">
        <v>425</v>
      </c>
      <c r="J323" t="s">
        <v>3606</v>
      </c>
      <c r="L323" t="s">
        <v>43</v>
      </c>
      <c r="M323" t="s">
        <v>4864</v>
      </c>
    </row>
    <row r="324" spans="6:13" x14ac:dyDescent="0.25">
      <c r="F324" t="s">
        <v>595</v>
      </c>
      <c r="G324" t="s">
        <v>1386</v>
      </c>
      <c r="I324" t="s">
        <v>328</v>
      </c>
      <c r="J324" t="s">
        <v>2799</v>
      </c>
      <c r="L324" t="s">
        <v>4838</v>
      </c>
      <c r="M324" t="s">
        <v>6053</v>
      </c>
    </row>
    <row r="325" spans="6:13" x14ac:dyDescent="0.25">
      <c r="F325" t="s">
        <v>592</v>
      </c>
      <c r="G325" t="s">
        <v>1390</v>
      </c>
      <c r="I325" t="s">
        <v>3809</v>
      </c>
      <c r="J325" t="s">
        <v>3810</v>
      </c>
      <c r="L325" t="s">
        <v>41</v>
      </c>
      <c r="M325" t="s">
        <v>6147</v>
      </c>
    </row>
    <row r="326" spans="6:13" x14ac:dyDescent="0.25">
      <c r="F326" t="s">
        <v>662</v>
      </c>
      <c r="G326" t="s">
        <v>896</v>
      </c>
      <c r="I326" t="s">
        <v>2056</v>
      </c>
      <c r="J326" t="s">
        <v>3519</v>
      </c>
      <c r="L326" t="s">
        <v>6601</v>
      </c>
      <c r="M326" t="s">
        <v>6602</v>
      </c>
    </row>
    <row r="327" spans="6:13" x14ac:dyDescent="0.25">
      <c r="F327" t="s">
        <v>422</v>
      </c>
      <c r="G327" t="s">
        <v>977</v>
      </c>
      <c r="I327" t="s">
        <v>2526</v>
      </c>
      <c r="J327" t="s">
        <v>2527</v>
      </c>
      <c r="L327" t="s">
        <v>600</v>
      </c>
      <c r="M327" t="s">
        <v>6415</v>
      </c>
    </row>
    <row r="328" spans="6:13" x14ac:dyDescent="0.25">
      <c r="F328" t="s">
        <v>508</v>
      </c>
      <c r="G328" t="s">
        <v>1490</v>
      </c>
      <c r="I328" t="s">
        <v>50</v>
      </c>
      <c r="J328" t="s">
        <v>4421</v>
      </c>
      <c r="L328" t="s">
        <v>5925</v>
      </c>
      <c r="M328" t="s">
        <v>5926</v>
      </c>
    </row>
    <row r="329" spans="6:13" x14ac:dyDescent="0.25">
      <c r="F329" t="s">
        <v>6626</v>
      </c>
      <c r="G329" t="s">
        <v>1600</v>
      </c>
      <c r="I329" t="s">
        <v>1885</v>
      </c>
      <c r="J329" t="s">
        <v>2198</v>
      </c>
      <c r="L329" t="s">
        <v>717</v>
      </c>
      <c r="M329" t="s">
        <v>4629</v>
      </c>
    </row>
    <row r="330" spans="6:13" x14ac:dyDescent="0.25">
      <c r="F330" t="s">
        <v>144</v>
      </c>
      <c r="G330" t="s">
        <v>1621</v>
      </c>
      <c r="I330" t="s">
        <v>2582</v>
      </c>
      <c r="J330" t="s">
        <v>2583</v>
      </c>
      <c r="L330" t="s">
        <v>4838</v>
      </c>
      <c r="M330" t="s">
        <v>7183</v>
      </c>
    </row>
    <row r="331" spans="6:13" x14ac:dyDescent="0.25">
      <c r="F331" t="s">
        <v>302</v>
      </c>
      <c r="G331" t="s">
        <v>1041</v>
      </c>
      <c r="I331" t="s">
        <v>1657</v>
      </c>
      <c r="J331" t="s">
        <v>3220</v>
      </c>
      <c r="L331" t="s">
        <v>731</v>
      </c>
      <c r="M331" t="s">
        <v>7101</v>
      </c>
    </row>
    <row r="332" spans="6:13" x14ac:dyDescent="0.25">
      <c r="F332" t="s">
        <v>634</v>
      </c>
      <c r="G332" t="s">
        <v>1575</v>
      </c>
      <c r="I332" t="s">
        <v>425</v>
      </c>
      <c r="J332" t="s">
        <v>3411</v>
      </c>
      <c r="L332" t="s">
        <v>5517</v>
      </c>
      <c r="M332" t="s">
        <v>5518</v>
      </c>
    </row>
    <row r="333" spans="6:13" x14ac:dyDescent="0.25">
      <c r="F333" t="s">
        <v>592</v>
      </c>
      <c r="G333" t="s">
        <v>1199</v>
      </c>
      <c r="I333" t="s">
        <v>99</v>
      </c>
      <c r="J333" t="s">
        <v>2655</v>
      </c>
      <c r="L333" t="s">
        <v>43</v>
      </c>
      <c r="M333" t="s">
        <v>5207</v>
      </c>
    </row>
    <row r="334" spans="6:13" x14ac:dyDescent="0.25">
      <c r="F334" t="s">
        <v>373</v>
      </c>
      <c r="G334" t="s">
        <v>1462</v>
      </c>
      <c r="I334" t="s">
        <v>3135</v>
      </c>
      <c r="J334" t="s">
        <v>3136</v>
      </c>
      <c r="L334" t="s">
        <v>483</v>
      </c>
      <c r="M334" t="s">
        <v>6594</v>
      </c>
    </row>
    <row r="335" spans="6:13" x14ac:dyDescent="0.25">
      <c r="F335" t="s">
        <v>656</v>
      </c>
      <c r="G335" t="s">
        <v>1459</v>
      </c>
      <c r="I335" t="s">
        <v>267</v>
      </c>
      <c r="J335" t="s">
        <v>4532</v>
      </c>
      <c r="L335" t="s">
        <v>600</v>
      </c>
      <c r="M335" t="s">
        <v>4720</v>
      </c>
    </row>
    <row r="336" spans="6:13" x14ac:dyDescent="0.25">
      <c r="F336" t="s">
        <v>581</v>
      </c>
      <c r="G336" t="s">
        <v>1339</v>
      </c>
      <c r="I336" t="s">
        <v>130</v>
      </c>
      <c r="J336" t="s">
        <v>2273</v>
      </c>
      <c r="L336" t="s">
        <v>4807</v>
      </c>
      <c r="M336" t="s">
        <v>4808</v>
      </c>
    </row>
    <row r="337" spans="6:13" x14ac:dyDescent="0.25">
      <c r="F337" t="s">
        <v>293</v>
      </c>
      <c r="G337" t="s">
        <v>1520</v>
      </c>
      <c r="I337" t="s">
        <v>97</v>
      </c>
      <c r="J337" t="s">
        <v>4103</v>
      </c>
      <c r="L337" t="s">
        <v>412</v>
      </c>
      <c r="M337" t="s">
        <v>7098</v>
      </c>
    </row>
    <row r="338" spans="6:13" x14ac:dyDescent="0.25">
      <c r="F338" t="s">
        <v>302</v>
      </c>
      <c r="G338" t="s">
        <v>1292</v>
      </c>
      <c r="I338" t="s">
        <v>326</v>
      </c>
      <c r="J338" t="s">
        <v>1999</v>
      </c>
      <c r="L338" t="s">
        <v>5646</v>
      </c>
      <c r="M338" t="s">
        <v>6459</v>
      </c>
    </row>
    <row r="339" spans="6:13" x14ac:dyDescent="0.25">
      <c r="F339" t="s">
        <v>725</v>
      </c>
      <c r="G339" t="s">
        <v>1116</v>
      </c>
      <c r="I339" t="s">
        <v>67</v>
      </c>
      <c r="J339" t="s">
        <v>6926</v>
      </c>
      <c r="L339" t="s">
        <v>328</v>
      </c>
      <c r="M339" t="s">
        <v>6120</v>
      </c>
    </row>
    <row r="340" spans="6:13" x14ac:dyDescent="0.25">
      <c r="F340" t="s">
        <v>373</v>
      </c>
      <c r="G340" t="s">
        <v>987</v>
      </c>
      <c r="I340" t="s">
        <v>6813</v>
      </c>
      <c r="J340" t="s">
        <v>6663</v>
      </c>
      <c r="L340" t="s">
        <v>328</v>
      </c>
      <c r="M340" t="s">
        <v>5748</v>
      </c>
    </row>
    <row r="341" spans="6:13" x14ac:dyDescent="0.25">
      <c r="F341" t="s">
        <v>373</v>
      </c>
      <c r="G341" t="s">
        <v>1143</v>
      </c>
      <c r="I341" t="s">
        <v>99</v>
      </c>
      <c r="J341" t="s">
        <v>3332</v>
      </c>
      <c r="L341" t="s">
        <v>4838</v>
      </c>
      <c r="M341" t="s">
        <v>7136</v>
      </c>
    </row>
    <row r="342" spans="6:13" x14ac:dyDescent="0.25">
      <c r="F342" t="s">
        <v>144</v>
      </c>
      <c r="G342" t="s">
        <v>1556</v>
      </c>
      <c r="I342" t="s">
        <v>267</v>
      </c>
      <c r="J342" t="s">
        <v>3477</v>
      </c>
      <c r="L342" t="s">
        <v>5058</v>
      </c>
      <c r="M342" t="s">
        <v>5059</v>
      </c>
    </row>
    <row r="343" spans="6:13" x14ac:dyDescent="0.25">
      <c r="F343" t="s">
        <v>677</v>
      </c>
      <c r="G343" t="s">
        <v>910</v>
      </c>
      <c r="I343" t="s">
        <v>1945</v>
      </c>
      <c r="J343" t="s">
        <v>2548</v>
      </c>
      <c r="L343" t="s">
        <v>418</v>
      </c>
      <c r="M343" t="s">
        <v>7008</v>
      </c>
    </row>
    <row r="344" spans="6:13" x14ac:dyDescent="0.25">
      <c r="F344" t="s">
        <v>41</v>
      </c>
      <c r="G344" t="s">
        <v>1551</v>
      </c>
      <c r="I344" t="s">
        <v>328</v>
      </c>
      <c r="J344" t="s">
        <v>4171</v>
      </c>
      <c r="L344" t="s">
        <v>5770</v>
      </c>
      <c r="M344" t="s">
        <v>5771</v>
      </c>
    </row>
    <row r="345" spans="6:13" x14ac:dyDescent="0.25">
      <c r="F345" t="s">
        <v>597</v>
      </c>
      <c r="G345" t="s">
        <v>870</v>
      </c>
      <c r="I345" t="s">
        <v>3185</v>
      </c>
      <c r="J345" t="s">
        <v>4144</v>
      </c>
      <c r="L345" t="s">
        <v>328</v>
      </c>
      <c r="M345" t="s">
        <v>6056</v>
      </c>
    </row>
    <row r="346" spans="6:13" x14ac:dyDescent="0.25">
      <c r="F346" t="s">
        <v>816</v>
      </c>
      <c r="G346" t="s">
        <v>1544</v>
      </c>
      <c r="I346" t="s">
        <v>3467</v>
      </c>
      <c r="J346" t="s">
        <v>3468</v>
      </c>
      <c r="L346" t="s">
        <v>373</v>
      </c>
      <c r="M346" t="s">
        <v>5423</v>
      </c>
    </row>
    <row r="347" spans="6:13" x14ac:dyDescent="0.25">
      <c r="F347" t="s">
        <v>373</v>
      </c>
      <c r="G347" t="s">
        <v>1158</v>
      </c>
      <c r="I347" t="s">
        <v>3781</v>
      </c>
      <c r="J347" t="s">
        <v>3468</v>
      </c>
      <c r="L347" t="s">
        <v>483</v>
      </c>
      <c r="M347" t="s">
        <v>5161</v>
      </c>
    </row>
    <row r="348" spans="6:13" x14ac:dyDescent="0.25">
      <c r="F348" t="s">
        <v>302</v>
      </c>
      <c r="G348" t="s">
        <v>1179</v>
      </c>
      <c r="I348" t="s">
        <v>581</v>
      </c>
      <c r="J348" t="s">
        <v>2263</v>
      </c>
      <c r="L348" t="s">
        <v>302</v>
      </c>
      <c r="M348" t="s">
        <v>4826</v>
      </c>
    </row>
    <row r="349" spans="6:13" x14ac:dyDescent="0.25">
      <c r="F349" t="s">
        <v>328</v>
      </c>
      <c r="G349" t="s">
        <v>963</v>
      </c>
      <c r="I349" t="s">
        <v>2267</v>
      </c>
      <c r="J349" t="s">
        <v>2268</v>
      </c>
      <c r="L349" t="s">
        <v>302</v>
      </c>
      <c r="M349" t="s">
        <v>6017</v>
      </c>
    </row>
    <row r="350" spans="6:13" x14ac:dyDescent="0.25">
      <c r="F350" t="s">
        <v>102</v>
      </c>
      <c r="G350" t="s">
        <v>926</v>
      </c>
      <c r="I350" t="s">
        <v>2412</v>
      </c>
      <c r="J350" t="s">
        <v>2485</v>
      </c>
      <c r="L350" t="s">
        <v>5113</v>
      </c>
      <c r="M350" t="s">
        <v>7105</v>
      </c>
    </row>
    <row r="351" spans="6:13" x14ac:dyDescent="0.25">
      <c r="F351" t="s">
        <v>508</v>
      </c>
      <c r="G351" t="s">
        <v>986</v>
      </c>
      <c r="I351" t="s">
        <v>1903</v>
      </c>
      <c r="J351" t="s">
        <v>6675</v>
      </c>
      <c r="L351" t="s">
        <v>418</v>
      </c>
      <c r="M351" t="s">
        <v>7128</v>
      </c>
    </row>
    <row r="352" spans="6:13" x14ac:dyDescent="0.25">
      <c r="F352" t="s">
        <v>785</v>
      </c>
      <c r="G352" t="s">
        <v>1394</v>
      </c>
      <c r="I352" t="s">
        <v>6733</v>
      </c>
      <c r="J352" t="s">
        <v>4149</v>
      </c>
      <c r="L352" t="s">
        <v>5925</v>
      </c>
      <c r="M352" t="s">
        <v>6296</v>
      </c>
    </row>
    <row r="353" spans="6:13" x14ac:dyDescent="0.25">
      <c r="F353" t="s">
        <v>6626</v>
      </c>
      <c r="G353" t="s">
        <v>1193</v>
      </c>
      <c r="I353" t="s">
        <v>3445</v>
      </c>
      <c r="J353" t="s">
        <v>6873</v>
      </c>
      <c r="L353" t="s">
        <v>129</v>
      </c>
      <c r="M353" t="s">
        <v>4821</v>
      </c>
    </row>
    <row r="354" spans="6:13" x14ac:dyDescent="0.25">
      <c r="F354" t="s">
        <v>700</v>
      </c>
      <c r="G354" t="s">
        <v>995</v>
      </c>
      <c r="I354" t="s">
        <v>328</v>
      </c>
      <c r="J354" t="s">
        <v>1686</v>
      </c>
      <c r="L354" t="s">
        <v>330</v>
      </c>
      <c r="M354" t="s">
        <v>4693</v>
      </c>
    </row>
    <row r="355" spans="6:13" x14ac:dyDescent="0.25">
      <c r="F355" t="s">
        <v>508</v>
      </c>
      <c r="G355" t="s">
        <v>1030</v>
      </c>
      <c r="I355" t="s">
        <v>267</v>
      </c>
      <c r="J355" t="s">
        <v>1666</v>
      </c>
      <c r="L355" t="s">
        <v>6545</v>
      </c>
      <c r="M355" t="s">
        <v>6546</v>
      </c>
    </row>
    <row r="356" spans="6:13" x14ac:dyDescent="0.25">
      <c r="F356" t="s">
        <v>373</v>
      </c>
      <c r="G356" t="s">
        <v>876</v>
      </c>
      <c r="I356" t="s">
        <v>266</v>
      </c>
      <c r="J356" t="s">
        <v>2030</v>
      </c>
      <c r="L356" t="s">
        <v>4554</v>
      </c>
      <c r="M356" t="s">
        <v>4555</v>
      </c>
    </row>
    <row r="357" spans="6:13" x14ac:dyDescent="0.25">
      <c r="F357" t="s">
        <v>605</v>
      </c>
      <c r="G357" t="s">
        <v>854</v>
      </c>
      <c r="I357" t="s">
        <v>97</v>
      </c>
      <c r="J357" t="s">
        <v>1905</v>
      </c>
      <c r="L357" t="s">
        <v>5047</v>
      </c>
      <c r="M357" t="s">
        <v>5686</v>
      </c>
    </row>
    <row r="358" spans="6:13" x14ac:dyDescent="0.25">
      <c r="F358" t="s">
        <v>597</v>
      </c>
      <c r="G358" t="s">
        <v>1251</v>
      </c>
      <c r="I358" t="s">
        <v>3071</v>
      </c>
      <c r="J358" t="s">
        <v>3072</v>
      </c>
      <c r="L358" t="s">
        <v>296</v>
      </c>
      <c r="M358" t="s">
        <v>5774</v>
      </c>
    </row>
    <row r="359" spans="6:13" x14ac:dyDescent="0.25">
      <c r="F359" t="s">
        <v>326</v>
      </c>
      <c r="G359" t="s">
        <v>1178</v>
      </c>
      <c r="I359" t="s">
        <v>267</v>
      </c>
      <c r="J359" t="s">
        <v>6725</v>
      </c>
      <c r="L359" t="s">
        <v>330</v>
      </c>
      <c r="M359" t="s">
        <v>5009</v>
      </c>
    </row>
    <row r="360" spans="6:13" x14ac:dyDescent="0.25">
      <c r="F360" t="s">
        <v>6626</v>
      </c>
      <c r="G360" t="s">
        <v>1097</v>
      </c>
      <c r="I360" t="s">
        <v>267</v>
      </c>
      <c r="J360" t="s">
        <v>3600</v>
      </c>
      <c r="L360" t="s">
        <v>731</v>
      </c>
      <c r="M360" t="s">
        <v>7015</v>
      </c>
    </row>
    <row r="361" spans="6:13" x14ac:dyDescent="0.25">
      <c r="F361" t="s">
        <v>302</v>
      </c>
      <c r="G361" t="s">
        <v>1052</v>
      </c>
      <c r="I361" t="s">
        <v>267</v>
      </c>
      <c r="J361" t="s">
        <v>4430</v>
      </c>
      <c r="L361" t="s">
        <v>5152</v>
      </c>
      <c r="M361" t="s">
        <v>5153</v>
      </c>
    </row>
    <row r="362" spans="6:13" x14ac:dyDescent="0.25">
      <c r="F362" t="s">
        <v>737</v>
      </c>
      <c r="G362" t="s">
        <v>1166</v>
      </c>
      <c r="I362" t="s">
        <v>422</v>
      </c>
      <c r="J362" t="s">
        <v>2269</v>
      </c>
      <c r="L362" t="s">
        <v>330</v>
      </c>
      <c r="M362" t="s">
        <v>4699</v>
      </c>
    </row>
    <row r="363" spans="6:13" x14ac:dyDescent="0.25">
      <c r="F363" t="s">
        <v>41</v>
      </c>
      <c r="G363" t="s">
        <v>1616</v>
      </c>
      <c r="I363" t="s">
        <v>412</v>
      </c>
      <c r="J363" t="s">
        <v>7001</v>
      </c>
      <c r="L363" t="s">
        <v>330</v>
      </c>
      <c r="M363" t="s">
        <v>5860</v>
      </c>
    </row>
    <row r="364" spans="6:13" x14ac:dyDescent="0.25">
      <c r="F364" t="s">
        <v>328</v>
      </c>
      <c r="G364" t="s">
        <v>1007</v>
      </c>
      <c r="I364" t="s">
        <v>328</v>
      </c>
      <c r="J364" t="s">
        <v>4005</v>
      </c>
      <c r="L364" t="s">
        <v>330</v>
      </c>
      <c r="M364" t="s">
        <v>6472</v>
      </c>
    </row>
    <row r="365" spans="6:13" x14ac:dyDescent="0.25">
      <c r="F365" t="s">
        <v>6626</v>
      </c>
      <c r="G365" t="s">
        <v>1164</v>
      </c>
      <c r="I365" t="s">
        <v>6813</v>
      </c>
      <c r="J365" t="s">
        <v>2127</v>
      </c>
      <c r="L365" t="s">
        <v>330</v>
      </c>
      <c r="M365" t="s">
        <v>5256</v>
      </c>
    </row>
    <row r="366" spans="6:13" x14ac:dyDescent="0.25">
      <c r="F366" t="s">
        <v>326</v>
      </c>
      <c r="G366" t="s">
        <v>864</v>
      </c>
      <c r="I366" t="s">
        <v>328</v>
      </c>
      <c r="J366" t="s">
        <v>2417</v>
      </c>
      <c r="L366" t="s">
        <v>6390</v>
      </c>
      <c r="M366" t="s">
        <v>6391</v>
      </c>
    </row>
    <row r="367" spans="6:13" x14ac:dyDescent="0.25">
      <c r="F367" t="s">
        <v>678</v>
      </c>
      <c r="G367" t="s">
        <v>915</v>
      </c>
      <c r="I367" t="s">
        <v>266</v>
      </c>
      <c r="J367" t="s">
        <v>6729</v>
      </c>
      <c r="L367" t="s">
        <v>296</v>
      </c>
      <c r="M367" t="s">
        <v>7111</v>
      </c>
    </row>
    <row r="368" spans="6:13" x14ac:dyDescent="0.25">
      <c r="F368" t="s">
        <v>129</v>
      </c>
      <c r="G368" t="s">
        <v>1445</v>
      </c>
      <c r="I368" t="s">
        <v>6830</v>
      </c>
      <c r="J368" t="s">
        <v>2502</v>
      </c>
      <c r="L368" t="s">
        <v>326</v>
      </c>
      <c r="M368" t="s">
        <v>5909</v>
      </c>
    </row>
    <row r="369" spans="6:13" x14ac:dyDescent="0.25">
      <c r="F369" t="s">
        <v>714</v>
      </c>
      <c r="G369" t="s">
        <v>1055</v>
      </c>
      <c r="I369" t="s">
        <v>600</v>
      </c>
      <c r="J369" t="s">
        <v>3825</v>
      </c>
      <c r="L369" t="s">
        <v>412</v>
      </c>
      <c r="M369" t="s">
        <v>7192</v>
      </c>
    </row>
    <row r="370" spans="6:13" x14ac:dyDescent="0.25">
      <c r="F370" t="s">
        <v>328</v>
      </c>
      <c r="G370" t="s">
        <v>1378</v>
      </c>
      <c r="I370" t="s">
        <v>355</v>
      </c>
      <c r="J370" t="s">
        <v>3989</v>
      </c>
      <c r="L370" t="s">
        <v>5503</v>
      </c>
      <c r="M370" t="s">
        <v>5527</v>
      </c>
    </row>
    <row r="371" spans="6:13" x14ac:dyDescent="0.25">
      <c r="F371" t="s">
        <v>54</v>
      </c>
      <c r="G371" t="s">
        <v>1538</v>
      </c>
      <c r="I371" t="s">
        <v>328</v>
      </c>
      <c r="J371" t="s">
        <v>2739</v>
      </c>
      <c r="L371" t="s">
        <v>330</v>
      </c>
      <c r="M371" t="s">
        <v>6275</v>
      </c>
    </row>
    <row r="372" spans="6:13" x14ac:dyDescent="0.25">
      <c r="F372" t="s">
        <v>328</v>
      </c>
      <c r="G372" t="s">
        <v>1540</v>
      </c>
      <c r="I372" t="s">
        <v>6733</v>
      </c>
      <c r="J372" t="s">
        <v>1873</v>
      </c>
      <c r="L372" t="s">
        <v>328</v>
      </c>
      <c r="M372" t="s">
        <v>5918</v>
      </c>
    </row>
    <row r="373" spans="6:13" x14ac:dyDescent="0.25">
      <c r="F373" t="s">
        <v>796</v>
      </c>
      <c r="G373" t="s">
        <v>1449</v>
      </c>
      <c r="I373" t="s">
        <v>566</v>
      </c>
      <c r="J373" t="s">
        <v>2334</v>
      </c>
      <c r="L373" t="s">
        <v>5113</v>
      </c>
      <c r="M373" t="s">
        <v>6170</v>
      </c>
    </row>
    <row r="374" spans="6:13" x14ac:dyDescent="0.25">
      <c r="F374" t="s">
        <v>144</v>
      </c>
      <c r="G374" t="s">
        <v>1273</v>
      </c>
      <c r="I374" t="s">
        <v>6891</v>
      </c>
      <c r="J374" t="s">
        <v>6684</v>
      </c>
      <c r="L374" t="s">
        <v>25</v>
      </c>
      <c r="M374" t="s">
        <v>4877</v>
      </c>
    </row>
    <row r="375" spans="6:13" x14ac:dyDescent="0.25">
      <c r="F375" t="s">
        <v>41</v>
      </c>
      <c r="G375" t="s">
        <v>1323</v>
      </c>
      <c r="I375" t="s">
        <v>2653</v>
      </c>
      <c r="J375" t="s">
        <v>2654</v>
      </c>
      <c r="L375" t="s">
        <v>418</v>
      </c>
      <c r="M375" t="s">
        <v>7082</v>
      </c>
    </row>
    <row r="376" spans="6:13" x14ac:dyDescent="0.25">
      <c r="F376" t="s">
        <v>41</v>
      </c>
      <c r="G376" t="s">
        <v>898</v>
      </c>
      <c r="I376" t="s">
        <v>326</v>
      </c>
      <c r="J376" t="s">
        <v>3204</v>
      </c>
      <c r="L376" t="s">
        <v>328</v>
      </c>
      <c r="M376" t="s">
        <v>5187</v>
      </c>
    </row>
    <row r="377" spans="6:13" x14ac:dyDescent="0.25">
      <c r="F377" t="s">
        <v>41</v>
      </c>
      <c r="G377" t="s">
        <v>849</v>
      </c>
      <c r="I377" t="s">
        <v>328</v>
      </c>
      <c r="J377" t="s">
        <v>4106</v>
      </c>
      <c r="L377" t="s">
        <v>5150</v>
      </c>
      <c r="M377" t="s">
        <v>6060</v>
      </c>
    </row>
    <row r="378" spans="6:13" x14ac:dyDescent="0.25">
      <c r="F378" t="s">
        <v>41</v>
      </c>
      <c r="G378" t="s">
        <v>840</v>
      </c>
      <c r="I378" t="s">
        <v>266</v>
      </c>
      <c r="J378" t="s">
        <v>6681</v>
      </c>
      <c r="L378" t="s">
        <v>330</v>
      </c>
      <c r="M378" t="s">
        <v>4790</v>
      </c>
    </row>
    <row r="379" spans="6:13" x14ac:dyDescent="0.25">
      <c r="F379" t="s">
        <v>581</v>
      </c>
      <c r="G379" t="s">
        <v>991</v>
      </c>
      <c r="I379" t="s">
        <v>267</v>
      </c>
      <c r="J379" t="s">
        <v>2326</v>
      </c>
      <c r="L379" t="s">
        <v>412</v>
      </c>
      <c r="M379" t="s">
        <v>6567</v>
      </c>
    </row>
    <row r="380" spans="6:13" x14ac:dyDescent="0.25">
      <c r="F380" t="s">
        <v>418</v>
      </c>
      <c r="G380" t="s">
        <v>1497</v>
      </c>
      <c r="I380" t="s">
        <v>2408</v>
      </c>
      <c r="J380" t="s">
        <v>3713</v>
      </c>
      <c r="L380" t="s">
        <v>41</v>
      </c>
      <c r="M380" t="s">
        <v>6502</v>
      </c>
    </row>
    <row r="381" spans="6:13" x14ac:dyDescent="0.25">
      <c r="F381" t="s">
        <v>418</v>
      </c>
      <c r="G381" t="s">
        <v>1336</v>
      </c>
      <c r="I381" t="s">
        <v>267</v>
      </c>
      <c r="J381" t="s">
        <v>3481</v>
      </c>
      <c r="L381" t="s">
        <v>328</v>
      </c>
      <c r="M381" t="s">
        <v>4577</v>
      </c>
    </row>
    <row r="382" spans="6:13" x14ac:dyDescent="0.25">
      <c r="F382" t="s">
        <v>326</v>
      </c>
      <c r="G382" t="s">
        <v>867</v>
      </c>
      <c r="I382" t="s">
        <v>2110</v>
      </c>
      <c r="J382" t="s">
        <v>2111</v>
      </c>
      <c r="L382" t="s">
        <v>418</v>
      </c>
      <c r="M382" t="s">
        <v>6218</v>
      </c>
    </row>
    <row r="383" spans="6:13" x14ac:dyDescent="0.25">
      <c r="F383" t="s">
        <v>659</v>
      </c>
      <c r="G383" t="s">
        <v>839</v>
      </c>
      <c r="I383" t="s">
        <v>414</v>
      </c>
      <c r="J383" t="s">
        <v>3852</v>
      </c>
      <c r="L383" t="s">
        <v>412</v>
      </c>
      <c r="M383" t="s">
        <v>7229</v>
      </c>
    </row>
    <row r="384" spans="6:13" x14ac:dyDescent="0.25">
      <c r="F384" t="s">
        <v>597</v>
      </c>
      <c r="G384" t="s">
        <v>1026</v>
      </c>
      <c r="I384" t="s">
        <v>566</v>
      </c>
      <c r="J384" t="s">
        <v>1797</v>
      </c>
      <c r="L384" t="s">
        <v>1753</v>
      </c>
      <c r="M384" t="s">
        <v>5180</v>
      </c>
    </row>
    <row r="385" spans="6:13" x14ac:dyDescent="0.25">
      <c r="F385" t="s">
        <v>708</v>
      </c>
      <c r="G385" t="s">
        <v>1031</v>
      </c>
      <c r="I385" t="s">
        <v>4439</v>
      </c>
      <c r="J385" t="s">
        <v>6829</v>
      </c>
      <c r="L385" t="s">
        <v>324</v>
      </c>
      <c r="M385" t="s">
        <v>6423</v>
      </c>
    </row>
    <row r="386" spans="6:13" x14ac:dyDescent="0.25">
      <c r="F386" t="s">
        <v>328</v>
      </c>
      <c r="G386" t="s">
        <v>1397</v>
      </c>
      <c r="I386" t="s">
        <v>2488</v>
      </c>
      <c r="J386" t="s">
        <v>2489</v>
      </c>
      <c r="L386" t="s">
        <v>330</v>
      </c>
      <c r="M386" t="s">
        <v>7059</v>
      </c>
    </row>
    <row r="387" spans="6:13" x14ac:dyDescent="0.25">
      <c r="F387" t="s">
        <v>667</v>
      </c>
      <c r="G387" t="s">
        <v>6647</v>
      </c>
      <c r="I387" t="s">
        <v>3877</v>
      </c>
      <c r="J387" t="s">
        <v>4123</v>
      </c>
      <c r="L387" t="s">
        <v>5958</v>
      </c>
      <c r="M387" t="s">
        <v>5959</v>
      </c>
    </row>
    <row r="388" spans="6:13" x14ac:dyDescent="0.25">
      <c r="F388" t="s">
        <v>373</v>
      </c>
      <c r="G388" t="s">
        <v>943</v>
      </c>
      <c r="I388" t="s">
        <v>1810</v>
      </c>
      <c r="J388" t="s">
        <v>3142</v>
      </c>
      <c r="L388" t="s">
        <v>4697</v>
      </c>
      <c r="M388" t="s">
        <v>7023</v>
      </c>
    </row>
    <row r="389" spans="6:13" x14ac:dyDescent="0.25">
      <c r="F389" t="s">
        <v>727</v>
      </c>
      <c r="G389" t="s">
        <v>1119</v>
      </c>
      <c r="I389" t="s">
        <v>41</v>
      </c>
      <c r="J389" t="s">
        <v>2327</v>
      </c>
      <c r="L389" t="s">
        <v>5599</v>
      </c>
      <c r="M389" t="s">
        <v>5600</v>
      </c>
    </row>
    <row r="390" spans="6:13" x14ac:dyDescent="0.25">
      <c r="F390" t="s">
        <v>804</v>
      </c>
      <c r="G390" t="s">
        <v>1483</v>
      </c>
      <c r="I390" t="s">
        <v>3151</v>
      </c>
      <c r="J390" t="s">
        <v>3152</v>
      </c>
      <c r="L390" t="s">
        <v>328</v>
      </c>
      <c r="M390" t="s">
        <v>4953</v>
      </c>
    </row>
    <row r="391" spans="6:13" x14ac:dyDescent="0.25">
      <c r="F391" t="s">
        <v>592</v>
      </c>
      <c r="G391" t="s">
        <v>1204</v>
      </c>
      <c r="I391" t="s">
        <v>418</v>
      </c>
      <c r="J391" t="s">
        <v>3438</v>
      </c>
      <c r="L391" t="s">
        <v>486</v>
      </c>
      <c r="M391" t="s">
        <v>5844</v>
      </c>
    </row>
    <row r="392" spans="6:13" x14ac:dyDescent="0.25">
      <c r="F392" t="s">
        <v>592</v>
      </c>
      <c r="G392" t="s">
        <v>1406</v>
      </c>
      <c r="I392" t="s">
        <v>299</v>
      </c>
      <c r="J392" t="s">
        <v>3827</v>
      </c>
      <c r="L392" t="s">
        <v>5636</v>
      </c>
      <c r="M392" t="s">
        <v>5637</v>
      </c>
    </row>
    <row r="393" spans="6:13" x14ac:dyDescent="0.25">
      <c r="F393" t="s">
        <v>595</v>
      </c>
      <c r="G393" t="s">
        <v>983</v>
      </c>
      <c r="I393" t="s">
        <v>41</v>
      </c>
      <c r="J393" t="s">
        <v>3523</v>
      </c>
      <c r="L393" t="s">
        <v>418</v>
      </c>
      <c r="M393" t="s">
        <v>5040</v>
      </c>
    </row>
    <row r="394" spans="6:13" x14ac:dyDescent="0.25">
      <c r="F394" t="s">
        <v>271</v>
      </c>
      <c r="G394" t="s">
        <v>1473</v>
      </c>
      <c r="I394" t="s">
        <v>355</v>
      </c>
      <c r="J394" t="s">
        <v>6962</v>
      </c>
      <c r="L394" t="s">
        <v>6312</v>
      </c>
      <c r="M394" t="s">
        <v>6313</v>
      </c>
    </row>
    <row r="395" spans="6:13" x14ac:dyDescent="0.25">
      <c r="F395" t="s">
        <v>418</v>
      </c>
      <c r="G395" t="s">
        <v>1237</v>
      </c>
      <c r="I395" t="s">
        <v>418</v>
      </c>
      <c r="J395" t="s">
        <v>2596</v>
      </c>
      <c r="L395" t="s">
        <v>5694</v>
      </c>
      <c r="M395" t="s">
        <v>5695</v>
      </c>
    </row>
    <row r="396" spans="6:13" x14ac:dyDescent="0.25">
      <c r="F396" t="s">
        <v>715</v>
      </c>
      <c r="G396" t="s">
        <v>6649</v>
      </c>
      <c r="I396" t="s">
        <v>4093</v>
      </c>
      <c r="J396" t="s">
        <v>6706</v>
      </c>
      <c r="L396" t="s">
        <v>330</v>
      </c>
      <c r="M396" t="s">
        <v>7057</v>
      </c>
    </row>
    <row r="397" spans="6:13" x14ac:dyDescent="0.25">
      <c r="F397" t="s">
        <v>302</v>
      </c>
      <c r="G397" t="s">
        <v>1299</v>
      </c>
      <c r="I397" t="s">
        <v>299</v>
      </c>
      <c r="J397" t="s">
        <v>2660</v>
      </c>
      <c r="L397" t="s">
        <v>412</v>
      </c>
      <c r="M397" t="s">
        <v>7188</v>
      </c>
    </row>
    <row r="398" spans="6:13" x14ac:dyDescent="0.25">
      <c r="F398" t="s">
        <v>6626</v>
      </c>
      <c r="G398" t="s">
        <v>857</v>
      </c>
      <c r="I398" t="s">
        <v>600</v>
      </c>
      <c r="J398" t="s">
        <v>2426</v>
      </c>
      <c r="L398" t="s">
        <v>4987</v>
      </c>
      <c r="M398" t="s">
        <v>4988</v>
      </c>
    </row>
    <row r="399" spans="6:13" x14ac:dyDescent="0.25">
      <c r="F399" t="s">
        <v>270</v>
      </c>
      <c r="G399" t="s">
        <v>897</v>
      </c>
      <c r="I399" t="s">
        <v>328</v>
      </c>
      <c r="J399" t="s">
        <v>4092</v>
      </c>
      <c r="L399" t="s">
        <v>330</v>
      </c>
      <c r="M399" t="s">
        <v>5867</v>
      </c>
    </row>
    <row r="400" spans="6:13" x14ac:dyDescent="0.25">
      <c r="F400" t="s">
        <v>41</v>
      </c>
      <c r="G400" t="s">
        <v>1414</v>
      </c>
      <c r="I400" t="s">
        <v>6813</v>
      </c>
      <c r="J400" t="s">
        <v>2946</v>
      </c>
      <c r="L400" t="s">
        <v>328</v>
      </c>
      <c r="M400" t="s">
        <v>5692</v>
      </c>
    </row>
    <row r="401" spans="6:13" x14ac:dyDescent="0.25">
      <c r="F401" t="s">
        <v>703</v>
      </c>
      <c r="G401" t="s">
        <v>1016</v>
      </c>
      <c r="I401" t="s">
        <v>3728</v>
      </c>
      <c r="J401" t="s">
        <v>3729</v>
      </c>
      <c r="L401" t="s">
        <v>467</v>
      </c>
      <c r="M401" t="s">
        <v>5419</v>
      </c>
    </row>
    <row r="402" spans="6:13" x14ac:dyDescent="0.25">
      <c r="F402" t="s">
        <v>752</v>
      </c>
      <c r="G402" t="s">
        <v>1242</v>
      </c>
      <c r="I402" t="s">
        <v>326</v>
      </c>
      <c r="J402" t="s">
        <v>4037</v>
      </c>
      <c r="L402" t="s">
        <v>600</v>
      </c>
      <c r="M402" t="s">
        <v>5038</v>
      </c>
    </row>
    <row r="403" spans="6:13" x14ac:dyDescent="0.25">
      <c r="F403" t="s">
        <v>735</v>
      </c>
      <c r="G403" t="s">
        <v>1532</v>
      </c>
      <c r="I403" t="s">
        <v>418</v>
      </c>
      <c r="J403" t="s">
        <v>3102</v>
      </c>
      <c r="L403" t="s">
        <v>4556</v>
      </c>
      <c r="M403" t="s">
        <v>4557</v>
      </c>
    </row>
    <row r="404" spans="6:13" x14ac:dyDescent="0.25">
      <c r="F404" t="s">
        <v>600</v>
      </c>
      <c r="G404" t="s">
        <v>861</v>
      </c>
      <c r="I404" t="s">
        <v>266</v>
      </c>
      <c r="J404" t="s">
        <v>2188</v>
      </c>
      <c r="L404" t="s">
        <v>328</v>
      </c>
      <c r="M404" t="s">
        <v>6389</v>
      </c>
    </row>
    <row r="405" spans="6:13" x14ac:dyDescent="0.25">
      <c r="F405" t="s">
        <v>41</v>
      </c>
      <c r="G405" t="s">
        <v>932</v>
      </c>
      <c r="I405" t="s">
        <v>3445</v>
      </c>
      <c r="J405" t="s">
        <v>6879</v>
      </c>
      <c r="L405" t="s">
        <v>129</v>
      </c>
      <c r="M405" t="s">
        <v>5110</v>
      </c>
    </row>
    <row r="406" spans="6:13" x14ac:dyDescent="0.25">
      <c r="F406" t="s">
        <v>752</v>
      </c>
      <c r="G406" t="s">
        <v>1247</v>
      </c>
      <c r="I406" t="s">
        <v>4505</v>
      </c>
      <c r="J406" t="s">
        <v>4506</v>
      </c>
      <c r="L406" t="s">
        <v>5328</v>
      </c>
      <c r="M406" t="s">
        <v>7099</v>
      </c>
    </row>
    <row r="407" spans="6:13" x14ac:dyDescent="0.25">
      <c r="F407" t="s">
        <v>735</v>
      </c>
      <c r="G407" t="s">
        <v>1293</v>
      </c>
      <c r="I407" t="s">
        <v>2056</v>
      </c>
      <c r="J407" t="s">
        <v>2057</v>
      </c>
      <c r="L407" t="s">
        <v>5920</v>
      </c>
      <c r="M407" t="s">
        <v>5921</v>
      </c>
    </row>
    <row r="408" spans="6:13" x14ac:dyDescent="0.25">
      <c r="F408" t="s">
        <v>41</v>
      </c>
      <c r="G408" t="s">
        <v>1517</v>
      </c>
      <c r="I408" t="s">
        <v>418</v>
      </c>
      <c r="J408" t="s">
        <v>1803</v>
      </c>
      <c r="L408" t="s">
        <v>41</v>
      </c>
      <c r="M408" t="s">
        <v>5568</v>
      </c>
    </row>
    <row r="409" spans="6:13" x14ac:dyDescent="0.25">
      <c r="F409" t="s">
        <v>752</v>
      </c>
      <c r="G409" t="s">
        <v>1487</v>
      </c>
      <c r="I409" t="s">
        <v>418</v>
      </c>
      <c r="J409" t="s">
        <v>3484</v>
      </c>
      <c r="L409" t="s">
        <v>330</v>
      </c>
      <c r="M409" t="s">
        <v>4944</v>
      </c>
    </row>
    <row r="410" spans="6:13" x14ac:dyDescent="0.25">
      <c r="F410" t="s">
        <v>735</v>
      </c>
      <c r="G410" t="s">
        <v>1359</v>
      </c>
      <c r="I410" t="s">
        <v>2271</v>
      </c>
      <c r="J410" t="s">
        <v>2272</v>
      </c>
      <c r="L410" t="s">
        <v>330</v>
      </c>
      <c r="M410" t="s">
        <v>6213</v>
      </c>
    </row>
    <row r="411" spans="6:13" x14ac:dyDescent="0.25">
      <c r="F411" t="s">
        <v>724</v>
      </c>
      <c r="G411" t="s">
        <v>1335</v>
      </c>
      <c r="I411" t="s">
        <v>600</v>
      </c>
      <c r="J411" t="s">
        <v>4057</v>
      </c>
      <c r="L411" t="s">
        <v>328</v>
      </c>
      <c r="M411" t="s">
        <v>6540</v>
      </c>
    </row>
    <row r="412" spans="6:13" x14ac:dyDescent="0.25">
      <c r="F412" t="s">
        <v>144</v>
      </c>
      <c r="G412" t="s">
        <v>1098</v>
      </c>
      <c r="I412" t="s">
        <v>97</v>
      </c>
      <c r="J412" t="s">
        <v>3422</v>
      </c>
      <c r="L412" t="s">
        <v>328</v>
      </c>
      <c r="M412" t="s">
        <v>6425</v>
      </c>
    </row>
    <row r="413" spans="6:13" x14ac:dyDescent="0.25">
      <c r="F413" t="s">
        <v>41</v>
      </c>
      <c r="G413" t="s">
        <v>1268</v>
      </c>
      <c r="I413" t="s">
        <v>6733</v>
      </c>
      <c r="J413" t="s">
        <v>3847</v>
      </c>
      <c r="L413" t="s">
        <v>5743</v>
      </c>
      <c r="M413" t="s">
        <v>5744</v>
      </c>
    </row>
    <row r="414" spans="6:13" x14ac:dyDescent="0.25">
      <c r="F414" t="s">
        <v>724</v>
      </c>
      <c r="G414" t="s">
        <v>1108</v>
      </c>
      <c r="I414" t="s">
        <v>266</v>
      </c>
      <c r="J414" t="s">
        <v>4026</v>
      </c>
      <c r="L414" t="s">
        <v>129</v>
      </c>
      <c r="M414" t="s">
        <v>5777</v>
      </c>
    </row>
    <row r="415" spans="6:13" x14ac:dyDescent="0.25">
      <c r="F415" t="s">
        <v>765</v>
      </c>
      <c r="G415" t="s">
        <v>1319</v>
      </c>
      <c r="I415" t="s">
        <v>2223</v>
      </c>
      <c r="J415" t="s">
        <v>2224</v>
      </c>
      <c r="L415" t="s">
        <v>330</v>
      </c>
      <c r="M415" t="s">
        <v>6201</v>
      </c>
    </row>
    <row r="416" spans="6:13" x14ac:dyDescent="0.25">
      <c r="F416" t="s">
        <v>735</v>
      </c>
      <c r="G416" t="s">
        <v>1151</v>
      </c>
      <c r="I416" t="s">
        <v>2225</v>
      </c>
      <c r="J416" t="s">
        <v>2226</v>
      </c>
      <c r="L416" t="s">
        <v>330</v>
      </c>
      <c r="M416" t="s">
        <v>5582</v>
      </c>
    </row>
    <row r="417" spans="6:13" x14ac:dyDescent="0.25">
      <c r="F417" t="s">
        <v>735</v>
      </c>
      <c r="G417" t="s">
        <v>1427</v>
      </c>
      <c r="I417" t="s">
        <v>328</v>
      </c>
      <c r="J417" t="s">
        <v>2343</v>
      </c>
      <c r="L417" t="s">
        <v>328</v>
      </c>
      <c r="M417" t="s">
        <v>5336</v>
      </c>
    </row>
    <row r="418" spans="6:13" x14ac:dyDescent="0.25">
      <c r="F418" t="s">
        <v>41</v>
      </c>
      <c r="G418" t="s">
        <v>914</v>
      </c>
      <c r="I418" t="s">
        <v>328</v>
      </c>
      <c r="J418" t="s">
        <v>4241</v>
      </c>
      <c r="L418" t="s">
        <v>328</v>
      </c>
      <c r="M418" t="s">
        <v>6274</v>
      </c>
    </row>
    <row r="419" spans="6:13" x14ac:dyDescent="0.25">
      <c r="F419" t="s">
        <v>675</v>
      </c>
      <c r="G419" t="s">
        <v>905</v>
      </c>
      <c r="I419" t="s">
        <v>1667</v>
      </c>
      <c r="J419" t="s">
        <v>6991</v>
      </c>
      <c r="L419" t="s">
        <v>467</v>
      </c>
      <c r="M419" t="s">
        <v>6200</v>
      </c>
    </row>
    <row r="420" spans="6:13" x14ac:dyDescent="0.25">
      <c r="F420" t="s">
        <v>592</v>
      </c>
      <c r="G420" t="s">
        <v>1266</v>
      </c>
      <c r="I420" t="s">
        <v>3270</v>
      </c>
      <c r="J420" t="s">
        <v>3271</v>
      </c>
      <c r="L420" t="s">
        <v>483</v>
      </c>
      <c r="M420" t="s">
        <v>7218</v>
      </c>
    </row>
    <row r="421" spans="6:13" x14ac:dyDescent="0.25">
      <c r="F421" t="s">
        <v>592</v>
      </c>
      <c r="G421" t="s">
        <v>1171</v>
      </c>
      <c r="I421" t="s">
        <v>355</v>
      </c>
      <c r="J421" t="s">
        <v>3985</v>
      </c>
      <c r="L421" t="s">
        <v>328</v>
      </c>
      <c r="M421" t="s">
        <v>5293</v>
      </c>
    </row>
    <row r="422" spans="6:13" x14ac:dyDescent="0.25">
      <c r="F422" t="s">
        <v>373</v>
      </c>
      <c r="G422" t="s">
        <v>1491</v>
      </c>
      <c r="I422" t="s">
        <v>602</v>
      </c>
      <c r="J422" t="s">
        <v>4415</v>
      </c>
      <c r="L422" t="s">
        <v>412</v>
      </c>
      <c r="M422" t="s">
        <v>5674</v>
      </c>
    </row>
    <row r="423" spans="6:13" x14ac:dyDescent="0.25">
      <c r="F423" t="s">
        <v>768</v>
      </c>
      <c r="G423" t="s">
        <v>1329</v>
      </c>
      <c r="I423" t="s">
        <v>97</v>
      </c>
      <c r="J423" t="s">
        <v>2689</v>
      </c>
      <c r="L423" t="s">
        <v>328</v>
      </c>
      <c r="M423" t="s">
        <v>5215</v>
      </c>
    </row>
    <row r="424" spans="6:13" x14ac:dyDescent="0.25">
      <c r="F424" t="s">
        <v>102</v>
      </c>
      <c r="G424" t="s">
        <v>1152</v>
      </c>
      <c r="I424" t="s">
        <v>6830</v>
      </c>
      <c r="J424" t="s">
        <v>2091</v>
      </c>
      <c r="L424" t="s">
        <v>41</v>
      </c>
      <c r="M424" t="s">
        <v>6133</v>
      </c>
    </row>
    <row r="425" spans="6:13" x14ac:dyDescent="0.25">
      <c r="F425" t="s">
        <v>592</v>
      </c>
      <c r="G425" t="s">
        <v>1125</v>
      </c>
      <c r="I425" t="s">
        <v>355</v>
      </c>
      <c r="J425" t="s">
        <v>2213</v>
      </c>
      <c r="L425" t="s">
        <v>330</v>
      </c>
      <c r="M425" t="s">
        <v>5149</v>
      </c>
    </row>
    <row r="426" spans="6:13" x14ac:dyDescent="0.25">
      <c r="F426" t="s">
        <v>597</v>
      </c>
      <c r="G426" t="s">
        <v>1155</v>
      </c>
      <c r="I426" t="s">
        <v>3691</v>
      </c>
      <c r="J426" t="s">
        <v>3692</v>
      </c>
      <c r="L426" t="s">
        <v>330</v>
      </c>
      <c r="M426" t="s">
        <v>5143</v>
      </c>
    </row>
    <row r="427" spans="6:13" x14ac:dyDescent="0.25">
      <c r="F427" t="s">
        <v>761</v>
      </c>
      <c r="G427" t="s">
        <v>1302</v>
      </c>
      <c r="I427" t="s">
        <v>326</v>
      </c>
      <c r="J427" t="s">
        <v>3069</v>
      </c>
      <c r="L427" t="s">
        <v>4787</v>
      </c>
      <c r="M427" t="s">
        <v>4788</v>
      </c>
    </row>
    <row r="428" spans="6:13" x14ac:dyDescent="0.25">
      <c r="F428" t="s">
        <v>592</v>
      </c>
      <c r="G428" t="s">
        <v>958</v>
      </c>
      <c r="I428" t="s">
        <v>444</v>
      </c>
      <c r="J428" t="s">
        <v>2672</v>
      </c>
      <c r="L428" t="s">
        <v>412</v>
      </c>
      <c r="M428" t="s">
        <v>7160</v>
      </c>
    </row>
    <row r="429" spans="6:13" x14ac:dyDescent="0.25">
      <c r="F429" t="s">
        <v>729</v>
      </c>
      <c r="G429" t="s">
        <v>1290</v>
      </c>
      <c r="I429" t="s">
        <v>267</v>
      </c>
      <c r="J429" t="s">
        <v>4358</v>
      </c>
      <c r="L429" t="s">
        <v>5368</v>
      </c>
      <c r="M429" t="s">
        <v>5369</v>
      </c>
    </row>
    <row r="430" spans="6:13" x14ac:dyDescent="0.25">
      <c r="F430" t="s">
        <v>6626</v>
      </c>
      <c r="G430" t="s">
        <v>871</v>
      </c>
      <c r="I430" t="s">
        <v>3705</v>
      </c>
      <c r="J430" t="s">
        <v>3706</v>
      </c>
      <c r="L430" t="s">
        <v>418</v>
      </c>
      <c r="M430" t="s">
        <v>6411</v>
      </c>
    </row>
    <row r="431" spans="6:13" x14ac:dyDescent="0.25">
      <c r="F431" t="s">
        <v>41</v>
      </c>
      <c r="G431" t="s">
        <v>1408</v>
      </c>
      <c r="I431" t="s">
        <v>444</v>
      </c>
      <c r="J431" t="s">
        <v>3158</v>
      </c>
      <c r="L431" t="s">
        <v>330</v>
      </c>
      <c r="M431" t="s">
        <v>5367</v>
      </c>
    </row>
    <row r="432" spans="6:13" x14ac:dyDescent="0.25">
      <c r="F432" t="s">
        <v>600</v>
      </c>
      <c r="G432" t="s">
        <v>1157</v>
      </c>
      <c r="I432" t="s">
        <v>2229</v>
      </c>
      <c r="J432" t="s">
        <v>3682</v>
      </c>
      <c r="L432" t="s">
        <v>679</v>
      </c>
      <c r="M432" t="s">
        <v>6396</v>
      </c>
    </row>
    <row r="433" spans="6:13" x14ac:dyDescent="0.25">
      <c r="F433" t="s">
        <v>664</v>
      </c>
      <c r="G433" t="s">
        <v>856</v>
      </c>
      <c r="I433" t="s">
        <v>444</v>
      </c>
      <c r="J433" t="s">
        <v>3563</v>
      </c>
      <c r="L433" t="s">
        <v>328</v>
      </c>
      <c r="M433" t="s">
        <v>5939</v>
      </c>
    </row>
    <row r="434" spans="6:13" x14ac:dyDescent="0.25">
      <c r="F434" t="s">
        <v>705</v>
      </c>
      <c r="G434" t="s">
        <v>1019</v>
      </c>
      <c r="I434" t="s">
        <v>2771</v>
      </c>
      <c r="J434" t="s">
        <v>2772</v>
      </c>
      <c r="L434" t="s">
        <v>5146</v>
      </c>
      <c r="M434" t="s">
        <v>5147</v>
      </c>
    </row>
    <row r="435" spans="6:13" x14ac:dyDescent="0.25">
      <c r="F435" t="s">
        <v>592</v>
      </c>
      <c r="G435" t="s">
        <v>1156</v>
      </c>
      <c r="I435" t="s">
        <v>328</v>
      </c>
      <c r="J435" t="s">
        <v>4139</v>
      </c>
      <c r="L435" t="s">
        <v>328</v>
      </c>
      <c r="M435" t="s">
        <v>5942</v>
      </c>
    </row>
    <row r="436" spans="6:13" x14ac:dyDescent="0.25">
      <c r="F436" t="s">
        <v>102</v>
      </c>
      <c r="G436" t="s">
        <v>1054</v>
      </c>
      <c r="I436" t="s">
        <v>267</v>
      </c>
      <c r="J436" t="s">
        <v>4395</v>
      </c>
      <c r="L436" t="s">
        <v>129</v>
      </c>
      <c r="M436" t="s">
        <v>4982</v>
      </c>
    </row>
    <row r="437" spans="6:13" x14ac:dyDescent="0.25">
      <c r="F437" t="s">
        <v>44</v>
      </c>
      <c r="G437" t="s">
        <v>1133</v>
      </c>
      <c r="I437" t="s">
        <v>266</v>
      </c>
      <c r="J437" t="s">
        <v>3489</v>
      </c>
      <c r="L437" t="s">
        <v>4838</v>
      </c>
      <c r="M437" t="s">
        <v>6559</v>
      </c>
    </row>
    <row r="438" spans="6:13" x14ac:dyDescent="0.25">
      <c r="F438" t="s">
        <v>508</v>
      </c>
      <c r="G438" t="s">
        <v>1392</v>
      </c>
      <c r="I438" t="s">
        <v>11</v>
      </c>
      <c r="J438" t="s">
        <v>6905</v>
      </c>
      <c r="L438" t="s">
        <v>5113</v>
      </c>
      <c r="M438" t="s">
        <v>5564</v>
      </c>
    </row>
    <row r="439" spans="6:13" x14ac:dyDescent="0.25">
      <c r="F439" t="s">
        <v>685</v>
      </c>
      <c r="G439" t="s">
        <v>935</v>
      </c>
      <c r="I439" t="s">
        <v>266</v>
      </c>
      <c r="J439" t="s">
        <v>1823</v>
      </c>
      <c r="L439" t="s">
        <v>328</v>
      </c>
      <c r="M439" t="s">
        <v>6378</v>
      </c>
    </row>
    <row r="440" spans="6:13" x14ac:dyDescent="0.25">
      <c r="F440" t="s">
        <v>44</v>
      </c>
      <c r="G440" t="s">
        <v>1552</v>
      </c>
      <c r="I440" t="s">
        <v>51</v>
      </c>
      <c r="J440" t="s">
        <v>1654</v>
      </c>
      <c r="L440" t="s">
        <v>679</v>
      </c>
      <c r="M440" t="s">
        <v>5363</v>
      </c>
    </row>
    <row r="441" spans="6:13" x14ac:dyDescent="0.25">
      <c r="F441" t="s">
        <v>41</v>
      </c>
      <c r="G441" t="s">
        <v>1020</v>
      </c>
      <c r="I441" t="s">
        <v>3678</v>
      </c>
      <c r="J441" t="s">
        <v>6940</v>
      </c>
      <c r="L441" t="s">
        <v>412</v>
      </c>
      <c r="M441" t="s">
        <v>5795</v>
      </c>
    </row>
    <row r="442" spans="6:13" x14ac:dyDescent="0.25">
      <c r="F442" t="s">
        <v>41</v>
      </c>
      <c r="G442" t="s">
        <v>1484</v>
      </c>
      <c r="I442" t="s">
        <v>425</v>
      </c>
      <c r="J442" t="s">
        <v>4197</v>
      </c>
      <c r="L442" t="s">
        <v>302</v>
      </c>
      <c r="M442" t="s">
        <v>6285</v>
      </c>
    </row>
    <row r="443" spans="6:13" x14ac:dyDescent="0.25">
      <c r="F443" t="s">
        <v>592</v>
      </c>
      <c r="G443" t="s">
        <v>1466</v>
      </c>
      <c r="I443" t="s">
        <v>98</v>
      </c>
      <c r="J443" t="s">
        <v>2035</v>
      </c>
      <c r="L443" t="s">
        <v>328</v>
      </c>
      <c r="M443" t="s">
        <v>4701</v>
      </c>
    </row>
    <row r="444" spans="6:13" x14ac:dyDescent="0.25">
      <c r="F444" t="s">
        <v>679</v>
      </c>
      <c r="G444" t="s">
        <v>1485</v>
      </c>
      <c r="I444" t="s">
        <v>326</v>
      </c>
      <c r="J444" t="s">
        <v>2473</v>
      </c>
      <c r="L444" t="s">
        <v>129</v>
      </c>
      <c r="M444" t="s">
        <v>4611</v>
      </c>
    </row>
    <row r="445" spans="6:13" x14ac:dyDescent="0.25">
      <c r="F445" t="s">
        <v>684</v>
      </c>
      <c r="G445" t="s">
        <v>931</v>
      </c>
      <c r="I445" t="s">
        <v>266</v>
      </c>
      <c r="J445" t="s">
        <v>2571</v>
      </c>
      <c r="L445" t="s">
        <v>679</v>
      </c>
      <c r="M445" t="s">
        <v>5173</v>
      </c>
    </row>
    <row r="446" spans="6:13" x14ac:dyDescent="0.25">
      <c r="F446" t="s">
        <v>679</v>
      </c>
      <c r="G446" t="s">
        <v>1569</v>
      </c>
      <c r="I446" t="s">
        <v>267</v>
      </c>
      <c r="J446" t="s">
        <v>2438</v>
      </c>
      <c r="L446" t="s">
        <v>328</v>
      </c>
      <c r="M446" t="s">
        <v>5835</v>
      </c>
    </row>
    <row r="447" spans="6:13" x14ac:dyDescent="0.25">
      <c r="F447" t="s">
        <v>679</v>
      </c>
      <c r="G447" t="s">
        <v>1527</v>
      </c>
      <c r="I447" t="s">
        <v>355</v>
      </c>
      <c r="J447" t="s">
        <v>2000</v>
      </c>
      <c r="L447" t="s">
        <v>129</v>
      </c>
      <c r="M447" t="s">
        <v>6222</v>
      </c>
    </row>
    <row r="448" spans="6:13" x14ac:dyDescent="0.25">
      <c r="F448" t="s">
        <v>328</v>
      </c>
      <c r="G448" t="s">
        <v>1233</v>
      </c>
      <c r="I448" t="s">
        <v>1667</v>
      </c>
      <c r="J448" t="s">
        <v>6897</v>
      </c>
      <c r="L448" t="s">
        <v>328</v>
      </c>
      <c r="M448" t="s">
        <v>6259</v>
      </c>
    </row>
    <row r="449" spans="6:13" x14ac:dyDescent="0.25">
      <c r="F449" t="s">
        <v>661</v>
      </c>
      <c r="G449" t="s">
        <v>847</v>
      </c>
      <c r="I449" t="s">
        <v>266</v>
      </c>
      <c r="J449" t="s">
        <v>1830</v>
      </c>
      <c r="L449" t="s">
        <v>25</v>
      </c>
      <c r="M449" t="s">
        <v>4711</v>
      </c>
    </row>
    <row r="450" spans="6:13" x14ac:dyDescent="0.25">
      <c r="F450" t="s">
        <v>600</v>
      </c>
      <c r="G450" t="s">
        <v>988</v>
      </c>
      <c r="I450" t="s">
        <v>308</v>
      </c>
      <c r="J450" t="s">
        <v>6942</v>
      </c>
      <c r="L450" t="s">
        <v>328</v>
      </c>
      <c r="M450" t="s">
        <v>5613</v>
      </c>
    </row>
    <row r="451" spans="6:13" x14ac:dyDescent="0.25">
      <c r="F451" t="s">
        <v>302</v>
      </c>
      <c r="G451" t="s">
        <v>1625</v>
      </c>
      <c r="I451" t="s">
        <v>67</v>
      </c>
      <c r="J451" t="s">
        <v>6839</v>
      </c>
      <c r="L451" t="s">
        <v>412</v>
      </c>
      <c r="M451" t="s">
        <v>7123</v>
      </c>
    </row>
    <row r="452" spans="6:13" x14ac:dyDescent="0.25">
      <c r="F452" t="s">
        <v>41</v>
      </c>
      <c r="G452" t="s">
        <v>1167</v>
      </c>
      <c r="I452" t="s">
        <v>328</v>
      </c>
      <c r="J452" t="s">
        <v>3520</v>
      </c>
      <c r="L452" t="s">
        <v>328</v>
      </c>
      <c r="M452" t="s">
        <v>5410</v>
      </c>
    </row>
    <row r="453" spans="6:13" x14ac:dyDescent="0.25">
      <c r="F453" t="s">
        <v>592</v>
      </c>
      <c r="G453" t="s">
        <v>982</v>
      </c>
      <c r="I453" t="s">
        <v>3508</v>
      </c>
      <c r="J453" t="s">
        <v>3509</v>
      </c>
      <c r="L453" t="s">
        <v>706</v>
      </c>
      <c r="M453" t="s">
        <v>6592</v>
      </c>
    </row>
    <row r="454" spans="6:13" x14ac:dyDescent="0.25">
      <c r="F454" t="s">
        <v>684</v>
      </c>
      <c r="G454" t="s">
        <v>1091</v>
      </c>
      <c r="I454" t="s">
        <v>6733</v>
      </c>
      <c r="J454" t="s">
        <v>1745</v>
      </c>
      <c r="L454" t="s">
        <v>328</v>
      </c>
      <c r="M454" t="s">
        <v>5697</v>
      </c>
    </row>
    <row r="455" spans="6:13" x14ac:dyDescent="0.25">
      <c r="F455" t="s">
        <v>679</v>
      </c>
      <c r="G455" t="s">
        <v>916</v>
      </c>
      <c r="I455" t="s">
        <v>6626</v>
      </c>
      <c r="J455" t="s">
        <v>1794</v>
      </c>
      <c r="L455" t="s">
        <v>326</v>
      </c>
      <c r="M455" t="s">
        <v>4772</v>
      </c>
    </row>
    <row r="456" spans="6:13" x14ac:dyDescent="0.25">
      <c r="F456" t="s">
        <v>302</v>
      </c>
      <c r="G456" t="s">
        <v>1576</v>
      </c>
      <c r="I456" t="s">
        <v>266</v>
      </c>
      <c r="J456" t="s">
        <v>2664</v>
      </c>
      <c r="L456" t="s">
        <v>4838</v>
      </c>
      <c r="M456" t="s">
        <v>7190</v>
      </c>
    </row>
    <row r="457" spans="6:13" x14ac:dyDescent="0.25">
      <c r="F457" t="s">
        <v>129</v>
      </c>
      <c r="G457" t="s">
        <v>1358</v>
      </c>
      <c r="I457" t="s">
        <v>602</v>
      </c>
      <c r="J457" t="s">
        <v>6915</v>
      </c>
      <c r="L457" t="s">
        <v>41</v>
      </c>
      <c r="M457" t="s">
        <v>6372</v>
      </c>
    </row>
    <row r="458" spans="6:13" x14ac:dyDescent="0.25">
      <c r="F458" t="s">
        <v>679</v>
      </c>
      <c r="G458" t="s">
        <v>973</v>
      </c>
      <c r="I458" t="s">
        <v>4346</v>
      </c>
      <c r="J458" t="s">
        <v>6989</v>
      </c>
      <c r="L458" t="s">
        <v>4838</v>
      </c>
      <c r="M458" t="s">
        <v>7122</v>
      </c>
    </row>
    <row r="459" spans="6:13" x14ac:dyDescent="0.25">
      <c r="F459" t="s">
        <v>40</v>
      </c>
      <c r="G459" t="s">
        <v>855</v>
      </c>
      <c r="I459" t="s">
        <v>99</v>
      </c>
      <c r="J459" t="s">
        <v>4192</v>
      </c>
      <c r="L459" t="s">
        <v>302</v>
      </c>
      <c r="M459" t="s">
        <v>7232</v>
      </c>
    </row>
    <row r="460" spans="6:13" x14ac:dyDescent="0.25">
      <c r="F460" t="s">
        <v>41</v>
      </c>
      <c r="G460" t="s">
        <v>906</v>
      </c>
      <c r="I460" t="s">
        <v>6733</v>
      </c>
      <c r="J460" t="s">
        <v>3948</v>
      </c>
      <c r="L460" t="s">
        <v>4838</v>
      </c>
      <c r="M460" t="s">
        <v>7191</v>
      </c>
    </row>
    <row r="461" spans="6:13" x14ac:dyDescent="0.25">
      <c r="F461" t="s">
        <v>41</v>
      </c>
      <c r="G461" t="s">
        <v>1345</v>
      </c>
      <c r="I461" t="s">
        <v>425</v>
      </c>
      <c r="J461" t="s">
        <v>2953</v>
      </c>
      <c r="L461" t="s">
        <v>418</v>
      </c>
      <c r="M461" t="s">
        <v>7110</v>
      </c>
    </row>
    <row r="462" spans="6:13" x14ac:dyDescent="0.25">
      <c r="F462" t="s">
        <v>41</v>
      </c>
      <c r="G462" t="s">
        <v>1649</v>
      </c>
      <c r="I462" t="s">
        <v>3174</v>
      </c>
      <c r="J462" t="s">
        <v>3175</v>
      </c>
      <c r="L462" t="s">
        <v>412</v>
      </c>
      <c r="M462" t="s">
        <v>6593</v>
      </c>
    </row>
    <row r="463" spans="6:13" x14ac:dyDescent="0.25">
      <c r="F463" t="s">
        <v>302</v>
      </c>
      <c r="G463" t="s">
        <v>976</v>
      </c>
      <c r="I463" t="s">
        <v>328</v>
      </c>
      <c r="J463" t="s">
        <v>3015</v>
      </c>
      <c r="L463" t="s">
        <v>65</v>
      </c>
      <c r="M463" t="s">
        <v>5780</v>
      </c>
    </row>
    <row r="464" spans="6:13" x14ac:dyDescent="0.25">
      <c r="F464" t="s">
        <v>638</v>
      </c>
      <c r="G464" t="s">
        <v>951</v>
      </c>
      <c r="I464" t="s">
        <v>2639</v>
      </c>
      <c r="J464" t="s">
        <v>2640</v>
      </c>
      <c r="L464" t="s">
        <v>328</v>
      </c>
      <c r="M464" t="s">
        <v>4991</v>
      </c>
    </row>
    <row r="465" spans="6:13" x14ac:dyDescent="0.25">
      <c r="F465" t="s">
        <v>697</v>
      </c>
      <c r="G465" t="s">
        <v>1557</v>
      </c>
      <c r="I465" t="s">
        <v>1667</v>
      </c>
      <c r="J465" t="s">
        <v>4455</v>
      </c>
      <c r="L465" t="s">
        <v>296</v>
      </c>
      <c r="M465" t="s">
        <v>7184</v>
      </c>
    </row>
    <row r="466" spans="6:13" x14ac:dyDescent="0.25">
      <c r="F466" t="s">
        <v>589</v>
      </c>
      <c r="G466" t="s">
        <v>1351</v>
      </c>
      <c r="I466" t="s">
        <v>1993</v>
      </c>
      <c r="J466" t="s">
        <v>6819</v>
      </c>
      <c r="L466" t="s">
        <v>302</v>
      </c>
      <c r="M466" t="s">
        <v>7063</v>
      </c>
    </row>
    <row r="467" spans="6:13" x14ac:dyDescent="0.25">
      <c r="F467" t="s">
        <v>592</v>
      </c>
      <c r="G467" t="s">
        <v>1136</v>
      </c>
      <c r="I467" t="s">
        <v>330</v>
      </c>
      <c r="J467" t="s">
        <v>4098</v>
      </c>
      <c r="L467" t="s">
        <v>42</v>
      </c>
      <c r="M467" t="s">
        <v>5593</v>
      </c>
    </row>
    <row r="468" spans="6:13" x14ac:dyDescent="0.25">
      <c r="F468" t="s">
        <v>328</v>
      </c>
      <c r="G468" t="s">
        <v>1186</v>
      </c>
      <c r="I468" t="s">
        <v>3705</v>
      </c>
      <c r="J468" t="s">
        <v>4147</v>
      </c>
      <c r="L468" t="s">
        <v>42</v>
      </c>
      <c r="M468" t="s">
        <v>5851</v>
      </c>
    </row>
    <row r="469" spans="6:13" x14ac:dyDescent="0.25">
      <c r="F469" t="s">
        <v>597</v>
      </c>
      <c r="G469" t="s">
        <v>1327</v>
      </c>
      <c r="I469" t="s">
        <v>6626</v>
      </c>
      <c r="J469" t="s">
        <v>1693</v>
      </c>
      <c r="L469" t="s">
        <v>412</v>
      </c>
      <c r="M469" t="s">
        <v>4832</v>
      </c>
    </row>
    <row r="470" spans="6:13" x14ac:dyDescent="0.25">
      <c r="F470" t="s">
        <v>328</v>
      </c>
      <c r="G470" t="s">
        <v>1109</v>
      </c>
      <c r="I470" t="s">
        <v>4267</v>
      </c>
      <c r="J470" t="s">
        <v>4268</v>
      </c>
      <c r="L470" t="s">
        <v>129</v>
      </c>
      <c r="M470" t="s">
        <v>6610</v>
      </c>
    </row>
    <row r="471" spans="6:13" x14ac:dyDescent="0.25">
      <c r="F471" t="s">
        <v>434</v>
      </c>
      <c r="G471" t="s">
        <v>1429</v>
      </c>
      <c r="I471" t="s">
        <v>328</v>
      </c>
      <c r="J471" t="s">
        <v>3393</v>
      </c>
      <c r="L471" t="s">
        <v>42</v>
      </c>
      <c r="M471" t="s">
        <v>6582</v>
      </c>
    </row>
    <row r="472" spans="6:13" x14ac:dyDescent="0.25">
      <c r="F472" t="s">
        <v>129</v>
      </c>
      <c r="G472" t="s">
        <v>1642</v>
      </c>
      <c r="I472" t="s">
        <v>6830</v>
      </c>
      <c r="J472" t="s">
        <v>3430</v>
      </c>
      <c r="L472" t="s">
        <v>130</v>
      </c>
      <c r="M472" t="s">
        <v>5439</v>
      </c>
    </row>
    <row r="473" spans="6:13" x14ac:dyDescent="0.25">
      <c r="F473" t="s">
        <v>129</v>
      </c>
      <c r="G473" t="s">
        <v>1524</v>
      </c>
      <c r="I473" t="s">
        <v>267</v>
      </c>
      <c r="J473" t="s">
        <v>4452</v>
      </c>
      <c r="L473" t="s">
        <v>302</v>
      </c>
      <c r="M473" t="s">
        <v>7152</v>
      </c>
    </row>
    <row r="474" spans="6:13" x14ac:dyDescent="0.25">
      <c r="F474" t="s">
        <v>302</v>
      </c>
      <c r="G474" t="s">
        <v>1271</v>
      </c>
      <c r="I474" t="s">
        <v>2661</v>
      </c>
      <c r="J474" t="s">
        <v>2662</v>
      </c>
      <c r="L474" t="s">
        <v>42</v>
      </c>
      <c r="M474" t="s">
        <v>4914</v>
      </c>
    </row>
    <row r="475" spans="6:13" x14ac:dyDescent="0.25">
      <c r="F475" t="s">
        <v>302</v>
      </c>
      <c r="G475" t="s">
        <v>6651</v>
      </c>
      <c r="I475" t="s">
        <v>2060</v>
      </c>
      <c r="J475" t="s">
        <v>2680</v>
      </c>
      <c r="L475" t="s">
        <v>41</v>
      </c>
      <c r="M475" t="s">
        <v>6452</v>
      </c>
    </row>
    <row r="476" spans="6:13" x14ac:dyDescent="0.25">
      <c r="F476" t="s">
        <v>328</v>
      </c>
      <c r="G476" t="s">
        <v>884</v>
      </c>
      <c r="I476" t="s">
        <v>99</v>
      </c>
      <c r="J476" t="s">
        <v>6910</v>
      </c>
      <c r="L476" t="s">
        <v>41</v>
      </c>
      <c r="M476" t="s">
        <v>6223</v>
      </c>
    </row>
    <row r="477" spans="6:13" x14ac:dyDescent="0.25">
      <c r="F477" t="s">
        <v>328</v>
      </c>
      <c r="G477" t="s">
        <v>1521</v>
      </c>
      <c r="I477" t="s">
        <v>597</v>
      </c>
      <c r="J477" t="s">
        <v>4398</v>
      </c>
      <c r="L477" t="s">
        <v>373</v>
      </c>
      <c r="M477" t="s">
        <v>5990</v>
      </c>
    </row>
    <row r="478" spans="6:13" x14ac:dyDescent="0.25">
      <c r="F478" t="s">
        <v>508</v>
      </c>
      <c r="G478" t="s">
        <v>866</v>
      </c>
      <c r="I478" t="s">
        <v>6733</v>
      </c>
      <c r="J478" t="s">
        <v>4056</v>
      </c>
      <c r="L478" t="s">
        <v>321</v>
      </c>
      <c r="M478" t="s">
        <v>4621</v>
      </c>
    </row>
    <row r="479" spans="6:13" x14ac:dyDescent="0.25">
      <c r="F479" t="s">
        <v>652</v>
      </c>
      <c r="G479" t="s">
        <v>1648</v>
      </c>
      <c r="I479" t="s">
        <v>1903</v>
      </c>
      <c r="J479" t="s">
        <v>2537</v>
      </c>
      <c r="L479" t="s">
        <v>682</v>
      </c>
      <c r="M479" t="s">
        <v>6241</v>
      </c>
    </row>
    <row r="480" spans="6:13" x14ac:dyDescent="0.25">
      <c r="F480" t="s">
        <v>374</v>
      </c>
      <c r="G480" t="s">
        <v>1058</v>
      </c>
      <c r="I480" t="s">
        <v>2307</v>
      </c>
      <c r="J480" t="s">
        <v>2308</v>
      </c>
      <c r="L480" t="s">
        <v>42</v>
      </c>
      <c r="M480" t="s">
        <v>6046</v>
      </c>
    </row>
    <row r="481" spans="6:13" x14ac:dyDescent="0.25">
      <c r="F481" t="s">
        <v>41</v>
      </c>
      <c r="G481" t="s">
        <v>1103</v>
      </c>
      <c r="I481" t="s">
        <v>49</v>
      </c>
      <c r="J481" t="s">
        <v>3651</v>
      </c>
      <c r="L481" t="s">
        <v>130</v>
      </c>
      <c r="M481" t="s">
        <v>6188</v>
      </c>
    </row>
    <row r="482" spans="6:13" x14ac:dyDescent="0.25">
      <c r="F482" t="s">
        <v>6626</v>
      </c>
      <c r="G482" t="s">
        <v>1062</v>
      </c>
      <c r="I482" t="s">
        <v>129</v>
      </c>
      <c r="J482" t="s">
        <v>3254</v>
      </c>
      <c r="L482" t="s">
        <v>328</v>
      </c>
      <c r="M482" t="s">
        <v>4573</v>
      </c>
    </row>
    <row r="483" spans="6:13" x14ac:dyDescent="0.25">
      <c r="F483" t="s">
        <v>589</v>
      </c>
      <c r="G483" t="s">
        <v>1013</v>
      </c>
      <c r="I483" t="s">
        <v>267</v>
      </c>
      <c r="J483" t="s">
        <v>2864</v>
      </c>
      <c r="L483" t="s">
        <v>412</v>
      </c>
      <c r="M483" t="s">
        <v>7007</v>
      </c>
    </row>
    <row r="484" spans="6:13" x14ac:dyDescent="0.25">
      <c r="F484" t="s">
        <v>102</v>
      </c>
      <c r="G484" t="s">
        <v>1583</v>
      </c>
      <c r="I484" t="s">
        <v>324</v>
      </c>
      <c r="J484" t="s">
        <v>2449</v>
      </c>
      <c r="L484" t="s">
        <v>130</v>
      </c>
      <c r="M484" t="s">
        <v>5216</v>
      </c>
    </row>
    <row r="485" spans="6:13" x14ac:dyDescent="0.25">
      <c r="F485" t="s">
        <v>597</v>
      </c>
      <c r="G485" t="s">
        <v>1160</v>
      </c>
      <c r="I485" t="s">
        <v>425</v>
      </c>
      <c r="J485" t="s">
        <v>4469</v>
      </c>
      <c r="L485" t="s">
        <v>302</v>
      </c>
      <c r="M485" t="s">
        <v>7053</v>
      </c>
    </row>
    <row r="486" spans="6:13" x14ac:dyDescent="0.25">
      <c r="F486" t="s">
        <v>41</v>
      </c>
      <c r="G486" t="s">
        <v>1219</v>
      </c>
      <c r="I486" t="s">
        <v>2757</v>
      </c>
      <c r="J486" t="s">
        <v>7002</v>
      </c>
      <c r="L486" t="s">
        <v>41</v>
      </c>
      <c r="M486" t="s">
        <v>6302</v>
      </c>
    </row>
    <row r="487" spans="6:13" x14ac:dyDescent="0.25">
      <c r="F487" t="s">
        <v>328</v>
      </c>
      <c r="G487" t="s">
        <v>1481</v>
      </c>
      <c r="I487" t="s">
        <v>267</v>
      </c>
      <c r="J487" t="s">
        <v>3269</v>
      </c>
      <c r="L487" t="s">
        <v>302</v>
      </c>
      <c r="M487" t="s">
        <v>7027</v>
      </c>
    </row>
    <row r="488" spans="6:13" x14ac:dyDescent="0.25">
      <c r="F488" t="s">
        <v>328</v>
      </c>
      <c r="G488" t="s">
        <v>1260</v>
      </c>
      <c r="I488" t="s">
        <v>267</v>
      </c>
      <c r="J488" t="s">
        <v>3611</v>
      </c>
      <c r="L488" t="s">
        <v>328</v>
      </c>
      <c r="M488" t="s">
        <v>4749</v>
      </c>
    </row>
    <row r="489" spans="6:13" x14ac:dyDescent="0.25">
      <c r="F489" t="s">
        <v>302</v>
      </c>
      <c r="G489" t="s">
        <v>1297</v>
      </c>
      <c r="I489" t="s">
        <v>328</v>
      </c>
      <c r="J489" t="s">
        <v>3544</v>
      </c>
      <c r="L489" t="s">
        <v>302</v>
      </c>
      <c r="M489" t="s">
        <v>6350</v>
      </c>
    </row>
    <row r="490" spans="6:13" x14ac:dyDescent="0.25">
      <c r="F490" t="s">
        <v>302</v>
      </c>
      <c r="G490" t="s">
        <v>934</v>
      </c>
      <c r="I490" t="s">
        <v>1667</v>
      </c>
      <c r="J490" t="s">
        <v>6807</v>
      </c>
      <c r="L490" t="s">
        <v>6495</v>
      </c>
      <c r="M490" t="s">
        <v>6496</v>
      </c>
    </row>
    <row r="491" spans="6:13" x14ac:dyDescent="0.25">
      <c r="F491" t="s">
        <v>597</v>
      </c>
      <c r="G491" t="s">
        <v>949</v>
      </c>
      <c r="I491" t="s">
        <v>600</v>
      </c>
      <c r="J491" t="s">
        <v>6711</v>
      </c>
      <c r="L491" t="s">
        <v>41</v>
      </c>
      <c r="M491" t="s">
        <v>5247</v>
      </c>
    </row>
    <row r="492" spans="6:13" x14ac:dyDescent="0.25">
      <c r="F492" t="s">
        <v>373</v>
      </c>
      <c r="G492" t="s">
        <v>1308</v>
      </c>
      <c r="I492" t="s">
        <v>267</v>
      </c>
      <c r="J492" t="s">
        <v>4331</v>
      </c>
      <c r="L492" t="s">
        <v>302</v>
      </c>
      <c r="M492" t="s">
        <v>7245</v>
      </c>
    </row>
    <row r="493" spans="6:13" x14ac:dyDescent="0.25">
      <c r="F493" t="s">
        <v>697</v>
      </c>
      <c r="G493" t="s">
        <v>979</v>
      </c>
      <c r="I493" t="s">
        <v>266</v>
      </c>
      <c r="J493" t="s">
        <v>1747</v>
      </c>
      <c r="L493" t="s">
        <v>293</v>
      </c>
      <c r="M493" t="s">
        <v>5728</v>
      </c>
    </row>
    <row r="494" spans="6:13" x14ac:dyDescent="0.25">
      <c r="F494" t="s">
        <v>707</v>
      </c>
      <c r="G494" t="s">
        <v>1027</v>
      </c>
      <c r="I494" t="s">
        <v>4115</v>
      </c>
      <c r="J494" t="s">
        <v>4116</v>
      </c>
      <c r="L494" t="s">
        <v>41</v>
      </c>
      <c r="M494" t="s">
        <v>6315</v>
      </c>
    </row>
    <row r="495" spans="6:13" x14ac:dyDescent="0.25">
      <c r="F495" t="s">
        <v>697</v>
      </c>
      <c r="G495" t="s">
        <v>1120</v>
      </c>
      <c r="I495" t="s">
        <v>267</v>
      </c>
      <c r="J495" t="s">
        <v>3107</v>
      </c>
      <c r="L495" t="s">
        <v>5501</v>
      </c>
      <c r="M495" t="s">
        <v>5507</v>
      </c>
    </row>
    <row r="496" spans="6:13" x14ac:dyDescent="0.25">
      <c r="F496" t="s">
        <v>41</v>
      </c>
      <c r="G496" t="s">
        <v>1318</v>
      </c>
      <c r="I496" t="s">
        <v>4518</v>
      </c>
      <c r="J496" t="s">
        <v>3890</v>
      </c>
      <c r="L496" t="s">
        <v>5501</v>
      </c>
      <c r="M496" t="s">
        <v>5502</v>
      </c>
    </row>
    <row r="497" spans="6:13" x14ac:dyDescent="0.25">
      <c r="F497" t="s">
        <v>41</v>
      </c>
      <c r="G497" t="s">
        <v>1630</v>
      </c>
      <c r="I497" t="s">
        <v>330</v>
      </c>
      <c r="J497" t="s">
        <v>3427</v>
      </c>
      <c r="L497" t="s">
        <v>302</v>
      </c>
      <c r="M497" t="s">
        <v>4739</v>
      </c>
    </row>
    <row r="498" spans="6:13" x14ac:dyDescent="0.25">
      <c r="F498" t="s">
        <v>508</v>
      </c>
      <c r="G498" t="s">
        <v>1347</v>
      </c>
      <c r="I498" t="s">
        <v>267</v>
      </c>
      <c r="J498" t="s">
        <v>6977</v>
      </c>
      <c r="L498" t="s">
        <v>328</v>
      </c>
      <c r="M498" t="s">
        <v>6316</v>
      </c>
    </row>
    <row r="499" spans="6:13" x14ac:dyDescent="0.25">
      <c r="F499" t="s">
        <v>508</v>
      </c>
      <c r="G499" t="s">
        <v>1044</v>
      </c>
      <c r="I499" t="s">
        <v>566</v>
      </c>
      <c r="J499" t="s">
        <v>2822</v>
      </c>
      <c r="L499" t="s">
        <v>302</v>
      </c>
      <c r="M499" t="s">
        <v>4612</v>
      </c>
    </row>
    <row r="500" spans="6:13" x14ac:dyDescent="0.25">
      <c r="F500" t="s">
        <v>809</v>
      </c>
      <c r="G500" t="s">
        <v>1511</v>
      </c>
      <c r="I500" t="s">
        <v>1907</v>
      </c>
      <c r="J500" t="s">
        <v>1908</v>
      </c>
      <c r="L500" t="s">
        <v>485</v>
      </c>
      <c r="M500" t="s">
        <v>4551</v>
      </c>
    </row>
    <row r="501" spans="6:13" x14ac:dyDescent="0.25">
      <c r="F501" t="s">
        <v>302</v>
      </c>
      <c r="G501" t="s">
        <v>1283</v>
      </c>
      <c r="I501" t="s">
        <v>267</v>
      </c>
      <c r="J501" t="s">
        <v>6692</v>
      </c>
      <c r="L501" t="s">
        <v>25</v>
      </c>
      <c r="M501" t="s">
        <v>7055</v>
      </c>
    </row>
    <row r="502" spans="6:13" x14ac:dyDescent="0.25">
      <c r="F502" t="s">
        <v>328</v>
      </c>
      <c r="G502" t="s">
        <v>1441</v>
      </c>
      <c r="I502" t="s">
        <v>44</v>
      </c>
      <c r="J502" t="s">
        <v>3108</v>
      </c>
      <c r="L502" t="s">
        <v>302</v>
      </c>
      <c r="M502" t="s">
        <v>5142</v>
      </c>
    </row>
    <row r="503" spans="6:13" x14ac:dyDescent="0.25">
      <c r="F503" t="s">
        <v>102</v>
      </c>
      <c r="G503" t="s">
        <v>1317</v>
      </c>
      <c r="I503" t="s">
        <v>267</v>
      </c>
      <c r="J503" t="s">
        <v>2533</v>
      </c>
      <c r="L503" t="s">
        <v>326</v>
      </c>
      <c r="M503" t="s">
        <v>6516</v>
      </c>
    </row>
    <row r="504" spans="6:13" x14ac:dyDescent="0.25">
      <c r="F504" t="s">
        <v>422</v>
      </c>
      <c r="G504" t="s">
        <v>1432</v>
      </c>
      <c r="I504" t="s">
        <v>3081</v>
      </c>
      <c r="J504" t="s">
        <v>3212</v>
      </c>
      <c r="L504" t="s">
        <v>54</v>
      </c>
      <c r="M504" t="s">
        <v>6549</v>
      </c>
    </row>
    <row r="505" spans="6:13" x14ac:dyDescent="0.25">
      <c r="F505" t="s">
        <v>302</v>
      </c>
      <c r="G505" t="s">
        <v>1352</v>
      </c>
      <c r="I505" t="s">
        <v>355</v>
      </c>
      <c r="J505" t="s">
        <v>1725</v>
      </c>
      <c r="L505" t="s">
        <v>65</v>
      </c>
      <c r="M505" t="s">
        <v>4908</v>
      </c>
    </row>
    <row r="506" spans="6:13" x14ac:dyDescent="0.25">
      <c r="F506" t="s">
        <v>636</v>
      </c>
      <c r="G506" t="s">
        <v>1032</v>
      </c>
      <c r="I506" t="s">
        <v>43</v>
      </c>
      <c r="J506" t="s">
        <v>3075</v>
      </c>
      <c r="L506" t="s">
        <v>302</v>
      </c>
      <c r="M506" t="s">
        <v>4733</v>
      </c>
    </row>
    <row r="507" spans="6:13" x14ac:dyDescent="0.25">
      <c r="F507" t="s">
        <v>102</v>
      </c>
      <c r="G507" t="s">
        <v>1535</v>
      </c>
      <c r="I507" t="s">
        <v>266</v>
      </c>
      <c r="J507" t="s">
        <v>3367</v>
      </c>
      <c r="L507" t="s">
        <v>412</v>
      </c>
      <c r="M507" t="s">
        <v>7177</v>
      </c>
    </row>
    <row r="508" spans="6:13" x14ac:dyDescent="0.25">
      <c r="F508" t="s">
        <v>438</v>
      </c>
      <c r="G508" t="s">
        <v>1087</v>
      </c>
      <c r="I508" t="s">
        <v>328</v>
      </c>
      <c r="J508" t="s">
        <v>2414</v>
      </c>
      <c r="L508" t="s">
        <v>418</v>
      </c>
      <c r="M508" t="s">
        <v>7072</v>
      </c>
    </row>
    <row r="509" spans="6:13" x14ac:dyDescent="0.25">
      <c r="F509" t="s">
        <v>302</v>
      </c>
      <c r="G509" t="s">
        <v>970</v>
      </c>
      <c r="I509" t="s">
        <v>412</v>
      </c>
      <c r="J509" t="s">
        <v>6907</v>
      </c>
      <c r="L509" t="s">
        <v>412</v>
      </c>
      <c r="M509" t="s">
        <v>4870</v>
      </c>
    </row>
    <row r="510" spans="6:13" x14ac:dyDescent="0.25">
      <c r="F510" t="s">
        <v>373</v>
      </c>
      <c r="G510" t="s">
        <v>980</v>
      </c>
      <c r="I510" t="s">
        <v>266</v>
      </c>
      <c r="J510" t="s">
        <v>2478</v>
      </c>
      <c r="L510" t="s">
        <v>326</v>
      </c>
      <c r="M510" t="s">
        <v>6231</v>
      </c>
    </row>
    <row r="511" spans="6:13" x14ac:dyDescent="0.25">
      <c r="F511" t="s">
        <v>638</v>
      </c>
      <c r="G511" t="s">
        <v>1505</v>
      </c>
      <c r="I511" t="s">
        <v>11</v>
      </c>
      <c r="J511" t="s">
        <v>2135</v>
      </c>
      <c r="L511" t="s">
        <v>418</v>
      </c>
      <c r="M511" t="s">
        <v>7180</v>
      </c>
    </row>
    <row r="512" spans="6:13" x14ac:dyDescent="0.25">
      <c r="F512" t="s">
        <v>605</v>
      </c>
      <c r="G512" t="s">
        <v>1461</v>
      </c>
      <c r="I512" t="s">
        <v>3036</v>
      </c>
      <c r="J512" t="s">
        <v>3317</v>
      </c>
      <c r="L512" t="s">
        <v>5427</v>
      </c>
      <c r="M512" t="s">
        <v>5428</v>
      </c>
    </row>
    <row r="513" spans="6:13" x14ac:dyDescent="0.25">
      <c r="F513" t="s">
        <v>422</v>
      </c>
      <c r="G513" t="s">
        <v>1227</v>
      </c>
      <c r="I513" t="s">
        <v>1888</v>
      </c>
      <c r="J513" t="s">
        <v>3896</v>
      </c>
      <c r="L513" t="s">
        <v>5113</v>
      </c>
      <c r="M513" t="s">
        <v>7093</v>
      </c>
    </row>
    <row r="514" spans="6:13" x14ac:dyDescent="0.25">
      <c r="F514" t="s">
        <v>328</v>
      </c>
      <c r="G514" t="s">
        <v>1112</v>
      </c>
      <c r="I514" t="s">
        <v>6813</v>
      </c>
      <c r="J514" t="s">
        <v>3372</v>
      </c>
      <c r="L514" t="s">
        <v>321</v>
      </c>
      <c r="M514" t="s">
        <v>7067</v>
      </c>
    </row>
    <row r="515" spans="6:13" x14ac:dyDescent="0.25">
      <c r="F515" t="s">
        <v>41</v>
      </c>
      <c r="G515" t="s">
        <v>1135</v>
      </c>
      <c r="I515" t="s">
        <v>1684</v>
      </c>
      <c r="J515" t="s">
        <v>1685</v>
      </c>
      <c r="L515" t="s">
        <v>422</v>
      </c>
      <c r="M515" t="s">
        <v>4844</v>
      </c>
    </row>
    <row r="516" spans="6:13" x14ac:dyDescent="0.25">
      <c r="F516" t="s">
        <v>41</v>
      </c>
      <c r="G516" t="s">
        <v>952</v>
      </c>
      <c r="I516" t="s">
        <v>2060</v>
      </c>
      <c r="J516" t="s">
        <v>3423</v>
      </c>
      <c r="L516" t="s">
        <v>68</v>
      </c>
      <c r="M516" t="s">
        <v>7024</v>
      </c>
    </row>
    <row r="517" spans="6:13" x14ac:dyDescent="0.25">
      <c r="F517" t="s">
        <v>302</v>
      </c>
      <c r="G517" t="s">
        <v>922</v>
      </c>
      <c r="I517" t="s">
        <v>308</v>
      </c>
      <c r="J517" t="s">
        <v>6923</v>
      </c>
      <c r="L517" t="s">
        <v>328</v>
      </c>
      <c r="M517" t="s">
        <v>5924</v>
      </c>
    </row>
    <row r="518" spans="6:13" x14ac:dyDescent="0.25">
      <c r="F518" t="s">
        <v>690</v>
      </c>
      <c r="G518" t="s">
        <v>960</v>
      </c>
      <c r="I518" t="s">
        <v>3697</v>
      </c>
      <c r="J518" t="s">
        <v>3698</v>
      </c>
      <c r="L518" t="s">
        <v>5113</v>
      </c>
      <c r="M518" t="s">
        <v>7076</v>
      </c>
    </row>
    <row r="519" spans="6:13" x14ac:dyDescent="0.25">
      <c r="F519" t="s">
        <v>656</v>
      </c>
      <c r="G519" t="s">
        <v>1503</v>
      </c>
      <c r="I519" t="s">
        <v>355</v>
      </c>
      <c r="J519" t="s">
        <v>3399</v>
      </c>
      <c r="L519" t="s">
        <v>302</v>
      </c>
      <c r="M519" t="s">
        <v>7016</v>
      </c>
    </row>
    <row r="520" spans="6:13" x14ac:dyDescent="0.25">
      <c r="F520" t="s">
        <v>373</v>
      </c>
      <c r="G520" t="s">
        <v>1562</v>
      </c>
      <c r="I520" t="s">
        <v>267</v>
      </c>
      <c r="J520" t="s">
        <v>3381</v>
      </c>
      <c r="L520" t="s">
        <v>328</v>
      </c>
      <c r="M520" t="s">
        <v>6399</v>
      </c>
    </row>
    <row r="521" spans="6:13" x14ac:dyDescent="0.25">
      <c r="F521" t="s">
        <v>422</v>
      </c>
      <c r="G521" t="s">
        <v>1514</v>
      </c>
      <c r="I521" t="s">
        <v>266</v>
      </c>
      <c r="J521" t="s">
        <v>4226</v>
      </c>
      <c r="L521" t="s">
        <v>581</v>
      </c>
      <c r="M521" t="s">
        <v>5135</v>
      </c>
    </row>
    <row r="522" spans="6:13" x14ac:dyDescent="0.25">
      <c r="F522" t="s">
        <v>373</v>
      </c>
      <c r="G522" t="s">
        <v>1102</v>
      </c>
      <c r="I522" t="s">
        <v>269</v>
      </c>
      <c r="J522" t="s">
        <v>2106</v>
      </c>
      <c r="L522" t="s">
        <v>581</v>
      </c>
      <c r="M522" t="s">
        <v>6468</v>
      </c>
    </row>
    <row r="523" spans="6:13" x14ac:dyDescent="0.25">
      <c r="F523" t="s">
        <v>422</v>
      </c>
      <c r="G523" t="s">
        <v>1029</v>
      </c>
      <c r="I523" t="s">
        <v>3335</v>
      </c>
      <c r="J523" t="s">
        <v>4195</v>
      </c>
      <c r="L523" t="s">
        <v>302</v>
      </c>
      <c r="M523" t="s">
        <v>7134</v>
      </c>
    </row>
    <row r="524" spans="6:13" x14ac:dyDescent="0.25">
      <c r="F524" t="s">
        <v>422</v>
      </c>
      <c r="G524" t="s">
        <v>1426</v>
      </c>
      <c r="I524" t="s">
        <v>43</v>
      </c>
      <c r="J524" t="s">
        <v>2072</v>
      </c>
      <c r="L524" t="s">
        <v>5501</v>
      </c>
      <c r="M524" t="s">
        <v>6130</v>
      </c>
    </row>
    <row r="525" spans="6:13" x14ac:dyDescent="0.25">
      <c r="F525" t="s">
        <v>41</v>
      </c>
      <c r="G525" t="s">
        <v>911</v>
      </c>
      <c r="I525" t="s">
        <v>270</v>
      </c>
      <c r="J525" t="s">
        <v>3574</v>
      </c>
      <c r="L525" t="s">
        <v>483</v>
      </c>
      <c r="M525" t="s">
        <v>4969</v>
      </c>
    </row>
    <row r="526" spans="6:13" x14ac:dyDescent="0.25">
      <c r="F526" t="s">
        <v>41</v>
      </c>
      <c r="G526" t="s">
        <v>1555</v>
      </c>
      <c r="I526" t="s">
        <v>267</v>
      </c>
      <c r="J526" t="s">
        <v>6998</v>
      </c>
      <c r="L526" t="s">
        <v>373</v>
      </c>
      <c r="M526" t="s">
        <v>4550</v>
      </c>
    </row>
    <row r="527" spans="6:13" x14ac:dyDescent="0.25">
      <c r="F527" t="s">
        <v>302</v>
      </c>
      <c r="G527" t="s">
        <v>1264</v>
      </c>
      <c r="I527" t="s">
        <v>2462</v>
      </c>
      <c r="J527" t="s">
        <v>4432</v>
      </c>
      <c r="L527" t="s">
        <v>41</v>
      </c>
      <c r="M527" t="s">
        <v>4766</v>
      </c>
    </row>
    <row r="528" spans="6:13" x14ac:dyDescent="0.25">
      <c r="F528" t="s">
        <v>802</v>
      </c>
      <c r="G528" t="s">
        <v>1458</v>
      </c>
      <c r="I528" t="s">
        <v>1816</v>
      </c>
      <c r="J528" t="s">
        <v>1937</v>
      </c>
      <c r="L528" t="s">
        <v>129</v>
      </c>
      <c r="M528" t="s">
        <v>5261</v>
      </c>
    </row>
    <row r="529" spans="6:13" x14ac:dyDescent="0.25">
      <c r="F529" t="s">
        <v>773</v>
      </c>
      <c r="G529" t="s">
        <v>1348</v>
      </c>
      <c r="I529" t="s">
        <v>97</v>
      </c>
      <c r="J529" t="s">
        <v>4496</v>
      </c>
      <c r="L529" t="s">
        <v>485</v>
      </c>
      <c r="M529" t="s">
        <v>4941</v>
      </c>
    </row>
    <row r="530" spans="6:13" x14ac:dyDescent="0.25">
      <c r="F530" t="s">
        <v>605</v>
      </c>
      <c r="G530" t="s">
        <v>1018</v>
      </c>
      <c r="I530" t="s">
        <v>3401</v>
      </c>
      <c r="J530" t="s">
        <v>3402</v>
      </c>
      <c r="L530" t="s">
        <v>485</v>
      </c>
      <c r="M530" t="s">
        <v>5227</v>
      </c>
    </row>
    <row r="531" spans="6:13" x14ac:dyDescent="0.25">
      <c r="F531" t="s">
        <v>751</v>
      </c>
      <c r="G531" t="s">
        <v>1231</v>
      </c>
      <c r="I531" t="s">
        <v>412</v>
      </c>
      <c r="J531" t="s">
        <v>6844</v>
      </c>
      <c r="L531" t="s">
        <v>326</v>
      </c>
      <c r="M531" t="s">
        <v>5651</v>
      </c>
    </row>
    <row r="532" spans="6:13" x14ac:dyDescent="0.25">
      <c r="F532" t="s">
        <v>734</v>
      </c>
      <c r="G532" t="s">
        <v>1149</v>
      </c>
      <c r="I532" t="s">
        <v>328</v>
      </c>
      <c r="J532" t="s">
        <v>3406</v>
      </c>
      <c r="L532" t="s">
        <v>41</v>
      </c>
      <c r="M532" t="s">
        <v>4700</v>
      </c>
    </row>
    <row r="533" spans="6:13" x14ac:dyDescent="0.25">
      <c r="F533" t="s">
        <v>438</v>
      </c>
      <c r="G533" t="s">
        <v>1607</v>
      </c>
      <c r="I533" t="s">
        <v>3002</v>
      </c>
      <c r="J533" t="s">
        <v>3003</v>
      </c>
      <c r="L533" t="s">
        <v>328</v>
      </c>
      <c r="M533" t="s">
        <v>5977</v>
      </c>
    </row>
    <row r="534" spans="6:13" x14ac:dyDescent="0.25">
      <c r="F534" t="s">
        <v>328</v>
      </c>
      <c r="G534" t="s">
        <v>1479</v>
      </c>
      <c r="I534" t="s">
        <v>97</v>
      </c>
      <c r="J534" t="s">
        <v>3457</v>
      </c>
      <c r="L534" t="s">
        <v>328</v>
      </c>
      <c r="M534" t="s">
        <v>4617</v>
      </c>
    </row>
    <row r="535" spans="6:13" x14ac:dyDescent="0.25">
      <c r="F535" t="s">
        <v>102</v>
      </c>
      <c r="G535" t="s">
        <v>1579</v>
      </c>
      <c r="I535" t="s">
        <v>1755</v>
      </c>
      <c r="J535" t="s">
        <v>2663</v>
      </c>
      <c r="L535" t="s">
        <v>412</v>
      </c>
      <c r="M535" t="s">
        <v>7247</v>
      </c>
    </row>
    <row r="536" spans="6:13" x14ac:dyDescent="0.25">
      <c r="F536" t="s">
        <v>41</v>
      </c>
      <c r="G536" t="s">
        <v>1650</v>
      </c>
      <c r="I536" t="s">
        <v>3002</v>
      </c>
      <c r="J536" t="s">
        <v>3732</v>
      </c>
      <c r="L536" t="s">
        <v>4893</v>
      </c>
      <c r="M536" t="s">
        <v>4894</v>
      </c>
    </row>
    <row r="537" spans="6:13" x14ac:dyDescent="0.25">
      <c r="F537" t="s">
        <v>373</v>
      </c>
      <c r="G537" t="s">
        <v>1200</v>
      </c>
      <c r="I537" t="s">
        <v>328</v>
      </c>
      <c r="J537" t="s">
        <v>3387</v>
      </c>
      <c r="L537" t="s">
        <v>41</v>
      </c>
      <c r="M537" t="s">
        <v>5592</v>
      </c>
    </row>
    <row r="538" spans="6:13" x14ac:dyDescent="0.25">
      <c r="F538" t="s">
        <v>302</v>
      </c>
      <c r="G538" t="s">
        <v>1286</v>
      </c>
      <c r="I538" t="s">
        <v>6733</v>
      </c>
      <c r="J538" t="s">
        <v>2773</v>
      </c>
      <c r="L538" t="s">
        <v>328</v>
      </c>
      <c r="M538" t="s">
        <v>5981</v>
      </c>
    </row>
    <row r="539" spans="6:13" x14ac:dyDescent="0.25">
      <c r="F539" t="s">
        <v>41</v>
      </c>
      <c r="G539" t="s">
        <v>1154</v>
      </c>
      <c r="I539" t="s">
        <v>43</v>
      </c>
      <c r="J539" t="s">
        <v>3020</v>
      </c>
      <c r="L539" t="s">
        <v>6256</v>
      </c>
      <c r="M539" t="s">
        <v>6257</v>
      </c>
    </row>
    <row r="540" spans="6:13" x14ac:dyDescent="0.25">
      <c r="F540" t="s">
        <v>328</v>
      </c>
      <c r="G540" t="s">
        <v>1635</v>
      </c>
      <c r="I540" t="s">
        <v>269</v>
      </c>
      <c r="J540" t="s">
        <v>3117</v>
      </c>
      <c r="L540" t="s">
        <v>41</v>
      </c>
      <c r="M540" t="s">
        <v>6299</v>
      </c>
    </row>
    <row r="541" spans="6:13" x14ac:dyDescent="0.25">
      <c r="F541" t="s">
        <v>328</v>
      </c>
      <c r="G541" t="s">
        <v>1088</v>
      </c>
      <c r="I541" t="s">
        <v>2715</v>
      </c>
      <c r="J541" t="s">
        <v>2716</v>
      </c>
      <c r="L541" t="s">
        <v>41</v>
      </c>
      <c r="M541" t="s">
        <v>5171</v>
      </c>
    </row>
    <row r="542" spans="6:13" x14ac:dyDescent="0.25">
      <c r="F542" t="s">
        <v>434</v>
      </c>
      <c r="G542" t="s">
        <v>1398</v>
      </c>
      <c r="I542" t="s">
        <v>271</v>
      </c>
      <c r="J542" t="s">
        <v>2977</v>
      </c>
      <c r="L542" t="s">
        <v>328</v>
      </c>
      <c r="M542" t="s">
        <v>4977</v>
      </c>
    </row>
    <row r="543" spans="6:13" x14ac:dyDescent="0.25">
      <c r="F543" t="s">
        <v>41</v>
      </c>
      <c r="G543" t="s">
        <v>1627</v>
      </c>
      <c r="I543" t="s">
        <v>425</v>
      </c>
      <c r="J543" t="s">
        <v>6999</v>
      </c>
      <c r="L543" t="s">
        <v>328</v>
      </c>
      <c r="M543" t="s">
        <v>5375</v>
      </c>
    </row>
    <row r="544" spans="6:13" x14ac:dyDescent="0.25">
      <c r="F544" t="s">
        <v>328</v>
      </c>
      <c r="G544" t="s">
        <v>1320</v>
      </c>
      <c r="I544" t="s">
        <v>269</v>
      </c>
      <c r="J544" t="s">
        <v>1882</v>
      </c>
      <c r="L544" t="s">
        <v>41</v>
      </c>
      <c r="M544" t="s">
        <v>6022</v>
      </c>
    </row>
    <row r="545" spans="6:13" x14ac:dyDescent="0.25">
      <c r="F545" t="s">
        <v>638</v>
      </c>
      <c r="G545" t="s">
        <v>1636</v>
      </c>
      <c r="I545" t="s">
        <v>270</v>
      </c>
      <c r="J545" t="s">
        <v>2112</v>
      </c>
      <c r="L545" t="s">
        <v>483</v>
      </c>
      <c r="M545" t="s">
        <v>5124</v>
      </c>
    </row>
    <row r="546" spans="6:13" x14ac:dyDescent="0.25">
      <c r="F546" t="s">
        <v>102</v>
      </c>
      <c r="G546" t="s">
        <v>1395</v>
      </c>
      <c r="I546" t="s">
        <v>3685</v>
      </c>
      <c r="J546" t="s">
        <v>3686</v>
      </c>
      <c r="L546" t="s">
        <v>50</v>
      </c>
      <c r="M546" t="s">
        <v>5111</v>
      </c>
    </row>
    <row r="547" spans="6:13" x14ac:dyDescent="0.25">
      <c r="F547" t="s">
        <v>293</v>
      </c>
      <c r="G547" t="s">
        <v>1258</v>
      </c>
      <c r="I547" t="s">
        <v>4322</v>
      </c>
      <c r="J547" t="s">
        <v>4323</v>
      </c>
      <c r="L547" t="s">
        <v>412</v>
      </c>
      <c r="M547" t="s">
        <v>7050</v>
      </c>
    </row>
    <row r="548" spans="6:13" x14ac:dyDescent="0.25">
      <c r="F548" t="s">
        <v>597</v>
      </c>
      <c r="G548" t="s">
        <v>1325</v>
      </c>
      <c r="I548" t="s">
        <v>3267</v>
      </c>
      <c r="J548" t="s">
        <v>3268</v>
      </c>
      <c r="L548" t="s">
        <v>41</v>
      </c>
      <c r="M548" t="s">
        <v>6298</v>
      </c>
    </row>
    <row r="549" spans="6:13" x14ac:dyDescent="0.25">
      <c r="F549" t="s">
        <v>328</v>
      </c>
      <c r="G549" t="s">
        <v>1620</v>
      </c>
      <c r="I549" t="s">
        <v>267</v>
      </c>
      <c r="J549" t="s">
        <v>2100</v>
      </c>
      <c r="L549" t="s">
        <v>425</v>
      </c>
      <c r="M549" t="s">
        <v>7248</v>
      </c>
    </row>
    <row r="550" spans="6:13" x14ac:dyDescent="0.25">
      <c r="F550" t="s">
        <v>663</v>
      </c>
      <c r="G550" t="s">
        <v>853</v>
      </c>
      <c r="I550" t="s">
        <v>266</v>
      </c>
      <c r="J550" t="s">
        <v>1668</v>
      </c>
      <c r="L550" t="s">
        <v>412</v>
      </c>
      <c r="M550" t="s">
        <v>7061</v>
      </c>
    </row>
    <row r="551" spans="6:13" x14ac:dyDescent="0.25">
      <c r="F551" t="s">
        <v>363</v>
      </c>
      <c r="G551" t="s">
        <v>1205</v>
      </c>
      <c r="I551" t="s">
        <v>2408</v>
      </c>
      <c r="J551" t="s">
        <v>3695</v>
      </c>
      <c r="L551" t="s">
        <v>412</v>
      </c>
      <c r="M551" t="s">
        <v>7030</v>
      </c>
    </row>
    <row r="552" spans="6:13" x14ac:dyDescent="0.25">
      <c r="F552" t="s">
        <v>508</v>
      </c>
      <c r="G552" t="s">
        <v>890</v>
      </c>
      <c r="I552" t="s">
        <v>2556</v>
      </c>
      <c r="J552" t="s">
        <v>2737</v>
      </c>
      <c r="L552" t="s">
        <v>326</v>
      </c>
      <c r="M552" t="s">
        <v>6064</v>
      </c>
    </row>
    <row r="553" spans="6:13" x14ac:dyDescent="0.25">
      <c r="F553" t="s">
        <v>747</v>
      </c>
      <c r="G553" t="s">
        <v>1217</v>
      </c>
      <c r="I553" t="s">
        <v>328</v>
      </c>
      <c r="J553" t="s">
        <v>1838</v>
      </c>
      <c r="L553" t="s">
        <v>418</v>
      </c>
      <c r="M553" t="s">
        <v>7026</v>
      </c>
    </row>
    <row r="554" spans="6:13" x14ac:dyDescent="0.25">
      <c r="F554" t="s">
        <v>328</v>
      </c>
      <c r="G554" t="s">
        <v>1495</v>
      </c>
      <c r="I554" t="s">
        <v>2752</v>
      </c>
      <c r="J554" t="s">
        <v>2753</v>
      </c>
      <c r="L554" t="s">
        <v>130</v>
      </c>
      <c r="M554" t="s">
        <v>6404</v>
      </c>
    </row>
    <row r="555" spans="6:13" x14ac:dyDescent="0.25">
      <c r="F555" t="s">
        <v>682</v>
      </c>
      <c r="G555" t="s">
        <v>1428</v>
      </c>
      <c r="I555" t="s">
        <v>2216</v>
      </c>
      <c r="J555" t="s">
        <v>4332</v>
      </c>
      <c r="L555" t="s">
        <v>41</v>
      </c>
      <c r="M555" t="s">
        <v>5724</v>
      </c>
    </row>
    <row r="556" spans="6:13" x14ac:dyDescent="0.25">
      <c r="F556" t="s">
        <v>807</v>
      </c>
      <c r="G556" t="s">
        <v>1509</v>
      </c>
      <c r="I556" t="s">
        <v>6626</v>
      </c>
      <c r="J556" t="s">
        <v>3522</v>
      </c>
      <c r="L556" t="s">
        <v>130</v>
      </c>
      <c r="M556" t="s">
        <v>6100</v>
      </c>
    </row>
    <row r="557" spans="6:13" x14ac:dyDescent="0.25">
      <c r="F557" t="s">
        <v>41</v>
      </c>
      <c r="G557" t="s">
        <v>1241</v>
      </c>
      <c r="I557" t="s">
        <v>3401</v>
      </c>
      <c r="J557" t="s">
        <v>6927</v>
      </c>
      <c r="L557" t="s">
        <v>43</v>
      </c>
      <c r="M557" t="s">
        <v>6152</v>
      </c>
    </row>
    <row r="558" spans="6:13" x14ac:dyDescent="0.25">
      <c r="F558" t="s">
        <v>605</v>
      </c>
      <c r="G558" t="s">
        <v>1443</v>
      </c>
      <c r="I558" t="s">
        <v>130</v>
      </c>
      <c r="J558" t="s">
        <v>2795</v>
      </c>
      <c r="L558" t="s">
        <v>418</v>
      </c>
      <c r="M558" t="s">
        <v>7048</v>
      </c>
    </row>
    <row r="559" spans="6:13" x14ac:dyDescent="0.25">
      <c r="F559" t="s">
        <v>605</v>
      </c>
      <c r="G559" t="s">
        <v>1310</v>
      </c>
      <c r="I559" t="s">
        <v>1755</v>
      </c>
      <c r="J559" t="s">
        <v>1756</v>
      </c>
      <c r="L559" t="s">
        <v>418</v>
      </c>
      <c r="M559" t="s">
        <v>7243</v>
      </c>
    </row>
    <row r="560" spans="6:13" x14ac:dyDescent="0.25">
      <c r="F560" t="s">
        <v>764</v>
      </c>
      <c r="G560" t="s">
        <v>1375</v>
      </c>
      <c r="I560" t="s">
        <v>2229</v>
      </c>
      <c r="J560" t="s">
        <v>3302</v>
      </c>
      <c r="L560" t="s">
        <v>418</v>
      </c>
      <c r="M560" t="s">
        <v>4730</v>
      </c>
    </row>
    <row r="561" spans="6:13" x14ac:dyDescent="0.25">
      <c r="F561" t="s">
        <v>438</v>
      </c>
      <c r="G561" t="s">
        <v>1214</v>
      </c>
      <c r="I561" t="s">
        <v>2216</v>
      </c>
      <c r="J561" t="s">
        <v>2217</v>
      </c>
      <c r="L561" t="s">
        <v>130</v>
      </c>
      <c r="M561" t="s">
        <v>6632</v>
      </c>
    </row>
    <row r="562" spans="6:13" x14ac:dyDescent="0.25">
      <c r="F562" t="s">
        <v>663</v>
      </c>
      <c r="G562" t="s">
        <v>6650</v>
      </c>
      <c r="I562" t="s">
        <v>266</v>
      </c>
      <c r="J562" t="s">
        <v>2207</v>
      </c>
      <c r="L562" t="s">
        <v>326</v>
      </c>
      <c r="M562" t="s">
        <v>5472</v>
      </c>
    </row>
    <row r="563" spans="6:13" x14ac:dyDescent="0.25">
      <c r="F563" t="s">
        <v>508</v>
      </c>
      <c r="G563" t="s">
        <v>1645</v>
      </c>
      <c r="I563" t="s">
        <v>355</v>
      </c>
      <c r="J563" t="s">
        <v>6904</v>
      </c>
      <c r="L563" t="s">
        <v>418</v>
      </c>
      <c r="M563" t="s">
        <v>4792</v>
      </c>
    </row>
    <row r="564" spans="6:13" x14ac:dyDescent="0.25">
      <c r="F564" t="s">
        <v>793</v>
      </c>
      <c r="G564" t="s">
        <v>1419</v>
      </c>
      <c r="I564" t="s">
        <v>2216</v>
      </c>
      <c r="J564" t="s">
        <v>3265</v>
      </c>
      <c r="L564" t="s">
        <v>412</v>
      </c>
      <c r="M564" t="s">
        <v>7109</v>
      </c>
    </row>
    <row r="565" spans="6:13" x14ac:dyDescent="0.25">
      <c r="F565" t="s">
        <v>797</v>
      </c>
      <c r="G565" t="s">
        <v>1450</v>
      </c>
      <c r="I565" t="s">
        <v>1816</v>
      </c>
      <c r="J565" t="s">
        <v>3798</v>
      </c>
      <c r="L565" t="s">
        <v>422</v>
      </c>
      <c r="M565" t="s">
        <v>5303</v>
      </c>
    </row>
    <row r="566" spans="6:13" x14ac:dyDescent="0.25">
      <c r="F566" t="s">
        <v>820</v>
      </c>
      <c r="G566" t="s">
        <v>1577</v>
      </c>
      <c r="I566" t="s">
        <v>428</v>
      </c>
      <c r="J566" t="s">
        <v>3383</v>
      </c>
      <c r="L566" t="s">
        <v>130</v>
      </c>
      <c r="M566" t="s">
        <v>5130</v>
      </c>
    </row>
    <row r="567" spans="6:13" x14ac:dyDescent="0.25">
      <c r="F567" t="s">
        <v>669</v>
      </c>
      <c r="G567" t="s">
        <v>873</v>
      </c>
      <c r="I567" t="s">
        <v>412</v>
      </c>
      <c r="J567" t="s">
        <v>6865</v>
      </c>
      <c r="L567" t="s">
        <v>581</v>
      </c>
      <c r="M567" t="s">
        <v>5250</v>
      </c>
    </row>
    <row r="568" spans="6:13" x14ac:dyDescent="0.25">
      <c r="F568" t="s">
        <v>781</v>
      </c>
      <c r="G568" t="s">
        <v>1383</v>
      </c>
      <c r="I568" t="s">
        <v>1831</v>
      </c>
      <c r="J568" t="s">
        <v>1832</v>
      </c>
      <c r="L568" t="s">
        <v>412</v>
      </c>
      <c r="M568" t="s">
        <v>7104</v>
      </c>
    </row>
    <row r="569" spans="6:13" x14ac:dyDescent="0.25">
      <c r="F569" t="s">
        <v>741</v>
      </c>
      <c r="G569" t="s">
        <v>1192</v>
      </c>
      <c r="I569" t="s">
        <v>291</v>
      </c>
      <c r="J569" t="s">
        <v>4202</v>
      </c>
      <c r="L569" t="s">
        <v>41</v>
      </c>
      <c r="M569" t="s">
        <v>6011</v>
      </c>
    </row>
    <row r="570" spans="6:13" x14ac:dyDescent="0.25">
      <c r="F570" t="s">
        <v>689</v>
      </c>
      <c r="G570" t="s">
        <v>954</v>
      </c>
      <c r="I570" t="s">
        <v>291</v>
      </c>
      <c r="J570" t="s">
        <v>4084</v>
      </c>
      <c r="L570" t="s">
        <v>412</v>
      </c>
      <c r="M570" t="s">
        <v>7159</v>
      </c>
    </row>
    <row r="571" spans="6:13" x14ac:dyDescent="0.25">
      <c r="F571" t="s">
        <v>656</v>
      </c>
      <c r="G571" t="s">
        <v>836</v>
      </c>
      <c r="I571" t="s">
        <v>266</v>
      </c>
      <c r="J571" t="s">
        <v>3812</v>
      </c>
      <c r="L571" t="s">
        <v>412</v>
      </c>
      <c r="M571" t="s">
        <v>7129</v>
      </c>
    </row>
    <row r="572" spans="6:13" x14ac:dyDescent="0.25">
      <c r="F572" t="s">
        <v>634</v>
      </c>
      <c r="G572" t="s">
        <v>1522</v>
      </c>
      <c r="I572" t="s">
        <v>333</v>
      </c>
      <c r="J572" t="s">
        <v>1977</v>
      </c>
      <c r="L572" t="s">
        <v>581</v>
      </c>
      <c r="M572" t="s">
        <v>4746</v>
      </c>
    </row>
    <row r="573" spans="6:13" x14ac:dyDescent="0.25">
      <c r="F573" t="s">
        <v>791</v>
      </c>
      <c r="G573" t="s">
        <v>1415</v>
      </c>
      <c r="I573" t="s">
        <v>2065</v>
      </c>
      <c r="J573" t="s">
        <v>2123</v>
      </c>
      <c r="L573" t="s">
        <v>130</v>
      </c>
      <c r="M573" t="s">
        <v>5249</v>
      </c>
    </row>
    <row r="574" spans="6:13" x14ac:dyDescent="0.25">
      <c r="F574" t="s">
        <v>328</v>
      </c>
      <c r="G574" t="s">
        <v>1139</v>
      </c>
      <c r="I574" t="s">
        <v>414</v>
      </c>
      <c r="J574" t="s">
        <v>3418</v>
      </c>
      <c r="L574" t="s">
        <v>483</v>
      </c>
      <c r="M574" t="s">
        <v>6179</v>
      </c>
    </row>
    <row r="575" spans="6:13" x14ac:dyDescent="0.25">
      <c r="F575" t="s">
        <v>328</v>
      </c>
      <c r="G575" t="s">
        <v>1285</v>
      </c>
      <c r="I575" t="s">
        <v>328</v>
      </c>
      <c r="J575" t="s">
        <v>3577</v>
      </c>
      <c r="L575" t="s">
        <v>412</v>
      </c>
      <c r="M575" t="s">
        <v>7084</v>
      </c>
    </row>
    <row r="576" spans="6:13" x14ac:dyDescent="0.25">
      <c r="F576" t="s">
        <v>328</v>
      </c>
      <c r="G576" t="s">
        <v>940</v>
      </c>
      <c r="I576" t="s">
        <v>1722</v>
      </c>
      <c r="J576" t="s">
        <v>3170</v>
      </c>
      <c r="L576" t="s">
        <v>130</v>
      </c>
      <c r="M576" t="s">
        <v>5461</v>
      </c>
    </row>
    <row r="577" spans="6:13" x14ac:dyDescent="0.25">
      <c r="F577" t="s">
        <v>326</v>
      </c>
      <c r="G577" t="s">
        <v>1586</v>
      </c>
      <c r="I577" t="s">
        <v>3185</v>
      </c>
      <c r="J577" t="s">
        <v>3922</v>
      </c>
      <c r="L577" t="s">
        <v>130</v>
      </c>
      <c r="M577" t="s">
        <v>6484</v>
      </c>
    </row>
    <row r="578" spans="6:13" x14ac:dyDescent="0.25">
      <c r="F578" t="s">
        <v>328</v>
      </c>
      <c r="G578" t="s">
        <v>920</v>
      </c>
      <c r="I578" t="s">
        <v>2307</v>
      </c>
      <c r="J578" t="s">
        <v>3582</v>
      </c>
      <c r="L578" t="s">
        <v>4764</v>
      </c>
      <c r="M578" t="s">
        <v>4765</v>
      </c>
    </row>
    <row r="579" spans="6:13" x14ac:dyDescent="0.25">
      <c r="F579" t="s">
        <v>696</v>
      </c>
      <c r="G579" t="s">
        <v>1024</v>
      </c>
      <c r="I579" t="s">
        <v>130</v>
      </c>
      <c r="J579" t="s">
        <v>2012</v>
      </c>
      <c r="L579" t="s">
        <v>43</v>
      </c>
      <c r="M579" t="s">
        <v>6392</v>
      </c>
    </row>
    <row r="580" spans="6:13" x14ac:dyDescent="0.25">
      <c r="F580" t="s">
        <v>44</v>
      </c>
      <c r="G580" t="s">
        <v>845</v>
      </c>
      <c r="I580" t="s">
        <v>3216</v>
      </c>
      <c r="J580" t="s">
        <v>4203</v>
      </c>
      <c r="L580" t="s">
        <v>422</v>
      </c>
      <c r="M580" t="s">
        <v>5191</v>
      </c>
    </row>
    <row r="581" spans="6:13" x14ac:dyDescent="0.25">
      <c r="F581" t="s">
        <v>50</v>
      </c>
      <c r="G581" t="s">
        <v>900</v>
      </c>
      <c r="I581" t="s">
        <v>3216</v>
      </c>
      <c r="J581" t="s">
        <v>4374</v>
      </c>
      <c r="L581" t="s">
        <v>6626</v>
      </c>
      <c r="M581" t="s">
        <v>7006</v>
      </c>
    </row>
    <row r="582" spans="6:13" x14ac:dyDescent="0.25">
      <c r="F582" t="s">
        <v>41</v>
      </c>
      <c r="G582" t="s">
        <v>1121</v>
      </c>
      <c r="I582" t="s">
        <v>43</v>
      </c>
      <c r="J582" t="s">
        <v>2867</v>
      </c>
      <c r="L582" t="s">
        <v>5960</v>
      </c>
      <c r="M582" t="s">
        <v>5961</v>
      </c>
    </row>
    <row r="583" spans="6:13" x14ac:dyDescent="0.25">
      <c r="F583" t="s">
        <v>675</v>
      </c>
      <c r="G583" t="s">
        <v>892</v>
      </c>
      <c r="I583" t="s">
        <v>414</v>
      </c>
      <c r="J583" t="s">
        <v>3853</v>
      </c>
      <c r="L583" t="s">
        <v>130</v>
      </c>
      <c r="M583" t="s">
        <v>4727</v>
      </c>
    </row>
    <row r="584" spans="6:13" x14ac:dyDescent="0.25">
      <c r="F584" t="s">
        <v>772</v>
      </c>
      <c r="G584" t="s">
        <v>1338</v>
      </c>
      <c r="I584" t="s">
        <v>3493</v>
      </c>
      <c r="J584" t="s">
        <v>3494</v>
      </c>
      <c r="L584" t="s">
        <v>6445</v>
      </c>
      <c r="M584" t="s">
        <v>6446</v>
      </c>
    </row>
    <row r="585" spans="6:13" x14ac:dyDescent="0.25">
      <c r="F585" t="s">
        <v>778</v>
      </c>
      <c r="G585" t="s">
        <v>1368</v>
      </c>
      <c r="I585" t="s">
        <v>2216</v>
      </c>
      <c r="J585" t="s">
        <v>3819</v>
      </c>
      <c r="L585" t="s">
        <v>25</v>
      </c>
      <c r="M585" t="s">
        <v>5980</v>
      </c>
    </row>
    <row r="586" spans="6:13" x14ac:dyDescent="0.25">
      <c r="F586" t="s">
        <v>374</v>
      </c>
      <c r="G586" t="s">
        <v>833</v>
      </c>
      <c r="I586" t="s">
        <v>6813</v>
      </c>
      <c r="J586" t="s">
        <v>3407</v>
      </c>
      <c r="L586" t="s">
        <v>5436</v>
      </c>
      <c r="M586" t="s">
        <v>6422</v>
      </c>
    </row>
    <row r="587" spans="6:13" x14ac:dyDescent="0.25">
      <c r="F587" t="s">
        <v>600</v>
      </c>
      <c r="G587" t="s">
        <v>1206</v>
      </c>
      <c r="I587" t="s">
        <v>4294</v>
      </c>
      <c r="J587" t="s">
        <v>6986</v>
      </c>
      <c r="L587" t="s">
        <v>483</v>
      </c>
      <c r="M587" t="s">
        <v>4601</v>
      </c>
    </row>
    <row r="588" spans="6:13" x14ac:dyDescent="0.25">
      <c r="F588" t="s">
        <v>696</v>
      </c>
      <c r="G588" t="s">
        <v>1454</v>
      </c>
      <c r="I588" t="s">
        <v>44</v>
      </c>
      <c r="J588" t="s">
        <v>2166</v>
      </c>
      <c r="L588" t="s">
        <v>43</v>
      </c>
      <c r="M588" t="s">
        <v>5761</v>
      </c>
    </row>
    <row r="589" spans="6:13" x14ac:dyDescent="0.25">
      <c r="F589" t="s">
        <v>102</v>
      </c>
      <c r="G589" t="s">
        <v>901</v>
      </c>
      <c r="I589" t="s">
        <v>328</v>
      </c>
      <c r="J589" t="s">
        <v>3327</v>
      </c>
      <c r="L589" t="s">
        <v>41</v>
      </c>
      <c r="M589" t="s">
        <v>5852</v>
      </c>
    </row>
    <row r="590" spans="6:13" x14ac:dyDescent="0.25">
      <c r="F590" t="s">
        <v>682</v>
      </c>
      <c r="G590" t="s">
        <v>1321</v>
      </c>
      <c r="I590" t="s">
        <v>6733</v>
      </c>
      <c r="J590" t="s">
        <v>2563</v>
      </c>
      <c r="L590" t="s">
        <v>412</v>
      </c>
      <c r="M590" t="s">
        <v>7035</v>
      </c>
    </row>
    <row r="591" spans="6:13" x14ac:dyDescent="0.25">
      <c r="F591" t="s">
        <v>702</v>
      </c>
      <c r="G591" t="s">
        <v>1547</v>
      </c>
      <c r="I591" t="s">
        <v>1722</v>
      </c>
      <c r="J591" t="s">
        <v>2206</v>
      </c>
      <c r="L591" t="s">
        <v>483</v>
      </c>
      <c r="M591" t="s">
        <v>5648</v>
      </c>
    </row>
    <row r="592" spans="6:13" x14ac:dyDescent="0.25">
      <c r="F592" t="s">
        <v>764</v>
      </c>
      <c r="G592" t="s">
        <v>1316</v>
      </c>
      <c r="I592" t="s">
        <v>2351</v>
      </c>
      <c r="J592" t="s">
        <v>6854</v>
      </c>
      <c r="L592" t="s">
        <v>418</v>
      </c>
      <c r="M592" t="s">
        <v>6455</v>
      </c>
    </row>
    <row r="593" spans="6:13" x14ac:dyDescent="0.25">
      <c r="F593" t="s">
        <v>692</v>
      </c>
      <c r="G593" t="s">
        <v>966</v>
      </c>
      <c r="I593" t="s">
        <v>2853</v>
      </c>
      <c r="J593" t="s">
        <v>2854</v>
      </c>
      <c r="L593" t="s">
        <v>43</v>
      </c>
      <c r="M593" t="s">
        <v>5595</v>
      </c>
    </row>
    <row r="594" spans="6:13" x14ac:dyDescent="0.25">
      <c r="F594" t="s">
        <v>636</v>
      </c>
      <c r="G594" t="s">
        <v>1048</v>
      </c>
      <c r="I594" t="s">
        <v>2216</v>
      </c>
      <c r="J594" t="s">
        <v>3178</v>
      </c>
      <c r="L594" t="s">
        <v>4891</v>
      </c>
      <c r="M594" t="s">
        <v>4892</v>
      </c>
    </row>
    <row r="595" spans="6:13" x14ac:dyDescent="0.25">
      <c r="F595" t="s">
        <v>702</v>
      </c>
      <c r="G595" t="s">
        <v>1396</v>
      </c>
      <c r="I595" t="s">
        <v>50</v>
      </c>
      <c r="J595" t="s">
        <v>2344</v>
      </c>
      <c r="L595" t="s">
        <v>418</v>
      </c>
      <c r="M595" t="s">
        <v>5616</v>
      </c>
    </row>
    <row r="596" spans="6:13" x14ac:dyDescent="0.25">
      <c r="F596" t="s">
        <v>731</v>
      </c>
      <c r="G596" t="s">
        <v>1132</v>
      </c>
      <c r="I596" t="s">
        <v>296</v>
      </c>
      <c r="J596" t="s">
        <v>6863</v>
      </c>
      <c r="L596" t="s">
        <v>302</v>
      </c>
      <c r="M596" t="s">
        <v>5481</v>
      </c>
    </row>
    <row r="597" spans="6:13" x14ac:dyDescent="0.25">
      <c r="F597" t="s">
        <v>696</v>
      </c>
      <c r="G597" t="s">
        <v>992</v>
      </c>
      <c r="I597" t="s">
        <v>2427</v>
      </c>
      <c r="J597" t="s">
        <v>4279</v>
      </c>
      <c r="L597" t="s">
        <v>418</v>
      </c>
      <c r="M597" t="s">
        <v>5886</v>
      </c>
    </row>
    <row r="598" spans="6:13" x14ac:dyDescent="0.25">
      <c r="F598" t="s">
        <v>825</v>
      </c>
      <c r="G598" t="s">
        <v>1596</v>
      </c>
      <c r="I598" t="s">
        <v>6813</v>
      </c>
      <c r="J598" t="s">
        <v>2568</v>
      </c>
      <c r="L598" t="s">
        <v>68</v>
      </c>
      <c r="M598" t="s">
        <v>7173</v>
      </c>
    </row>
    <row r="599" spans="6:13" x14ac:dyDescent="0.25">
      <c r="F599" t="s">
        <v>824</v>
      </c>
      <c r="G599" t="s">
        <v>1595</v>
      </c>
      <c r="I599" t="s">
        <v>355</v>
      </c>
      <c r="J599" t="s">
        <v>1854</v>
      </c>
      <c r="L599" t="s">
        <v>4755</v>
      </c>
      <c r="M599" t="s">
        <v>4756</v>
      </c>
    </row>
    <row r="600" spans="6:13" x14ac:dyDescent="0.25">
      <c r="F600" t="s">
        <v>102</v>
      </c>
      <c r="G600" t="s">
        <v>989</v>
      </c>
      <c r="I600" t="s">
        <v>308</v>
      </c>
      <c r="J600" t="s">
        <v>1834</v>
      </c>
      <c r="L600" t="s">
        <v>717</v>
      </c>
      <c r="M600" t="s">
        <v>4830</v>
      </c>
    </row>
    <row r="601" spans="6:13" x14ac:dyDescent="0.25">
      <c r="F601" t="s">
        <v>650</v>
      </c>
      <c r="G601" t="s">
        <v>1641</v>
      </c>
      <c r="I601" t="s">
        <v>2951</v>
      </c>
      <c r="J601" t="s">
        <v>2952</v>
      </c>
      <c r="L601" t="s">
        <v>41</v>
      </c>
      <c r="M601" t="s">
        <v>6511</v>
      </c>
    </row>
    <row r="602" spans="6:13" x14ac:dyDescent="0.25">
      <c r="F602" t="s">
        <v>669</v>
      </c>
      <c r="G602" t="s">
        <v>1403</v>
      </c>
      <c r="I602" t="s">
        <v>1791</v>
      </c>
      <c r="J602" t="s">
        <v>1792</v>
      </c>
      <c r="L602" t="s">
        <v>412</v>
      </c>
      <c r="M602" t="s">
        <v>7246</v>
      </c>
    </row>
    <row r="603" spans="6:13" x14ac:dyDescent="0.25">
      <c r="F603" t="s">
        <v>508</v>
      </c>
      <c r="G603" t="s">
        <v>1306</v>
      </c>
      <c r="I603" t="s">
        <v>267</v>
      </c>
      <c r="J603" t="s">
        <v>6896</v>
      </c>
      <c r="L603" t="s">
        <v>6062</v>
      </c>
      <c r="M603" t="s">
        <v>6063</v>
      </c>
    </row>
    <row r="604" spans="6:13" x14ac:dyDescent="0.25">
      <c r="F604" t="s">
        <v>760</v>
      </c>
      <c r="G604" t="s">
        <v>1298</v>
      </c>
      <c r="I604" t="s">
        <v>16</v>
      </c>
      <c r="J604" t="s">
        <v>3076</v>
      </c>
      <c r="L604" t="s">
        <v>5575</v>
      </c>
      <c r="M604" t="s">
        <v>5576</v>
      </c>
    </row>
    <row r="605" spans="6:13" x14ac:dyDescent="0.25">
      <c r="F605" t="s">
        <v>102</v>
      </c>
      <c r="G605" t="s">
        <v>1232</v>
      </c>
      <c r="I605" t="s">
        <v>1894</v>
      </c>
      <c r="J605" t="s">
        <v>2638</v>
      </c>
      <c r="L605" t="s">
        <v>293</v>
      </c>
      <c r="M605" t="s">
        <v>5556</v>
      </c>
    </row>
    <row r="606" spans="6:13" x14ac:dyDescent="0.25">
      <c r="F606" t="s">
        <v>438</v>
      </c>
      <c r="G606" t="s">
        <v>6656</v>
      </c>
      <c r="I606" t="s">
        <v>1799</v>
      </c>
      <c r="J606" t="s">
        <v>1800</v>
      </c>
      <c r="L606" t="s">
        <v>412</v>
      </c>
      <c r="M606" t="s">
        <v>7090</v>
      </c>
    </row>
    <row r="607" spans="6:13" x14ac:dyDescent="0.25">
      <c r="F607" t="s">
        <v>324</v>
      </c>
      <c r="G607" t="s">
        <v>1494</v>
      </c>
      <c r="I607" t="s">
        <v>414</v>
      </c>
      <c r="J607" t="s">
        <v>2805</v>
      </c>
      <c r="L607" t="s">
        <v>69</v>
      </c>
      <c r="M607" t="s">
        <v>7079</v>
      </c>
    </row>
    <row r="608" spans="6:13" x14ac:dyDescent="0.25">
      <c r="F608" t="s">
        <v>41</v>
      </c>
      <c r="G608" t="s">
        <v>1296</v>
      </c>
      <c r="I608" t="s">
        <v>414</v>
      </c>
      <c r="J608" t="s">
        <v>3906</v>
      </c>
      <c r="L608" t="s">
        <v>483</v>
      </c>
      <c r="M608" t="s">
        <v>5937</v>
      </c>
    </row>
    <row r="609" spans="6:13" x14ac:dyDescent="0.25">
      <c r="F609" t="s">
        <v>674</v>
      </c>
      <c r="G609" t="s">
        <v>885</v>
      </c>
      <c r="I609" t="s">
        <v>328</v>
      </c>
      <c r="J609" t="s">
        <v>2936</v>
      </c>
      <c r="L609" t="s">
        <v>40</v>
      </c>
      <c r="M609" t="s">
        <v>4636</v>
      </c>
    </row>
    <row r="610" spans="6:13" x14ac:dyDescent="0.25">
      <c r="F610" t="s">
        <v>44</v>
      </c>
      <c r="G610" t="s">
        <v>1082</v>
      </c>
      <c r="I610" t="s">
        <v>44</v>
      </c>
      <c r="J610" t="s">
        <v>1962</v>
      </c>
      <c r="L610" t="s">
        <v>483</v>
      </c>
      <c r="M610" t="s">
        <v>7086</v>
      </c>
    </row>
    <row r="611" spans="6:13" x14ac:dyDescent="0.25">
      <c r="F611" t="s">
        <v>326</v>
      </c>
      <c r="G611" t="s">
        <v>1106</v>
      </c>
      <c r="I611" t="s">
        <v>6733</v>
      </c>
      <c r="J611" t="s">
        <v>3859</v>
      </c>
      <c r="L611" t="s">
        <v>5275</v>
      </c>
      <c r="M611" t="s">
        <v>6591</v>
      </c>
    </row>
    <row r="612" spans="6:13" x14ac:dyDescent="0.25">
      <c r="F612" t="s">
        <v>799</v>
      </c>
      <c r="G612" t="s">
        <v>1453</v>
      </c>
      <c r="I612" t="s">
        <v>414</v>
      </c>
      <c r="J612" t="s">
        <v>2026</v>
      </c>
      <c r="L612" t="s">
        <v>814</v>
      </c>
      <c r="M612" t="s">
        <v>5537</v>
      </c>
    </row>
    <row r="613" spans="6:13" x14ac:dyDescent="0.25">
      <c r="F613" t="s">
        <v>44</v>
      </c>
      <c r="G613" t="s">
        <v>950</v>
      </c>
      <c r="I613" t="s">
        <v>597</v>
      </c>
      <c r="J613" t="s">
        <v>3795</v>
      </c>
      <c r="L613" t="s">
        <v>485</v>
      </c>
      <c r="M613" t="s">
        <v>5051</v>
      </c>
    </row>
    <row r="614" spans="6:13" x14ac:dyDescent="0.25">
      <c r="F614" t="s">
        <v>723</v>
      </c>
      <c r="G614" t="s">
        <v>1107</v>
      </c>
      <c r="I614" t="s">
        <v>2732</v>
      </c>
      <c r="J614" t="s">
        <v>3886</v>
      </c>
      <c r="L614" t="s">
        <v>41</v>
      </c>
      <c r="M614" t="s">
        <v>6331</v>
      </c>
    </row>
    <row r="615" spans="6:13" x14ac:dyDescent="0.25">
      <c r="F615" t="s">
        <v>102</v>
      </c>
      <c r="G615" t="s">
        <v>1416</v>
      </c>
      <c r="I615" t="s">
        <v>267</v>
      </c>
      <c r="J615" t="s">
        <v>6848</v>
      </c>
      <c r="L615" t="s">
        <v>129</v>
      </c>
      <c r="M615" t="s">
        <v>4913</v>
      </c>
    </row>
    <row r="616" spans="6:13" x14ac:dyDescent="0.25">
      <c r="F616" t="s">
        <v>508</v>
      </c>
      <c r="G616" t="s">
        <v>1272</v>
      </c>
      <c r="I616" t="s">
        <v>3031</v>
      </c>
      <c r="J616" t="s">
        <v>6895</v>
      </c>
      <c r="L616" t="s">
        <v>3857</v>
      </c>
      <c r="M616" t="s">
        <v>5824</v>
      </c>
    </row>
    <row r="617" spans="6:13" x14ac:dyDescent="0.25">
      <c r="F617" t="s">
        <v>41</v>
      </c>
      <c r="G617" t="s">
        <v>1162</v>
      </c>
      <c r="I617" t="s">
        <v>6733</v>
      </c>
      <c r="J617" t="s">
        <v>4216</v>
      </c>
      <c r="L617" t="s">
        <v>41</v>
      </c>
      <c r="M617" t="s">
        <v>5401</v>
      </c>
    </row>
    <row r="618" spans="6:13" x14ac:dyDescent="0.25">
      <c r="F618" t="s">
        <v>508</v>
      </c>
      <c r="G618" t="s">
        <v>1279</v>
      </c>
      <c r="I618" t="s">
        <v>308</v>
      </c>
      <c r="J618" t="s">
        <v>7003</v>
      </c>
      <c r="L618" t="s">
        <v>41</v>
      </c>
      <c r="M618" t="s">
        <v>5043</v>
      </c>
    </row>
    <row r="619" spans="6:13" x14ac:dyDescent="0.25">
      <c r="F619" t="s">
        <v>422</v>
      </c>
      <c r="G619" t="s">
        <v>1105</v>
      </c>
      <c r="I619" t="s">
        <v>1703</v>
      </c>
      <c r="J619" t="s">
        <v>1704</v>
      </c>
      <c r="L619" t="s">
        <v>5353</v>
      </c>
      <c r="M619" t="s">
        <v>5354</v>
      </c>
    </row>
    <row r="620" spans="6:13" x14ac:dyDescent="0.25">
      <c r="F620" t="s">
        <v>440</v>
      </c>
      <c r="G620" t="s">
        <v>1519</v>
      </c>
      <c r="I620" t="s">
        <v>418</v>
      </c>
      <c r="J620" t="s">
        <v>6925</v>
      </c>
      <c r="L620" t="s">
        <v>41</v>
      </c>
      <c r="M620" t="s">
        <v>4669</v>
      </c>
    </row>
    <row r="621" spans="6:13" x14ac:dyDescent="0.25">
      <c r="F621" t="s">
        <v>41</v>
      </c>
      <c r="G621" t="s">
        <v>955</v>
      </c>
      <c r="I621" t="s">
        <v>2481</v>
      </c>
      <c r="J621" t="s">
        <v>2482</v>
      </c>
      <c r="L621" t="s">
        <v>3857</v>
      </c>
      <c r="M621" t="s">
        <v>6173</v>
      </c>
    </row>
    <row r="622" spans="6:13" x14ac:dyDescent="0.25">
      <c r="F622" t="s">
        <v>745</v>
      </c>
      <c r="G622" t="s">
        <v>1210</v>
      </c>
      <c r="I622" t="s">
        <v>2999</v>
      </c>
      <c r="J622" t="s">
        <v>3000</v>
      </c>
      <c r="L622" t="s">
        <v>2200</v>
      </c>
      <c r="M622" t="s">
        <v>6058</v>
      </c>
    </row>
    <row r="623" spans="6:13" x14ac:dyDescent="0.25">
      <c r="F623" t="s">
        <v>328</v>
      </c>
      <c r="G623" t="s">
        <v>1446</v>
      </c>
      <c r="I623" t="s">
        <v>2698</v>
      </c>
      <c r="J623" t="s">
        <v>3510</v>
      </c>
      <c r="L623" t="s">
        <v>2200</v>
      </c>
      <c r="M623" t="s">
        <v>5429</v>
      </c>
    </row>
    <row r="624" spans="6:13" x14ac:dyDescent="0.25">
      <c r="F624" t="s">
        <v>746</v>
      </c>
      <c r="G624" t="s">
        <v>1212</v>
      </c>
      <c r="I624" t="s">
        <v>6733</v>
      </c>
      <c r="J624" t="s">
        <v>2335</v>
      </c>
      <c r="L624" t="s">
        <v>129</v>
      </c>
      <c r="M624" t="s">
        <v>5412</v>
      </c>
    </row>
    <row r="625" spans="6:13" x14ac:dyDescent="0.25">
      <c r="F625" t="s">
        <v>792</v>
      </c>
      <c r="G625" t="s">
        <v>1417</v>
      </c>
      <c r="I625" t="s">
        <v>328</v>
      </c>
      <c r="J625" t="s">
        <v>1757</v>
      </c>
      <c r="L625" t="s">
        <v>5487</v>
      </c>
      <c r="M625" t="s">
        <v>5488</v>
      </c>
    </row>
    <row r="626" spans="6:13" x14ac:dyDescent="0.25">
      <c r="F626" t="s">
        <v>829</v>
      </c>
      <c r="G626" t="s">
        <v>1611</v>
      </c>
      <c r="I626" t="s">
        <v>2698</v>
      </c>
      <c r="J626" t="s">
        <v>3936</v>
      </c>
      <c r="L626" t="s">
        <v>2200</v>
      </c>
      <c r="M626" t="s">
        <v>6116</v>
      </c>
    </row>
    <row r="627" spans="6:13" x14ac:dyDescent="0.25">
      <c r="F627" t="s">
        <v>102</v>
      </c>
      <c r="G627" t="s">
        <v>1300</v>
      </c>
      <c r="I627" t="s">
        <v>2698</v>
      </c>
      <c r="J627" t="s">
        <v>3986</v>
      </c>
      <c r="L627" t="s">
        <v>41</v>
      </c>
      <c r="M627" t="s">
        <v>5316</v>
      </c>
    </row>
    <row r="628" spans="6:13" x14ac:dyDescent="0.25">
      <c r="F628" t="s">
        <v>373</v>
      </c>
      <c r="G628" t="s">
        <v>7266</v>
      </c>
      <c r="I628" t="s">
        <v>3899</v>
      </c>
      <c r="J628" t="s">
        <v>3900</v>
      </c>
      <c r="L628" t="s">
        <v>41</v>
      </c>
      <c r="M628" t="s">
        <v>5355</v>
      </c>
    </row>
    <row r="629" spans="6:13" x14ac:dyDescent="0.25">
      <c r="F629" t="s">
        <v>812</v>
      </c>
      <c r="G629" t="s">
        <v>1526</v>
      </c>
      <c r="I629" t="s">
        <v>418</v>
      </c>
      <c r="J629" t="s">
        <v>6908</v>
      </c>
      <c r="L629" t="s">
        <v>4960</v>
      </c>
      <c r="M629" t="s">
        <v>4961</v>
      </c>
    </row>
    <row r="630" spans="6:13" x14ac:dyDescent="0.25">
      <c r="F630" t="s">
        <v>693</v>
      </c>
      <c r="G630" t="s">
        <v>969</v>
      </c>
      <c r="I630" t="s">
        <v>3514</v>
      </c>
      <c r="J630" t="s">
        <v>3515</v>
      </c>
      <c r="L630" t="s">
        <v>5275</v>
      </c>
      <c r="M630" t="s">
        <v>6136</v>
      </c>
    </row>
    <row r="631" spans="6:13" x14ac:dyDescent="0.25">
      <c r="F631" t="s">
        <v>373</v>
      </c>
      <c r="G631" t="s">
        <v>1216</v>
      </c>
      <c r="I631" t="s">
        <v>418</v>
      </c>
      <c r="J631" t="s">
        <v>6960</v>
      </c>
      <c r="L631" t="s">
        <v>5201</v>
      </c>
      <c r="M631" t="s">
        <v>5615</v>
      </c>
    </row>
    <row r="632" spans="6:13" x14ac:dyDescent="0.25">
      <c r="F632" t="s">
        <v>328</v>
      </c>
      <c r="G632" t="s">
        <v>1423</v>
      </c>
      <c r="I632" t="s">
        <v>130</v>
      </c>
      <c r="J632" t="s">
        <v>3984</v>
      </c>
      <c r="L632" t="s">
        <v>2200</v>
      </c>
      <c r="M632" t="s">
        <v>6002</v>
      </c>
    </row>
    <row r="633" spans="6:13" x14ac:dyDescent="0.25">
      <c r="F633" t="s">
        <v>508</v>
      </c>
      <c r="G633" t="s">
        <v>1239</v>
      </c>
      <c r="I633" t="s">
        <v>414</v>
      </c>
      <c r="J633" t="s">
        <v>3121</v>
      </c>
      <c r="L633" t="s">
        <v>302</v>
      </c>
      <c r="M633" t="s">
        <v>5997</v>
      </c>
    </row>
    <row r="634" spans="6:13" x14ac:dyDescent="0.25">
      <c r="F634" t="s">
        <v>508</v>
      </c>
      <c r="G634" t="s">
        <v>6648</v>
      </c>
      <c r="I634" t="s">
        <v>1791</v>
      </c>
      <c r="J634" t="s">
        <v>6677</v>
      </c>
      <c r="L634" t="s">
        <v>6128</v>
      </c>
      <c r="M634" t="s">
        <v>6129</v>
      </c>
    </row>
    <row r="635" spans="6:13" x14ac:dyDescent="0.25">
      <c r="F635" t="s">
        <v>750</v>
      </c>
      <c r="G635" t="s">
        <v>1226</v>
      </c>
      <c r="I635" t="s">
        <v>267</v>
      </c>
      <c r="J635" t="s">
        <v>6880</v>
      </c>
      <c r="L635" t="s">
        <v>25</v>
      </c>
      <c r="M635" t="s">
        <v>6052</v>
      </c>
    </row>
    <row r="636" spans="6:13" x14ac:dyDescent="0.25">
      <c r="F636" t="s">
        <v>769</v>
      </c>
      <c r="G636" t="s">
        <v>1332</v>
      </c>
      <c r="I636" t="s">
        <v>2931</v>
      </c>
      <c r="J636" t="s">
        <v>2932</v>
      </c>
      <c r="L636" t="s">
        <v>129</v>
      </c>
      <c r="M636" t="s">
        <v>5823</v>
      </c>
    </row>
    <row r="637" spans="6:13" x14ac:dyDescent="0.25">
      <c r="F637" t="s">
        <v>740</v>
      </c>
      <c r="G637" t="s">
        <v>1191</v>
      </c>
      <c r="I637" t="s">
        <v>266</v>
      </c>
      <c r="J637" t="s">
        <v>2049</v>
      </c>
      <c r="L637" t="s">
        <v>5073</v>
      </c>
      <c r="M637" t="s">
        <v>6066</v>
      </c>
    </row>
    <row r="638" spans="6:13" x14ac:dyDescent="0.25">
      <c r="F638" t="s">
        <v>666</v>
      </c>
      <c r="G638" t="s">
        <v>868</v>
      </c>
      <c r="I638" t="s">
        <v>1991</v>
      </c>
      <c r="J638" t="s">
        <v>1992</v>
      </c>
      <c r="L638" t="s">
        <v>483</v>
      </c>
      <c r="M638" t="s">
        <v>5660</v>
      </c>
    </row>
    <row r="639" spans="6:13" x14ac:dyDescent="0.25">
      <c r="F639" t="s">
        <v>373</v>
      </c>
      <c r="G639" t="s">
        <v>1049</v>
      </c>
      <c r="I639" t="s">
        <v>97</v>
      </c>
      <c r="J639" t="s">
        <v>4004</v>
      </c>
      <c r="L639" t="s">
        <v>41</v>
      </c>
      <c r="M639" t="s">
        <v>6553</v>
      </c>
    </row>
    <row r="640" spans="6:13" x14ac:dyDescent="0.25">
      <c r="F640" t="s">
        <v>102</v>
      </c>
      <c r="G640" t="s">
        <v>1344</v>
      </c>
      <c r="I640" t="s">
        <v>422</v>
      </c>
      <c r="J640" t="s">
        <v>1906</v>
      </c>
      <c r="L640" t="s">
        <v>41</v>
      </c>
      <c r="M640" t="s">
        <v>6305</v>
      </c>
    </row>
    <row r="641" spans="6:13" x14ac:dyDescent="0.25">
      <c r="F641" t="s">
        <v>102</v>
      </c>
      <c r="G641" t="s">
        <v>1421</v>
      </c>
      <c r="I641" t="s">
        <v>2698</v>
      </c>
      <c r="J641" t="s">
        <v>4161</v>
      </c>
      <c r="L641" t="s">
        <v>483</v>
      </c>
      <c r="M641" t="s">
        <v>4831</v>
      </c>
    </row>
    <row r="642" spans="6:13" x14ac:dyDescent="0.25">
      <c r="F642" t="s">
        <v>717</v>
      </c>
      <c r="G642" t="s">
        <v>1064</v>
      </c>
      <c r="I642" t="s">
        <v>2656</v>
      </c>
      <c r="J642" t="s">
        <v>2750</v>
      </c>
      <c r="L642" t="s">
        <v>483</v>
      </c>
      <c r="M642" t="s">
        <v>6261</v>
      </c>
    </row>
    <row r="643" spans="6:13" x14ac:dyDescent="0.25">
      <c r="F643" t="s">
        <v>763</v>
      </c>
      <c r="G643" t="s">
        <v>1314</v>
      </c>
      <c r="I643" t="s">
        <v>4954</v>
      </c>
      <c r="J643" t="s">
        <v>6968</v>
      </c>
      <c r="L643" t="s">
        <v>5103</v>
      </c>
      <c r="M643" t="s">
        <v>5217</v>
      </c>
    </row>
    <row r="644" spans="6:13" x14ac:dyDescent="0.25">
      <c r="F644" t="s">
        <v>440</v>
      </c>
      <c r="G644" t="s">
        <v>1046</v>
      </c>
      <c r="I644" t="s">
        <v>266</v>
      </c>
      <c r="J644" t="s">
        <v>1957</v>
      </c>
      <c r="L644" t="s">
        <v>5103</v>
      </c>
      <c r="M644" t="s">
        <v>5971</v>
      </c>
    </row>
    <row r="645" spans="6:13" x14ac:dyDescent="0.25">
      <c r="F645" t="s">
        <v>698</v>
      </c>
      <c r="G645" t="s">
        <v>990</v>
      </c>
      <c r="I645" t="s">
        <v>3058</v>
      </c>
      <c r="J645" t="s">
        <v>3567</v>
      </c>
      <c r="L645" t="s">
        <v>5201</v>
      </c>
      <c r="M645" t="s">
        <v>5202</v>
      </c>
    </row>
    <row r="646" spans="6:13" x14ac:dyDescent="0.25">
      <c r="F646" t="s">
        <v>506</v>
      </c>
      <c r="G646" t="s">
        <v>1633</v>
      </c>
      <c r="I646" t="s">
        <v>2698</v>
      </c>
      <c r="J646" t="s">
        <v>6690</v>
      </c>
      <c r="L646" t="s">
        <v>5633</v>
      </c>
      <c r="M646" t="s">
        <v>5634</v>
      </c>
    </row>
    <row r="647" spans="6:13" x14ac:dyDescent="0.25">
      <c r="F647" t="s">
        <v>767</v>
      </c>
      <c r="G647" t="s">
        <v>1324</v>
      </c>
      <c r="I647" t="s">
        <v>414</v>
      </c>
      <c r="J647" t="s">
        <v>4277</v>
      </c>
      <c r="L647" t="s">
        <v>5515</v>
      </c>
      <c r="M647" t="s">
        <v>5516</v>
      </c>
    </row>
    <row r="648" spans="6:13" x14ac:dyDescent="0.25">
      <c r="F648" t="s">
        <v>129</v>
      </c>
      <c r="G648" t="s">
        <v>1356</v>
      </c>
      <c r="I648" t="s">
        <v>308</v>
      </c>
      <c r="J648" t="s">
        <v>3048</v>
      </c>
      <c r="L648" t="s">
        <v>41</v>
      </c>
      <c r="M648" t="s">
        <v>5963</v>
      </c>
    </row>
    <row r="649" spans="6:13" x14ac:dyDescent="0.25">
      <c r="F649" t="s">
        <v>673</v>
      </c>
      <c r="G649" t="s">
        <v>1480</v>
      </c>
      <c r="I649" t="s">
        <v>414</v>
      </c>
      <c r="J649" t="s">
        <v>1758</v>
      </c>
      <c r="L649" t="s">
        <v>678</v>
      </c>
      <c r="M649" t="s">
        <v>6339</v>
      </c>
    </row>
    <row r="650" spans="6:13" x14ac:dyDescent="0.25">
      <c r="F650" t="s">
        <v>780</v>
      </c>
      <c r="G650" t="s">
        <v>1372</v>
      </c>
      <c r="I650" t="s">
        <v>3348</v>
      </c>
      <c r="J650" t="s">
        <v>3349</v>
      </c>
      <c r="L650" t="s">
        <v>41</v>
      </c>
      <c r="M650" t="s">
        <v>6385</v>
      </c>
    </row>
    <row r="651" spans="6:13" x14ac:dyDescent="0.25">
      <c r="F651" t="s">
        <v>328</v>
      </c>
      <c r="G651" t="s">
        <v>1471</v>
      </c>
      <c r="I651" t="s">
        <v>376</v>
      </c>
      <c r="J651" t="s">
        <v>2587</v>
      </c>
      <c r="L651" t="s">
        <v>5103</v>
      </c>
      <c r="M651" t="s">
        <v>5104</v>
      </c>
    </row>
    <row r="652" spans="6:13" x14ac:dyDescent="0.25">
      <c r="F652" t="s">
        <v>328</v>
      </c>
      <c r="G652" t="s">
        <v>1196</v>
      </c>
      <c r="I652" t="s">
        <v>3913</v>
      </c>
      <c r="J652" t="s">
        <v>4468</v>
      </c>
      <c r="L652" t="s">
        <v>600</v>
      </c>
      <c r="M652" t="s">
        <v>5451</v>
      </c>
    </row>
    <row r="653" spans="6:13" x14ac:dyDescent="0.25">
      <c r="F653" t="s">
        <v>634</v>
      </c>
      <c r="G653" t="s">
        <v>878</v>
      </c>
      <c r="I653" t="s">
        <v>2209</v>
      </c>
      <c r="J653" t="s">
        <v>2210</v>
      </c>
      <c r="L653" t="s">
        <v>483</v>
      </c>
      <c r="M653" t="s">
        <v>5630</v>
      </c>
    </row>
    <row r="654" spans="6:13" x14ac:dyDescent="0.25">
      <c r="F654" t="s">
        <v>718</v>
      </c>
      <c r="G654" t="s">
        <v>1067</v>
      </c>
      <c r="I654" t="s">
        <v>2698</v>
      </c>
      <c r="J654" t="s">
        <v>2870</v>
      </c>
      <c r="L654" t="s">
        <v>2538</v>
      </c>
      <c r="M654" t="s">
        <v>4839</v>
      </c>
    </row>
    <row r="655" spans="6:13" x14ac:dyDescent="0.25">
      <c r="F655" t="s">
        <v>815</v>
      </c>
      <c r="G655" t="s">
        <v>1543</v>
      </c>
      <c r="I655" t="s">
        <v>4396</v>
      </c>
      <c r="J655" t="s">
        <v>4397</v>
      </c>
      <c r="L655" t="s">
        <v>4883</v>
      </c>
      <c r="M655" t="s">
        <v>4884</v>
      </c>
    </row>
    <row r="656" spans="6:13" x14ac:dyDescent="0.25">
      <c r="F656" t="s">
        <v>328</v>
      </c>
      <c r="G656" t="s">
        <v>1601</v>
      </c>
      <c r="I656" t="s">
        <v>6733</v>
      </c>
      <c r="J656" t="s">
        <v>2745</v>
      </c>
      <c r="L656" t="s">
        <v>5596</v>
      </c>
      <c r="M656" t="s">
        <v>5597</v>
      </c>
    </row>
    <row r="657" spans="6:13" x14ac:dyDescent="0.25">
      <c r="F657" t="s">
        <v>41</v>
      </c>
      <c r="G657" t="s">
        <v>1425</v>
      </c>
      <c r="I657" t="s">
        <v>414</v>
      </c>
      <c r="J657" t="s">
        <v>3429</v>
      </c>
      <c r="L657" t="s">
        <v>144</v>
      </c>
      <c r="M657" t="s">
        <v>5313</v>
      </c>
    </row>
    <row r="658" spans="6:13" x14ac:dyDescent="0.25">
      <c r="F658" t="s">
        <v>440</v>
      </c>
      <c r="G658" t="s">
        <v>1080</v>
      </c>
      <c r="I658" t="s">
        <v>328</v>
      </c>
      <c r="J658" t="s">
        <v>4444</v>
      </c>
      <c r="L658" t="s">
        <v>483</v>
      </c>
      <c r="M658" t="s">
        <v>4828</v>
      </c>
    </row>
    <row r="659" spans="6:13" x14ac:dyDescent="0.25">
      <c r="F659" t="s">
        <v>328</v>
      </c>
      <c r="G659" t="s">
        <v>1506</v>
      </c>
      <c r="I659" t="s">
        <v>328</v>
      </c>
      <c r="J659" t="s">
        <v>2292</v>
      </c>
      <c r="L659" t="s">
        <v>483</v>
      </c>
      <c r="M659" t="s">
        <v>5558</v>
      </c>
    </row>
    <row r="660" spans="6:13" x14ac:dyDescent="0.25">
      <c r="F660" t="s">
        <v>597</v>
      </c>
      <c r="G660" t="s">
        <v>1315</v>
      </c>
      <c r="I660" t="s">
        <v>3058</v>
      </c>
      <c r="J660" t="s">
        <v>3059</v>
      </c>
      <c r="L660" t="s">
        <v>1969</v>
      </c>
      <c r="M660" t="s">
        <v>5858</v>
      </c>
    </row>
    <row r="661" spans="6:13" x14ac:dyDescent="0.25">
      <c r="F661" t="s">
        <v>673</v>
      </c>
      <c r="G661" t="s">
        <v>1563</v>
      </c>
      <c r="I661" t="s">
        <v>308</v>
      </c>
      <c r="J661" t="s">
        <v>6820</v>
      </c>
      <c r="L661" t="s">
        <v>5071</v>
      </c>
      <c r="M661" t="s">
        <v>5072</v>
      </c>
    </row>
    <row r="662" spans="6:13" x14ac:dyDescent="0.25">
      <c r="F662" t="s">
        <v>326</v>
      </c>
      <c r="G662" t="s">
        <v>1337</v>
      </c>
      <c r="I662" t="s">
        <v>2698</v>
      </c>
      <c r="J662" t="s">
        <v>2699</v>
      </c>
      <c r="L662" t="s">
        <v>412</v>
      </c>
      <c r="M662" t="s">
        <v>7069</v>
      </c>
    </row>
    <row r="663" spans="6:13" x14ac:dyDescent="0.25">
      <c r="F663" t="s">
        <v>739</v>
      </c>
      <c r="G663" t="s">
        <v>1177</v>
      </c>
      <c r="I663" t="s">
        <v>2931</v>
      </c>
      <c r="J663" t="s">
        <v>4472</v>
      </c>
      <c r="L663" t="s">
        <v>483</v>
      </c>
      <c r="M663" t="s">
        <v>5641</v>
      </c>
    </row>
    <row r="664" spans="6:13" x14ac:dyDescent="0.25">
      <c r="F664" t="s">
        <v>44</v>
      </c>
      <c r="G664" t="s">
        <v>1492</v>
      </c>
      <c r="I664" t="s">
        <v>52</v>
      </c>
      <c r="J664" t="s">
        <v>2157</v>
      </c>
      <c r="L664" t="s">
        <v>302</v>
      </c>
      <c r="M664" t="s">
        <v>6407</v>
      </c>
    </row>
    <row r="665" spans="6:13" x14ac:dyDescent="0.25">
      <c r="F665" t="s">
        <v>673</v>
      </c>
      <c r="G665" t="s">
        <v>1250</v>
      </c>
      <c r="I665" t="s">
        <v>2381</v>
      </c>
      <c r="J665" t="s">
        <v>2382</v>
      </c>
      <c r="L665" t="s">
        <v>5633</v>
      </c>
      <c r="M665" t="s">
        <v>6310</v>
      </c>
    </row>
    <row r="666" spans="6:13" x14ac:dyDescent="0.25">
      <c r="F666" t="s">
        <v>328</v>
      </c>
      <c r="G666" t="s">
        <v>1187</v>
      </c>
      <c r="I666" t="s">
        <v>328</v>
      </c>
      <c r="J666" t="s">
        <v>3046</v>
      </c>
      <c r="L666" t="s">
        <v>41</v>
      </c>
      <c r="M666" t="s">
        <v>5544</v>
      </c>
    </row>
    <row r="667" spans="6:13" x14ac:dyDescent="0.25">
      <c r="F667" t="s">
        <v>328</v>
      </c>
      <c r="G667" t="s">
        <v>1612</v>
      </c>
      <c r="I667" t="s">
        <v>296</v>
      </c>
      <c r="J667" t="s">
        <v>6834</v>
      </c>
      <c r="L667" t="s">
        <v>6145</v>
      </c>
      <c r="M667" t="s">
        <v>6146</v>
      </c>
    </row>
    <row r="668" spans="6:13" x14ac:dyDescent="0.25">
      <c r="F668" t="s">
        <v>787</v>
      </c>
      <c r="G668" t="s">
        <v>1407</v>
      </c>
      <c r="I668" t="s">
        <v>328</v>
      </c>
      <c r="J668" t="s">
        <v>3141</v>
      </c>
      <c r="L668" t="s">
        <v>6167</v>
      </c>
      <c r="M668" t="s">
        <v>6168</v>
      </c>
    </row>
    <row r="669" spans="6:13" x14ac:dyDescent="0.25">
      <c r="F669" t="s">
        <v>775</v>
      </c>
      <c r="G669" t="s">
        <v>1361</v>
      </c>
      <c r="I669" t="s">
        <v>2103</v>
      </c>
      <c r="J669" t="s">
        <v>2104</v>
      </c>
      <c r="L669" t="s">
        <v>299</v>
      </c>
      <c r="M669" t="s">
        <v>6587</v>
      </c>
    </row>
    <row r="670" spans="6:13" x14ac:dyDescent="0.25">
      <c r="F670" t="s">
        <v>363</v>
      </c>
      <c r="G670" t="s">
        <v>913</v>
      </c>
      <c r="I670" t="s">
        <v>296</v>
      </c>
      <c r="J670" t="s">
        <v>6964</v>
      </c>
      <c r="L670" t="s">
        <v>6531</v>
      </c>
      <c r="M670" t="s">
        <v>6532</v>
      </c>
    </row>
    <row r="671" spans="6:13" x14ac:dyDescent="0.25">
      <c r="F671" t="s">
        <v>326</v>
      </c>
      <c r="G671" t="s">
        <v>1476</v>
      </c>
      <c r="I671" t="s">
        <v>3146</v>
      </c>
      <c r="J671" t="s">
        <v>3147</v>
      </c>
      <c r="L671" t="s">
        <v>6626</v>
      </c>
      <c r="M671" t="s">
        <v>7032</v>
      </c>
    </row>
    <row r="672" spans="6:13" x14ac:dyDescent="0.25">
      <c r="F672" t="s">
        <v>600</v>
      </c>
      <c r="G672" t="s">
        <v>985</v>
      </c>
      <c r="I672" t="s">
        <v>2475</v>
      </c>
      <c r="J672" t="s">
        <v>4266</v>
      </c>
      <c r="L672" t="s">
        <v>483</v>
      </c>
      <c r="M672" t="s">
        <v>5052</v>
      </c>
    </row>
    <row r="673" spans="6:13" x14ac:dyDescent="0.25">
      <c r="F673" t="s">
        <v>673</v>
      </c>
      <c r="G673" t="s">
        <v>883</v>
      </c>
      <c r="I673" t="s">
        <v>291</v>
      </c>
      <c r="J673" t="s">
        <v>6674</v>
      </c>
      <c r="L673" t="s">
        <v>302</v>
      </c>
      <c r="M673" t="s">
        <v>5013</v>
      </c>
    </row>
    <row r="674" spans="6:13" x14ac:dyDescent="0.25">
      <c r="F674" t="s">
        <v>805</v>
      </c>
      <c r="G674" t="s">
        <v>1488</v>
      </c>
      <c r="I674" t="s">
        <v>2056</v>
      </c>
      <c r="J674" t="s">
        <v>4453</v>
      </c>
      <c r="L674" t="s">
        <v>6529</v>
      </c>
      <c r="M674" t="s">
        <v>6530</v>
      </c>
    </row>
    <row r="675" spans="6:13" x14ac:dyDescent="0.25">
      <c r="F675" t="s">
        <v>302</v>
      </c>
      <c r="G675" t="s">
        <v>1074</v>
      </c>
      <c r="I675" t="s">
        <v>269</v>
      </c>
      <c r="J675" t="s">
        <v>3940</v>
      </c>
      <c r="L675" t="s">
        <v>483</v>
      </c>
      <c r="M675" t="s">
        <v>6439</v>
      </c>
    </row>
    <row r="676" spans="6:13" x14ac:dyDescent="0.25">
      <c r="F676" t="s">
        <v>706</v>
      </c>
      <c r="G676" t="s">
        <v>1023</v>
      </c>
      <c r="I676" t="s">
        <v>425</v>
      </c>
      <c r="J676" t="s">
        <v>6945</v>
      </c>
      <c r="L676" t="s">
        <v>41</v>
      </c>
      <c r="M676" t="s">
        <v>6072</v>
      </c>
    </row>
    <row r="677" spans="6:13" x14ac:dyDescent="0.25">
      <c r="F677" t="s">
        <v>814</v>
      </c>
      <c r="G677" t="s">
        <v>1530</v>
      </c>
      <c r="I677" t="s">
        <v>425</v>
      </c>
      <c r="J677" t="s">
        <v>6889</v>
      </c>
      <c r="L677" t="s">
        <v>4760</v>
      </c>
      <c r="M677" t="s">
        <v>4761</v>
      </c>
    </row>
    <row r="678" spans="6:13" x14ac:dyDescent="0.25">
      <c r="F678" t="s">
        <v>326</v>
      </c>
      <c r="G678" t="s">
        <v>888</v>
      </c>
      <c r="I678" t="s">
        <v>326</v>
      </c>
      <c r="J678" t="s">
        <v>3727</v>
      </c>
      <c r="L678" t="s">
        <v>296</v>
      </c>
      <c r="M678" t="s">
        <v>4637</v>
      </c>
    </row>
    <row r="679" spans="6:13" x14ac:dyDescent="0.25">
      <c r="F679" t="s">
        <v>41</v>
      </c>
      <c r="G679" t="s">
        <v>1470</v>
      </c>
      <c r="I679" t="s">
        <v>412</v>
      </c>
      <c r="J679" t="s">
        <v>6922</v>
      </c>
      <c r="L679" t="s">
        <v>328</v>
      </c>
      <c r="M679" t="s">
        <v>5566</v>
      </c>
    </row>
    <row r="680" spans="6:13" x14ac:dyDescent="0.25">
      <c r="F680" t="s">
        <v>102</v>
      </c>
      <c r="G680" t="s">
        <v>1542</v>
      </c>
      <c r="I680" t="s">
        <v>3783</v>
      </c>
      <c r="J680" t="s">
        <v>6946</v>
      </c>
      <c r="L680" t="s">
        <v>302</v>
      </c>
      <c r="M680" t="s">
        <v>5270</v>
      </c>
    </row>
    <row r="681" spans="6:13" x14ac:dyDescent="0.25">
      <c r="F681" t="s">
        <v>698</v>
      </c>
      <c r="G681" t="s">
        <v>1131</v>
      </c>
      <c r="I681" t="s">
        <v>3697</v>
      </c>
      <c r="J681" t="s">
        <v>4046</v>
      </c>
      <c r="L681" t="s">
        <v>302</v>
      </c>
      <c r="M681" t="s">
        <v>5213</v>
      </c>
    </row>
    <row r="682" spans="6:13" x14ac:dyDescent="0.25">
      <c r="F682" t="s">
        <v>302</v>
      </c>
      <c r="G682" t="s">
        <v>1638</v>
      </c>
      <c r="I682" t="s">
        <v>2614</v>
      </c>
      <c r="J682" t="s">
        <v>4069</v>
      </c>
      <c r="L682" t="s">
        <v>5275</v>
      </c>
      <c r="M682" t="s">
        <v>5276</v>
      </c>
    </row>
    <row r="683" spans="6:13" x14ac:dyDescent="0.25">
      <c r="F683" t="s">
        <v>508</v>
      </c>
      <c r="G683" t="s">
        <v>1294</v>
      </c>
      <c r="I683" t="s">
        <v>41</v>
      </c>
      <c r="J683" t="s">
        <v>2642</v>
      </c>
      <c r="L683" t="s">
        <v>483</v>
      </c>
      <c r="M683" t="s">
        <v>6586</v>
      </c>
    </row>
    <row r="684" spans="6:13" x14ac:dyDescent="0.25">
      <c r="F684" t="s">
        <v>129</v>
      </c>
      <c r="G684" t="s">
        <v>895</v>
      </c>
      <c r="I684" t="s">
        <v>266</v>
      </c>
      <c r="J684" t="s">
        <v>3780</v>
      </c>
      <c r="L684" t="s">
        <v>302</v>
      </c>
      <c r="M684" t="s">
        <v>5781</v>
      </c>
    </row>
    <row r="685" spans="6:13" x14ac:dyDescent="0.25">
      <c r="F685" t="s">
        <v>806</v>
      </c>
      <c r="G685" t="s">
        <v>1502</v>
      </c>
      <c r="I685" t="s">
        <v>49</v>
      </c>
      <c r="J685" t="s">
        <v>3505</v>
      </c>
      <c r="L685" t="s">
        <v>326</v>
      </c>
      <c r="M685" t="s">
        <v>4984</v>
      </c>
    </row>
    <row r="686" spans="6:13" x14ac:dyDescent="0.25">
      <c r="F686" t="s">
        <v>729</v>
      </c>
      <c r="G686" t="s">
        <v>1405</v>
      </c>
      <c r="I686" t="s">
        <v>328</v>
      </c>
      <c r="J686" t="s">
        <v>3671</v>
      </c>
      <c r="L686" t="s">
        <v>41</v>
      </c>
      <c r="M686" t="s">
        <v>6605</v>
      </c>
    </row>
    <row r="687" spans="6:13" x14ac:dyDescent="0.25">
      <c r="F687" t="s">
        <v>102</v>
      </c>
      <c r="G687" t="s">
        <v>6654</v>
      </c>
      <c r="I687" t="s">
        <v>266</v>
      </c>
      <c r="J687" t="s">
        <v>3086</v>
      </c>
      <c r="L687" t="s">
        <v>5487</v>
      </c>
      <c r="M687" t="s">
        <v>6132</v>
      </c>
    </row>
    <row r="688" spans="6:13" x14ac:dyDescent="0.25">
      <c r="F688" t="s">
        <v>686</v>
      </c>
      <c r="G688" t="s">
        <v>936</v>
      </c>
      <c r="I688" t="s">
        <v>267</v>
      </c>
      <c r="J688" t="s">
        <v>1767</v>
      </c>
      <c r="L688" t="s">
        <v>299</v>
      </c>
      <c r="M688" t="s">
        <v>5274</v>
      </c>
    </row>
    <row r="689" spans="6:13" x14ac:dyDescent="0.25">
      <c r="F689" t="s">
        <v>771</v>
      </c>
      <c r="G689" t="s">
        <v>6655</v>
      </c>
      <c r="I689" t="s">
        <v>3613</v>
      </c>
      <c r="J689" t="s">
        <v>3614</v>
      </c>
      <c r="L689" t="s">
        <v>328</v>
      </c>
      <c r="M689" t="s">
        <v>6304</v>
      </c>
    </row>
    <row r="690" spans="6:13" x14ac:dyDescent="0.25">
      <c r="F690" t="s">
        <v>810</v>
      </c>
      <c r="G690" t="s">
        <v>1512</v>
      </c>
      <c r="I690" t="s">
        <v>425</v>
      </c>
      <c r="J690" t="s">
        <v>6876</v>
      </c>
      <c r="L690" t="s">
        <v>296</v>
      </c>
      <c r="M690" t="s">
        <v>7037</v>
      </c>
    </row>
    <row r="691" spans="6:13" x14ac:dyDescent="0.25">
      <c r="F691" t="s">
        <v>634</v>
      </c>
      <c r="G691" t="s">
        <v>945</v>
      </c>
      <c r="I691" t="s">
        <v>4362</v>
      </c>
      <c r="J691" t="s">
        <v>4363</v>
      </c>
      <c r="L691" t="s">
        <v>302</v>
      </c>
      <c r="M691" t="s">
        <v>5931</v>
      </c>
    </row>
    <row r="692" spans="6:13" x14ac:dyDescent="0.25">
      <c r="F692" t="s">
        <v>673</v>
      </c>
      <c r="G692" t="s">
        <v>1626</v>
      </c>
      <c r="I692" t="s">
        <v>1888</v>
      </c>
      <c r="J692" t="s">
        <v>1889</v>
      </c>
      <c r="L692" t="s">
        <v>299</v>
      </c>
      <c r="M692" t="s">
        <v>6547</v>
      </c>
    </row>
    <row r="693" spans="6:13" x14ac:dyDescent="0.25">
      <c r="F693" t="s">
        <v>302</v>
      </c>
      <c r="G693" t="s">
        <v>1043</v>
      </c>
      <c r="I693" t="s">
        <v>269</v>
      </c>
      <c r="J693" t="s">
        <v>2390</v>
      </c>
      <c r="L693" t="s">
        <v>67</v>
      </c>
      <c r="M693" t="s">
        <v>7078</v>
      </c>
    </row>
    <row r="694" spans="6:13" x14ac:dyDescent="0.25">
      <c r="F694" t="s">
        <v>653</v>
      </c>
      <c r="G694" t="s">
        <v>1651</v>
      </c>
      <c r="I694" t="s">
        <v>4954</v>
      </c>
      <c r="J694" t="s">
        <v>6861</v>
      </c>
      <c r="L694" t="s">
        <v>302</v>
      </c>
      <c r="M694" t="s">
        <v>5465</v>
      </c>
    </row>
    <row r="695" spans="6:13" x14ac:dyDescent="0.25">
      <c r="F695" t="s">
        <v>102</v>
      </c>
      <c r="G695" t="s">
        <v>1548</v>
      </c>
      <c r="I695" t="s">
        <v>270</v>
      </c>
      <c r="J695" t="s">
        <v>2512</v>
      </c>
      <c r="L695" t="s">
        <v>296</v>
      </c>
      <c r="M695" t="s">
        <v>7140</v>
      </c>
    </row>
    <row r="696" spans="6:13" x14ac:dyDescent="0.25">
      <c r="F696" t="s">
        <v>102</v>
      </c>
      <c r="G696" t="s">
        <v>1311</v>
      </c>
      <c r="I696" t="s">
        <v>3194</v>
      </c>
      <c r="J696" t="s">
        <v>3195</v>
      </c>
      <c r="L696" t="s">
        <v>302</v>
      </c>
      <c r="M696" t="s">
        <v>6616</v>
      </c>
    </row>
    <row r="697" spans="6:13" x14ac:dyDescent="0.25">
      <c r="F697" t="s">
        <v>687</v>
      </c>
      <c r="G697" t="s">
        <v>944</v>
      </c>
      <c r="I697" t="s">
        <v>413</v>
      </c>
      <c r="J697" t="s">
        <v>3094</v>
      </c>
      <c r="L697" t="s">
        <v>422</v>
      </c>
      <c r="M697" t="s">
        <v>5029</v>
      </c>
    </row>
    <row r="698" spans="6:13" x14ac:dyDescent="0.25">
      <c r="F698" t="s">
        <v>102</v>
      </c>
      <c r="G698" t="s">
        <v>1263</v>
      </c>
      <c r="I698" t="s">
        <v>266</v>
      </c>
      <c r="J698" t="s">
        <v>2406</v>
      </c>
      <c r="L698" t="s">
        <v>485</v>
      </c>
      <c r="M698" t="s">
        <v>4620</v>
      </c>
    </row>
    <row r="699" spans="6:13" x14ac:dyDescent="0.25">
      <c r="F699" t="s">
        <v>545</v>
      </c>
      <c r="G699" t="s">
        <v>1008</v>
      </c>
      <c r="I699" t="s">
        <v>1779</v>
      </c>
      <c r="J699" t="s">
        <v>1780</v>
      </c>
      <c r="L699" t="s">
        <v>4964</v>
      </c>
      <c r="M699" t="s">
        <v>6367</v>
      </c>
    </row>
    <row r="700" spans="6:13" x14ac:dyDescent="0.25">
      <c r="F700" t="s">
        <v>41</v>
      </c>
      <c r="G700" t="s">
        <v>1602</v>
      </c>
      <c r="I700" t="s">
        <v>378</v>
      </c>
      <c r="J700" t="s">
        <v>6831</v>
      </c>
      <c r="L700" t="s">
        <v>5176</v>
      </c>
      <c r="M700" t="s">
        <v>5177</v>
      </c>
    </row>
    <row r="701" spans="6:13" x14ac:dyDescent="0.25">
      <c r="F701" t="s">
        <v>826</v>
      </c>
      <c r="G701" t="s">
        <v>1598</v>
      </c>
      <c r="I701" t="s">
        <v>581</v>
      </c>
      <c r="J701" t="s">
        <v>4227</v>
      </c>
      <c r="L701" t="s">
        <v>4964</v>
      </c>
      <c r="M701" t="s">
        <v>4965</v>
      </c>
    </row>
    <row r="702" spans="6:13" x14ac:dyDescent="0.25">
      <c r="F702" t="s">
        <v>6626</v>
      </c>
      <c r="G702" t="s">
        <v>1060</v>
      </c>
      <c r="I702" t="s">
        <v>1978</v>
      </c>
      <c r="J702" t="s">
        <v>1979</v>
      </c>
      <c r="L702" t="s">
        <v>41</v>
      </c>
      <c r="M702" t="s">
        <v>6158</v>
      </c>
    </row>
    <row r="703" spans="6:13" x14ac:dyDescent="0.25">
      <c r="F703" t="s">
        <v>129</v>
      </c>
      <c r="G703" t="s">
        <v>1477</v>
      </c>
      <c r="I703" t="s">
        <v>2703</v>
      </c>
      <c r="J703" t="s">
        <v>2704</v>
      </c>
      <c r="L703" t="s">
        <v>412</v>
      </c>
      <c r="M703" t="s">
        <v>7238</v>
      </c>
    </row>
    <row r="704" spans="6:13" x14ac:dyDescent="0.25">
      <c r="F704" t="s">
        <v>102</v>
      </c>
      <c r="G704" t="s">
        <v>1593</v>
      </c>
      <c r="I704" t="s">
        <v>49</v>
      </c>
      <c r="J704" t="s">
        <v>3375</v>
      </c>
      <c r="L704" t="s">
        <v>67</v>
      </c>
      <c r="M704" t="s">
        <v>7237</v>
      </c>
    </row>
    <row r="705" spans="6:13" x14ac:dyDescent="0.25">
      <c r="F705" t="s">
        <v>508</v>
      </c>
      <c r="G705" t="s">
        <v>1076</v>
      </c>
      <c r="I705" t="s">
        <v>269</v>
      </c>
      <c r="J705" t="s">
        <v>3672</v>
      </c>
      <c r="L705" t="s">
        <v>483</v>
      </c>
      <c r="M705" t="s">
        <v>5408</v>
      </c>
    </row>
    <row r="706" spans="6:13" x14ac:dyDescent="0.25">
      <c r="F706" t="s">
        <v>795</v>
      </c>
      <c r="G706" t="s">
        <v>1448</v>
      </c>
      <c r="I706" t="s">
        <v>129</v>
      </c>
      <c r="J706" t="s">
        <v>2354</v>
      </c>
      <c r="L706" t="s">
        <v>4632</v>
      </c>
      <c r="M706" t="s">
        <v>7182</v>
      </c>
    </row>
    <row r="707" spans="6:13" x14ac:dyDescent="0.25">
      <c r="F707" t="s">
        <v>6626</v>
      </c>
      <c r="G707" t="s">
        <v>1334</v>
      </c>
      <c r="I707" t="s">
        <v>2574</v>
      </c>
      <c r="J707" t="s">
        <v>2575</v>
      </c>
      <c r="L707" t="s">
        <v>412</v>
      </c>
      <c r="M707" t="s">
        <v>7251</v>
      </c>
    </row>
    <row r="708" spans="6:13" x14ac:dyDescent="0.25">
      <c r="F708" t="s">
        <v>676</v>
      </c>
      <c r="G708" t="s">
        <v>1099</v>
      </c>
      <c r="I708" t="s">
        <v>269</v>
      </c>
      <c r="J708" t="s">
        <v>2025</v>
      </c>
      <c r="L708" t="s">
        <v>5722</v>
      </c>
      <c r="M708" t="s">
        <v>5723</v>
      </c>
    </row>
    <row r="709" spans="6:13" x14ac:dyDescent="0.25">
      <c r="F709" t="s">
        <v>102</v>
      </c>
      <c r="G709" t="s">
        <v>981</v>
      </c>
      <c r="I709" t="s">
        <v>3913</v>
      </c>
      <c r="J709" t="s">
        <v>4188</v>
      </c>
      <c r="L709" t="s">
        <v>483</v>
      </c>
      <c r="M709" t="s">
        <v>4802</v>
      </c>
    </row>
    <row r="710" spans="6:13" x14ac:dyDescent="0.25">
      <c r="F710" t="s">
        <v>823</v>
      </c>
      <c r="G710" t="s">
        <v>1592</v>
      </c>
      <c r="I710" t="s">
        <v>296</v>
      </c>
      <c r="J710" t="s">
        <v>6992</v>
      </c>
      <c r="L710" t="s">
        <v>130</v>
      </c>
      <c r="M710" t="s">
        <v>5535</v>
      </c>
    </row>
    <row r="711" spans="6:13" x14ac:dyDescent="0.25">
      <c r="F711" t="s">
        <v>508</v>
      </c>
      <c r="G711" t="s">
        <v>1262</v>
      </c>
      <c r="I711" t="s">
        <v>412</v>
      </c>
      <c r="J711" t="s">
        <v>7000</v>
      </c>
      <c r="L711" t="s">
        <v>41</v>
      </c>
      <c r="M711" t="s">
        <v>5459</v>
      </c>
    </row>
    <row r="712" spans="6:13" x14ac:dyDescent="0.25">
      <c r="F712" t="s">
        <v>50</v>
      </c>
      <c r="G712" t="s">
        <v>1168</v>
      </c>
      <c r="I712" t="s">
        <v>328</v>
      </c>
      <c r="J712" t="s">
        <v>3683</v>
      </c>
      <c r="L712" t="s">
        <v>65</v>
      </c>
      <c r="M712" t="s">
        <v>5411</v>
      </c>
    </row>
    <row r="713" spans="6:13" x14ac:dyDescent="0.25">
      <c r="F713" t="s">
        <v>144</v>
      </c>
      <c r="G713" t="s">
        <v>846</v>
      </c>
      <c r="I713" t="s">
        <v>3777</v>
      </c>
      <c r="J713" t="s">
        <v>3778</v>
      </c>
      <c r="L713" t="s">
        <v>483</v>
      </c>
      <c r="M713" t="s">
        <v>5431</v>
      </c>
    </row>
    <row r="714" spans="6:13" x14ac:dyDescent="0.25">
      <c r="F714" t="s">
        <v>671</v>
      </c>
      <c r="G714" t="s">
        <v>881</v>
      </c>
      <c r="I714" t="s">
        <v>3130</v>
      </c>
      <c r="J714" t="s">
        <v>3131</v>
      </c>
      <c r="L714" t="s">
        <v>130</v>
      </c>
      <c r="M714" t="s">
        <v>6295</v>
      </c>
    </row>
    <row r="715" spans="6:13" x14ac:dyDescent="0.25">
      <c r="F715" t="s">
        <v>589</v>
      </c>
      <c r="G715" t="s">
        <v>1541</v>
      </c>
      <c r="I715" t="s">
        <v>266</v>
      </c>
      <c r="J715" t="s">
        <v>3661</v>
      </c>
      <c r="L715" t="s">
        <v>467</v>
      </c>
      <c r="M715" t="s">
        <v>5753</v>
      </c>
    </row>
    <row r="716" spans="6:13" x14ac:dyDescent="0.25">
      <c r="F716" t="s">
        <v>757</v>
      </c>
      <c r="G716" t="s">
        <v>1275</v>
      </c>
      <c r="I716" t="s">
        <v>1852</v>
      </c>
      <c r="J716" t="s">
        <v>1964</v>
      </c>
      <c r="L716" t="s">
        <v>41</v>
      </c>
      <c r="M716" t="s">
        <v>5083</v>
      </c>
    </row>
    <row r="717" spans="6:13" x14ac:dyDescent="0.25">
      <c r="F717" t="s">
        <v>420</v>
      </c>
      <c r="G717" t="s">
        <v>1475</v>
      </c>
      <c r="I717" t="s">
        <v>308</v>
      </c>
      <c r="J717" t="s">
        <v>3442</v>
      </c>
      <c r="L717" t="s">
        <v>483</v>
      </c>
      <c r="M717" t="s">
        <v>7258</v>
      </c>
    </row>
    <row r="718" spans="6:13" x14ac:dyDescent="0.25">
      <c r="F718" t="s">
        <v>597</v>
      </c>
      <c r="G718" t="s">
        <v>1587</v>
      </c>
      <c r="I718" t="s">
        <v>581</v>
      </c>
      <c r="J718" t="s">
        <v>3869</v>
      </c>
      <c r="L718" t="s">
        <v>328</v>
      </c>
      <c r="M718" t="s">
        <v>5039</v>
      </c>
    </row>
    <row r="719" spans="6:13" x14ac:dyDescent="0.25">
      <c r="F719" t="s">
        <v>668</v>
      </c>
      <c r="G719" t="s">
        <v>872</v>
      </c>
      <c r="I719" t="s">
        <v>299</v>
      </c>
      <c r="J719" t="s">
        <v>1871</v>
      </c>
      <c r="L719" t="s">
        <v>326</v>
      </c>
      <c r="M719" t="s">
        <v>6160</v>
      </c>
    </row>
    <row r="720" spans="6:13" x14ac:dyDescent="0.25">
      <c r="F720" t="s">
        <v>508</v>
      </c>
      <c r="G720" t="s">
        <v>1533</v>
      </c>
      <c r="I720" t="s">
        <v>53</v>
      </c>
      <c r="J720" t="s">
        <v>2981</v>
      </c>
      <c r="L720" t="s">
        <v>483</v>
      </c>
      <c r="M720" t="s">
        <v>5141</v>
      </c>
    </row>
    <row r="721" spans="6:13" x14ac:dyDescent="0.25">
      <c r="F721" t="s">
        <v>508</v>
      </c>
      <c r="G721" t="s">
        <v>1438</v>
      </c>
      <c r="I721" t="s">
        <v>6894</v>
      </c>
      <c r="J721" t="s">
        <v>3022</v>
      </c>
      <c r="L721" t="s">
        <v>420</v>
      </c>
      <c r="M721" t="s">
        <v>5287</v>
      </c>
    </row>
    <row r="722" spans="6:13" x14ac:dyDescent="0.25">
      <c r="F722" t="s">
        <v>597</v>
      </c>
      <c r="G722" t="s">
        <v>1142</v>
      </c>
      <c r="I722" t="s">
        <v>2367</v>
      </c>
      <c r="J722" t="s">
        <v>2368</v>
      </c>
      <c r="L722" t="s">
        <v>302</v>
      </c>
      <c r="M722" t="s">
        <v>6171</v>
      </c>
    </row>
    <row r="723" spans="6:13" x14ac:dyDescent="0.25">
      <c r="F723" t="s">
        <v>597</v>
      </c>
      <c r="G723" t="s">
        <v>1379</v>
      </c>
      <c r="I723" t="s">
        <v>328</v>
      </c>
      <c r="J723" t="s">
        <v>3308</v>
      </c>
      <c r="L723" t="s">
        <v>600</v>
      </c>
      <c r="M723" t="s">
        <v>6348</v>
      </c>
    </row>
    <row r="724" spans="6:13" x14ac:dyDescent="0.25">
      <c r="F724" t="s">
        <v>41</v>
      </c>
      <c r="G724" t="s">
        <v>1572</v>
      </c>
      <c r="I724" t="s">
        <v>1779</v>
      </c>
      <c r="J724" t="s">
        <v>4489</v>
      </c>
      <c r="L724" t="s">
        <v>4861</v>
      </c>
      <c r="M724" t="s">
        <v>4862</v>
      </c>
    </row>
    <row r="725" spans="6:13" x14ac:dyDescent="0.25">
      <c r="F725" t="s">
        <v>719</v>
      </c>
      <c r="G725" t="s">
        <v>1069</v>
      </c>
      <c r="I725" t="s">
        <v>328</v>
      </c>
      <c r="J725" t="s">
        <v>2477</v>
      </c>
      <c r="L725" t="s">
        <v>373</v>
      </c>
      <c r="M725" t="s">
        <v>6394</v>
      </c>
    </row>
    <row r="726" spans="6:13" x14ac:dyDescent="0.25">
      <c r="F726" t="s">
        <v>597</v>
      </c>
      <c r="G726" t="s">
        <v>1496</v>
      </c>
      <c r="I726" t="s">
        <v>597</v>
      </c>
      <c r="J726" t="s">
        <v>2576</v>
      </c>
      <c r="L726" t="s">
        <v>328</v>
      </c>
      <c r="M726" t="s">
        <v>5297</v>
      </c>
    </row>
    <row r="727" spans="6:13" x14ac:dyDescent="0.25">
      <c r="F727" t="s">
        <v>102</v>
      </c>
      <c r="G727" t="s">
        <v>1185</v>
      </c>
      <c r="I727" t="s">
        <v>2481</v>
      </c>
      <c r="J727" t="s">
        <v>3159</v>
      </c>
      <c r="L727" t="s">
        <v>5197</v>
      </c>
      <c r="M727" t="s">
        <v>5198</v>
      </c>
    </row>
    <row r="728" spans="6:13" x14ac:dyDescent="0.25">
      <c r="F728" t="s">
        <v>41</v>
      </c>
      <c r="G728" t="s">
        <v>1282</v>
      </c>
      <c r="I728" t="s">
        <v>266</v>
      </c>
      <c r="J728" t="s">
        <v>3644</v>
      </c>
      <c r="L728" t="s">
        <v>483</v>
      </c>
      <c r="M728" t="s">
        <v>6418</v>
      </c>
    </row>
    <row r="729" spans="6:13" x14ac:dyDescent="0.25">
      <c r="F729" t="s">
        <v>302</v>
      </c>
      <c r="G729" t="s">
        <v>994</v>
      </c>
      <c r="I729" t="s">
        <v>19</v>
      </c>
      <c r="J729" t="s">
        <v>2147</v>
      </c>
      <c r="L729" t="s">
        <v>130</v>
      </c>
      <c r="M729" t="s">
        <v>6428</v>
      </c>
    </row>
    <row r="730" spans="6:13" x14ac:dyDescent="0.25">
      <c r="F730" t="s">
        <v>691</v>
      </c>
      <c r="G730" t="s">
        <v>965</v>
      </c>
      <c r="I730" t="s">
        <v>1852</v>
      </c>
      <c r="J730" t="s">
        <v>4259</v>
      </c>
      <c r="L730" t="s">
        <v>144</v>
      </c>
      <c r="M730" t="s">
        <v>7154</v>
      </c>
    </row>
    <row r="731" spans="6:13" x14ac:dyDescent="0.25">
      <c r="F731" t="s">
        <v>597</v>
      </c>
      <c r="G731" t="s">
        <v>1181</v>
      </c>
      <c r="I731" t="s">
        <v>2535</v>
      </c>
      <c r="J731" t="s">
        <v>2536</v>
      </c>
      <c r="L731" t="s">
        <v>483</v>
      </c>
      <c r="M731" t="s">
        <v>6287</v>
      </c>
    </row>
    <row r="732" spans="6:13" x14ac:dyDescent="0.25">
      <c r="F732" t="s">
        <v>733</v>
      </c>
      <c r="G732" t="s">
        <v>1145</v>
      </c>
      <c r="I732" t="s">
        <v>328</v>
      </c>
      <c r="J732" t="s">
        <v>3027</v>
      </c>
      <c r="L732" t="s">
        <v>130</v>
      </c>
      <c r="M732" t="s">
        <v>6402</v>
      </c>
    </row>
    <row r="733" spans="6:13" x14ac:dyDescent="0.25">
      <c r="F733" t="s">
        <v>302</v>
      </c>
      <c r="G733" t="s">
        <v>1553</v>
      </c>
      <c r="I733" t="s">
        <v>67</v>
      </c>
      <c r="J733" t="s">
        <v>6953</v>
      </c>
      <c r="L733" t="s">
        <v>130</v>
      </c>
      <c r="M733" t="s">
        <v>6252</v>
      </c>
    </row>
    <row r="734" spans="6:13" x14ac:dyDescent="0.25">
      <c r="F734" t="s">
        <v>41</v>
      </c>
      <c r="G734" t="s">
        <v>844</v>
      </c>
      <c r="I734" t="s">
        <v>600</v>
      </c>
      <c r="J734" t="s">
        <v>1798</v>
      </c>
      <c r="L734" t="s">
        <v>4632</v>
      </c>
      <c r="M734" t="s">
        <v>6113</v>
      </c>
    </row>
    <row r="735" spans="6:13" x14ac:dyDescent="0.25">
      <c r="F735" t="s">
        <v>102</v>
      </c>
      <c r="G735" t="s">
        <v>961</v>
      </c>
      <c r="I735" t="s">
        <v>326</v>
      </c>
      <c r="J735" t="s">
        <v>4187</v>
      </c>
      <c r="L735" t="s">
        <v>474</v>
      </c>
      <c r="M735" t="s">
        <v>5226</v>
      </c>
    </row>
    <row r="736" spans="6:13" x14ac:dyDescent="0.25">
      <c r="F736" t="s">
        <v>729</v>
      </c>
      <c r="G736" t="s">
        <v>1360</v>
      </c>
      <c r="I736" t="s">
        <v>266</v>
      </c>
      <c r="J736" t="s">
        <v>2597</v>
      </c>
      <c r="L736" t="s">
        <v>483</v>
      </c>
      <c r="M736" t="s">
        <v>7070</v>
      </c>
    </row>
    <row r="737" spans="6:13" x14ac:dyDescent="0.25">
      <c r="F737" t="s">
        <v>440</v>
      </c>
      <c r="G737" t="s">
        <v>1278</v>
      </c>
      <c r="I737" t="s">
        <v>266</v>
      </c>
      <c r="J737" t="s">
        <v>3633</v>
      </c>
      <c r="L737" t="s">
        <v>412</v>
      </c>
      <c r="M737" t="s">
        <v>7125</v>
      </c>
    </row>
    <row r="738" spans="6:13" x14ac:dyDescent="0.25">
      <c r="F738" t="s">
        <v>302</v>
      </c>
      <c r="G738" t="s">
        <v>6653</v>
      </c>
      <c r="I738" t="s">
        <v>602</v>
      </c>
      <c r="J738" t="s">
        <v>2468</v>
      </c>
      <c r="L738" t="s">
        <v>328</v>
      </c>
      <c r="M738" t="s">
        <v>5348</v>
      </c>
    </row>
    <row r="739" spans="6:13" x14ac:dyDescent="0.25">
      <c r="F739" t="s">
        <v>41</v>
      </c>
      <c r="G739" t="s">
        <v>1111</v>
      </c>
      <c r="I739" t="s">
        <v>267</v>
      </c>
      <c r="J739" t="s">
        <v>1724</v>
      </c>
      <c r="L739" t="s">
        <v>291</v>
      </c>
      <c r="M739" t="s">
        <v>4762</v>
      </c>
    </row>
    <row r="740" spans="6:13" x14ac:dyDescent="0.25">
      <c r="F740" t="s">
        <v>293</v>
      </c>
      <c r="G740" t="s">
        <v>1498</v>
      </c>
      <c r="I740" t="s">
        <v>6734</v>
      </c>
      <c r="J740" t="s">
        <v>2972</v>
      </c>
      <c r="L740" t="s">
        <v>5154</v>
      </c>
      <c r="M740" t="s">
        <v>5155</v>
      </c>
    </row>
    <row r="741" spans="6:13" x14ac:dyDescent="0.25">
      <c r="F741" t="s">
        <v>351</v>
      </c>
      <c r="G741" t="s">
        <v>1643</v>
      </c>
      <c r="I741" t="s">
        <v>6724</v>
      </c>
      <c r="J741" t="s">
        <v>2972</v>
      </c>
      <c r="L741" t="s">
        <v>130</v>
      </c>
      <c r="M741" t="s">
        <v>4797</v>
      </c>
    </row>
    <row r="742" spans="6:13" x14ac:dyDescent="0.25">
      <c r="F742" t="s">
        <v>41</v>
      </c>
      <c r="G742" t="s">
        <v>1303</v>
      </c>
      <c r="I742" t="s">
        <v>291</v>
      </c>
      <c r="J742" t="s">
        <v>2987</v>
      </c>
      <c r="L742" t="s">
        <v>412</v>
      </c>
      <c r="M742" t="s">
        <v>7073</v>
      </c>
    </row>
    <row r="743" spans="6:13" x14ac:dyDescent="0.25">
      <c r="F743" t="s">
        <v>508</v>
      </c>
      <c r="G743" t="s">
        <v>1504</v>
      </c>
      <c r="I743" t="s">
        <v>129</v>
      </c>
      <c r="J743" t="s">
        <v>2241</v>
      </c>
      <c r="L743" t="s">
        <v>130</v>
      </c>
      <c r="M743" t="s">
        <v>4731</v>
      </c>
    </row>
    <row r="744" spans="6:13" x14ac:dyDescent="0.25">
      <c r="F744" t="s">
        <v>597</v>
      </c>
      <c r="G744" t="s">
        <v>1536</v>
      </c>
      <c r="I744" t="s">
        <v>413</v>
      </c>
      <c r="J744" t="s">
        <v>4339</v>
      </c>
      <c r="L744" t="s">
        <v>130</v>
      </c>
      <c r="M744" t="s">
        <v>5812</v>
      </c>
    </row>
    <row r="745" spans="6:13" x14ac:dyDescent="0.25">
      <c r="F745" t="s">
        <v>440</v>
      </c>
      <c r="G745" t="s">
        <v>1228</v>
      </c>
      <c r="I745" t="s">
        <v>1657</v>
      </c>
      <c r="J745" t="s">
        <v>1658</v>
      </c>
      <c r="L745" t="s">
        <v>6320</v>
      </c>
      <c r="M745" t="s">
        <v>6321</v>
      </c>
    </row>
    <row r="746" spans="6:13" x14ac:dyDescent="0.25">
      <c r="F746" t="s">
        <v>102</v>
      </c>
      <c r="G746" t="s">
        <v>1637</v>
      </c>
      <c r="I746" t="s">
        <v>267</v>
      </c>
      <c r="J746" t="s">
        <v>3504</v>
      </c>
      <c r="L746" t="s">
        <v>483</v>
      </c>
      <c r="M746" t="s">
        <v>6471</v>
      </c>
    </row>
    <row r="747" spans="6:13" x14ac:dyDescent="0.25">
      <c r="F747" t="s">
        <v>102</v>
      </c>
      <c r="G747" t="s">
        <v>899</v>
      </c>
      <c r="I747" t="s">
        <v>50</v>
      </c>
      <c r="J747" t="s">
        <v>2908</v>
      </c>
      <c r="L747" t="s">
        <v>328</v>
      </c>
      <c r="M747" t="s">
        <v>6603</v>
      </c>
    </row>
    <row r="748" spans="6:13" x14ac:dyDescent="0.25">
      <c r="F748" t="s">
        <v>129</v>
      </c>
      <c r="G748" t="s">
        <v>1208</v>
      </c>
      <c r="I748" t="s">
        <v>267</v>
      </c>
      <c r="J748" t="s">
        <v>2831</v>
      </c>
      <c r="L748" t="s">
        <v>412</v>
      </c>
      <c r="M748" t="s">
        <v>7043</v>
      </c>
    </row>
    <row r="749" spans="6:13" x14ac:dyDescent="0.25">
      <c r="F749" t="s">
        <v>41</v>
      </c>
      <c r="G749" t="s">
        <v>1515</v>
      </c>
      <c r="I749" t="s">
        <v>3479</v>
      </c>
      <c r="J749" t="s">
        <v>3480</v>
      </c>
      <c r="L749" t="s">
        <v>130</v>
      </c>
      <c r="M749" t="s">
        <v>5698</v>
      </c>
    </row>
    <row r="750" spans="6:13" x14ac:dyDescent="0.25">
      <c r="F750" t="s">
        <v>710</v>
      </c>
      <c r="G750" t="s">
        <v>1037</v>
      </c>
      <c r="I750" t="s">
        <v>267</v>
      </c>
      <c r="J750" t="s">
        <v>3205</v>
      </c>
      <c r="L750" t="s">
        <v>130</v>
      </c>
      <c r="M750" t="s">
        <v>5041</v>
      </c>
    </row>
    <row r="751" spans="6:13" x14ac:dyDescent="0.25">
      <c r="F751" t="s">
        <v>302</v>
      </c>
      <c r="G751" t="s">
        <v>1574</v>
      </c>
      <c r="I751" t="s">
        <v>597</v>
      </c>
      <c r="J751" t="s">
        <v>2397</v>
      </c>
      <c r="L751" t="s">
        <v>41</v>
      </c>
      <c r="M751" t="s">
        <v>7126</v>
      </c>
    </row>
    <row r="752" spans="6:13" x14ac:dyDescent="0.25">
      <c r="F752" t="s">
        <v>597</v>
      </c>
      <c r="G752" t="s">
        <v>1420</v>
      </c>
      <c r="I752" t="s">
        <v>2427</v>
      </c>
      <c r="J752" t="s">
        <v>2428</v>
      </c>
      <c r="L752" t="s">
        <v>130</v>
      </c>
      <c r="M752" t="s">
        <v>5547</v>
      </c>
    </row>
    <row r="753" spans="6:13" x14ac:dyDescent="0.25">
      <c r="F753" t="s">
        <v>41</v>
      </c>
      <c r="G753" t="s">
        <v>1464</v>
      </c>
      <c r="I753" t="s">
        <v>1816</v>
      </c>
      <c r="J753" t="s">
        <v>1817</v>
      </c>
      <c r="L753" t="s">
        <v>483</v>
      </c>
      <c r="M753" t="s">
        <v>5688</v>
      </c>
    </row>
    <row r="754" spans="6:13" x14ac:dyDescent="0.25">
      <c r="F754" t="s">
        <v>600</v>
      </c>
      <c r="G754" t="s">
        <v>1081</v>
      </c>
      <c r="I754" t="s">
        <v>1779</v>
      </c>
      <c r="J754" t="s">
        <v>2810</v>
      </c>
      <c r="L754" t="s">
        <v>486</v>
      </c>
      <c r="M754" t="s">
        <v>6573</v>
      </c>
    </row>
    <row r="755" spans="6:13" x14ac:dyDescent="0.25">
      <c r="F755" t="s">
        <v>600</v>
      </c>
      <c r="G755" t="s">
        <v>908</v>
      </c>
      <c r="I755" t="s">
        <v>41</v>
      </c>
      <c r="J755" t="s">
        <v>4425</v>
      </c>
      <c r="L755" t="s">
        <v>5731</v>
      </c>
      <c r="M755" t="s">
        <v>7252</v>
      </c>
    </row>
    <row r="756" spans="6:13" x14ac:dyDescent="0.25">
      <c r="F756" t="s">
        <v>440</v>
      </c>
      <c r="G756" t="s">
        <v>1169</v>
      </c>
      <c r="I756" t="s">
        <v>1779</v>
      </c>
      <c r="J756" t="s">
        <v>4063</v>
      </c>
      <c r="L756" t="s">
        <v>5436</v>
      </c>
      <c r="M756" t="s">
        <v>6207</v>
      </c>
    </row>
    <row r="757" spans="6:13" x14ac:dyDescent="0.25">
      <c r="F757" t="s">
        <v>597</v>
      </c>
      <c r="G757" t="s">
        <v>1267</v>
      </c>
      <c r="I757" t="s">
        <v>1850</v>
      </c>
      <c r="J757" t="s">
        <v>1851</v>
      </c>
      <c r="L757" t="s">
        <v>483</v>
      </c>
      <c r="M757" t="s">
        <v>6365</v>
      </c>
    </row>
    <row r="758" spans="6:13" x14ac:dyDescent="0.25">
      <c r="F758" t="s">
        <v>41</v>
      </c>
      <c r="G758" t="s">
        <v>953</v>
      </c>
      <c r="I758" t="s">
        <v>425</v>
      </c>
      <c r="J758" t="s">
        <v>6952</v>
      </c>
      <c r="L758" t="s">
        <v>130</v>
      </c>
      <c r="M758" t="s">
        <v>4542</v>
      </c>
    </row>
    <row r="759" spans="6:13" x14ac:dyDescent="0.25">
      <c r="F759" t="s">
        <v>302</v>
      </c>
      <c r="G759" t="s">
        <v>1567</v>
      </c>
      <c r="I759" t="s">
        <v>1719</v>
      </c>
      <c r="J759" t="s">
        <v>6811</v>
      </c>
      <c r="L759" t="s">
        <v>425</v>
      </c>
      <c r="M759" t="s">
        <v>7224</v>
      </c>
    </row>
    <row r="760" spans="6:13" x14ac:dyDescent="0.25">
      <c r="F760" t="s">
        <v>270</v>
      </c>
      <c r="G760" t="s">
        <v>1434</v>
      </c>
      <c r="I760" t="s">
        <v>412</v>
      </c>
      <c r="J760" t="s">
        <v>6851</v>
      </c>
      <c r="L760" t="s">
        <v>412</v>
      </c>
      <c r="M760" t="s">
        <v>7242</v>
      </c>
    </row>
    <row r="761" spans="6:13" x14ac:dyDescent="0.25">
      <c r="F761" t="s">
        <v>822</v>
      </c>
      <c r="G761" t="s">
        <v>1591</v>
      </c>
      <c r="I761" t="s">
        <v>1676</v>
      </c>
      <c r="J761" t="s">
        <v>1677</v>
      </c>
      <c r="L761" t="s">
        <v>41</v>
      </c>
      <c r="M761" t="s">
        <v>6000</v>
      </c>
    </row>
    <row r="762" spans="6:13" x14ac:dyDescent="0.25">
      <c r="F762" t="s">
        <v>508</v>
      </c>
      <c r="G762" t="s">
        <v>1373</v>
      </c>
      <c r="I762" t="s">
        <v>3588</v>
      </c>
      <c r="J762" t="s">
        <v>6933</v>
      </c>
      <c r="L762" t="s">
        <v>267</v>
      </c>
      <c r="M762" t="s">
        <v>5742</v>
      </c>
    </row>
    <row r="763" spans="6:13" x14ac:dyDescent="0.25">
      <c r="F763" t="s">
        <v>600</v>
      </c>
      <c r="G763" t="s">
        <v>964</v>
      </c>
      <c r="I763" t="s">
        <v>1898</v>
      </c>
      <c r="J763" t="s">
        <v>1899</v>
      </c>
      <c r="L763" t="s">
        <v>3288</v>
      </c>
      <c r="M763" t="s">
        <v>6192</v>
      </c>
    </row>
    <row r="764" spans="6:13" x14ac:dyDescent="0.25">
      <c r="F764" t="s">
        <v>600</v>
      </c>
      <c r="G764" t="s">
        <v>1138</v>
      </c>
      <c r="I764" t="s">
        <v>600</v>
      </c>
      <c r="J764" t="s">
        <v>2394</v>
      </c>
      <c r="L764" t="s">
        <v>483</v>
      </c>
      <c r="M764" t="s">
        <v>5672</v>
      </c>
    </row>
    <row r="765" spans="6:13" x14ac:dyDescent="0.25">
      <c r="F765" t="s">
        <v>422</v>
      </c>
      <c r="G765" t="s">
        <v>1220</v>
      </c>
      <c r="I765" t="s">
        <v>425</v>
      </c>
      <c r="J765" t="s">
        <v>4314</v>
      </c>
      <c r="L765" t="s">
        <v>65</v>
      </c>
      <c r="M765" t="s">
        <v>4880</v>
      </c>
    </row>
    <row r="766" spans="6:13" x14ac:dyDescent="0.25">
      <c r="F766" t="s">
        <v>41</v>
      </c>
      <c r="G766" t="s">
        <v>1507</v>
      </c>
      <c r="I766" t="s">
        <v>49</v>
      </c>
      <c r="J766" t="s">
        <v>3907</v>
      </c>
      <c r="L766" t="s">
        <v>321</v>
      </c>
      <c r="M766" t="s">
        <v>4959</v>
      </c>
    </row>
    <row r="767" spans="6:13" x14ac:dyDescent="0.25">
      <c r="F767" t="s">
        <v>302</v>
      </c>
      <c r="G767" t="s">
        <v>1493</v>
      </c>
      <c r="I767" t="s">
        <v>6733</v>
      </c>
      <c r="J767" t="s">
        <v>3320</v>
      </c>
      <c r="L767" t="s">
        <v>483</v>
      </c>
      <c r="M767" t="s">
        <v>4748</v>
      </c>
    </row>
    <row r="768" spans="6:13" x14ac:dyDescent="0.25">
      <c r="F768" t="s">
        <v>41</v>
      </c>
      <c r="G768" t="s">
        <v>1124</v>
      </c>
      <c r="I768" t="s">
        <v>428</v>
      </c>
      <c r="J768" t="s">
        <v>3828</v>
      </c>
      <c r="L768" t="s">
        <v>483</v>
      </c>
      <c r="M768" t="s">
        <v>6620</v>
      </c>
    </row>
    <row r="769" spans="6:13" x14ac:dyDescent="0.25">
      <c r="F769" t="s">
        <v>440</v>
      </c>
      <c r="G769" t="s">
        <v>1501</v>
      </c>
      <c r="I769" t="s">
        <v>6715</v>
      </c>
      <c r="J769" t="s">
        <v>1721</v>
      </c>
      <c r="L769" t="s">
        <v>130</v>
      </c>
      <c r="M769" t="s">
        <v>6639</v>
      </c>
    </row>
    <row r="770" spans="6:13" x14ac:dyDescent="0.25">
      <c r="F770" t="s">
        <v>302</v>
      </c>
      <c r="G770" t="s">
        <v>1213</v>
      </c>
      <c r="I770" t="s">
        <v>6735</v>
      </c>
      <c r="J770" t="s">
        <v>1721</v>
      </c>
      <c r="L770" t="s">
        <v>412</v>
      </c>
      <c r="M770" t="s">
        <v>7189</v>
      </c>
    </row>
    <row r="771" spans="6:13" x14ac:dyDescent="0.25">
      <c r="F771" t="s">
        <v>753</v>
      </c>
      <c r="G771" t="s">
        <v>1246</v>
      </c>
      <c r="I771" t="s">
        <v>99</v>
      </c>
      <c r="J771" t="s">
        <v>3912</v>
      </c>
      <c r="L771" t="s">
        <v>129</v>
      </c>
      <c r="M771" t="s">
        <v>5676</v>
      </c>
    </row>
    <row r="772" spans="6:13" x14ac:dyDescent="0.25">
      <c r="F772" t="s">
        <v>41</v>
      </c>
      <c r="G772" t="s">
        <v>1341</v>
      </c>
      <c r="I772" t="s">
        <v>43</v>
      </c>
      <c r="J772" t="s">
        <v>4434</v>
      </c>
      <c r="L772" t="s">
        <v>5073</v>
      </c>
      <c r="M772" t="s">
        <v>5074</v>
      </c>
    </row>
    <row r="773" spans="6:13" x14ac:dyDescent="0.25">
      <c r="F773" t="s">
        <v>302</v>
      </c>
      <c r="G773" t="s">
        <v>1207</v>
      </c>
      <c r="I773" t="s">
        <v>308</v>
      </c>
      <c r="J773" t="s">
        <v>4150</v>
      </c>
      <c r="L773" t="s">
        <v>302</v>
      </c>
      <c r="M773" t="s">
        <v>6503</v>
      </c>
    </row>
    <row r="774" spans="6:13" x14ac:dyDescent="0.25">
      <c r="F774" t="s">
        <v>766</v>
      </c>
      <c r="G774" t="s">
        <v>1322</v>
      </c>
      <c r="I774" t="s">
        <v>1719</v>
      </c>
      <c r="J774" t="s">
        <v>6995</v>
      </c>
      <c r="L774" t="s">
        <v>5731</v>
      </c>
      <c r="M774" t="s">
        <v>7145</v>
      </c>
    </row>
    <row r="775" spans="6:13" x14ac:dyDescent="0.25">
      <c r="F775" t="s">
        <v>102</v>
      </c>
      <c r="G775" t="s">
        <v>956</v>
      </c>
      <c r="I775" t="s">
        <v>328</v>
      </c>
      <c r="J775" t="s">
        <v>4401</v>
      </c>
      <c r="L775" t="s">
        <v>673</v>
      </c>
      <c r="M775" t="s">
        <v>5849</v>
      </c>
    </row>
    <row r="776" spans="6:13" x14ac:dyDescent="0.25">
      <c r="F776" t="s">
        <v>41</v>
      </c>
      <c r="G776" t="s">
        <v>1045</v>
      </c>
      <c r="I776" t="s">
        <v>1779</v>
      </c>
      <c r="J776" t="s">
        <v>2889</v>
      </c>
      <c r="L776" t="s">
        <v>5031</v>
      </c>
      <c r="M776" t="s">
        <v>5032</v>
      </c>
    </row>
    <row r="777" spans="6:13" x14ac:dyDescent="0.25">
      <c r="F777" t="s">
        <v>803</v>
      </c>
      <c r="G777" t="s">
        <v>1482</v>
      </c>
      <c r="I777" t="s">
        <v>267</v>
      </c>
      <c r="J777" t="s">
        <v>4372</v>
      </c>
      <c r="L777" t="s">
        <v>330</v>
      </c>
      <c r="M777" t="s">
        <v>5553</v>
      </c>
    </row>
    <row r="778" spans="6:13" x14ac:dyDescent="0.25">
      <c r="F778" t="s">
        <v>102</v>
      </c>
      <c r="G778" t="s">
        <v>1010</v>
      </c>
      <c r="I778" t="s">
        <v>266</v>
      </c>
      <c r="J778" t="s">
        <v>4218</v>
      </c>
      <c r="L778" t="s">
        <v>324</v>
      </c>
      <c r="M778" t="s">
        <v>4774</v>
      </c>
    </row>
    <row r="779" spans="6:13" x14ac:dyDescent="0.25">
      <c r="F779" t="s">
        <v>676</v>
      </c>
      <c r="G779" t="s">
        <v>903</v>
      </c>
      <c r="I779" t="s">
        <v>19</v>
      </c>
      <c r="J779" t="s">
        <v>2573</v>
      </c>
      <c r="L779" t="s">
        <v>3857</v>
      </c>
      <c r="M779" t="s">
        <v>6018</v>
      </c>
    </row>
    <row r="780" spans="6:13" x14ac:dyDescent="0.25">
      <c r="F780" t="s">
        <v>726</v>
      </c>
      <c r="G780" t="s">
        <v>1117</v>
      </c>
      <c r="I780" t="s">
        <v>412</v>
      </c>
      <c r="J780" t="s">
        <v>6878</v>
      </c>
      <c r="L780" t="s">
        <v>4942</v>
      </c>
      <c r="M780" t="s">
        <v>4943</v>
      </c>
    </row>
    <row r="781" spans="6:13" x14ac:dyDescent="0.25">
      <c r="F781" t="s">
        <v>776</v>
      </c>
      <c r="G781" t="s">
        <v>1393</v>
      </c>
      <c r="I781" t="s">
        <v>267</v>
      </c>
      <c r="J781" t="s">
        <v>4034</v>
      </c>
      <c r="L781" t="s">
        <v>418</v>
      </c>
      <c r="M781" t="s">
        <v>7068</v>
      </c>
    </row>
    <row r="782" spans="6:13" x14ac:dyDescent="0.25">
      <c r="F782" t="s">
        <v>581</v>
      </c>
      <c r="G782" t="s">
        <v>1646</v>
      </c>
      <c r="I782" t="s">
        <v>581</v>
      </c>
      <c r="J782" t="s">
        <v>2762</v>
      </c>
      <c r="L782" t="s">
        <v>5157</v>
      </c>
      <c r="M782" t="s">
        <v>5158</v>
      </c>
    </row>
    <row r="783" spans="6:13" x14ac:dyDescent="0.25">
      <c r="F783" t="s">
        <v>102</v>
      </c>
      <c r="G783" t="s">
        <v>1040</v>
      </c>
      <c r="I783" t="s">
        <v>414</v>
      </c>
      <c r="J783" t="s">
        <v>3498</v>
      </c>
      <c r="L783" t="s">
        <v>267</v>
      </c>
      <c r="M783" t="s">
        <v>5231</v>
      </c>
    </row>
    <row r="784" spans="6:13" x14ac:dyDescent="0.25">
      <c r="F784" t="s">
        <v>425</v>
      </c>
      <c r="G784" t="s">
        <v>1084</v>
      </c>
      <c r="I784" t="s">
        <v>50</v>
      </c>
      <c r="J784" t="s">
        <v>3874</v>
      </c>
      <c r="L784" t="s">
        <v>483</v>
      </c>
      <c r="M784" t="s">
        <v>6234</v>
      </c>
    </row>
    <row r="785" spans="6:13" x14ac:dyDescent="0.25">
      <c r="F785" t="s">
        <v>270</v>
      </c>
      <c r="G785" t="s">
        <v>1172</v>
      </c>
      <c r="I785" t="s">
        <v>102</v>
      </c>
      <c r="J785" t="s">
        <v>2420</v>
      </c>
      <c r="L785" t="s">
        <v>483</v>
      </c>
      <c r="M785" t="s">
        <v>6135</v>
      </c>
    </row>
    <row r="786" spans="6:13" x14ac:dyDescent="0.25">
      <c r="F786" t="s">
        <v>738</v>
      </c>
      <c r="G786" t="s">
        <v>1173</v>
      </c>
      <c r="I786" t="s">
        <v>422</v>
      </c>
      <c r="J786" t="s">
        <v>1688</v>
      </c>
      <c r="L786" t="s">
        <v>3857</v>
      </c>
      <c r="M786" t="s">
        <v>6119</v>
      </c>
    </row>
    <row r="787" spans="6:13" x14ac:dyDescent="0.25">
      <c r="F787" t="s">
        <v>704</v>
      </c>
      <c r="G787" t="s">
        <v>1295</v>
      </c>
      <c r="I787" t="s">
        <v>6733</v>
      </c>
      <c r="J787" t="s">
        <v>2089</v>
      </c>
      <c r="L787" t="s">
        <v>440</v>
      </c>
      <c r="M787" t="s">
        <v>7255</v>
      </c>
    </row>
    <row r="788" spans="6:13" x14ac:dyDescent="0.25">
      <c r="F788" t="s">
        <v>704</v>
      </c>
      <c r="G788" t="s">
        <v>1270</v>
      </c>
      <c r="I788" t="s">
        <v>4447</v>
      </c>
      <c r="J788" t="s">
        <v>6996</v>
      </c>
      <c r="L788" t="s">
        <v>412</v>
      </c>
      <c r="M788" t="s">
        <v>6181</v>
      </c>
    </row>
    <row r="789" spans="6:13" x14ac:dyDescent="0.25">
      <c r="F789" t="s">
        <v>729</v>
      </c>
      <c r="G789" t="s">
        <v>1355</v>
      </c>
      <c r="I789" t="s">
        <v>3089</v>
      </c>
      <c r="J789" t="s">
        <v>6898</v>
      </c>
      <c r="L789" t="s">
        <v>6155</v>
      </c>
      <c r="M789" t="s">
        <v>7203</v>
      </c>
    </row>
    <row r="790" spans="6:13" x14ac:dyDescent="0.25">
      <c r="F790" t="s">
        <v>597</v>
      </c>
      <c r="G790" t="s">
        <v>1134</v>
      </c>
      <c r="I790" t="s">
        <v>2452</v>
      </c>
      <c r="J790" t="s">
        <v>3885</v>
      </c>
      <c r="L790" t="s">
        <v>5384</v>
      </c>
      <c r="M790" t="s">
        <v>5385</v>
      </c>
    </row>
    <row r="791" spans="6:13" x14ac:dyDescent="0.25">
      <c r="F791" t="s">
        <v>782</v>
      </c>
      <c r="G791" t="s">
        <v>1384</v>
      </c>
      <c r="I791" t="s">
        <v>328</v>
      </c>
      <c r="J791" t="s">
        <v>4387</v>
      </c>
      <c r="L791" t="s">
        <v>330</v>
      </c>
      <c r="M791" t="s">
        <v>5525</v>
      </c>
    </row>
    <row r="792" spans="6:13" x14ac:dyDescent="0.25">
      <c r="F792" t="s">
        <v>704</v>
      </c>
      <c r="G792" t="s">
        <v>1036</v>
      </c>
      <c r="I792" t="s">
        <v>267</v>
      </c>
      <c r="J792" t="s">
        <v>2749</v>
      </c>
      <c r="L792" t="s">
        <v>6014</v>
      </c>
      <c r="M792" t="s">
        <v>6015</v>
      </c>
    </row>
    <row r="793" spans="6:13" x14ac:dyDescent="0.25">
      <c r="F793" t="s">
        <v>508</v>
      </c>
      <c r="G793" t="s">
        <v>919</v>
      </c>
      <c r="I793" t="s">
        <v>6733</v>
      </c>
      <c r="J793" t="s">
        <v>4006</v>
      </c>
      <c r="L793" t="s">
        <v>418</v>
      </c>
      <c r="M793" t="s">
        <v>7150</v>
      </c>
    </row>
    <row r="794" spans="6:13" x14ac:dyDescent="0.25">
      <c r="F794" t="s">
        <v>749</v>
      </c>
      <c r="G794" t="s">
        <v>1222</v>
      </c>
      <c r="I794" t="s">
        <v>2110</v>
      </c>
      <c r="J794" t="s">
        <v>3355</v>
      </c>
      <c r="L794" t="s">
        <v>5053</v>
      </c>
      <c r="M794" t="s">
        <v>5054</v>
      </c>
    </row>
    <row r="795" spans="6:13" x14ac:dyDescent="0.25">
      <c r="F795" t="s">
        <v>41</v>
      </c>
      <c r="G795" t="s">
        <v>6659</v>
      </c>
      <c r="I795" t="s">
        <v>6832</v>
      </c>
      <c r="J795" t="s">
        <v>3717</v>
      </c>
      <c r="L795" t="s">
        <v>302</v>
      </c>
      <c r="M795" t="s">
        <v>4578</v>
      </c>
    </row>
    <row r="796" spans="6:13" x14ac:dyDescent="0.25">
      <c r="F796" t="s">
        <v>102</v>
      </c>
      <c r="G796" t="s">
        <v>1144</v>
      </c>
      <c r="I796" t="s">
        <v>270</v>
      </c>
      <c r="J796" t="s">
        <v>3740</v>
      </c>
      <c r="L796" t="s">
        <v>708</v>
      </c>
      <c r="M796" t="s">
        <v>7017</v>
      </c>
    </row>
    <row r="797" spans="6:13" x14ac:dyDescent="0.25">
      <c r="F797" t="s">
        <v>40</v>
      </c>
      <c r="G797" t="s">
        <v>1281</v>
      </c>
      <c r="I797" t="s">
        <v>266</v>
      </c>
      <c r="J797" t="s">
        <v>3834</v>
      </c>
      <c r="L797" t="s">
        <v>4725</v>
      </c>
      <c r="M797" t="s">
        <v>4726</v>
      </c>
    </row>
    <row r="798" spans="6:13" x14ac:dyDescent="0.25">
      <c r="F798" t="s">
        <v>704</v>
      </c>
      <c r="G798" t="s">
        <v>1017</v>
      </c>
      <c r="I798" t="s">
        <v>2365</v>
      </c>
      <c r="J798" t="s">
        <v>2366</v>
      </c>
      <c r="L798" t="s">
        <v>315</v>
      </c>
      <c r="M798" t="s">
        <v>5109</v>
      </c>
    </row>
    <row r="799" spans="6:13" x14ac:dyDescent="0.25">
      <c r="F799" t="s">
        <v>41</v>
      </c>
      <c r="G799" t="s">
        <v>1012</v>
      </c>
      <c r="I799" t="s">
        <v>3789</v>
      </c>
      <c r="J799" t="s">
        <v>3790</v>
      </c>
      <c r="L799" t="s">
        <v>5837</v>
      </c>
      <c r="M799" t="s">
        <v>5838</v>
      </c>
    </row>
    <row r="800" spans="6:13" x14ac:dyDescent="0.25">
      <c r="F800" t="s">
        <v>704</v>
      </c>
      <c r="G800" t="s">
        <v>1028</v>
      </c>
      <c r="I800" t="s">
        <v>1657</v>
      </c>
      <c r="J800" t="s">
        <v>2208</v>
      </c>
      <c r="L800" t="s">
        <v>5969</v>
      </c>
      <c r="M800" t="s">
        <v>5970</v>
      </c>
    </row>
    <row r="801" spans="6:13" x14ac:dyDescent="0.25">
      <c r="F801" t="s">
        <v>425</v>
      </c>
      <c r="G801" t="s">
        <v>1376</v>
      </c>
      <c r="I801" t="s">
        <v>1880</v>
      </c>
      <c r="J801" t="s">
        <v>4325</v>
      </c>
      <c r="L801" t="s">
        <v>302</v>
      </c>
      <c r="M801" t="s">
        <v>6065</v>
      </c>
    </row>
    <row r="802" spans="6:13" x14ac:dyDescent="0.25">
      <c r="F802" t="s">
        <v>798</v>
      </c>
      <c r="G802" t="s">
        <v>1451</v>
      </c>
      <c r="I802" t="s">
        <v>6830</v>
      </c>
      <c r="J802" t="s">
        <v>3775</v>
      </c>
      <c r="L802" t="s">
        <v>330</v>
      </c>
      <c r="M802" t="s">
        <v>5819</v>
      </c>
    </row>
    <row r="803" spans="6:13" x14ac:dyDescent="0.25">
      <c r="F803" t="s">
        <v>41</v>
      </c>
      <c r="G803" t="s">
        <v>1606</v>
      </c>
      <c r="I803" t="s">
        <v>425</v>
      </c>
      <c r="J803" t="s">
        <v>2685</v>
      </c>
      <c r="L803" t="s">
        <v>330</v>
      </c>
      <c r="M803" t="s">
        <v>5767</v>
      </c>
    </row>
    <row r="804" spans="6:13" x14ac:dyDescent="0.25">
      <c r="F804" t="s">
        <v>41</v>
      </c>
      <c r="G804" t="s">
        <v>1194</v>
      </c>
      <c r="I804" t="s">
        <v>6813</v>
      </c>
      <c r="J804" t="s">
        <v>4309</v>
      </c>
      <c r="L804" t="s">
        <v>299</v>
      </c>
      <c r="M804" t="s">
        <v>6157</v>
      </c>
    </row>
    <row r="805" spans="6:13" x14ac:dyDescent="0.25">
      <c r="F805" t="s">
        <v>425</v>
      </c>
      <c r="G805" t="s">
        <v>1254</v>
      </c>
      <c r="I805" t="s">
        <v>377</v>
      </c>
      <c r="J805" t="s">
        <v>3405</v>
      </c>
      <c r="L805" t="s">
        <v>4574</v>
      </c>
      <c r="M805" t="s">
        <v>6480</v>
      </c>
    </row>
    <row r="806" spans="6:13" x14ac:dyDescent="0.25">
      <c r="F806" t="s">
        <v>41</v>
      </c>
      <c r="G806" t="s">
        <v>902</v>
      </c>
      <c r="I806" t="s">
        <v>1779</v>
      </c>
      <c r="J806" t="s">
        <v>2044</v>
      </c>
      <c r="L806" t="s">
        <v>267</v>
      </c>
      <c r="M806" t="s">
        <v>5281</v>
      </c>
    </row>
    <row r="807" spans="6:13" x14ac:dyDescent="0.25">
      <c r="F807" t="s">
        <v>302</v>
      </c>
      <c r="G807" t="s">
        <v>1399</v>
      </c>
      <c r="I807" t="s">
        <v>566</v>
      </c>
      <c r="J807" t="s">
        <v>2581</v>
      </c>
      <c r="L807" t="s">
        <v>483</v>
      </c>
      <c r="M807" t="s">
        <v>5822</v>
      </c>
    </row>
    <row r="808" spans="6:13" x14ac:dyDescent="0.25">
      <c r="F808" t="s">
        <v>600</v>
      </c>
      <c r="G808" t="s">
        <v>1190</v>
      </c>
      <c r="I808" t="s">
        <v>99</v>
      </c>
      <c r="J808" t="s">
        <v>2508</v>
      </c>
      <c r="L808" t="s">
        <v>5010</v>
      </c>
      <c r="M808" t="s">
        <v>5026</v>
      </c>
    </row>
    <row r="809" spans="6:13" x14ac:dyDescent="0.25">
      <c r="F809" t="s">
        <v>41</v>
      </c>
      <c r="G809" t="s">
        <v>1021</v>
      </c>
      <c r="I809" t="s">
        <v>308</v>
      </c>
      <c r="J809" t="s">
        <v>2788</v>
      </c>
      <c r="L809" t="s">
        <v>302</v>
      </c>
      <c r="M809" t="s">
        <v>4553</v>
      </c>
    </row>
    <row r="810" spans="6:13" x14ac:dyDescent="0.25">
      <c r="F810" t="s">
        <v>818</v>
      </c>
      <c r="G810" t="s">
        <v>1561</v>
      </c>
      <c r="I810" t="s">
        <v>1777</v>
      </c>
      <c r="J810" t="s">
        <v>2808</v>
      </c>
      <c r="L810" t="s">
        <v>5820</v>
      </c>
      <c r="M810" t="s">
        <v>5821</v>
      </c>
    </row>
    <row r="811" spans="6:13" x14ac:dyDescent="0.25">
      <c r="F811" t="s">
        <v>41</v>
      </c>
      <c r="G811" t="s">
        <v>1215</v>
      </c>
      <c r="I811" t="s">
        <v>414</v>
      </c>
      <c r="J811" t="s">
        <v>3779</v>
      </c>
      <c r="L811" t="s">
        <v>5262</v>
      </c>
      <c r="M811" t="s">
        <v>5263</v>
      </c>
    </row>
    <row r="812" spans="6:13" x14ac:dyDescent="0.25">
      <c r="F812" t="s">
        <v>102</v>
      </c>
      <c r="G812" t="s">
        <v>1433</v>
      </c>
      <c r="I812" t="s">
        <v>2159</v>
      </c>
      <c r="J812" t="s">
        <v>4211</v>
      </c>
      <c r="L812" t="s">
        <v>418</v>
      </c>
      <c r="M812" t="s">
        <v>5957</v>
      </c>
    </row>
    <row r="813" spans="6:13" x14ac:dyDescent="0.25">
      <c r="F813" t="s">
        <v>653</v>
      </c>
      <c r="G813" t="s">
        <v>1411</v>
      </c>
      <c r="I813" t="s">
        <v>425</v>
      </c>
      <c r="J813" t="s">
        <v>3535</v>
      </c>
      <c r="L813" t="s">
        <v>129</v>
      </c>
      <c r="M813" t="s">
        <v>4694</v>
      </c>
    </row>
    <row r="814" spans="6:13" x14ac:dyDescent="0.25">
      <c r="F814" t="s">
        <v>41</v>
      </c>
      <c r="G814" t="s">
        <v>1382</v>
      </c>
      <c r="I814" t="s">
        <v>308</v>
      </c>
      <c r="J814" t="s">
        <v>6918</v>
      </c>
      <c r="L814" t="s">
        <v>412</v>
      </c>
      <c r="M814" t="s">
        <v>5577</v>
      </c>
    </row>
    <row r="815" spans="6:13" x14ac:dyDescent="0.25">
      <c r="F815" t="s">
        <v>102</v>
      </c>
      <c r="G815" t="s">
        <v>1202</v>
      </c>
      <c r="I815" t="s">
        <v>1875</v>
      </c>
      <c r="J815" t="s">
        <v>1876</v>
      </c>
      <c r="L815" t="s">
        <v>483</v>
      </c>
      <c r="M815" t="s">
        <v>4600</v>
      </c>
    </row>
    <row r="816" spans="6:13" x14ac:dyDescent="0.25">
      <c r="F816" t="s">
        <v>302</v>
      </c>
      <c r="G816" t="s">
        <v>6658</v>
      </c>
      <c r="I816" t="s">
        <v>675</v>
      </c>
      <c r="J816" t="s">
        <v>4408</v>
      </c>
      <c r="L816" t="s">
        <v>6220</v>
      </c>
      <c r="M816" t="s">
        <v>6221</v>
      </c>
    </row>
    <row r="817" spans="6:13" x14ac:dyDescent="0.25">
      <c r="F817" t="s">
        <v>742</v>
      </c>
      <c r="G817" t="s">
        <v>1195</v>
      </c>
      <c r="I817" t="s">
        <v>2159</v>
      </c>
      <c r="J817" t="s">
        <v>2167</v>
      </c>
      <c r="L817" t="s">
        <v>418</v>
      </c>
      <c r="M817" t="s">
        <v>7186</v>
      </c>
    </row>
    <row r="818" spans="6:13" x14ac:dyDescent="0.25">
      <c r="F818" t="s">
        <v>41</v>
      </c>
      <c r="G818" t="s">
        <v>1180</v>
      </c>
      <c r="I818" t="s">
        <v>412</v>
      </c>
      <c r="J818" t="s">
        <v>6973</v>
      </c>
      <c r="L818" t="s">
        <v>41</v>
      </c>
      <c r="M818" t="s">
        <v>5235</v>
      </c>
    </row>
    <row r="819" spans="6:13" x14ac:dyDescent="0.25">
      <c r="F819" t="s">
        <v>102</v>
      </c>
      <c r="G819" t="s">
        <v>1385</v>
      </c>
      <c r="I819" t="s">
        <v>1799</v>
      </c>
      <c r="J819" t="s">
        <v>2277</v>
      </c>
      <c r="L819" t="s">
        <v>418</v>
      </c>
      <c r="M819" t="s">
        <v>6225</v>
      </c>
    </row>
    <row r="820" spans="6:13" x14ac:dyDescent="0.25">
      <c r="F820" t="s">
        <v>41</v>
      </c>
      <c r="G820" t="s">
        <v>996</v>
      </c>
      <c r="I820" t="s">
        <v>2455</v>
      </c>
      <c r="J820" t="s">
        <v>2456</v>
      </c>
      <c r="L820" t="s">
        <v>5007</v>
      </c>
      <c r="M820" t="s">
        <v>5391</v>
      </c>
    </row>
    <row r="821" spans="6:13" x14ac:dyDescent="0.25">
      <c r="F821" t="s">
        <v>732</v>
      </c>
      <c r="G821" t="s">
        <v>1549</v>
      </c>
      <c r="I821" t="s">
        <v>413</v>
      </c>
      <c r="J821" t="s">
        <v>4007</v>
      </c>
      <c r="L821" t="s">
        <v>418</v>
      </c>
      <c r="M821" t="s">
        <v>7217</v>
      </c>
    </row>
    <row r="822" spans="6:13" x14ac:dyDescent="0.25">
      <c r="F822" t="s">
        <v>732</v>
      </c>
      <c r="G822" t="s">
        <v>1609</v>
      </c>
      <c r="I822" t="s">
        <v>97</v>
      </c>
      <c r="J822" t="s">
        <v>3463</v>
      </c>
      <c r="L822" t="s">
        <v>299</v>
      </c>
      <c r="M822" t="s">
        <v>5839</v>
      </c>
    </row>
    <row r="823" spans="6:13" x14ac:dyDescent="0.25">
      <c r="F823" t="s">
        <v>302</v>
      </c>
      <c r="G823" t="s">
        <v>1400</v>
      </c>
      <c r="I823" t="s">
        <v>1852</v>
      </c>
      <c r="J823" t="s">
        <v>3321</v>
      </c>
      <c r="L823" t="s">
        <v>483</v>
      </c>
      <c r="M823" t="s">
        <v>4783</v>
      </c>
    </row>
    <row r="824" spans="6:13" x14ac:dyDescent="0.25">
      <c r="F824" t="s">
        <v>732</v>
      </c>
      <c r="G824" t="s">
        <v>1140</v>
      </c>
      <c r="I824" t="s">
        <v>43</v>
      </c>
      <c r="J824" t="s">
        <v>4416</v>
      </c>
      <c r="L824" t="s">
        <v>418</v>
      </c>
      <c r="M824" t="s">
        <v>5415</v>
      </c>
    </row>
    <row r="825" spans="6:13" x14ac:dyDescent="0.25">
      <c r="F825" t="s">
        <v>650</v>
      </c>
      <c r="G825" t="s">
        <v>1457</v>
      </c>
      <c r="I825" t="s">
        <v>6813</v>
      </c>
      <c r="J825" t="s">
        <v>4512</v>
      </c>
      <c r="L825" t="s">
        <v>4723</v>
      </c>
      <c r="M825" t="s">
        <v>4724</v>
      </c>
    </row>
    <row r="826" spans="6:13" x14ac:dyDescent="0.25">
      <c r="F826" t="s">
        <v>788</v>
      </c>
      <c r="G826" t="s">
        <v>1409</v>
      </c>
      <c r="I826" t="s">
        <v>1880</v>
      </c>
      <c r="J826" t="s">
        <v>1881</v>
      </c>
      <c r="L826" t="s">
        <v>5322</v>
      </c>
      <c r="M826" t="s">
        <v>5862</v>
      </c>
    </row>
    <row r="827" spans="6:13" x14ac:dyDescent="0.25">
      <c r="F827" t="s">
        <v>790</v>
      </c>
      <c r="G827" t="s">
        <v>1412</v>
      </c>
      <c r="I827" t="s">
        <v>55</v>
      </c>
      <c r="J827" t="s">
        <v>2239</v>
      </c>
      <c r="L827" t="s">
        <v>6440</v>
      </c>
      <c r="M827" t="s">
        <v>6441</v>
      </c>
    </row>
    <row r="828" spans="6:13" x14ac:dyDescent="0.25">
      <c r="F828" t="s">
        <v>50</v>
      </c>
      <c r="G828" t="s">
        <v>1085</v>
      </c>
      <c r="I828" t="s">
        <v>4228</v>
      </c>
      <c r="J828" t="s">
        <v>4229</v>
      </c>
      <c r="L828" t="s">
        <v>422</v>
      </c>
      <c r="M828" t="s">
        <v>5764</v>
      </c>
    </row>
    <row r="829" spans="6:13" x14ac:dyDescent="0.25">
      <c r="F829" t="s">
        <v>732</v>
      </c>
      <c r="G829" t="s">
        <v>1580</v>
      </c>
      <c r="I829" t="s">
        <v>4368</v>
      </c>
      <c r="J829" t="s">
        <v>6990</v>
      </c>
      <c r="L829" t="s">
        <v>5399</v>
      </c>
      <c r="M829" t="s">
        <v>5400</v>
      </c>
    </row>
    <row r="830" spans="6:13" x14ac:dyDescent="0.25">
      <c r="F830" t="s">
        <v>774</v>
      </c>
      <c r="G830" t="s">
        <v>1349</v>
      </c>
      <c r="I830" t="s">
        <v>97</v>
      </c>
      <c r="J830" t="s">
        <v>2893</v>
      </c>
      <c r="L830" t="s">
        <v>43</v>
      </c>
      <c r="M830" t="s">
        <v>5357</v>
      </c>
    </row>
    <row r="831" spans="6:13" x14ac:dyDescent="0.25">
      <c r="F831" t="s">
        <v>324</v>
      </c>
      <c r="G831" t="s">
        <v>874</v>
      </c>
      <c r="I831" t="s">
        <v>6813</v>
      </c>
      <c r="J831" t="s">
        <v>4215</v>
      </c>
      <c r="L831" t="s">
        <v>267</v>
      </c>
      <c r="M831" t="s">
        <v>5298</v>
      </c>
    </row>
    <row r="832" spans="6:13" x14ac:dyDescent="0.25">
      <c r="F832" t="s">
        <v>759</v>
      </c>
      <c r="G832" t="s">
        <v>1289</v>
      </c>
      <c r="I832" t="s">
        <v>4163</v>
      </c>
      <c r="J832" t="s">
        <v>4164</v>
      </c>
      <c r="L832" t="s">
        <v>302</v>
      </c>
      <c r="M832" t="s">
        <v>5572</v>
      </c>
    </row>
    <row r="833" spans="6:13" x14ac:dyDescent="0.25">
      <c r="F833" t="s">
        <v>420</v>
      </c>
      <c r="G833" t="s">
        <v>1209</v>
      </c>
      <c r="I833" t="s">
        <v>2847</v>
      </c>
      <c r="J833" t="s">
        <v>2848</v>
      </c>
      <c r="L833" t="s">
        <v>597</v>
      </c>
      <c r="M833" t="s">
        <v>6524</v>
      </c>
    </row>
    <row r="834" spans="6:13" x14ac:dyDescent="0.25">
      <c r="F834" t="s">
        <v>789</v>
      </c>
      <c r="G834" t="s">
        <v>1410</v>
      </c>
      <c r="I834" t="s">
        <v>2678</v>
      </c>
      <c r="J834" t="s">
        <v>2679</v>
      </c>
      <c r="L834" t="s">
        <v>267</v>
      </c>
      <c r="M834" t="s">
        <v>4978</v>
      </c>
    </row>
    <row r="835" spans="6:13" x14ac:dyDescent="0.25">
      <c r="F835" t="s">
        <v>508</v>
      </c>
      <c r="G835" t="s">
        <v>1000</v>
      </c>
      <c r="I835" t="s">
        <v>581</v>
      </c>
      <c r="J835" t="s">
        <v>2237</v>
      </c>
      <c r="L835" t="s">
        <v>51</v>
      </c>
      <c r="M835" t="s">
        <v>5679</v>
      </c>
    </row>
    <row r="836" spans="6:13" x14ac:dyDescent="0.25">
      <c r="F836" t="s">
        <v>589</v>
      </c>
      <c r="G836" t="s">
        <v>1001</v>
      </c>
      <c r="I836" t="s">
        <v>333</v>
      </c>
      <c r="J836" t="s">
        <v>4316</v>
      </c>
      <c r="L836" t="s">
        <v>420</v>
      </c>
      <c r="M836" t="s">
        <v>5117</v>
      </c>
    </row>
    <row r="837" spans="6:13" x14ac:dyDescent="0.25">
      <c r="F837" t="s">
        <v>597</v>
      </c>
      <c r="G837" t="s">
        <v>859</v>
      </c>
      <c r="I837" t="s">
        <v>4536</v>
      </c>
      <c r="J837" t="s">
        <v>4537</v>
      </c>
      <c r="L837" t="s">
        <v>420</v>
      </c>
      <c r="M837" t="s">
        <v>5185</v>
      </c>
    </row>
    <row r="838" spans="6:13" x14ac:dyDescent="0.25">
      <c r="F838" t="s">
        <v>830</v>
      </c>
      <c r="G838" t="s">
        <v>1622</v>
      </c>
      <c r="I838" t="s">
        <v>2159</v>
      </c>
      <c r="J838" t="s">
        <v>6707</v>
      </c>
      <c r="L838" t="s">
        <v>5322</v>
      </c>
      <c r="M838" t="s">
        <v>5374</v>
      </c>
    </row>
    <row r="839" spans="6:13" x14ac:dyDescent="0.25">
      <c r="F839" t="s">
        <v>597</v>
      </c>
      <c r="G839" t="s">
        <v>1068</v>
      </c>
      <c r="I839" t="s">
        <v>414</v>
      </c>
      <c r="J839" t="s">
        <v>1896</v>
      </c>
      <c r="L839" t="s">
        <v>5322</v>
      </c>
      <c r="M839" t="s">
        <v>5323</v>
      </c>
    </row>
    <row r="840" spans="6:13" x14ac:dyDescent="0.25">
      <c r="F840" t="s">
        <v>270</v>
      </c>
      <c r="G840" t="s">
        <v>1090</v>
      </c>
      <c r="I840" t="s">
        <v>129</v>
      </c>
      <c r="J840" t="s">
        <v>4058</v>
      </c>
      <c r="L840" t="s">
        <v>425</v>
      </c>
      <c r="M840" t="s">
        <v>7162</v>
      </c>
    </row>
    <row r="841" spans="6:13" x14ac:dyDescent="0.25">
      <c r="F841" t="s">
        <v>730</v>
      </c>
      <c r="G841" t="s">
        <v>1129</v>
      </c>
      <c r="I841" t="s">
        <v>102</v>
      </c>
      <c r="J841" t="s">
        <v>3278</v>
      </c>
      <c r="L841" t="s">
        <v>483</v>
      </c>
      <c r="M841" t="s">
        <v>5984</v>
      </c>
    </row>
    <row r="842" spans="6:13" x14ac:dyDescent="0.25">
      <c r="I842" t="s">
        <v>2056</v>
      </c>
      <c r="J842" t="s">
        <v>3053</v>
      </c>
      <c r="L842" t="s">
        <v>330</v>
      </c>
      <c r="M842" t="s">
        <v>4924</v>
      </c>
    </row>
    <row r="843" spans="6:13" x14ac:dyDescent="0.25">
      <c r="I843" t="s">
        <v>3089</v>
      </c>
      <c r="J843" t="s">
        <v>6966</v>
      </c>
      <c r="L843" t="s">
        <v>330</v>
      </c>
      <c r="M843" t="s">
        <v>6185</v>
      </c>
    </row>
    <row r="844" spans="6:13" x14ac:dyDescent="0.25">
      <c r="I844" t="s">
        <v>302</v>
      </c>
      <c r="J844" t="s">
        <v>3472</v>
      </c>
      <c r="L844" t="s">
        <v>4574</v>
      </c>
      <c r="M844" t="s">
        <v>5265</v>
      </c>
    </row>
    <row r="845" spans="6:13" x14ac:dyDescent="0.25">
      <c r="I845" t="s">
        <v>2695</v>
      </c>
      <c r="J845" t="s">
        <v>2696</v>
      </c>
      <c r="L845" t="s">
        <v>6126</v>
      </c>
      <c r="M845" t="s">
        <v>6482</v>
      </c>
    </row>
    <row r="846" spans="6:13" x14ac:dyDescent="0.25">
      <c r="I846" t="s">
        <v>2707</v>
      </c>
      <c r="J846" t="s">
        <v>2708</v>
      </c>
      <c r="L846" t="s">
        <v>293</v>
      </c>
      <c r="M846" t="s">
        <v>5405</v>
      </c>
    </row>
    <row r="847" spans="6:13" x14ac:dyDescent="0.25">
      <c r="I847" t="s">
        <v>3363</v>
      </c>
      <c r="J847" t="s">
        <v>3364</v>
      </c>
      <c r="L847" t="s">
        <v>144</v>
      </c>
      <c r="M847" t="s">
        <v>4715</v>
      </c>
    </row>
    <row r="848" spans="6:13" x14ac:dyDescent="0.25">
      <c r="I848" t="s">
        <v>2529</v>
      </c>
      <c r="J848" t="s">
        <v>2530</v>
      </c>
      <c r="L848" t="s">
        <v>422</v>
      </c>
      <c r="M848" t="s">
        <v>6059</v>
      </c>
    </row>
    <row r="849" spans="9:13" x14ac:dyDescent="0.25">
      <c r="I849" t="s">
        <v>414</v>
      </c>
      <c r="J849" t="s">
        <v>2013</v>
      </c>
      <c r="L849" t="s">
        <v>5820</v>
      </c>
      <c r="M849" t="s">
        <v>6384</v>
      </c>
    </row>
    <row r="850" spans="9:13" x14ac:dyDescent="0.25">
      <c r="I850" t="s">
        <v>2164</v>
      </c>
      <c r="J850" t="s">
        <v>6858</v>
      </c>
      <c r="L850" t="s">
        <v>130</v>
      </c>
      <c r="M850" t="s">
        <v>4541</v>
      </c>
    </row>
    <row r="851" spans="9:13" x14ac:dyDescent="0.25">
      <c r="I851" t="s">
        <v>19</v>
      </c>
      <c r="J851" t="s">
        <v>2807</v>
      </c>
      <c r="L851" t="s">
        <v>483</v>
      </c>
      <c r="M851" t="s">
        <v>6049</v>
      </c>
    </row>
    <row r="852" spans="9:13" x14ac:dyDescent="0.25">
      <c r="I852" t="s">
        <v>6813</v>
      </c>
      <c r="J852" t="s">
        <v>4424</v>
      </c>
      <c r="L852" t="s">
        <v>324</v>
      </c>
      <c r="M852" t="s">
        <v>5825</v>
      </c>
    </row>
    <row r="853" spans="9:13" x14ac:dyDescent="0.25">
      <c r="I853" t="s">
        <v>328</v>
      </c>
      <c r="J853" t="s">
        <v>2751</v>
      </c>
      <c r="L853" t="s">
        <v>4757</v>
      </c>
      <c r="M853" t="s">
        <v>4758</v>
      </c>
    </row>
    <row r="854" spans="9:13" x14ac:dyDescent="0.25">
      <c r="I854" t="s">
        <v>1880</v>
      </c>
      <c r="J854" t="s">
        <v>3610</v>
      </c>
      <c r="L854" t="s">
        <v>483</v>
      </c>
      <c r="M854" t="s">
        <v>5832</v>
      </c>
    </row>
    <row r="855" spans="9:13" x14ac:dyDescent="0.25">
      <c r="I855" t="s">
        <v>4096</v>
      </c>
      <c r="J855" t="s">
        <v>4097</v>
      </c>
      <c r="L855" t="s">
        <v>51</v>
      </c>
      <c r="M855" t="s">
        <v>5965</v>
      </c>
    </row>
    <row r="856" spans="9:13" x14ac:dyDescent="0.25">
      <c r="I856" t="s">
        <v>6626</v>
      </c>
      <c r="J856" t="s">
        <v>4094</v>
      </c>
      <c r="L856" t="s">
        <v>483</v>
      </c>
      <c r="M856" t="s">
        <v>6036</v>
      </c>
    </row>
    <row r="857" spans="9:13" x14ac:dyDescent="0.25">
      <c r="I857" t="s">
        <v>102</v>
      </c>
      <c r="J857" t="s">
        <v>1681</v>
      </c>
      <c r="L857" t="s">
        <v>324</v>
      </c>
      <c r="M857" t="s">
        <v>5066</v>
      </c>
    </row>
    <row r="858" spans="9:13" x14ac:dyDescent="0.25">
      <c r="I858" t="s">
        <v>425</v>
      </c>
      <c r="J858" t="s">
        <v>2330</v>
      </c>
      <c r="L858" t="s">
        <v>50</v>
      </c>
      <c r="M858" t="s">
        <v>4899</v>
      </c>
    </row>
    <row r="859" spans="9:13" x14ac:dyDescent="0.25">
      <c r="I859" t="s">
        <v>2506</v>
      </c>
      <c r="J859" t="s">
        <v>6840</v>
      </c>
      <c r="L859" t="s">
        <v>296</v>
      </c>
      <c r="M859" t="s">
        <v>4946</v>
      </c>
    </row>
    <row r="860" spans="9:13" x14ac:dyDescent="0.25">
      <c r="I860" t="s">
        <v>130</v>
      </c>
      <c r="J860" t="s">
        <v>3455</v>
      </c>
      <c r="L860" t="s">
        <v>508</v>
      </c>
      <c r="M860" t="s">
        <v>4615</v>
      </c>
    </row>
    <row r="861" spans="9:13" x14ac:dyDescent="0.25">
      <c r="I861" t="s">
        <v>412</v>
      </c>
      <c r="J861" t="s">
        <v>6877</v>
      </c>
      <c r="L861" t="s">
        <v>467</v>
      </c>
      <c r="M861" t="s">
        <v>5519</v>
      </c>
    </row>
    <row r="862" spans="9:13" x14ac:dyDescent="0.25">
      <c r="I862" t="s">
        <v>41</v>
      </c>
      <c r="J862" t="s">
        <v>3191</v>
      </c>
      <c r="L862" t="s">
        <v>296</v>
      </c>
      <c r="M862" t="s">
        <v>4933</v>
      </c>
    </row>
    <row r="863" spans="9:13" x14ac:dyDescent="0.25">
      <c r="I863" t="s">
        <v>600</v>
      </c>
      <c r="J863" t="s">
        <v>2976</v>
      </c>
      <c r="L863" t="s">
        <v>483</v>
      </c>
      <c r="M863" t="s">
        <v>5259</v>
      </c>
    </row>
    <row r="864" spans="9:13" x14ac:dyDescent="0.25">
      <c r="I864" t="s">
        <v>267</v>
      </c>
      <c r="J864" t="s">
        <v>2709</v>
      </c>
      <c r="L864" t="s">
        <v>130</v>
      </c>
      <c r="M864" t="s">
        <v>5850</v>
      </c>
    </row>
    <row r="865" spans="9:13" x14ac:dyDescent="0.25">
      <c r="I865" t="s">
        <v>130</v>
      </c>
      <c r="J865" t="s">
        <v>4080</v>
      </c>
      <c r="L865" t="s">
        <v>267</v>
      </c>
      <c r="M865" t="s">
        <v>5300</v>
      </c>
    </row>
    <row r="866" spans="9:13" x14ac:dyDescent="0.25">
      <c r="I866" t="s">
        <v>266</v>
      </c>
      <c r="J866" t="s">
        <v>4412</v>
      </c>
      <c r="L866" t="s">
        <v>296</v>
      </c>
      <c r="M866" t="s">
        <v>5492</v>
      </c>
    </row>
    <row r="867" spans="9:13" x14ac:dyDescent="0.25">
      <c r="I867" t="s">
        <v>2164</v>
      </c>
      <c r="J867" t="s">
        <v>6934</v>
      </c>
      <c r="L867" t="s">
        <v>412</v>
      </c>
      <c r="M867" t="s">
        <v>7207</v>
      </c>
    </row>
    <row r="868" spans="9:13" x14ac:dyDescent="0.25">
      <c r="I868" t="s">
        <v>2506</v>
      </c>
      <c r="J868" t="s">
        <v>6833</v>
      </c>
      <c r="L868" t="s">
        <v>43</v>
      </c>
      <c r="M868" t="s">
        <v>5024</v>
      </c>
    </row>
    <row r="869" spans="9:13" x14ac:dyDescent="0.25">
      <c r="I869" t="s">
        <v>267</v>
      </c>
      <c r="J869" t="s">
        <v>2622</v>
      </c>
      <c r="L869" t="s">
        <v>328</v>
      </c>
      <c r="M869" t="s">
        <v>4676</v>
      </c>
    </row>
    <row r="870" spans="9:13" x14ac:dyDescent="0.25">
      <c r="I870" t="s">
        <v>328</v>
      </c>
      <c r="J870" t="s">
        <v>2971</v>
      </c>
      <c r="L870" t="s">
        <v>485</v>
      </c>
      <c r="M870" t="s">
        <v>6330</v>
      </c>
    </row>
    <row r="871" spans="9:13" x14ac:dyDescent="0.25">
      <c r="I871" t="s">
        <v>418</v>
      </c>
      <c r="J871" t="s">
        <v>6823</v>
      </c>
      <c r="L871" t="s">
        <v>4605</v>
      </c>
      <c r="M871" t="s">
        <v>4606</v>
      </c>
    </row>
    <row r="872" spans="9:13" x14ac:dyDescent="0.25">
      <c r="I872" t="s">
        <v>2656</v>
      </c>
      <c r="J872" t="s">
        <v>3471</v>
      </c>
      <c r="L872" t="s">
        <v>414</v>
      </c>
      <c r="M872" t="s">
        <v>6141</v>
      </c>
    </row>
    <row r="873" spans="9:13" x14ac:dyDescent="0.25">
      <c r="I873" t="s">
        <v>414</v>
      </c>
      <c r="J873" t="s">
        <v>2821</v>
      </c>
      <c r="L873" t="s">
        <v>501</v>
      </c>
      <c r="M873" t="s">
        <v>5790</v>
      </c>
    </row>
    <row r="874" spans="9:13" x14ac:dyDescent="0.25">
      <c r="I874" t="s">
        <v>130</v>
      </c>
      <c r="J874" t="s">
        <v>1694</v>
      </c>
      <c r="L874" t="s">
        <v>373</v>
      </c>
      <c r="M874" t="s">
        <v>5417</v>
      </c>
    </row>
    <row r="875" spans="9:13" x14ac:dyDescent="0.25">
      <c r="I875" t="s">
        <v>6733</v>
      </c>
      <c r="J875" t="s">
        <v>1942</v>
      </c>
      <c r="L875" t="s">
        <v>267</v>
      </c>
      <c r="M875" t="s">
        <v>5268</v>
      </c>
    </row>
    <row r="876" spans="9:13" x14ac:dyDescent="0.25">
      <c r="I876" t="s">
        <v>2506</v>
      </c>
      <c r="J876" t="s">
        <v>6951</v>
      </c>
      <c r="L876" t="s">
        <v>302</v>
      </c>
      <c r="M876" t="s">
        <v>4993</v>
      </c>
    </row>
    <row r="877" spans="9:13" x14ac:dyDescent="0.25">
      <c r="I877" t="s">
        <v>130</v>
      </c>
      <c r="J877" t="s">
        <v>3067</v>
      </c>
      <c r="L877" t="s">
        <v>749</v>
      </c>
      <c r="M877" t="s">
        <v>6294</v>
      </c>
    </row>
    <row r="878" spans="9:13" x14ac:dyDescent="0.25">
      <c r="I878" t="s">
        <v>3166</v>
      </c>
      <c r="J878" t="s">
        <v>4155</v>
      </c>
      <c r="L878" t="s">
        <v>4574</v>
      </c>
      <c r="M878" t="s">
        <v>5458</v>
      </c>
    </row>
    <row r="879" spans="9:13" x14ac:dyDescent="0.25">
      <c r="I879" t="s">
        <v>2284</v>
      </c>
      <c r="J879" t="s">
        <v>2285</v>
      </c>
      <c r="L879" t="s">
        <v>440</v>
      </c>
      <c r="M879" t="s">
        <v>6182</v>
      </c>
    </row>
    <row r="880" spans="9:13" x14ac:dyDescent="0.25">
      <c r="I880" t="s">
        <v>414</v>
      </c>
      <c r="J880" t="s">
        <v>2021</v>
      </c>
      <c r="L880" t="s">
        <v>5380</v>
      </c>
      <c r="M880" t="s">
        <v>7106</v>
      </c>
    </row>
    <row r="881" spans="9:13" x14ac:dyDescent="0.25">
      <c r="I881" t="s">
        <v>326</v>
      </c>
      <c r="J881" t="s">
        <v>3943</v>
      </c>
      <c r="L881" t="s">
        <v>50</v>
      </c>
      <c r="M881" t="s">
        <v>5773</v>
      </c>
    </row>
    <row r="882" spans="9:13" x14ac:dyDescent="0.25">
      <c r="I882" t="s">
        <v>4182</v>
      </c>
      <c r="J882" t="s">
        <v>4183</v>
      </c>
      <c r="L882" t="s">
        <v>267</v>
      </c>
      <c r="M882" t="s">
        <v>6341</v>
      </c>
    </row>
    <row r="883" spans="9:13" x14ac:dyDescent="0.25">
      <c r="I883" t="s">
        <v>266</v>
      </c>
      <c r="J883" t="s">
        <v>4169</v>
      </c>
      <c r="L883" t="s">
        <v>267</v>
      </c>
      <c r="M883" t="s">
        <v>5510</v>
      </c>
    </row>
    <row r="884" spans="9:13" x14ac:dyDescent="0.25">
      <c r="I884" t="s">
        <v>425</v>
      </c>
      <c r="J884" t="s">
        <v>2982</v>
      </c>
      <c r="L884" t="s">
        <v>129</v>
      </c>
      <c r="M884" t="s">
        <v>4795</v>
      </c>
    </row>
    <row r="885" spans="9:13" x14ac:dyDescent="0.25">
      <c r="I885" t="s">
        <v>266</v>
      </c>
      <c r="J885" t="s">
        <v>1983</v>
      </c>
      <c r="L885" t="s">
        <v>5717</v>
      </c>
      <c r="M885" t="s">
        <v>7142</v>
      </c>
    </row>
    <row r="886" spans="9:13" x14ac:dyDescent="0.25">
      <c r="I886" t="s">
        <v>1852</v>
      </c>
      <c r="J886" t="s">
        <v>1853</v>
      </c>
      <c r="L886" t="s">
        <v>508</v>
      </c>
      <c r="M886" t="s">
        <v>5373</v>
      </c>
    </row>
    <row r="887" spans="9:13" x14ac:dyDescent="0.25">
      <c r="I887" t="s">
        <v>19</v>
      </c>
      <c r="J887" t="s">
        <v>2019</v>
      </c>
      <c r="L887" t="s">
        <v>5522</v>
      </c>
      <c r="M887" t="s">
        <v>5523</v>
      </c>
    </row>
    <row r="888" spans="9:13" x14ac:dyDescent="0.25">
      <c r="I888" t="s">
        <v>130</v>
      </c>
      <c r="J888" t="s">
        <v>4377</v>
      </c>
      <c r="L888" t="s">
        <v>483</v>
      </c>
      <c r="M888" t="s">
        <v>6624</v>
      </c>
    </row>
    <row r="889" spans="9:13" x14ac:dyDescent="0.25">
      <c r="I889" t="s">
        <v>330</v>
      </c>
      <c r="J889" t="s">
        <v>2918</v>
      </c>
      <c r="L889" t="s">
        <v>4659</v>
      </c>
      <c r="M889" t="s">
        <v>5279</v>
      </c>
    </row>
    <row r="890" spans="9:13" x14ac:dyDescent="0.25">
      <c r="I890" t="s">
        <v>130</v>
      </c>
      <c r="J890" t="s">
        <v>4222</v>
      </c>
      <c r="L890" t="s">
        <v>4632</v>
      </c>
      <c r="M890" t="s">
        <v>5562</v>
      </c>
    </row>
    <row r="891" spans="9:13" x14ac:dyDescent="0.25">
      <c r="I891" t="s">
        <v>581</v>
      </c>
      <c r="J891" t="s">
        <v>4002</v>
      </c>
      <c r="L891" t="s">
        <v>130</v>
      </c>
      <c r="M891" t="s">
        <v>4566</v>
      </c>
    </row>
    <row r="892" spans="9:13" x14ac:dyDescent="0.25">
      <c r="I892" t="s">
        <v>266</v>
      </c>
      <c r="J892" t="s">
        <v>3465</v>
      </c>
      <c r="L892" t="s">
        <v>483</v>
      </c>
      <c r="M892" t="s">
        <v>5476</v>
      </c>
    </row>
    <row r="893" spans="9:13" x14ac:dyDescent="0.25">
      <c r="I893" t="s">
        <v>330</v>
      </c>
      <c r="J893" t="s">
        <v>1863</v>
      </c>
      <c r="L893" t="s">
        <v>418</v>
      </c>
      <c r="M893" t="s">
        <v>7170</v>
      </c>
    </row>
    <row r="894" spans="9:13" x14ac:dyDescent="0.25">
      <c r="I894" t="s">
        <v>302</v>
      </c>
      <c r="J894" t="s">
        <v>3634</v>
      </c>
      <c r="L894" t="s">
        <v>483</v>
      </c>
      <c r="M894" t="s">
        <v>5432</v>
      </c>
    </row>
    <row r="895" spans="9:13" x14ac:dyDescent="0.25">
      <c r="I895" t="s">
        <v>266</v>
      </c>
      <c r="J895" t="s">
        <v>2887</v>
      </c>
      <c r="L895" t="s">
        <v>5332</v>
      </c>
      <c r="M895" t="s">
        <v>5387</v>
      </c>
    </row>
    <row r="896" spans="9:13" x14ac:dyDescent="0.25">
      <c r="I896" t="s">
        <v>1821</v>
      </c>
      <c r="J896" t="s">
        <v>1822</v>
      </c>
      <c r="L896" t="s">
        <v>4574</v>
      </c>
      <c r="M896" t="s">
        <v>5828</v>
      </c>
    </row>
    <row r="897" spans="9:13" x14ac:dyDescent="0.25">
      <c r="I897" t="s">
        <v>1891</v>
      </c>
      <c r="J897" t="s">
        <v>1892</v>
      </c>
      <c r="L897" t="s">
        <v>4975</v>
      </c>
      <c r="M897" t="s">
        <v>5060</v>
      </c>
    </row>
    <row r="898" spans="9:13" x14ac:dyDescent="0.25">
      <c r="I898" t="s">
        <v>266</v>
      </c>
      <c r="J898" t="s">
        <v>4191</v>
      </c>
      <c r="L898" t="s">
        <v>6626</v>
      </c>
      <c r="M898" t="s">
        <v>7249</v>
      </c>
    </row>
    <row r="899" spans="9:13" x14ac:dyDescent="0.25">
      <c r="I899" t="s">
        <v>266</v>
      </c>
      <c r="J899" t="s">
        <v>6717</v>
      </c>
      <c r="L899" t="s">
        <v>749</v>
      </c>
      <c r="M899" t="s">
        <v>5192</v>
      </c>
    </row>
    <row r="900" spans="9:13" x14ac:dyDescent="0.25">
      <c r="I900" t="s">
        <v>330</v>
      </c>
      <c r="J900" t="s">
        <v>3062</v>
      </c>
      <c r="L900" t="s">
        <v>4793</v>
      </c>
      <c r="M900" t="s">
        <v>7036</v>
      </c>
    </row>
    <row r="901" spans="9:13" x14ac:dyDescent="0.25">
      <c r="I901" t="s">
        <v>414</v>
      </c>
      <c r="J901" t="s">
        <v>3808</v>
      </c>
      <c r="L901" t="s">
        <v>302</v>
      </c>
      <c r="M901" t="s">
        <v>6186</v>
      </c>
    </row>
    <row r="902" spans="9:13" x14ac:dyDescent="0.25">
      <c r="I902" t="s">
        <v>267</v>
      </c>
      <c r="J902" t="s">
        <v>3982</v>
      </c>
      <c r="L902" t="s">
        <v>418</v>
      </c>
      <c r="M902" t="s">
        <v>7065</v>
      </c>
    </row>
    <row r="903" spans="9:13" x14ac:dyDescent="0.25">
      <c r="I903" t="s">
        <v>266</v>
      </c>
      <c r="J903" t="s">
        <v>6698</v>
      </c>
      <c r="L903" t="s">
        <v>418</v>
      </c>
      <c r="M903" t="s">
        <v>7164</v>
      </c>
    </row>
    <row r="904" spans="9:13" x14ac:dyDescent="0.25">
      <c r="I904" t="s">
        <v>4220</v>
      </c>
      <c r="J904" t="s">
        <v>4221</v>
      </c>
      <c r="L904" t="s">
        <v>4640</v>
      </c>
      <c r="M904" t="s">
        <v>7018</v>
      </c>
    </row>
    <row r="905" spans="9:13" x14ac:dyDescent="0.25">
      <c r="I905" t="s">
        <v>566</v>
      </c>
      <c r="J905" t="s">
        <v>4342</v>
      </c>
      <c r="L905" t="s">
        <v>418</v>
      </c>
      <c r="M905" t="s">
        <v>7210</v>
      </c>
    </row>
    <row r="906" spans="9:13" x14ac:dyDescent="0.25">
      <c r="I906" t="s">
        <v>3815</v>
      </c>
      <c r="J906" t="s">
        <v>3816</v>
      </c>
      <c r="L906" t="s">
        <v>328</v>
      </c>
      <c r="M906" t="s">
        <v>5715</v>
      </c>
    </row>
    <row r="907" spans="9:13" x14ac:dyDescent="0.25">
      <c r="I907" t="s">
        <v>267</v>
      </c>
      <c r="J907" t="s">
        <v>3637</v>
      </c>
      <c r="L907" t="s">
        <v>483</v>
      </c>
      <c r="M907" t="s">
        <v>6332</v>
      </c>
    </row>
    <row r="908" spans="9:13" x14ac:dyDescent="0.25">
      <c r="I908" t="s">
        <v>1903</v>
      </c>
      <c r="J908" t="s">
        <v>1904</v>
      </c>
      <c r="L908" t="s">
        <v>474</v>
      </c>
      <c r="M908" t="s">
        <v>6229</v>
      </c>
    </row>
    <row r="909" spans="9:13" x14ac:dyDescent="0.25">
      <c r="I909" t="s">
        <v>1880</v>
      </c>
      <c r="J909" t="s">
        <v>3860</v>
      </c>
      <c r="L909" t="s">
        <v>328</v>
      </c>
      <c r="M909" t="s">
        <v>6606</v>
      </c>
    </row>
    <row r="910" spans="9:13" x14ac:dyDescent="0.25">
      <c r="I910" t="s">
        <v>41</v>
      </c>
      <c r="J910" t="s">
        <v>3273</v>
      </c>
      <c r="L910" t="s">
        <v>803</v>
      </c>
      <c r="M910" t="s">
        <v>6633</v>
      </c>
    </row>
    <row r="911" spans="9:13" x14ac:dyDescent="0.25">
      <c r="I911" t="s">
        <v>266</v>
      </c>
      <c r="J911" t="s">
        <v>3299</v>
      </c>
      <c r="L911" t="s">
        <v>483</v>
      </c>
      <c r="M911" t="s">
        <v>5238</v>
      </c>
    </row>
    <row r="912" spans="9:13" x14ac:dyDescent="0.25">
      <c r="I912" t="s">
        <v>299</v>
      </c>
      <c r="J912" t="s">
        <v>2058</v>
      </c>
      <c r="L912" t="s">
        <v>418</v>
      </c>
      <c r="M912" t="s">
        <v>7256</v>
      </c>
    </row>
    <row r="913" spans="9:13" x14ac:dyDescent="0.25">
      <c r="I913" t="s">
        <v>422</v>
      </c>
      <c r="J913" t="s">
        <v>3286</v>
      </c>
      <c r="L913" t="s">
        <v>130</v>
      </c>
      <c r="M913" t="s">
        <v>4796</v>
      </c>
    </row>
    <row r="914" spans="9:13" x14ac:dyDescent="0.25">
      <c r="I914" t="s">
        <v>2369</v>
      </c>
      <c r="J914" t="s">
        <v>2370</v>
      </c>
      <c r="L914" t="s">
        <v>328</v>
      </c>
      <c r="M914" t="s">
        <v>5670</v>
      </c>
    </row>
    <row r="915" spans="9:13" x14ac:dyDescent="0.25">
      <c r="I915" t="s">
        <v>1973</v>
      </c>
      <c r="J915" t="s">
        <v>1974</v>
      </c>
      <c r="L915" t="s">
        <v>506</v>
      </c>
      <c r="M915" t="s">
        <v>6577</v>
      </c>
    </row>
    <row r="916" spans="9:13" x14ac:dyDescent="0.25">
      <c r="I916" t="s">
        <v>44</v>
      </c>
      <c r="J916" t="s">
        <v>3279</v>
      </c>
      <c r="L916" t="s">
        <v>130</v>
      </c>
      <c r="M916" t="s">
        <v>6464</v>
      </c>
    </row>
    <row r="917" spans="9:13" x14ac:dyDescent="0.25">
      <c r="I917" t="s">
        <v>50</v>
      </c>
      <c r="J917" t="s">
        <v>3201</v>
      </c>
      <c r="L917" t="s">
        <v>48</v>
      </c>
      <c r="M917" t="s">
        <v>4656</v>
      </c>
    </row>
    <row r="918" spans="9:13" x14ac:dyDescent="0.25">
      <c r="I918" t="s">
        <v>328</v>
      </c>
      <c r="J918" t="s">
        <v>6944</v>
      </c>
      <c r="L918" t="s">
        <v>483</v>
      </c>
      <c r="M918" t="s">
        <v>6419</v>
      </c>
    </row>
    <row r="919" spans="9:13" x14ac:dyDescent="0.25">
      <c r="I919" t="s">
        <v>328</v>
      </c>
      <c r="J919" t="s">
        <v>6810</v>
      </c>
      <c r="L919" t="s">
        <v>373</v>
      </c>
      <c r="M919" t="s">
        <v>5635</v>
      </c>
    </row>
    <row r="920" spans="9:13" x14ac:dyDescent="0.25">
      <c r="I920" t="s">
        <v>326</v>
      </c>
      <c r="J920" t="s">
        <v>2915</v>
      </c>
      <c r="L920" t="s">
        <v>43</v>
      </c>
      <c r="M920" t="s">
        <v>6621</v>
      </c>
    </row>
    <row r="921" spans="9:13" x14ac:dyDescent="0.25">
      <c r="I921" t="s">
        <v>6733</v>
      </c>
      <c r="J921" t="s">
        <v>2513</v>
      </c>
      <c r="L921" t="s">
        <v>130</v>
      </c>
      <c r="M921" t="s">
        <v>6153</v>
      </c>
    </row>
    <row r="922" spans="9:13" x14ac:dyDescent="0.25">
      <c r="I922" t="s">
        <v>422</v>
      </c>
      <c r="J922" t="s">
        <v>4137</v>
      </c>
      <c r="L922" t="s">
        <v>102</v>
      </c>
      <c r="M922" t="s">
        <v>4945</v>
      </c>
    </row>
    <row r="923" spans="9:13" x14ac:dyDescent="0.25">
      <c r="I923" t="s">
        <v>326</v>
      </c>
      <c r="J923" t="s">
        <v>3001</v>
      </c>
      <c r="L923" t="s">
        <v>4632</v>
      </c>
      <c r="M923" t="s">
        <v>4633</v>
      </c>
    </row>
    <row r="924" spans="9:13" x14ac:dyDescent="0.25">
      <c r="I924" t="s">
        <v>412</v>
      </c>
      <c r="J924" t="s">
        <v>6822</v>
      </c>
      <c r="L924" t="s">
        <v>130</v>
      </c>
      <c r="M924" t="s">
        <v>4827</v>
      </c>
    </row>
    <row r="925" spans="9:13" x14ac:dyDescent="0.25">
      <c r="I925" t="s">
        <v>299</v>
      </c>
      <c r="J925" t="s">
        <v>2435</v>
      </c>
      <c r="L925" t="s">
        <v>130</v>
      </c>
      <c r="M925" t="s">
        <v>4833</v>
      </c>
    </row>
    <row r="926" spans="9:13" x14ac:dyDescent="0.25">
      <c r="I926" t="s">
        <v>330</v>
      </c>
      <c r="J926" t="s">
        <v>4367</v>
      </c>
      <c r="L926" t="s">
        <v>2105</v>
      </c>
      <c r="M926" t="s">
        <v>5836</v>
      </c>
    </row>
    <row r="927" spans="9:13" x14ac:dyDescent="0.25">
      <c r="I927" t="s">
        <v>330</v>
      </c>
      <c r="J927" t="s">
        <v>3506</v>
      </c>
      <c r="L927" t="s">
        <v>5007</v>
      </c>
      <c r="M927" t="s">
        <v>5112</v>
      </c>
    </row>
    <row r="928" spans="9:13" x14ac:dyDescent="0.25">
      <c r="I928" t="s">
        <v>1831</v>
      </c>
      <c r="J928" t="s">
        <v>3641</v>
      </c>
      <c r="L928" t="s">
        <v>440</v>
      </c>
      <c r="M928" t="s">
        <v>5550</v>
      </c>
    </row>
    <row r="929" spans="9:13" x14ac:dyDescent="0.25">
      <c r="I929" t="s">
        <v>328</v>
      </c>
      <c r="J929" t="s">
        <v>6835</v>
      </c>
      <c r="L929" t="s">
        <v>130</v>
      </c>
      <c r="M929" t="s">
        <v>6198</v>
      </c>
    </row>
    <row r="930" spans="9:13" x14ac:dyDescent="0.25">
      <c r="I930" t="s">
        <v>43</v>
      </c>
      <c r="J930" t="s">
        <v>3750</v>
      </c>
      <c r="L930" t="s">
        <v>102</v>
      </c>
      <c r="M930" t="s">
        <v>5292</v>
      </c>
    </row>
    <row r="931" spans="9:13" x14ac:dyDescent="0.25">
      <c r="I931" t="s">
        <v>267</v>
      </c>
      <c r="J931" t="s">
        <v>3969</v>
      </c>
      <c r="L931" t="s">
        <v>420</v>
      </c>
      <c r="M931" t="s">
        <v>4971</v>
      </c>
    </row>
    <row r="932" spans="9:13" x14ac:dyDescent="0.25">
      <c r="I932" t="s">
        <v>267</v>
      </c>
      <c r="J932" t="s">
        <v>3215</v>
      </c>
      <c r="L932" t="s">
        <v>483</v>
      </c>
      <c r="M932" t="s">
        <v>5885</v>
      </c>
    </row>
    <row r="933" spans="9:13" x14ac:dyDescent="0.25">
      <c r="I933" t="s">
        <v>266</v>
      </c>
      <c r="J933" t="s">
        <v>1795</v>
      </c>
      <c r="L933" t="s">
        <v>50</v>
      </c>
      <c r="M933" t="s">
        <v>6115</v>
      </c>
    </row>
    <row r="934" spans="9:13" x14ac:dyDescent="0.25">
      <c r="I934" t="s">
        <v>10</v>
      </c>
      <c r="J934" t="s">
        <v>2992</v>
      </c>
      <c r="L934" t="s">
        <v>130</v>
      </c>
      <c r="M934" t="s">
        <v>5587</v>
      </c>
    </row>
    <row r="935" spans="9:13" x14ac:dyDescent="0.25">
      <c r="I935" t="s">
        <v>4333</v>
      </c>
      <c r="J935" t="s">
        <v>4334</v>
      </c>
      <c r="L935" t="s">
        <v>130</v>
      </c>
      <c r="M935" t="s">
        <v>4626</v>
      </c>
    </row>
    <row r="936" spans="9:13" x14ac:dyDescent="0.25">
      <c r="I936" t="s">
        <v>50</v>
      </c>
      <c r="J936" t="s">
        <v>4049</v>
      </c>
      <c r="L936" t="s">
        <v>483</v>
      </c>
      <c r="M936" t="s">
        <v>5938</v>
      </c>
    </row>
    <row r="937" spans="9:13" x14ac:dyDescent="0.25">
      <c r="I937" t="s">
        <v>267</v>
      </c>
      <c r="J937" t="s">
        <v>6716</v>
      </c>
      <c r="L937" t="s">
        <v>266</v>
      </c>
      <c r="M937" t="s">
        <v>6284</v>
      </c>
    </row>
    <row r="938" spans="9:13" x14ac:dyDescent="0.25">
      <c r="I938" t="s">
        <v>414</v>
      </c>
      <c r="J938" t="s">
        <v>2924</v>
      </c>
      <c r="L938" t="s">
        <v>483</v>
      </c>
      <c r="M938" t="s">
        <v>5258</v>
      </c>
    </row>
    <row r="939" spans="9:13" x14ac:dyDescent="0.25">
      <c r="I939" t="s">
        <v>267</v>
      </c>
      <c r="J939" t="s">
        <v>3073</v>
      </c>
      <c r="L939" t="s">
        <v>4574</v>
      </c>
      <c r="M939" t="s">
        <v>4575</v>
      </c>
    </row>
    <row r="940" spans="9:13" x14ac:dyDescent="0.25">
      <c r="I940" t="s">
        <v>266</v>
      </c>
      <c r="J940" t="s">
        <v>2487</v>
      </c>
      <c r="L940" t="s">
        <v>483</v>
      </c>
      <c r="M940" t="s">
        <v>5317</v>
      </c>
    </row>
    <row r="941" spans="9:13" x14ac:dyDescent="0.25">
      <c r="I941" t="s">
        <v>296</v>
      </c>
      <c r="J941" t="s">
        <v>3171</v>
      </c>
      <c r="L941" t="s">
        <v>52</v>
      </c>
      <c r="M941" t="s">
        <v>6329</v>
      </c>
    </row>
    <row r="942" spans="9:13" x14ac:dyDescent="0.25">
      <c r="I942" t="s">
        <v>2785</v>
      </c>
      <c r="J942" t="s">
        <v>2786</v>
      </c>
      <c r="L942" t="s">
        <v>267</v>
      </c>
      <c r="M942" t="s">
        <v>4587</v>
      </c>
    </row>
    <row r="943" spans="9:13" x14ac:dyDescent="0.25">
      <c r="I943" t="s">
        <v>3944</v>
      </c>
      <c r="J943" t="s">
        <v>3945</v>
      </c>
      <c r="L943" t="s">
        <v>130</v>
      </c>
      <c r="M943" t="s">
        <v>6572</v>
      </c>
    </row>
    <row r="944" spans="9:13" x14ac:dyDescent="0.25">
      <c r="I944" t="s">
        <v>308</v>
      </c>
      <c r="J944" t="s">
        <v>2691</v>
      </c>
      <c r="L944" t="s">
        <v>43</v>
      </c>
      <c r="M944" t="s">
        <v>4599</v>
      </c>
    </row>
    <row r="945" spans="9:13" x14ac:dyDescent="0.25">
      <c r="I945" t="s">
        <v>2093</v>
      </c>
      <c r="J945" t="s">
        <v>2094</v>
      </c>
      <c r="L945" t="s">
        <v>483</v>
      </c>
      <c r="M945" t="s">
        <v>6094</v>
      </c>
    </row>
    <row r="946" spans="9:13" x14ac:dyDescent="0.25">
      <c r="I946" t="s">
        <v>1779</v>
      </c>
      <c r="J946" t="s">
        <v>2541</v>
      </c>
      <c r="L946" t="s">
        <v>4848</v>
      </c>
      <c r="M946" t="s">
        <v>5068</v>
      </c>
    </row>
    <row r="947" spans="9:13" x14ac:dyDescent="0.25">
      <c r="I947" t="s">
        <v>600</v>
      </c>
      <c r="J947" t="s">
        <v>2901</v>
      </c>
      <c r="L947" t="s">
        <v>293</v>
      </c>
      <c r="M947" t="s">
        <v>6187</v>
      </c>
    </row>
    <row r="948" spans="9:13" x14ac:dyDescent="0.25">
      <c r="I948" t="s">
        <v>2164</v>
      </c>
      <c r="J948" t="s">
        <v>6943</v>
      </c>
      <c r="L948" t="s">
        <v>5585</v>
      </c>
      <c r="M948" t="s">
        <v>5586</v>
      </c>
    </row>
    <row r="949" spans="9:13" x14ac:dyDescent="0.25">
      <c r="I949" t="s">
        <v>3603</v>
      </c>
      <c r="J949" t="s">
        <v>3604</v>
      </c>
      <c r="L949" t="s">
        <v>330</v>
      </c>
      <c r="M949" t="s">
        <v>5025</v>
      </c>
    </row>
    <row r="950" spans="9:13" x14ac:dyDescent="0.25">
      <c r="I950" t="s">
        <v>267</v>
      </c>
      <c r="J950" t="s">
        <v>3137</v>
      </c>
      <c r="L950" t="s">
        <v>6500</v>
      </c>
      <c r="M950" t="s">
        <v>6501</v>
      </c>
    </row>
    <row r="951" spans="9:13" x14ac:dyDescent="0.25">
      <c r="I951" t="s">
        <v>6812</v>
      </c>
      <c r="J951" t="s">
        <v>1765</v>
      </c>
      <c r="L951" t="s">
        <v>130</v>
      </c>
      <c r="M951" t="s">
        <v>5222</v>
      </c>
    </row>
    <row r="952" spans="9:13" x14ac:dyDescent="0.25">
      <c r="I952" t="s">
        <v>2164</v>
      </c>
      <c r="J952" t="s">
        <v>6841</v>
      </c>
      <c r="L952" t="s">
        <v>267</v>
      </c>
      <c r="M952" t="s">
        <v>4705</v>
      </c>
    </row>
    <row r="953" spans="9:13" x14ac:dyDescent="0.25">
      <c r="I953" t="s">
        <v>267</v>
      </c>
      <c r="J953" t="s">
        <v>6720</v>
      </c>
      <c r="L953" t="s">
        <v>43</v>
      </c>
      <c r="M953" t="s">
        <v>4898</v>
      </c>
    </row>
    <row r="954" spans="9:13" x14ac:dyDescent="0.25">
      <c r="I954" t="s">
        <v>328</v>
      </c>
      <c r="J954" t="s">
        <v>4326</v>
      </c>
      <c r="L954" t="s">
        <v>43</v>
      </c>
      <c r="M954" t="s">
        <v>5612</v>
      </c>
    </row>
    <row r="955" spans="9:13" x14ac:dyDescent="0.25">
      <c r="I955" t="s">
        <v>413</v>
      </c>
      <c r="J955" t="s">
        <v>1995</v>
      </c>
      <c r="L955" t="s">
        <v>58</v>
      </c>
      <c r="M955" t="s">
        <v>7220</v>
      </c>
    </row>
    <row r="956" spans="9:13" x14ac:dyDescent="0.25">
      <c r="I956" t="s">
        <v>2614</v>
      </c>
      <c r="J956" t="s">
        <v>2615</v>
      </c>
      <c r="L956" t="s">
        <v>302</v>
      </c>
      <c r="M956" t="s">
        <v>5948</v>
      </c>
    </row>
    <row r="957" spans="9:13" x14ac:dyDescent="0.25">
      <c r="I957" t="s">
        <v>422</v>
      </c>
      <c r="J957" t="s">
        <v>2494</v>
      </c>
      <c r="L957" t="s">
        <v>130</v>
      </c>
      <c r="M957" t="s">
        <v>5875</v>
      </c>
    </row>
    <row r="958" spans="9:13" x14ac:dyDescent="0.25">
      <c r="I958" t="s">
        <v>328</v>
      </c>
      <c r="J958" t="s">
        <v>2930</v>
      </c>
      <c r="L958" t="s">
        <v>130</v>
      </c>
      <c r="M958" t="s">
        <v>6069</v>
      </c>
    </row>
    <row r="959" spans="9:13" x14ac:dyDescent="0.25">
      <c r="I959" t="s">
        <v>3081</v>
      </c>
      <c r="J959" t="s">
        <v>3082</v>
      </c>
      <c r="L959" t="s">
        <v>328</v>
      </c>
      <c r="M959" t="s">
        <v>5318</v>
      </c>
    </row>
    <row r="960" spans="9:13" x14ac:dyDescent="0.25">
      <c r="I960" t="s">
        <v>1799</v>
      </c>
      <c r="J960" t="s">
        <v>6671</v>
      </c>
      <c r="L960" t="s">
        <v>130</v>
      </c>
      <c r="M960" t="s">
        <v>4994</v>
      </c>
    </row>
    <row r="961" spans="9:13" x14ac:dyDescent="0.25">
      <c r="I961" t="s">
        <v>414</v>
      </c>
      <c r="J961" t="s">
        <v>3350</v>
      </c>
      <c r="L961" t="s">
        <v>267</v>
      </c>
      <c r="M961" t="s">
        <v>5549</v>
      </c>
    </row>
    <row r="962" spans="9:13" x14ac:dyDescent="0.25">
      <c r="I962" t="s">
        <v>328</v>
      </c>
      <c r="J962" t="s">
        <v>3707</v>
      </c>
      <c r="L962" t="s">
        <v>440</v>
      </c>
      <c r="M962" t="s">
        <v>7100</v>
      </c>
    </row>
    <row r="963" spans="9:13" x14ac:dyDescent="0.25">
      <c r="I963" t="s">
        <v>414</v>
      </c>
      <c r="J963" t="s">
        <v>4409</v>
      </c>
      <c r="L963" t="s">
        <v>508</v>
      </c>
      <c r="M963" t="s">
        <v>6159</v>
      </c>
    </row>
    <row r="964" spans="9:13" x14ac:dyDescent="0.25">
      <c r="I964" t="s">
        <v>43</v>
      </c>
      <c r="J964" t="s">
        <v>4304</v>
      </c>
      <c r="L964" t="s">
        <v>425</v>
      </c>
      <c r="M964" t="s">
        <v>7108</v>
      </c>
    </row>
    <row r="965" spans="9:13" x14ac:dyDescent="0.25">
      <c r="I965" t="s">
        <v>422</v>
      </c>
      <c r="J965" t="s">
        <v>2262</v>
      </c>
      <c r="L965" t="s">
        <v>575</v>
      </c>
      <c r="M965" t="s">
        <v>5817</v>
      </c>
    </row>
    <row r="966" spans="9:13" x14ac:dyDescent="0.25">
      <c r="I966" t="s">
        <v>99</v>
      </c>
      <c r="J966" t="s">
        <v>1788</v>
      </c>
      <c r="L966" t="s">
        <v>483</v>
      </c>
      <c r="M966" t="s">
        <v>5482</v>
      </c>
    </row>
    <row r="967" spans="9:13" x14ac:dyDescent="0.25">
      <c r="I967" t="s">
        <v>130</v>
      </c>
      <c r="J967" t="s">
        <v>3263</v>
      </c>
      <c r="L967" t="s">
        <v>483</v>
      </c>
      <c r="M967" t="s">
        <v>5934</v>
      </c>
    </row>
    <row r="968" spans="9:13" x14ac:dyDescent="0.25">
      <c r="I968" t="s">
        <v>291</v>
      </c>
      <c r="J968" t="s">
        <v>2170</v>
      </c>
      <c r="L968" t="s">
        <v>48</v>
      </c>
      <c r="M968" t="s">
        <v>6216</v>
      </c>
    </row>
    <row r="969" spans="9:13" x14ac:dyDescent="0.25">
      <c r="I969" t="s">
        <v>3182</v>
      </c>
      <c r="J969" t="s">
        <v>6903</v>
      </c>
      <c r="L969" t="s">
        <v>130</v>
      </c>
      <c r="M969" t="s">
        <v>5983</v>
      </c>
    </row>
    <row r="970" spans="9:13" x14ac:dyDescent="0.25">
      <c r="I970" t="s">
        <v>267</v>
      </c>
      <c r="J970" t="s">
        <v>4510</v>
      </c>
      <c r="L970" t="s">
        <v>43</v>
      </c>
      <c r="M970" t="s">
        <v>6164</v>
      </c>
    </row>
    <row r="971" spans="9:13" x14ac:dyDescent="0.25">
      <c r="I971" t="s">
        <v>129</v>
      </c>
      <c r="J971" t="s">
        <v>1925</v>
      </c>
      <c r="L971" t="s">
        <v>541</v>
      </c>
      <c r="M971" t="s">
        <v>5666</v>
      </c>
    </row>
    <row r="972" spans="9:13" x14ac:dyDescent="0.25">
      <c r="I972" t="s">
        <v>2164</v>
      </c>
      <c r="J972" t="s">
        <v>6970</v>
      </c>
      <c r="L972" t="s">
        <v>58</v>
      </c>
      <c r="M972" t="s">
        <v>7009</v>
      </c>
    </row>
    <row r="973" spans="9:13" x14ac:dyDescent="0.25">
      <c r="I973" t="s">
        <v>6813</v>
      </c>
      <c r="J973" t="s">
        <v>3068</v>
      </c>
      <c r="L973" t="s">
        <v>144</v>
      </c>
      <c r="M973" t="s">
        <v>6401</v>
      </c>
    </row>
    <row r="974" spans="9:13" x14ac:dyDescent="0.25">
      <c r="I974" t="s">
        <v>6830</v>
      </c>
      <c r="J974" t="s">
        <v>2497</v>
      </c>
      <c r="L974" t="s">
        <v>41</v>
      </c>
      <c r="M974" t="s">
        <v>5209</v>
      </c>
    </row>
    <row r="975" spans="9:13" x14ac:dyDescent="0.25">
      <c r="I975" t="s">
        <v>2579</v>
      </c>
      <c r="J975" t="s">
        <v>2580</v>
      </c>
      <c r="L975" t="s">
        <v>328</v>
      </c>
      <c r="M975" t="s">
        <v>6481</v>
      </c>
    </row>
    <row r="976" spans="9:13" x14ac:dyDescent="0.25">
      <c r="I976" t="s">
        <v>98</v>
      </c>
      <c r="J976" t="s">
        <v>3881</v>
      </c>
      <c r="L976" t="s">
        <v>328</v>
      </c>
      <c r="M976" t="s">
        <v>5827</v>
      </c>
    </row>
    <row r="977" spans="9:13" x14ac:dyDescent="0.25">
      <c r="I977" t="s">
        <v>130</v>
      </c>
      <c r="J977" t="s">
        <v>1890</v>
      </c>
      <c r="L977" t="s">
        <v>267</v>
      </c>
      <c r="M977" t="s">
        <v>5511</v>
      </c>
    </row>
    <row r="978" spans="9:13" x14ac:dyDescent="0.25">
      <c r="I978" t="s">
        <v>2164</v>
      </c>
      <c r="J978" t="s">
        <v>6850</v>
      </c>
      <c r="L978" t="s">
        <v>266</v>
      </c>
      <c r="M978" t="s">
        <v>6154</v>
      </c>
    </row>
    <row r="979" spans="9:13" x14ac:dyDescent="0.25">
      <c r="I979" t="s">
        <v>267</v>
      </c>
      <c r="J979" t="s">
        <v>2706</v>
      </c>
      <c r="L979" t="s">
        <v>6176</v>
      </c>
      <c r="M979" t="s">
        <v>6177</v>
      </c>
    </row>
    <row r="980" spans="9:13" x14ac:dyDescent="0.25">
      <c r="I980" t="s">
        <v>414</v>
      </c>
      <c r="J980" t="s">
        <v>4253</v>
      </c>
      <c r="L980" t="s">
        <v>597</v>
      </c>
      <c r="M980" t="s">
        <v>4686</v>
      </c>
    </row>
    <row r="981" spans="9:13" x14ac:dyDescent="0.25">
      <c r="I981" t="s">
        <v>302</v>
      </c>
      <c r="J981" t="s">
        <v>1902</v>
      </c>
      <c r="L981" t="s">
        <v>53</v>
      </c>
      <c r="M981" t="s">
        <v>4995</v>
      </c>
    </row>
    <row r="982" spans="9:13" x14ac:dyDescent="0.25">
      <c r="I982" t="s">
        <v>1779</v>
      </c>
      <c r="J982" t="s">
        <v>3016</v>
      </c>
      <c r="L982" t="s">
        <v>266</v>
      </c>
      <c r="M982" t="s">
        <v>6454</v>
      </c>
    </row>
    <row r="983" spans="9:13" x14ac:dyDescent="0.25">
      <c r="I983" t="s">
        <v>1678</v>
      </c>
      <c r="J983" t="s">
        <v>1679</v>
      </c>
      <c r="L983" t="s">
        <v>5649</v>
      </c>
      <c r="M983" t="s">
        <v>5650</v>
      </c>
    </row>
    <row r="984" spans="9:13" x14ac:dyDescent="0.25">
      <c r="I984" t="s">
        <v>3913</v>
      </c>
      <c r="J984" t="s">
        <v>3914</v>
      </c>
      <c r="L984" t="s">
        <v>41</v>
      </c>
      <c r="M984" t="s">
        <v>4985</v>
      </c>
    </row>
    <row r="985" spans="9:13" x14ac:dyDescent="0.25">
      <c r="I985" t="s">
        <v>581</v>
      </c>
      <c r="J985" t="s">
        <v>3033</v>
      </c>
      <c r="L985" t="s">
        <v>5455</v>
      </c>
      <c r="M985" t="s">
        <v>5456</v>
      </c>
    </row>
    <row r="986" spans="9:13" x14ac:dyDescent="0.25">
      <c r="I986" t="s">
        <v>597</v>
      </c>
      <c r="J986" t="s">
        <v>2558</v>
      </c>
      <c r="L986" t="s">
        <v>4812</v>
      </c>
      <c r="M986" t="s">
        <v>5440</v>
      </c>
    </row>
    <row r="987" spans="9:13" x14ac:dyDescent="0.25">
      <c r="I987" t="s">
        <v>2656</v>
      </c>
      <c r="J987" t="s">
        <v>2844</v>
      </c>
      <c r="L987" t="s">
        <v>53</v>
      </c>
      <c r="M987" t="s">
        <v>5765</v>
      </c>
    </row>
    <row r="988" spans="9:13" x14ac:dyDescent="0.25">
      <c r="I988" t="s">
        <v>1808</v>
      </c>
      <c r="J988" t="s">
        <v>3826</v>
      </c>
      <c r="L988" t="s">
        <v>266</v>
      </c>
      <c r="M988" t="s">
        <v>5172</v>
      </c>
    </row>
    <row r="989" spans="9:13" x14ac:dyDescent="0.25">
      <c r="I989" t="s">
        <v>6894</v>
      </c>
      <c r="J989" t="s">
        <v>3524</v>
      </c>
      <c r="L989" t="s">
        <v>486</v>
      </c>
      <c r="M989" t="s">
        <v>4921</v>
      </c>
    </row>
    <row r="990" spans="9:13" x14ac:dyDescent="0.25">
      <c r="I990" t="s">
        <v>302</v>
      </c>
      <c r="J990" t="s">
        <v>1931</v>
      </c>
      <c r="L990" t="s">
        <v>4812</v>
      </c>
      <c r="M990" t="s">
        <v>4813</v>
      </c>
    </row>
    <row r="991" spans="9:13" x14ac:dyDescent="0.25">
      <c r="I991" t="s">
        <v>1712</v>
      </c>
      <c r="J991" t="s">
        <v>1713</v>
      </c>
      <c r="L991" t="s">
        <v>267</v>
      </c>
      <c r="M991" t="s">
        <v>6461</v>
      </c>
    </row>
    <row r="992" spans="9:13" x14ac:dyDescent="0.25">
      <c r="I992" t="s">
        <v>328</v>
      </c>
      <c r="J992" t="s">
        <v>2740</v>
      </c>
      <c r="L992" t="s">
        <v>5044</v>
      </c>
      <c r="M992" t="s">
        <v>5892</v>
      </c>
    </row>
    <row r="993" spans="9:13" x14ac:dyDescent="0.25">
      <c r="I993" t="s">
        <v>6733</v>
      </c>
      <c r="J993" t="s">
        <v>6678</v>
      </c>
      <c r="L993" t="s">
        <v>373</v>
      </c>
      <c r="M993" t="s">
        <v>5573</v>
      </c>
    </row>
    <row r="994" spans="9:13" x14ac:dyDescent="0.25">
      <c r="I994" t="s">
        <v>414</v>
      </c>
      <c r="J994" t="s">
        <v>4112</v>
      </c>
      <c r="L994" t="s">
        <v>267</v>
      </c>
      <c r="M994" t="s">
        <v>6288</v>
      </c>
    </row>
    <row r="995" spans="9:13" x14ac:dyDescent="0.25">
      <c r="I995" t="s">
        <v>414</v>
      </c>
      <c r="J995" t="s">
        <v>3061</v>
      </c>
      <c r="L995" t="s">
        <v>293</v>
      </c>
      <c r="M995" t="s">
        <v>5069</v>
      </c>
    </row>
    <row r="996" spans="9:13" x14ac:dyDescent="0.25">
      <c r="I996" t="s">
        <v>302</v>
      </c>
      <c r="J996" t="s">
        <v>3353</v>
      </c>
      <c r="L996" t="s">
        <v>267</v>
      </c>
      <c r="M996" t="s">
        <v>6450</v>
      </c>
    </row>
    <row r="997" spans="9:13" x14ac:dyDescent="0.25">
      <c r="I997" t="s">
        <v>6813</v>
      </c>
      <c r="J997" t="s">
        <v>3584</v>
      </c>
      <c r="L997" t="s">
        <v>597</v>
      </c>
      <c r="M997" t="s">
        <v>5992</v>
      </c>
    </row>
    <row r="998" spans="9:13" x14ac:dyDescent="0.25">
      <c r="I998" t="s">
        <v>1831</v>
      </c>
      <c r="J998" t="s">
        <v>4269</v>
      </c>
      <c r="L998" t="s">
        <v>267</v>
      </c>
      <c r="M998" t="s">
        <v>6323</v>
      </c>
    </row>
    <row r="999" spans="9:13" x14ac:dyDescent="0.25">
      <c r="I999" t="s">
        <v>3081</v>
      </c>
      <c r="J999" t="s">
        <v>4031</v>
      </c>
      <c r="L999" t="s">
        <v>6353</v>
      </c>
      <c r="M999" t="s">
        <v>6354</v>
      </c>
    </row>
    <row r="1000" spans="9:13" x14ac:dyDescent="0.25">
      <c r="I1000" t="s">
        <v>2579</v>
      </c>
      <c r="J1000" t="s">
        <v>3507</v>
      </c>
      <c r="L1000" t="s">
        <v>467</v>
      </c>
      <c r="M1000" t="s">
        <v>7244</v>
      </c>
    </row>
    <row r="1001" spans="9:13" x14ac:dyDescent="0.25">
      <c r="I1001" t="s">
        <v>3603</v>
      </c>
      <c r="J1001" t="s">
        <v>4120</v>
      </c>
      <c r="L1001" t="s">
        <v>328</v>
      </c>
      <c r="M1001" t="s">
        <v>5973</v>
      </c>
    </row>
    <row r="1002" spans="9:13" x14ac:dyDescent="0.25">
      <c r="I1002" t="s">
        <v>2783</v>
      </c>
      <c r="J1002" t="s">
        <v>2784</v>
      </c>
      <c r="L1002" t="s">
        <v>267</v>
      </c>
      <c r="M1002" t="s">
        <v>6479</v>
      </c>
    </row>
    <row r="1003" spans="9:13" x14ac:dyDescent="0.25">
      <c r="I1003" t="s">
        <v>1779</v>
      </c>
      <c r="J1003" t="s">
        <v>2008</v>
      </c>
      <c r="L1003" t="s">
        <v>299</v>
      </c>
      <c r="M1003" t="s">
        <v>6166</v>
      </c>
    </row>
    <row r="1004" spans="9:13" x14ac:dyDescent="0.25">
      <c r="I1004" t="s">
        <v>414</v>
      </c>
      <c r="J1004" t="s">
        <v>3421</v>
      </c>
      <c r="L1004" t="s">
        <v>52</v>
      </c>
      <c r="M1004" t="s">
        <v>6027</v>
      </c>
    </row>
    <row r="1005" spans="9:13" x14ac:dyDescent="0.25">
      <c r="I1005" t="s">
        <v>1894</v>
      </c>
      <c r="J1005" t="s">
        <v>4042</v>
      </c>
      <c r="L1005" t="s">
        <v>299</v>
      </c>
      <c r="M1005" t="s">
        <v>6199</v>
      </c>
    </row>
    <row r="1006" spans="9:13" x14ac:dyDescent="0.25">
      <c r="I1006" t="s">
        <v>302</v>
      </c>
      <c r="J1006" t="s">
        <v>2274</v>
      </c>
      <c r="L1006" t="s">
        <v>418</v>
      </c>
      <c r="M1006" t="s">
        <v>6278</v>
      </c>
    </row>
    <row r="1007" spans="9:13" x14ac:dyDescent="0.25">
      <c r="I1007" t="s">
        <v>41</v>
      </c>
      <c r="J1007" t="s">
        <v>6849</v>
      </c>
      <c r="L1007" t="s">
        <v>418</v>
      </c>
      <c r="M1007" t="s">
        <v>5312</v>
      </c>
    </row>
    <row r="1008" spans="9:13" x14ac:dyDescent="0.25">
      <c r="I1008" t="s">
        <v>1996</v>
      </c>
      <c r="J1008" t="s">
        <v>1997</v>
      </c>
      <c r="L1008" t="s">
        <v>328</v>
      </c>
      <c r="M1008" t="s">
        <v>6387</v>
      </c>
    </row>
    <row r="1009" spans="9:13" x14ac:dyDescent="0.25">
      <c r="I1009" t="s">
        <v>267</v>
      </c>
      <c r="J1009" t="s">
        <v>3844</v>
      </c>
      <c r="L1009" t="s">
        <v>597</v>
      </c>
      <c r="M1009" t="s">
        <v>4882</v>
      </c>
    </row>
    <row r="1010" spans="9:13" x14ac:dyDescent="0.25">
      <c r="I1010" t="s">
        <v>67</v>
      </c>
      <c r="J1010" t="s">
        <v>6916</v>
      </c>
      <c r="L1010" t="s">
        <v>267</v>
      </c>
      <c r="M1010" t="s">
        <v>5800</v>
      </c>
    </row>
    <row r="1011" spans="9:13" x14ac:dyDescent="0.25">
      <c r="I1011" t="s">
        <v>373</v>
      </c>
      <c r="J1011" t="s">
        <v>6967</v>
      </c>
      <c r="L1011" t="s">
        <v>267</v>
      </c>
      <c r="M1011" t="s">
        <v>6568</v>
      </c>
    </row>
    <row r="1012" spans="9:13" x14ac:dyDescent="0.25">
      <c r="I1012" t="s">
        <v>414</v>
      </c>
      <c r="J1012" t="s">
        <v>2266</v>
      </c>
      <c r="L1012" t="s">
        <v>418</v>
      </c>
      <c r="M1012" t="s">
        <v>4834</v>
      </c>
    </row>
    <row r="1013" spans="9:13" x14ac:dyDescent="0.25">
      <c r="I1013" t="s">
        <v>2579</v>
      </c>
      <c r="J1013" t="s">
        <v>3587</v>
      </c>
      <c r="L1013" t="s">
        <v>299</v>
      </c>
      <c r="M1013" t="s">
        <v>6190</v>
      </c>
    </row>
    <row r="1014" spans="9:13" x14ac:dyDescent="0.25">
      <c r="I1014" t="s">
        <v>414</v>
      </c>
      <c r="J1014" t="s">
        <v>2337</v>
      </c>
      <c r="L1014" t="s">
        <v>5658</v>
      </c>
      <c r="M1014" t="s">
        <v>5659</v>
      </c>
    </row>
    <row r="1015" spans="9:13" x14ac:dyDescent="0.25">
      <c r="I1015" t="s">
        <v>6824</v>
      </c>
      <c r="J1015" t="s">
        <v>2447</v>
      </c>
      <c r="L1015" t="s">
        <v>321</v>
      </c>
      <c r="M1015" t="s">
        <v>6025</v>
      </c>
    </row>
    <row r="1016" spans="9:13" x14ac:dyDescent="0.25">
      <c r="I1016" t="s">
        <v>267</v>
      </c>
      <c r="J1016" t="s">
        <v>4308</v>
      </c>
      <c r="L1016" t="s">
        <v>376</v>
      </c>
      <c r="M1016" t="s">
        <v>5288</v>
      </c>
    </row>
    <row r="1017" spans="9:13" x14ac:dyDescent="0.25">
      <c r="I1017" t="s">
        <v>97</v>
      </c>
      <c r="J1017" t="s">
        <v>3087</v>
      </c>
      <c r="L1017" t="s">
        <v>597</v>
      </c>
      <c r="M1017" t="s">
        <v>5085</v>
      </c>
    </row>
    <row r="1018" spans="9:13" x14ac:dyDescent="0.25">
      <c r="I1018" t="s">
        <v>17</v>
      </c>
      <c r="J1018" t="s">
        <v>3804</v>
      </c>
      <c r="L1018" t="s">
        <v>597</v>
      </c>
      <c r="M1018" t="s">
        <v>6630</v>
      </c>
    </row>
    <row r="1019" spans="9:13" x14ac:dyDescent="0.25">
      <c r="I1019" t="s">
        <v>266</v>
      </c>
      <c r="J1019" t="s">
        <v>3266</v>
      </c>
      <c r="L1019" t="s">
        <v>330</v>
      </c>
      <c r="M1019" t="s">
        <v>5460</v>
      </c>
    </row>
    <row r="1020" spans="9:13" x14ac:dyDescent="0.25">
      <c r="I1020" t="s">
        <v>267</v>
      </c>
      <c r="J1020" t="s">
        <v>4091</v>
      </c>
      <c r="L1020" t="s">
        <v>7087</v>
      </c>
      <c r="M1020" t="s">
        <v>7088</v>
      </c>
    </row>
    <row r="1021" spans="9:13" x14ac:dyDescent="0.25">
      <c r="I1021" t="s">
        <v>1816</v>
      </c>
      <c r="J1021" t="s">
        <v>3213</v>
      </c>
      <c r="L1021" t="s">
        <v>418</v>
      </c>
      <c r="M1021" t="s">
        <v>6569</v>
      </c>
    </row>
    <row r="1022" spans="9:13" x14ac:dyDescent="0.25">
      <c r="I1022" t="s">
        <v>102</v>
      </c>
      <c r="J1022" t="s">
        <v>3163</v>
      </c>
      <c r="L1022" t="s">
        <v>326</v>
      </c>
      <c r="M1022" t="s">
        <v>5707</v>
      </c>
    </row>
    <row r="1023" spans="9:13" x14ac:dyDescent="0.25">
      <c r="I1023" t="s">
        <v>2027</v>
      </c>
      <c r="J1023" t="s">
        <v>2028</v>
      </c>
      <c r="L1023" t="s">
        <v>412</v>
      </c>
      <c r="M1023" t="s">
        <v>4624</v>
      </c>
    </row>
    <row r="1024" spans="9:13" x14ac:dyDescent="0.25">
      <c r="I1024" t="s">
        <v>2656</v>
      </c>
      <c r="J1024" t="s">
        <v>2787</v>
      </c>
      <c r="L1024" t="s">
        <v>418</v>
      </c>
      <c r="M1024" t="s">
        <v>6477</v>
      </c>
    </row>
    <row r="1025" spans="9:13" x14ac:dyDescent="0.25">
      <c r="I1025" t="s">
        <v>414</v>
      </c>
      <c r="J1025" t="s">
        <v>3592</v>
      </c>
      <c r="L1025" t="s">
        <v>5856</v>
      </c>
      <c r="M1025" t="s">
        <v>5857</v>
      </c>
    </row>
    <row r="1026" spans="9:13" x14ac:dyDescent="0.25">
      <c r="I1026" t="s">
        <v>267</v>
      </c>
      <c r="J1026" t="s">
        <v>3652</v>
      </c>
      <c r="L1026" t="s">
        <v>418</v>
      </c>
      <c r="M1026" t="s">
        <v>5927</v>
      </c>
    </row>
    <row r="1027" spans="9:13" x14ac:dyDescent="0.25">
      <c r="I1027" t="s">
        <v>414</v>
      </c>
      <c r="J1027" t="s">
        <v>2515</v>
      </c>
      <c r="L1027" t="s">
        <v>4947</v>
      </c>
      <c r="M1027" t="s">
        <v>4948</v>
      </c>
    </row>
    <row r="1028" spans="9:13" x14ac:dyDescent="0.25">
      <c r="I1028" t="s">
        <v>414</v>
      </c>
      <c r="J1028" t="s">
        <v>3373</v>
      </c>
      <c r="L1028" t="s">
        <v>418</v>
      </c>
      <c r="M1028" t="s">
        <v>5079</v>
      </c>
    </row>
    <row r="1029" spans="9:13" x14ac:dyDescent="0.25">
      <c r="I1029" t="s">
        <v>4038</v>
      </c>
      <c r="J1029" t="s">
        <v>4039</v>
      </c>
      <c r="L1029" t="s">
        <v>597</v>
      </c>
      <c r="M1029" t="s">
        <v>4745</v>
      </c>
    </row>
    <row r="1030" spans="9:13" x14ac:dyDescent="0.25">
      <c r="I1030" t="s">
        <v>2388</v>
      </c>
      <c r="J1030" t="s">
        <v>6855</v>
      </c>
      <c r="L1030" t="s">
        <v>46</v>
      </c>
      <c r="M1030" t="s">
        <v>5941</v>
      </c>
    </row>
    <row r="1031" spans="9:13" x14ac:dyDescent="0.25">
      <c r="I1031" t="s">
        <v>267</v>
      </c>
      <c r="J1031" t="s">
        <v>2436</v>
      </c>
      <c r="L1031" t="s">
        <v>267</v>
      </c>
      <c r="M1031" t="s">
        <v>6584</v>
      </c>
    </row>
    <row r="1032" spans="9:13" x14ac:dyDescent="0.25">
      <c r="I1032" t="s">
        <v>1779</v>
      </c>
      <c r="J1032" t="s">
        <v>3667</v>
      </c>
      <c r="L1032" t="s">
        <v>418</v>
      </c>
      <c r="M1032" t="s">
        <v>4850</v>
      </c>
    </row>
    <row r="1033" spans="9:13" x14ac:dyDescent="0.25">
      <c r="I1033" t="s">
        <v>597</v>
      </c>
      <c r="J1033" t="s">
        <v>3473</v>
      </c>
      <c r="L1033" t="s">
        <v>597</v>
      </c>
      <c r="M1033" t="s">
        <v>5720</v>
      </c>
    </row>
    <row r="1034" spans="9:13" x14ac:dyDescent="0.25">
      <c r="I1034" t="s">
        <v>6733</v>
      </c>
      <c r="J1034" t="s">
        <v>4199</v>
      </c>
      <c r="L1034" t="s">
        <v>5290</v>
      </c>
      <c r="M1034" t="s">
        <v>6247</v>
      </c>
    </row>
    <row r="1035" spans="9:13" x14ac:dyDescent="0.25">
      <c r="I1035" t="s">
        <v>3999</v>
      </c>
      <c r="J1035" t="s">
        <v>4000</v>
      </c>
      <c r="L1035" t="s">
        <v>291</v>
      </c>
      <c r="M1035" t="s">
        <v>6137</v>
      </c>
    </row>
    <row r="1036" spans="9:13" x14ac:dyDescent="0.25">
      <c r="I1036" t="s">
        <v>3453</v>
      </c>
      <c r="J1036" t="s">
        <v>3454</v>
      </c>
      <c r="L1036" t="s">
        <v>267</v>
      </c>
      <c r="M1036" t="s">
        <v>5278</v>
      </c>
    </row>
    <row r="1037" spans="9:13" x14ac:dyDescent="0.25">
      <c r="I1037" t="s">
        <v>373</v>
      </c>
      <c r="J1037" t="s">
        <v>2897</v>
      </c>
      <c r="L1037" t="s">
        <v>267</v>
      </c>
      <c r="M1037" t="s">
        <v>6244</v>
      </c>
    </row>
    <row r="1038" spans="9:13" x14ac:dyDescent="0.25">
      <c r="I1038" t="s">
        <v>1907</v>
      </c>
      <c r="J1038" t="s">
        <v>2425</v>
      </c>
      <c r="L1038" t="s">
        <v>330</v>
      </c>
      <c r="M1038" t="s">
        <v>5514</v>
      </c>
    </row>
    <row r="1039" spans="9:13" x14ac:dyDescent="0.25">
      <c r="I1039" t="s">
        <v>267</v>
      </c>
      <c r="J1039" t="s">
        <v>4101</v>
      </c>
      <c r="L1039" t="s">
        <v>328</v>
      </c>
      <c r="M1039" t="s">
        <v>5617</v>
      </c>
    </row>
    <row r="1040" spans="9:13" x14ac:dyDescent="0.25">
      <c r="I1040" t="s">
        <v>43</v>
      </c>
      <c r="J1040" t="s">
        <v>2898</v>
      </c>
      <c r="L1040" t="s">
        <v>420</v>
      </c>
      <c r="M1040" t="s">
        <v>6266</v>
      </c>
    </row>
    <row r="1041" spans="9:13" x14ac:dyDescent="0.25">
      <c r="I1041" t="s">
        <v>102</v>
      </c>
      <c r="J1041" t="s">
        <v>2340</v>
      </c>
      <c r="L1041" t="s">
        <v>597</v>
      </c>
      <c r="M1041" t="s">
        <v>5159</v>
      </c>
    </row>
    <row r="1042" spans="9:13" x14ac:dyDescent="0.25">
      <c r="I1042" t="s">
        <v>51</v>
      </c>
      <c r="J1042" t="s">
        <v>4306</v>
      </c>
      <c r="L1042" t="s">
        <v>508</v>
      </c>
      <c r="M1042" t="s">
        <v>5629</v>
      </c>
    </row>
    <row r="1043" spans="9:13" x14ac:dyDescent="0.25">
      <c r="I1043" t="s">
        <v>3575</v>
      </c>
      <c r="J1043" t="s">
        <v>3576</v>
      </c>
      <c r="L1043" t="s">
        <v>600</v>
      </c>
      <c r="M1043" t="s">
        <v>5365</v>
      </c>
    </row>
    <row r="1044" spans="9:13" x14ac:dyDescent="0.25">
      <c r="I1044" t="s">
        <v>3199</v>
      </c>
      <c r="J1044" t="s">
        <v>3200</v>
      </c>
      <c r="L1044" t="s">
        <v>5266</v>
      </c>
      <c r="M1044" t="s">
        <v>5267</v>
      </c>
    </row>
    <row r="1045" spans="9:13" x14ac:dyDescent="0.25">
      <c r="I1045" t="s">
        <v>2769</v>
      </c>
      <c r="J1045" t="s">
        <v>2770</v>
      </c>
      <c r="L1045" t="s">
        <v>267</v>
      </c>
      <c r="M1045" t="s">
        <v>5623</v>
      </c>
    </row>
    <row r="1046" spans="9:13" x14ac:dyDescent="0.25">
      <c r="I1046" t="s">
        <v>602</v>
      </c>
      <c r="J1046" t="s">
        <v>6982</v>
      </c>
      <c r="L1046" t="s">
        <v>5290</v>
      </c>
      <c r="M1046" t="s">
        <v>5291</v>
      </c>
    </row>
    <row r="1047" spans="9:13" x14ac:dyDescent="0.25">
      <c r="I1047" t="s">
        <v>267</v>
      </c>
      <c r="J1047" t="s">
        <v>3555</v>
      </c>
      <c r="L1047" t="s">
        <v>324</v>
      </c>
      <c r="M1047" t="s">
        <v>5453</v>
      </c>
    </row>
    <row r="1048" spans="9:13" x14ac:dyDescent="0.25">
      <c r="I1048" t="s">
        <v>328</v>
      </c>
      <c r="J1048" t="s">
        <v>2114</v>
      </c>
      <c r="L1048" t="s">
        <v>597</v>
      </c>
      <c r="M1048" t="s">
        <v>5809</v>
      </c>
    </row>
    <row r="1049" spans="9:13" x14ac:dyDescent="0.25">
      <c r="I1049" t="s">
        <v>2433</v>
      </c>
      <c r="J1049" t="s">
        <v>2434</v>
      </c>
      <c r="L1049" t="s">
        <v>291</v>
      </c>
      <c r="M1049" t="s">
        <v>6429</v>
      </c>
    </row>
    <row r="1050" spans="9:13" x14ac:dyDescent="0.25">
      <c r="I1050" t="s">
        <v>3910</v>
      </c>
      <c r="J1050" t="s">
        <v>3911</v>
      </c>
      <c r="L1050" t="s">
        <v>41</v>
      </c>
      <c r="M1050" t="s">
        <v>5134</v>
      </c>
    </row>
    <row r="1051" spans="9:13" x14ac:dyDescent="0.25">
      <c r="I1051" t="s">
        <v>597</v>
      </c>
      <c r="J1051" t="s">
        <v>2196</v>
      </c>
      <c r="L1051" t="s">
        <v>6509</v>
      </c>
      <c r="M1051" t="s">
        <v>6510</v>
      </c>
    </row>
    <row r="1052" spans="9:13" x14ac:dyDescent="0.25">
      <c r="I1052" t="s">
        <v>2128</v>
      </c>
      <c r="J1052" t="s">
        <v>2659</v>
      </c>
      <c r="L1052" t="s">
        <v>41</v>
      </c>
      <c r="M1052" t="s">
        <v>4652</v>
      </c>
    </row>
    <row r="1053" spans="9:13" x14ac:dyDescent="0.25">
      <c r="I1053" t="s">
        <v>6723</v>
      </c>
      <c r="J1053" t="s">
        <v>2659</v>
      </c>
      <c r="L1053" t="s">
        <v>321</v>
      </c>
      <c r="M1053" t="s">
        <v>5414</v>
      </c>
    </row>
    <row r="1054" spans="9:13" x14ac:dyDescent="0.25">
      <c r="I1054" t="s">
        <v>267</v>
      </c>
      <c r="J1054" t="s">
        <v>2071</v>
      </c>
      <c r="L1054" t="s">
        <v>508</v>
      </c>
      <c r="M1054" t="s">
        <v>7132</v>
      </c>
    </row>
    <row r="1055" spans="9:13" x14ac:dyDescent="0.25">
      <c r="I1055" t="s">
        <v>97</v>
      </c>
      <c r="J1055" t="s">
        <v>2389</v>
      </c>
      <c r="L1055" t="s">
        <v>66</v>
      </c>
      <c r="M1055" t="s">
        <v>4728</v>
      </c>
    </row>
    <row r="1056" spans="9:13" x14ac:dyDescent="0.25">
      <c r="I1056" t="s">
        <v>40</v>
      </c>
      <c r="J1056" t="s">
        <v>2038</v>
      </c>
      <c r="L1056" t="s">
        <v>597</v>
      </c>
      <c r="M1056" t="s">
        <v>5350</v>
      </c>
    </row>
    <row r="1057" spans="9:13" x14ac:dyDescent="0.25">
      <c r="I1057" t="s">
        <v>41</v>
      </c>
      <c r="J1057" t="s">
        <v>3817</v>
      </c>
      <c r="L1057" t="s">
        <v>330</v>
      </c>
      <c r="M1057" t="s">
        <v>5987</v>
      </c>
    </row>
    <row r="1058" spans="9:13" x14ac:dyDescent="0.25">
      <c r="I1058" t="s">
        <v>4125</v>
      </c>
      <c r="J1058" t="s">
        <v>4126</v>
      </c>
      <c r="L1058" t="s">
        <v>302</v>
      </c>
      <c r="M1058" t="s">
        <v>5475</v>
      </c>
    </row>
    <row r="1059" spans="9:13" x14ac:dyDescent="0.25">
      <c r="I1059" t="s">
        <v>267</v>
      </c>
      <c r="J1059" t="s">
        <v>2042</v>
      </c>
      <c r="L1059" t="s">
        <v>5602</v>
      </c>
      <c r="M1059" t="s">
        <v>5603</v>
      </c>
    </row>
    <row r="1060" spans="9:13" x14ac:dyDescent="0.25">
      <c r="I1060" t="s">
        <v>735</v>
      </c>
      <c r="J1060" t="s">
        <v>2713</v>
      </c>
      <c r="L1060" t="s">
        <v>326</v>
      </c>
      <c r="M1060" t="s">
        <v>5656</v>
      </c>
    </row>
    <row r="1061" spans="9:13" x14ac:dyDescent="0.25">
      <c r="I1061" t="s">
        <v>2734</v>
      </c>
      <c r="J1061" t="s">
        <v>2735</v>
      </c>
      <c r="L1061" t="s">
        <v>5663</v>
      </c>
      <c r="M1061" t="s">
        <v>5664</v>
      </c>
    </row>
    <row r="1062" spans="9:13" x14ac:dyDescent="0.25">
      <c r="I1062" t="s">
        <v>266</v>
      </c>
      <c r="J1062" t="s">
        <v>6669</v>
      </c>
      <c r="L1062" t="s">
        <v>328</v>
      </c>
      <c r="M1062" t="s">
        <v>7225</v>
      </c>
    </row>
    <row r="1063" spans="9:13" x14ac:dyDescent="0.25">
      <c r="I1063" t="s">
        <v>330</v>
      </c>
      <c r="J1063" t="s">
        <v>6846</v>
      </c>
      <c r="L1063" t="s">
        <v>328</v>
      </c>
      <c r="M1063" t="s">
        <v>7193</v>
      </c>
    </row>
    <row r="1064" spans="9:13" x14ac:dyDescent="0.25">
      <c r="I1064" t="s">
        <v>267</v>
      </c>
      <c r="J1064" t="s">
        <v>2624</v>
      </c>
      <c r="L1064" t="s">
        <v>508</v>
      </c>
      <c r="M1064" t="s">
        <v>6580</v>
      </c>
    </row>
    <row r="1065" spans="9:13" x14ac:dyDescent="0.25">
      <c r="I1065" t="s">
        <v>412</v>
      </c>
      <c r="J1065" t="s">
        <v>6929</v>
      </c>
      <c r="L1065" t="s">
        <v>6434</v>
      </c>
      <c r="M1065" t="s">
        <v>6435</v>
      </c>
    </row>
    <row r="1066" spans="9:13" x14ac:dyDescent="0.25">
      <c r="I1066" t="s">
        <v>4011</v>
      </c>
      <c r="J1066" t="s">
        <v>4507</v>
      </c>
      <c r="L1066" t="s">
        <v>597</v>
      </c>
      <c r="M1066" t="s">
        <v>5734</v>
      </c>
    </row>
    <row r="1067" spans="9:13" x14ac:dyDescent="0.25">
      <c r="I1067" t="s">
        <v>2002</v>
      </c>
      <c r="J1067" t="s">
        <v>2003</v>
      </c>
      <c r="L1067" t="s">
        <v>4659</v>
      </c>
      <c r="M1067" t="s">
        <v>5979</v>
      </c>
    </row>
    <row r="1068" spans="9:13" x14ac:dyDescent="0.25">
      <c r="I1068" t="s">
        <v>51</v>
      </c>
      <c r="J1068" t="s">
        <v>1774</v>
      </c>
      <c r="L1068" t="s">
        <v>267</v>
      </c>
      <c r="M1068" t="s">
        <v>5352</v>
      </c>
    </row>
    <row r="1069" spans="9:13" x14ac:dyDescent="0.25">
      <c r="I1069" t="s">
        <v>581</v>
      </c>
      <c r="J1069" t="s">
        <v>2802</v>
      </c>
      <c r="L1069" t="s">
        <v>328</v>
      </c>
      <c r="M1069" t="s">
        <v>4623</v>
      </c>
    </row>
    <row r="1070" spans="9:13" x14ac:dyDescent="0.25">
      <c r="I1070" t="s">
        <v>267</v>
      </c>
      <c r="J1070" t="s">
        <v>2958</v>
      </c>
      <c r="L1070" t="s">
        <v>330</v>
      </c>
      <c r="M1070" t="s">
        <v>7094</v>
      </c>
    </row>
    <row r="1071" spans="9:13" x14ac:dyDescent="0.25">
      <c r="I1071" t="s">
        <v>267</v>
      </c>
      <c r="J1071" t="s">
        <v>3675</v>
      </c>
      <c r="L1071" t="s">
        <v>330</v>
      </c>
      <c r="M1071" t="s">
        <v>7107</v>
      </c>
    </row>
    <row r="1072" spans="9:13" x14ac:dyDescent="0.25">
      <c r="I1072" t="s">
        <v>6824</v>
      </c>
      <c r="J1072" t="s">
        <v>1951</v>
      </c>
      <c r="L1072" t="s">
        <v>302</v>
      </c>
      <c r="M1072" t="s">
        <v>7031</v>
      </c>
    </row>
    <row r="1073" spans="9:13" x14ac:dyDescent="0.25">
      <c r="I1073" t="s">
        <v>326</v>
      </c>
      <c r="J1073" t="s">
        <v>3513</v>
      </c>
      <c r="L1073" t="s">
        <v>267</v>
      </c>
      <c r="M1073" t="s">
        <v>4641</v>
      </c>
    </row>
    <row r="1074" spans="9:13" x14ac:dyDescent="0.25">
      <c r="I1074" t="s">
        <v>130</v>
      </c>
      <c r="J1074" t="s">
        <v>3133</v>
      </c>
      <c r="L1074" t="s">
        <v>326</v>
      </c>
      <c r="M1074" t="s">
        <v>5003</v>
      </c>
    </row>
    <row r="1075" spans="9:13" x14ac:dyDescent="0.25">
      <c r="I1075" t="s">
        <v>3714</v>
      </c>
      <c r="J1075" t="s">
        <v>3715</v>
      </c>
      <c r="L1075" t="s">
        <v>506</v>
      </c>
      <c r="M1075" t="s">
        <v>5372</v>
      </c>
    </row>
    <row r="1076" spans="9:13" x14ac:dyDescent="0.25">
      <c r="I1076" t="s">
        <v>3453</v>
      </c>
      <c r="J1076" t="s">
        <v>3926</v>
      </c>
      <c r="L1076" t="s">
        <v>486</v>
      </c>
      <c r="M1076" t="s">
        <v>4980</v>
      </c>
    </row>
    <row r="1077" spans="9:13" x14ac:dyDescent="0.25">
      <c r="I1077" t="s">
        <v>267</v>
      </c>
      <c r="J1077" t="s">
        <v>4193</v>
      </c>
      <c r="L1077" t="s">
        <v>3112</v>
      </c>
      <c r="M1077" t="s">
        <v>4759</v>
      </c>
    </row>
    <row r="1078" spans="9:13" x14ac:dyDescent="0.25">
      <c r="I1078" t="s">
        <v>54</v>
      </c>
      <c r="J1078" t="s">
        <v>3323</v>
      </c>
      <c r="L1078" t="s">
        <v>506</v>
      </c>
      <c r="M1078" t="s">
        <v>4837</v>
      </c>
    </row>
    <row r="1079" spans="9:13" x14ac:dyDescent="0.25">
      <c r="I1079" t="s">
        <v>266</v>
      </c>
      <c r="J1079" t="s">
        <v>2470</v>
      </c>
      <c r="L1079" t="s">
        <v>267</v>
      </c>
      <c r="M1079" t="s">
        <v>6614</v>
      </c>
    </row>
    <row r="1080" spans="9:13" x14ac:dyDescent="0.25">
      <c r="I1080" t="s">
        <v>328</v>
      </c>
      <c r="J1080" t="s">
        <v>2034</v>
      </c>
      <c r="L1080" t="s">
        <v>2200</v>
      </c>
      <c r="M1080" t="s">
        <v>5162</v>
      </c>
    </row>
    <row r="1081" spans="9:13" x14ac:dyDescent="0.25">
      <c r="I1081" t="s">
        <v>41</v>
      </c>
      <c r="J1081" t="s">
        <v>2676</v>
      </c>
      <c r="L1081" t="s">
        <v>597</v>
      </c>
      <c r="M1081" t="s">
        <v>7075</v>
      </c>
    </row>
    <row r="1082" spans="9:13" x14ac:dyDescent="0.25">
      <c r="I1082" t="s">
        <v>3763</v>
      </c>
      <c r="J1082" t="s">
        <v>3764</v>
      </c>
      <c r="L1082" t="s">
        <v>4659</v>
      </c>
      <c r="M1082" t="s">
        <v>4660</v>
      </c>
    </row>
    <row r="1083" spans="9:13" x14ac:dyDescent="0.25">
      <c r="I1083" t="s">
        <v>330</v>
      </c>
      <c r="J1083" t="s">
        <v>6911</v>
      </c>
      <c r="L1083" t="s">
        <v>267</v>
      </c>
      <c r="M1083" t="s">
        <v>4770</v>
      </c>
    </row>
    <row r="1084" spans="9:13" x14ac:dyDescent="0.25">
      <c r="I1084" t="s">
        <v>328</v>
      </c>
      <c r="J1084" t="s">
        <v>6679</v>
      </c>
      <c r="L1084" t="s">
        <v>422</v>
      </c>
      <c r="M1084" t="s">
        <v>7049</v>
      </c>
    </row>
    <row r="1085" spans="9:13" x14ac:dyDescent="0.25">
      <c r="I1085" t="s">
        <v>43</v>
      </c>
      <c r="J1085" t="s">
        <v>2845</v>
      </c>
      <c r="L1085" t="s">
        <v>4816</v>
      </c>
      <c r="M1085" t="s">
        <v>7040</v>
      </c>
    </row>
    <row r="1086" spans="9:13" x14ac:dyDescent="0.25">
      <c r="I1086" t="s">
        <v>333</v>
      </c>
      <c r="J1086" t="s">
        <v>3233</v>
      </c>
      <c r="L1086" t="s">
        <v>302</v>
      </c>
      <c r="M1086" t="s">
        <v>7196</v>
      </c>
    </row>
    <row r="1087" spans="9:13" x14ac:dyDescent="0.25">
      <c r="I1087" t="s">
        <v>41</v>
      </c>
      <c r="J1087" t="s">
        <v>2746</v>
      </c>
      <c r="L1087" t="s">
        <v>440</v>
      </c>
      <c r="M1087" t="s">
        <v>5829</v>
      </c>
    </row>
    <row r="1088" spans="9:13" x14ac:dyDescent="0.25">
      <c r="I1088" t="s">
        <v>2556</v>
      </c>
      <c r="J1088" t="s">
        <v>3050</v>
      </c>
      <c r="L1088" t="s">
        <v>5845</v>
      </c>
      <c r="M1088" t="s">
        <v>5846</v>
      </c>
    </row>
    <row r="1089" spans="9:13" x14ac:dyDescent="0.25">
      <c r="I1089" t="s">
        <v>4141</v>
      </c>
      <c r="J1089" t="s">
        <v>4142</v>
      </c>
      <c r="L1089" t="s">
        <v>508</v>
      </c>
      <c r="M1089" t="s">
        <v>6105</v>
      </c>
    </row>
    <row r="1090" spans="9:13" x14ac:dyDescent="0.25">
      <c r="I1090" t="s">
        <v>735</v>
      </c>
      <c r="J1090" t="s">
        <v>2621</v>
      </c>
      <c r="L1090" t="s">
        <v>486</v>
      </c>
      <c r="M1090" t="s">
        <v>5758</v>
      </c>
    </row>
    <row r="1091" spans="9:13" x14ac:dyDescent="0.25">
      <c r="I1091" t="s">
        <v>418</v>
      </c>
      <c r="J1091" t="s">
        <v>1738</v>
      </c>
      <c r="L1091" t="s">
        <v>467</v>
      </c>
      <c r="M1091" t="s">
        <v>5119</v>
      </c>
    </row>
    <row r="1092" spans="9:13" x14ac:dyDescent="0.25">
      <c r="I1092" t="s">
        <v>333</v>
      </c>
      <c r="J1092" t="s">
        <v>4413</v>
      </c>
      <c r="L1092" t="s">
        <v>317</v>
      </c>
      <c r="M1092" t="s">
        <v>4786</v>
      </c>
    </row>
    <row r="1093" spans="9:13" x14ac:dyDescent="0.25">
      <c r="I1093" t="s">
        <v>330</v>
      </c>
      <c r="J1093" t="s">
        <v>6985</v>
      </c>
      <c r="L1093" t="s">
        <v>5837</v>
      </c>
      <c r="M1093" t="s">
        <v>6613</v>
      </c>
    </row>
    <row r="1094" spans="9:13" x14ac:dyDescent="0.25">
      <c r="I1094" t="s">
        <v>2159</v>
      </c>
      <c r="J1094" t="s">
        <v>2160</v>
      </c>
      <c r="L1094" t="s">
        <v>50</v>
      </c>
      <c r="M1094" t="s">
        <v>5416</v>
      </c>
    </row>
    <row r="1095" spans="9:13" x14ac:dyDescent="0.25">
      <c r="I1095" t="s">
        <v>1678</v>
      </c>
      <c r="J1095" t="s">
        <v>4340</v>
      </c>
      <c r="L1095" t="s">
        <v>597</v>
      </c>
      <c r="M1095" t="s">
        <v>5792</v>
      </c>
    </row>
    <row r="1096" spans="9:13" x14ac:dyDescent="0.25">
      <c r="I1096" t="s">
        <v>267</v>
      </c>
      <c r="J1096" t="s">
        <v>3821</v>
      </c>
      <c r="L1096" t="s">
        <v>508</v>
      </c>
      <c r="M1096" t="s">
        <v>6325</v>
      </c>
    </row>
    <row r="1097" spans="9:13" x14ac:dyDescent="0.25">
      <c r="I1097" t="s">
        <v>418</v>
      </c>
      <c r="J1097" t="s">
        <v>3845</v>
      </c>
      <c r="L1097" t="s">
        <v>266</v>
      </c>
      <c r="M1097" t="s">
        <v>6506</v>
      </c>
    </row>
    <row r="1098" spans="9:13" x14ac:dyDescent="0.25">
      <c r="I1098" t="s">
        <v>3245</v>
      </c>
      <c r="J1098" t="s">
        <v>3246</v>
      </c>
      <c r="L1098" t="s">
        <v>328</v>
      </c>
      <c r="M1098" t="s">
        <v>4873</v>
      </c>
    </row>
    <row r="1099" spans="9:13" x14ac:dyDescent="0.25">
      <c r="I1099" t="s">
        <v>418</v>
      </c>
      <c r="J1099" t="s">
        <v>2312</v>
      </c>
      <c r="L1099" t="s">
        <v>4702</v>
      </c>
      <c r="M1099" t="s">
        <v>6364</v>
      </c>
    </row>
    <row r="1100" spans="9:13" x14ac:dyDescent="0.25">
      <c r="I1100" t="s">
        <v>4011</v>
      </c>
      <c r="J1100" t="s">
        <v>4012</v>
      </c>
      <c r="L1100" t="s">
        <v>508</v>
      </c>
      <c r="M1100" t="s">
        <v>4546</v>
      </c>
    </row>
    <row r="1101" spans="9:13" x14ac:dyDescent="0.25">
      <c r="I1101" t="s">
        <v>3038</v>
      </c>
      <c r="J1101" t="s">
        <v>3039</v>
      </c>
      <c r="L1101" t="s">
        <v>328</v>
      </c>
      <c r="M1101" t="s">
        <v>5902</v>
      </c>
    </row>
    <row r="1102" spans="9:13" x14ac:dyDescent="0.25">
      <c r="I1102" t="s">
        <v>418</v>
      </c>
      <c r="J1102" t="s">
        <v>3155</v>
      </c>
      <c r="L1102" t="s">
        <v>330</v>
      </c>
      <c r="M1102" t="s">
        <v>5088</v>
      </c>
    </row>
    <row r="1103" spans="9:13" x14ac:dyDescent="0.25">
      <c r="I1103" t="s">
        <v>43</v>
      </c>
      <c r="J1103" t="s">
        <v>1948</v>
      </c>
      <c r="L1103" t="s">
        <v>5442</v>
      </c>
      <c r="M1103" t="s">
        <v>5443</v>
      </c>
    </row>
    <row r="1104" spans="9:13" x14ac:dyDescent="0.25">
      <c r="I1104" t="s">
        <v>735</v>
      </c>
      <c r="J1104" t="s">
        <v>2331</v>
      </c>
      <c r="L1104" t="s">
        <v>330</v>
      </c>
      <c r="M1104" t="s">
        <v>4992</v>
      </c>
    </row>
    <row r="1105" spans="9:13" x14ac:dyDescent="0.25">
      <c r="I1105" t="s">
        <v>581</v>
      </c>
      <c r="J1105" t="s">
        <v>3991</v>
      </c>
      <c r="L1105" t="s">
        <v>326</v>
      </c>
      <c r="M1105" t="s">
        <v>6095</v>
      </c>
    </row>
    <row r="1106" spans="9:13" x14ac:dyDescent="0.25">
      <c r="I1106" t="s">
        <v>296</v>
      </c>
      <c r="J1106" t="s">
        <v>6842</v>
      </c>
      <c r="L1106" t="s">
        <v>597</v>
      </c>
      <c r="M1106" t="s">
        <v>6217</v>
      </c>
    </row>
    <row r="1107" spans="9:13" x14ac:dyDescent="0.25">
      <c r="I1107" t="s">
        <v>2323</v>
      </c>
      <c r="J1107" t="s">
        <v>6852</v>
      </c>
      <c r="L1107" t="s">
        <v>4650</v>
      </c>
      <c r="M1107" t="s">
        <v>7019</v>
      </c>
    </row>
    <row r="1108" spans="9:13" x14ac:dyDescent="0.25">
      <c r="I1108" t="s">
        <v>6626</v>
      </c>
      <c r="J1108" t="s">
        <v>6821</v>
      </c>
      <c r="L1108" t="s">
        <v>324</v>
      </c>
      <c r="M1108" t="s">
        <v>5993</v>
      </c>
    </row>
    <row r="1109" spans="9:13" x14ac:dyDescent="0.25">
      <c r="I1109" t="s">
        <v>330</v>
      </c>
      <c r="J1109" t="s">
        <v>6886</v>
      </c>
      <c r="L1109" t="s">
        <v>418</v>
      </c>
      <c r="M1109" t="s">
        <v>4622</v>
      </c>
    </row>
    <row r="1110" spans="9:13" x14ac:dyDescent="0.25">
      <c r="I1110" t="s">
        <v>597</v>
      </c>
      <c r="J1110" t="s">
        <v>6722</v>
      </c>
      <c r="L1110" t="s">
        <v>40</v>
      </c>
      <c r="M1110" t="s">
        <v>5294</v>
      </c>
    </row>
    <row r="1111" spans="9:13" x14ac:dyDescent="0.25">
      <c r="I1111" t="s">
        <v>418</v>
      </c>
      <c r="J1111" t="s">
        <v>2765</v>
      </c>
      <c r="L1111" t="s">
        <v>5397</v>
      </c>
      <c r="M1111" t="s">
        <v>5398</v>
      </c>
    </row>
    <row r="1112" spans="9:13" x14ac:dyDescent="0.25">
      <c r="I1112" t="s">
        <v>735</v>
      </c>
      <c r="J1112" t="s">
        <v>1887</v>
      </c>
      <c r="L1112" t="s">
        <v>6128</v>
      </c>
      <c r="M1112" t="s">
        <v>6466</v>
      </c>
    </row>
    <row r="1113" spans="9:13" x14ac:dyDescent="0.25">
      <c r="I1113" t="s">
        <v>129</v>
      </c>
      <c r="J1113" t="s">
        <v>3636</v>
      </c>
      <c r="L1113" t="s">
        <v>418</v>
      </c>
      <c r="M1113" t="s">
        <v>5652</v>
      </c>
    </row>
    <row r="1114" spans="9:13" x14ac:dyDescent="0.25">
      <c r="I1114" t="s">
        <v>333</v>
      </c>
      <c r="J1114" t="s">
        <v>2152</v>
      </c>
      <c r="L1114" t="s">
        <v>267</v>
      </c>
      <c r="M1114" t="s">
        <v>6595</v>
      </c>
    </row>
    <row r="1115" spans="9:13" x14ac:dyDescent="0.25">
      <c r="I1115" t="s">
        <v>600</v>
      </c>
      <c r="J1115" t="s">
        <v>4019</v>
      </c>
      <c r="L1115" t="s">
        <v>597</v>
      </c>
      <c r="M1115" t="s">
        <v>4771</v>
      </c>
    </row>
    <row r="1116" spans="9:13" x14ac:dyDescent="0.25">
      <c r="I1116" t="s">
        <v>418</v>
      </c>
      <c r="J1116" t="s">
        <v>3285</v>
      </c>
      <c r="L1116" t="s">
        <v>6626</v>
      </c>
      <c r="M1116" t="s">
        <v>4585</v>
      </c>
    </row>
    <row r="1117" spans="9:13" x14ac:dyDescent="0.25">
      <c r="I1117" t="s">
        <v>266</v>
      </c>
      <c r="J1117" t="s">
        <v>6687</v>
      </c>
      <c r="L1117" t="s">
        <v>418</v>
      </c>
      <c r="M1117" t="s">
        <v>7204</v>
      </c>
    </row>
    <row r="1118" spans="9:13" x14ac:dyDescent="0.25">
      <c r="I1118" t="s">
        <v>2658</v>
      </c>
      <c r="J1118" t="s">
        <v>4276</v>
      </c>
      <c r="L1118" t="s">
        <v>266</v>
      </c>
      <c r="M1118" t="s">
        <v>5244</v>
      </c>
    </row>
    <row r="1119" spans="9:13" x14ac:dyDescent="0.25">
      <c r="I1119" t="s">
        <v>2264</v>
      </c>
      <c r="J1119" t="s">
        <v>2265</v>
      </c>
      <c r="L1119" t="s">
        <v>418</v>
      </c>
      <c r="M1119" t="s">
        <v>6210</v>
      </c>
    </row>
    <row r="1120" spans="9:13" x14ac:dyDescent="0.25">
      <c r="I1120" t="s">
        <v>418</v>
      </c>
      <c r="J1120" t="s">
        <v>1669</v>
      </c>
      <c r="L1120" t="s">
        <v>418</v>
      </c>
      <c r="M1120" t="s">
        <v>4729</v>
      </c>
    </row>
    <row r="1121" spans="9:13" x14ac:dyDescent="0.25">
      <c r="I1121" t="s">
        <v>2320</v>
      </c>
      <c r="J1121" t="s">
        <v>2321</v>
      </c>
      <c r="L1121" t="s">
        <v>486</v>
      </c>
      <c r="M1121" t="s">
        <v>7223</v>
      </c>
    </row>
    <row r="1122" spans="9:13" x14ac:dyDescent="0.25">
      <c r="I1122" t="s">
        <v>102</v>
      </c>
      <c r="J1122" t="s">
        <v>4236</v>
      </c>
      <c r="L1122" t="s">
        <v>328</v>
      </c>
      <c r="M1122" t="s">
        <v>5062</v>
      </c>
    </row>
    <row r="1123" spans="9:13" x14ac:dyDescent="0.25">
      <c r="I1123" t="s">
        <v>267</v>
      </c>
      <c r="J1123" t="s">
        <v>2628</v>
      </c>
      <c r="L1123" t="s">
        <v>418</v>
      </c>
      <c r="M1123" t="s">
        <v>5890</v>
      </c>
    </row>
    <row r="1124" spans="9:13" x14ac:dyDescent="0.25">
      <c r="I1124" t="s">
        <v>3763</v>
      </c>
      <c r="J1124" t="s">
        <v>3848</v>
      </c>
      <c r="L1124" t="s">
        <v>267</v>
      </c>
      <c r="M1124" t="s">
        <v>5539</v>
      </c>
    </row>
    <row r="1125" spans="9:13" x14ac:dyDescent="0.25">
      <c r="I1125" t="s">
        <v>2884</v>
      </c>
      <c r="J1125" t="s">
        <v>6702</v>
      </c>
      <c r="L1125" t="s">
        <v>41</v>
      </c>
      <c r="M1125" t="s">
        <v>6292</v>
      </c>
    </row>
    <row r="1126" spans="9:13" x14ac:dyDescent="0.25">
      <c r="I1126" t="s">
        <v>1808</v>
      </c>
      <c r="J1126" t="s">
        <v>4237</v>
      </c>
      <c r="L1126" t="s">
        <v>418</v>
      </c>
      <c r="M1126" t="s">
        <v>7117</v>
      </c>
    </row>
    <row r="1127" spans="9:13" x14ac:dyDescent="0.25">
      <c r="I1127" t="s">
        <v>49</v>
      </c>
      <c r="J1127" t="s">
        <v>1868</v>
      </c>
      <c r="L1127" t="s">
        <v>4603</v>
      </c>
      <c r="M1127" t="s">
        <v>4604</v>
      </c>
    </row>
    <row r="1128" spans="9:13" x14ac:dyDescent="0.25">
      <c r="I1128" t="s">
        <v>333</v>
      </c>
      <c r="J1128" t="s">
        <v>4436</v>
      </c>
      <c r="L1128" t="s">
        <v>418</v>
      </c>
      <c r="M1128" t="s">
        <v>7083</v>
      </c>
    </row>
    <row r="1129" spans="9:13" x14ac:dyDescent="0.25">
      <c r="I1129" t="s">
        <v>2656</v>
      </c>
      <c r="J1129" t="s">
        <v>3983</v>
      </c>
      <c r="L1129" t="s">
        <v>43</v>
      </c>
      <c r="M1129" t="s">
        <v>6196</v>
      </c>
    </row>
    <row r="1130" spans="9:13" x14ac:dyDescent="0.25">
      <c r="I1130" t="s">
        <v>102</v>
      </c>
      <c r="J1130" t="s">
        <v>1705</v>
      </c>
      <c r="L1130" t="s">
        <v>483</v>
      </c>
      <c r="M1130" t="s">
        <v>5183</v>
      </c>
    </row>
    <row r="1131" spans="9:13" x14ac:dyDescent="0.25">
      <c r="I1131" t="s">
        <v>735</v>
      </c>
      <c r="J1131" t="s">
        <v>3428</v>
      </c>
      <c r="L1131" t="s">
        <v>5495</v>
      </c>
      <c r="M1131" t="s">
        <v>5496</v>
      </c>
    </row>
    <row r="1132" spans="9:13" x14ac:dyDescent="0.25">
      <c r="I1132" t="s">
        <v>2884</v>
      </c>
      <c r="J1132" t="s">
        <v>2885</v>
      </c>
      <c r="L1132" t="s">
        <v>267</v>
      </c>
      <c r="M1132" t="s">
        <v>5768</v>
      </c>
    </row>
    <row r="1133" spans="9:13" x14ac:dyDescent="0.25">
      <c r="I1133" t="s">
        <v>1722</v>
      </c>
      <c r="J1133" t="s">
        <v>3474</v>
      </c>
      <c r="L1133" t="s">
        <v>4539</v>
      </c>
      <c r="M1133" t="s">
        <v>4540</v>
      </c>
    </row>
    <row r="1134" spans="9:13" x14ac:dyDescent="0.25">
      <c r="I1134" t="s">
        <v>3976</v>
      </c>
      <c r="J1134" t="s">
        <v>3977</v>
      </c>
      <c r="L1134" t="s">
        <v>373</v>
      </c>
      <c r="M1134" t="s">
        <v>6395</v>
      </c>
    </row>
    <row r="1135" spans="9:13" x14ac:dyDescent="0.25">
      <c r="I1135" t="s">
        <v>418</v>
      </c>
      <c r="J1135" t="s">
        <v>3497</v>
      </c>
      <c r="L1135" t="s">
        <v>373</v>
      </c>
      <c r="M1135" t="s">
        <v>4625</v>
      </c>
    </row>
    <row r="1136" spans="9:13" x14ac:dyDescent="0.25">
      <c r="I1136" t="s">
        <v>328</v>
      </c>
      <c r="J1136" t="s">
        <v>1675</v>
      </c>
      <c r="L1136" t="s">
        <v>486</v>
      </c>
      <c r="M1136" t="s">
        <v>5548</v>
      </c>
    </row>
    <row r="1137" spans="9:13" x14ac:dyDescent="0.25">
      <c r="I1137" t="s">
        <v>267</v>
      </c>
      <c r="J1137" t="s">
        <v>1680</v>
      </c>
      <c r="L1137" t="s">
        <v>486</v>
      </c>
      <c r="M1137" t="s">
        <v>4742</v>
      </c>
    </row>
    <row r="1138" spans="9:13" x14ac:dyDescent="0.25">
      <c r="I1138" t="s">
        <v>98</v>
      </c>
      <c r="J1138" t="s">
        <v>4224</v>
      </c>
      <c r="L1138" t="s">
        <v>373</v>
      </c>
      <c r="M1138" t="s">
        <v>6470</v>
      </c>
    </row>
    <row r="1139" spans="9:13" x14ac:dyDescent="0.25">
      <c r="I1139" t="s">
        <v>1816</v>
      </c>
      <c r="J1139" t="s">
        <v>3591</v>
      </c>
      <c r="L1139" t="s">
        <v>2105</v>
      </c>
      <c r="M1139" t="s">
        <v>6627</v>
      </c>
    </row>
    <row r="1140" spans="9:13" x14ac:dyDescent="0.25">
      <c r="I1140" t="s">
        <v>267</v>
      </c>
      <c r="J1140" t="s">
        <v>2024</v>
      </c>
      <c r="L1140" t="s">
        <v>483</v>
      </c>
      <c r="M1140" t="s">
        <v>5657</v>
      </c>
    </row>
    <row r="1141" spans="9:13" x14ac:dyDescent="0.25">
      <c r="I1141" t="s">
        <v>4286</v>
      </c>
      <c r="J1141" t="s">
        <v>4287</v>
      </c>
      <c r="L1141" t="s">
        <v>2105</v>
      </c>
      <c r="M1141" t="s">
        <v>5897</v>
      </c>
    </row>
    <row r="1142" spans="9:13" x14ac:dyDescent="0.25">
      <c r="I1142" t="s">
        <v>2717</v>
      </c>
      <c r="J1142" t="s">
        <v>2718</v>
      </c>
      <c r="L1142" t="s">
        <v>4564</v>
      </c>
      <c r="M1142" t="s">
        <v>5055</v>
      </c>
    </row>
    <row r="1143" spans="9:13" x14ac:dyDescent="0.25">
      <c r="I1143" t="s">
        <v>302</v>
      </c>
      <c r="J1143" t="s">
        <v>3486</v>
      </c>
      <c r="L1143" t="s">
        <v>412</v>
      </c>
      <c r="M1143" t="s">
        <v>4940</v>
      </c>
    </row>
    <row r="1144" spans="9:13" x14ac:dyDescent="0.25">
      <c r="I1144" t="s">
        <v>267</v>
      </c>
      <c r="J1144" t="s">
        <v>1692</v>
      </c>
      <c r="L1144" t="s">
        <v>267</v>
      </c>
      <c r="M1144" t="s">
        <v>6227</v>
      </c>
    </row>
    <row r="1145" spans="9:13" x14ac:dyDescent="0.25">
      <c r="I1145" t="s">
        <v>418</v>
      </c>
      <c r="J1145" t="s">
        <v>2283</v>
      </c>
      <c r="L1145" t="s">
        <v>597</v>
      </c>
      <c r="M1145" t="s">
        <v>5945</v>
      </c>
    </row>
    <row r="1146" spans="9:13" x14ac:dyDescent="0.25">
      <c r="I1146" t="s">
        <v>2105</v>
      </c>
      <c r="J1146" t="s">
        <v>4113</v>
      </c>
      <c r="L1146" t="s">
        <v>597</v>
      </c>
      <c r="M1146" t="s">
        <v>5891</v>
      </c>
    </row>
    <row r="1147" spans="9:13" x14ac:dyDescent="0.25">
      <c r="I1147" t="s">
        <v>418</v>
      </c>
      <c r="J1147" t="s">
        <v>2669</v>
      </c>
      <c r="L1147" t="s">
        <v>418</v>
      </c>
      <c r="M1147" t="s">
        <v>5210</v>
      </c>
    </row>
    <row r="1148" spans="9:13" x14ac:dyDescent="0.25">
      <c r="I1148" t="s">
        <v>3877</v>
      </c>
      <c r="J1148" t="s">
        <v>3878</v>
      </c>
      <c r="L1148" t="s">
        <v>5203</v>
      </c>
      <c r="M1148" t="s">
        <v>5204</v>
      </c>
    </row>
    <row r="1149" spans="9:13" x14ac:dyDescent="0.25">
      <c r="I1149" t="s">
        <v>267</v>
      </c>
      <c r="J1149" t="s">
        <v>3971</v>
      </c>
      <c r="L1149" t="s">
        <v>52</v>
      </c>
      <c r="M1149" t="s">
        <v>5280</v>
      </c>
    </row>
    <row r="1150" spans="9:13" x14ac:dyDescent="0.25">
      <c r="I1150" t="s">
        <v>328</v>
      </c>
      <c r="J1150" t="s">
        <v>3851</v>
      </c>
      <c r="L1150" t="s">
        <v>50</v>
      </c>
      <c r="M1150" t="s">
        <v>4738</v>
      </c>
    </row>
    <row r="1151" spans="9:13" x14ac:dyDescent="0.25">
      <c r="I1151" t="s">
        <v>2259</v>
      </c>
      <c r="J1151" t="s">
        <v>2260</v>
      </c>
      <c r="L1151" t="s">
        <v>418</v>
      </c>
      <c r="M1151" t="s">
        <v>6283</v>
      </c>
    </row>
    <row r="1152" spans="9:13" x14ac:dyDescent="0.25">
      <c r="I1152" t="s">
        <v>2993</v>
      </c>
      <c r="J1152" t="s">
        <v>4376</v>
      </c>
      <c r="L1152" t="s">
        <v>41</v>
      </c>
      <c r="M1152" t="s">
        <v>6490</v>
      </c>
    </row>
    <row r="1153" spans="9:13" x14ac:dyDescent="0.25">
      <c r="I1153" t="s">
        <v>735</v>
      </c>
      <c r="J1153" t="s">
        <v>3760</v>
      </c>
      <c r="L1153" t="s">
        <v>41</v>
      </c>
      <c r="M1153" t="s">
        <v>4737</v>
      </c>
    </row>
    <row r="1154" spans="9:13" x14ac:dyDescent="0.25">
      <c r="I1154" t="s">
        <v>2993</v>
      </c>
      <c r="J1154" t="s">
        <v>2994</v>
      </c>
      <c r="L1154" t="s">
        <v>41</v>
      </c>
      <c r="M1154" t="s">
        <v>6349</v>
      </c>
    </row>
    <row r="1155" spans="9:13" x14ac:dyDescent="0.25">
      <c r="I1155" t="s">
        <v>2658</v>
      </c>
      <c r="J1155" t="s">
        <v>2973</v>
      </c>
      <c r="L1155" t="s">
        <v>6626</v>
      </c>
      <c r="M1155" t="s">
        <v>4981</v>
      </c>
    </row>
    <row r="1156" spans="9:13" x14ac:dyDescent="0.25">
      <c r="I1156" t="s">
        <v>1722</v>
      </c>
      <c r="J1156" t="s">
        <v>1723</v>
      </c>
      <c r="L1156" t="s">
        <v>6249</v>
      </c>
      <c r="M1156" t="s">
        <v>6250</v>
      </c>
    </row>
    <row r="1157" spans="9:13" x14ac:dyDescent="0.25">
      <c r="I1157" t="s">
        <v>328</v>
      </c>
      <c r="J1157" t="s">
        <v>2064</v>
      </c>
      <c r="L1157" t="s">
        <v>412</v>
      </c>
      <c r="M1157" t="s">
        <v>5813</v>
      </c>
    </row>
    <row r="1158" spans="9:13" x14ac:dyDescent="0.25">
      <c r="I1158" t="s">
        <v>418</v>
      </c>
      <c r="J1158" t="s">
        <v>3030</v>
      </c>
      <c r="L1158" t="s">
        <v>486</v>
      </c>
      <c r="M1158" t="s">
        <v>6191</v>
      </c>
    </row>
    <row r="1159" spans="9:13" x14ac:dyDescent="0.25">
      <c r="I1159" t="s">
        <v>418</v>
      </c>
      <c r="J1159" t="s">
        <v>2077</v>
      </c>
      <c r="L1159" t="s">
        <v>474</v>
      </c>
      <c r="M1159" t="s">
        <v>7156</v>
      </c>
    </row>
    <row r="1160" spans="9:13" x14ac:dyDescent="0.25">
      <c r="I1160" t="s">
        <v>333</v>
      </c>
      <c r="J1160" t="s">
        <v>3762</v>
      </c>
      <c r="L1160" t="s">
        <v>43</v>
      </c>
      <c r="M1160" t="s">
        <v>5305</v>
      </c>
    </row>
    <row r="1161" spans="9:13" x14ac:dyDescent="0.25">
      <c r="I1161" t="s">
        <v>2098</v>
      </c>
      <c r="J1161" t="s">
        <v>2099</v>
      </c>
      <c r="L1161" t="s">
        <v>40</v>
      </c>
      <c r="M1161" t="s">
        <v>6061</v>
      </c>
    </row>
    <row r="1162" spans="9:13" x14ac:dyDescent="0.25">
      <c r="I1162" t="s">
        <v>129</v>
      </c>
      <c r="J1162" t="s">
        <v>6958</v>
      </c>
      <c r="L1162" t="s">
        <v>41</v>
      </c>
      <c r="M1162" t="s">
        <v>5121</v>
      </c>
    </row>
    <row r="1163" spans="9:13" x14ac:dyDescent="0.25">
      <c r="I1163" t="s">
        <v>2542</v>
      </c>
      <c r="J1163" t="s">
        <v>2543</v>
      </c>
      <c r="L1163" t="s">
        <v>5797</v>
      </c>
      <c r="M1163" t="s">
        <v>5798</v>
      </c>
    </row>
    <row r="1164" spans="9:13" x14ac:dyDescent="0.25">
      <c r="I1164" t="s">
        <v>4050</v>
      </c>
      <c r="J1164" t="s">
        <v>4051</v>
      </c>
      <c r="L1164" t="s">
        <v>3705</v>
      </c>
      <c r="M1164" t="s">
        <v>6561</v>
      </c>
    </row>
    <row r="1165" spans="9:13" x14ac:dyDescent="0.25">
      <c r="I1165" t="s">
        <v>566</v>
      </c>
      <c r="J1165" t="s">
        <v>6701</v>
      </c>
      <c r="L1165" t="s">
        <v>40</v>
      </c>
      <c r="M1165" t="s">
        <v>5253</v>
      </c>
    </row>
    <row r="1166" spans="9:13" x14ac:dyDescent="0.25">
      <c r="I1166" t="s">
        <v>3384</v>
      </c>
      <c r="J1166" t="s">
        <v>3385</v>
      </c>
      <c r="L1166" t="s">
        <v>41</v>
      </c>
      <c r="M1166" t="s">
        <v>4689</v>
      </c>
    </row>
    <row r="1167" spans="9:13" x14ac:dyDescent="0.25">
      <c r="I1167" t="s">
        <v>267</v>
      </c>
      <c r="J1167" t="s">
        <v>2124</v>
      </c>
      <c r="L1167" t="s">
        <v>581</v>
      </c>
      <c r="M1167" t="s">
        <v>5116</v>
      </c>
    </row>
    <row r="1168" spans="9:13" x14ac:dyDescent="0.25">
      <c r="I1168" t="s">
        <v>267</v>
      </c>
      <c r="J1168" t="s">
        <v>3083</v>
      </c>
      <c r="L1168" t="s">
        <v>6373</v>
      </c>
      <c r="M1168" t="s">
        <v>6374</v>
      </c>
    </row>
    <row r="1169" spans="9:13" x14ac:dyDescent="0.25">
      <c r="I1169" t="s">
        <v>3631</v>
      </c>
      <c r="J1169" t="s">
        <v>3632</v>
      </c>
      <c r="L1169" t="s">
        <v>41</v>
      </c>
      <c r="M1169" t="s">
        <v>5978</v>
      </c>
    </row>
    <row r="1170" spans="9:13" x14ac:dyDescent="0.25">
      <c r="I1170" t="s">
        <v>581</v>
      </c>
      <c r="J1170" t="s">
        <v>3756</v>
      </c>
      <c r="L1170" t="s">
        <v>418</v>
      </c>
      <c r="M1170" t="s">
        <v>6334</v>
      </c>
    </row>
    <row r="1171" spans="9:13" x14ac:dyDescent="0.25">
      <c r="I1171" t="s">
        <v>1763</v>
      </c>
      <c r="J1171" t="s">
        <v>1764</v>
      </c>
      <c r="L1171" t="s">
        <v>40</v>
      </c>
      <c r="M1171" t="s">
        <v>6642</v>
      </c>
    </row>
    <row r="1172" spans="9:13" x14ac:dyDescent="0.25">
      <c r="I1172" t="s">
        <v>267</v>
      </c>
      <c r="J1172" t="s">
        <v>4024</v>
      </c>
      <c r="L1172" t="s">
        <v>701</v>
      </c>
      <c r="M1172" t="s">
        <v>5237</v>
      </c>
    </row>
    <row r="1173" spans="9:13" x14ac:dyDescent="0.25">
      <c r="I1173" t="s">
        <v>600</v>
      </c>
      <c r="J1173" t="s">
        <v>1986</v>
      </c>
      <c r="L1173" t="s">
        <v>302</v>
      </c>
      <c r="M1173" t="s">
        <v>5868</v>
      </c>
    </row>
    <row r="1174" spans="9:13" x14ac:dyDescent="0.25">
      <c r="I1174" t="s">
        <v>51</v>
      </c>
      <c r="J1174" t="s">
        <v>2928</v>
      </c>
      <c r="L1174" t="s">
        <v>41</v>
      </c>
      <c r="M1174" t="s">
        <v>5090</v>
      </c>
    </row>
    <row r="1175" spans="9:13" x14ac:dyDescent="0.25">
      <c r="I1175" t="s">
        <v>3114</v>
      </c>
      <c r="J1175" t="s">
        <v>3115</v>
      </c>
      <c r="L1175" t="s">
        <v>597</v>
      </c>
      <c r="M1175" t="s">
        <v>5272</v>
      </c>
    </row>
    <row r="1176" spans="9:13" x14ac:dyDescent="0.25">
      <c r="I1176" t="s">
        <v>49</v>
      </c>
      <c r="J1176" t="s">
        <v>3883</v>
      </c>
      <c r="L1176" t="s">
        <v>25</v>
      </c>
      <c r="M1176" t="s">
        <v>5532</v>
      </c>
    </row>
    <row r="1177" spans="9:13" x14ac:dyDescent="0.25">
      <c r="I1177" t="s">
        <v>302</v>
      </c>
      <c r="J1177" t="s">
        <v>2233</v>
      </c>
      <c r="L1177" t="s">
        <v>486</v>
      </c>
      <c r="M1177" t="s">
        <v>4769</v>
      </c>
    </row>
    <row r="1178" spans="9:13" x14ac:dyDescent="0.25">
      <c r="I1178" t="s">
        <v>2259</v>
      </c>
      <c r="J1178" t="s">
        <v>4239</v>
      </c>
      <c r="L1178" t="s">
        <v>5533</v>
      </c>
      <c r="M1178" t="s">
        <v>5534</v>
      </c>
    </row>
    <row r="1179" spans="9:13" x14ac:dyDescent="0.25">
      <c r="I1179" t="s">
        <v>4526</v>
      </c>
      <c r="J1179" t="s">
        <v>4527</v>
      </c>
      <c r="L1179" t="s">
        <v>267</v>
      </c>
      <c r="M1179" t="s">
        <v>6236</v>
      </c>
    </row>
    <row r="1180" spans="9:13" x14ac:dyDescent="0.25">
      <c r="I1180" t="s">
        <v>2105</v>
      </c>
      <c r="J1180" t="s">
        <v>6837</v>
      </c>
      <c r="L1180" t="s">
        <v>440</v>
      </c>
      <c r="M1180" t="s">
        <v>5604</v>
      </c>
    </row>
    <row r="1181" spans="9:13" x14ac:dyDescent="0.25">
      <c r="I1181" t="s">
        <v>1808</v>
      </c>
      <c r="J1181" t="s">
        <v>3256</v>
      </c>
      <c r="L1181" t="s">
        <v>41</v>
      </c>
      <c r="M1181" t="s">
        <v>6319</v>
      </c>
    </row>
    <row r="1182" spans="9:13" x14ac:dyDescent="0.25">
      <c r="I1182" t="s">
        <v>1965</v>
      </c>
      <c r="J1182" t="s">
        <v>6825</v>
      </c>
      <c r="L1182" t="s">
        <v>483</v>
      </c>
      <c r="M1182" t="s">
        <v>5870</v>
      </c>
    </row>
    <row r="1183" spans="9:13" x14ac:dyDescent="0.25">
      <c r="I1183" t="s">
        <v>2259</v>
      </c>
      <c r="J1183" t="s">
        <v>3345</v>
      </c>
      <c r="L1183" t="s">
        <v>440</v>
      </c>
      <c r="M1183" t="s">
        <v>5360</v>
      </c>
    </row>
    <row r="1184" spans="9:13" x14ac:dyDescent="0.25">
      <c r="I1184" t="s">
        <v>418</v>
      </c>
      <c r="J1184" t="s">
        <v>4486</v>
      </c>
      <c r="L1184" t="s">
        <v>267</v>
      </c>
      <c r="M1184" t="s">
        <v>5872</v>
      </c>
    </row>
    <row r="1185" spans="9:13" x14ac:dyDescent="0.25">
      <c r="I1185" t="s">
        <v>1755</v>
      </c>
      <c r="J1185" t="s">
        <v>2673</v>
      </c>
      <c r="L1185" t="s">
        <v>814</v>
      </c>
      <c r="M1185" t="s">
        <v>6143</v>
      </c>
    </row>
    <row r="1186" spans="9:13" x14ac:dyDescent="0.25">
      <c r="I1186" t="s">
        <v>2259</v>
      </c>
      <c r="J1186" t="s">
        <v>3272</v>
      </c>
      <c r="L1186" t="s">
        <v>40</v>
      </c>
      <c r="M1186" t="s">
        <v>5289</v>
      </c>
    </row>
    <row r="1187" spans="9:13" x14ac:dyDescent="0.25">
      <c r="I1187" t="s">
        <v>6866</v>
      </c>
      <c r="J1187" t="s">
        <v>2593</v>
      </c>
      <c r="L1187" t="s">
        <v>541</v>
      </c>
      <c r="M1187" t="s">
        <v>5075</v>
      </c>
    </row>
    <row r="1188" spans="9:13" x14ac:dyDescent="0.25">
      <c r="I1188" t="s">
        <v>2362</v>
      </c>
      <c r="J1188" t="s">
        <v>2363</v>
      </c>
      <c r="L1188" t="s">
        <v>267</v>
      </c>
      <c r="M1188" t="s">
        <v>4666</v>
      </c>
    </row>
    <row r="1189" spans="9:13" x14ac:dyDescent="0.25">
      <c r="I1189" t="s">
        <v>289</v>
      </c>
      <c r="J1189" t="s">
        <v>3370</v>
      </c>
      <c r="L1189" t="s">
        <v>541</v>
      </c>
      <c r="M1189" t="s">
        <v>6462</v>
      </c>
    </row>
    <row r="1190" spans="9:13" x14ac:dyDescent="0.25">
      <c r="I1190" t="s">
        <v>6733</v>
      </c>
      <c r="J1190" t="s">
        <v>3569</v>
      </c>
      <c r="L1190" t="s">
        <v>418</v>
      </c>
      <c r="M1190" t="s">
        <v>6574</v>
      </c>
    </row>
    <row r="1191" spans="9:13" x14ac:dyDescent="0.25">
      <c r="I1191" t="s">
        <v>418</v>
      </c>
      <c r="J1191" t="s">
        <v>2816</v>
      </c>
      <c r="L1191" t="s">
        <v>41</v>
      </c>
      <c r="M1191" t="s">
        <v>6555</v>
      </c>
    </row>
    <row r="1192" spans="9:13" x14ac:dyDescent="0.25">
      <c r="I1192" t="s">
        <v>566</v>
      </c>
      <c r="J1192" t="s">
        <v>6859</v>
      </c>
      <c r="L1192" t="s">
        <v>41</v>
      </c>
      <c r="M1192" t="s">
        <v>6006</v>
      </c>
    </row>
    <row r="1193" spans="9:13" x14ac:dyDescent="0.25">
      <c r="I1193" t="s">
        <v>2906</v>
      </c>
      <c r="J1193" t="s">
        <v>6683</v>
      </c>
      <c r="L1193" t="s">
        <v>40</v>
      </c>
      <c r="M1193" t="s">
        <v>5490</v>
      </c>
    </row>
    <row r="1194" spans="9:13" x14ac:dyDescent="0.25">
      <c r="I1194" t="s">
        <v>267</v>
      </c>
      <c r="J1194" t="s">
        <v>2693</v>
      </c>
      <c r="L1194" t="s">
        <v>6272</v>
      </c>
      <c r="M1194" t="s">
        <v>6273</v>
      </c>
    </row>
    <row r="1195" spans="9:13" x14ac:dyDescent="0.25">
      <c r="I1195" t="s">
        <v>129</v>
      </c>
      <c r="J1195" t="s">
        <v>6847</v>
      </c>
      <c r="L1195" t="s">
        <v>40</v>
      </c>
      <c r="M1195" t="s">
        <v>5869</v>
      </c>
    </row>
    <row r="1196" spans="9:13" x14ac:dyDescent="0.25">
      <c r="I1196" t="s">
        <v>291</v>
      </c>
      <c r="J1196" t="s">
        <v>3629</v>
      </c>
      <c r="L1196" t="s">
        <v>50</v>
      </c>
      <c r="M1196" t="s">
        <v>6608</v>
      </c>
    </row>
    <row r="1197" spans="9:13" x14ac:dyDescent="0.25">
      <c r="I1197" t="s">
        <v>129</v>
      </c>
      <c r="J1197" t="s">
        <v>6954</v>
      </c>
      <c r="L1197" t="s">
        <v>5007</v>
      </c>
      <c r="M1197" t="s">
        <v>5008</v>
      </c>
    </row>
    <row r="1198" spans="9:13" x14ac:dyDescent="0.25">
      <c r="I1198" t="s">
        <v>2556</v>
      </c>
      <c r="J1198" t="s">
        <v>2557</v>
      </c>
      <c r="L1198" t="s">
        <v>50</v>
      </c>
      <c r="M1198" t="s">
        <v>5831</v>
      </c>
    </row>
    <row r="1199" spans="9:13" x14ac:dyDescent="0.25">
      <c r="I1199" t="s">
        <v>4</v>
      </c>
      <c r="J1199" t="s">
        <v>3887</v>
      </c>
      <c r="L1199" t="s">
        <v>1</v>
      </c>
      <c r="M1199" t="s">
        <v>4639</v>
      </c>
    </row>
    <row r="1200" spans="9:13" x14ac:dyDescent="0.25">
      <c r="I1200" t="s">
        <v>1755</v>
      </c>
      <c r="J1200" t="s">
        <v>1814</v>
      </c>
      <c r="L1200" t="s">
        <v>508</v>
      </c>
      <c r="M1200" t="s">
        <v>5056</v>
      </c>
    </row>
    <row r="1201" spans="9:13" x14ac:dyDescent="0.25">
      <c r="I1201" t="s">
        <v>308</v>
      </c>
      <c r="J1201" t="s">
        <v>4105</v>
      </c>
      <c r="L1201" t="s">
        <v>483</v>
      </c>
      <c r="M1201" t="s">
        <v>6426</v>
      </c>
    </row>
    <row r="1202" spans="9:13" x14ac:dyDescent="0.25">
      <c r="I1202" t="s">
        <v>2105</v>
      </c>
      <c r="J1202" t="s">
        <v>6987</v>
      </c>
      <c r="L1202" t="s">
        <v>793</v>
      </c>
      <c r="M1202" t="s">
        <v>5705</v>
      </c>
    </row>
    <row r="1203" spans="9:13" x14ac:dyDescent="0.25">
      <c r="I1203" t="s">
        <v>97</v>
      </c>
      <c r="J1203" t="s">
        <v>2493</v>
      </c>
      <c r="L1203" t="s">
        <v>1</v>
      </c>
      <c r="M1203" t="s">
        <v>4791</v>
      </c>
    </row>
    <row r="1204" spans="9:13" x14ac:dyDescent="0.25">
      <c r="I1204" t="s">
        <v>2993</v>
      </c>
      <c r="J1204" t="s">
        <v>4285</v>
      </c>
      <c r="L1204" t="s">
        <v>418</v>
      </c>
      <c r="M1204" t="s">
        <v>6263</v>
      </c>
    </row>
    <row r="1205" spans="9:13" x14ac:dyDescent="0.25">
      <c r="I1205" t="s">
        <v>1755</v>
      </c>
      <c r="J1205" t="s">
        <v>3283</v>
      </c>
      <c r="L1205" t="s">
        <v>41</v>
      </c>
      <c r="M1205" t="s">
        <v>5907</v>
      </c>
    </row>
    <row r="1206" spans="9:13" x14ac:dyDescent="0.25">
      <c r="I1206" t="s">
        <v>1796</v>
      </c>
      <c r="J1206" t="s">
        <v>6816</v>
      </c>
      <c r="L1206" t="s">
        <v>4564</v>
      </c>
      <c r="M1206" t="s">
        <v>4565</v>
      </c>
    </row>
    <row r="1207" spans="9:13" x14ac:dyDescent="0.25">
      <c r="I1207" t="s">
        <v>1945</v>
      </c>
      <c r="J1207" t="s">
        <v>1946</v>
      </c>
      <c r="L1207" t="s">
        <v>266</v>
      </c>
      <c r="M1207" t="s">
        <v>6111</v>
      </c>
    </row>
    <row r="1208" spans="9:13" x14ac:dyDescent="0.25">
      <c r="I1208" t="s">
        <v>333</v>
      </c>
      <c r="J1208" t="s">
        <v>4173</v>
      </c>
      <c r="L1208" t="s">
        <v>467</v>
      </c>
      <c r="M1208" t="s">
        <v>5540</v>
      </c>
    </row>
    <row r="1209" spans="9:13" x14ac:dyDescent="0.25">
      <c r="I1209" t="s">
        <v>2879</v>
      </c>
      <c r="J1209" t="s">
        <v>3703</v>
      </c>
      <c r="L1209" t="s">
        <v>40</v>
      </c>
      <c r="M1209" t="s">
        <v>6564</v>
      </c>
    </row>
    <row r="1210" spans="9:13" x14ac:dyDescent="0.25">
      <c r="I1210" t="s">
        <v>299</v>
      </c>
      <c r="J1210" t="s">
        <v>3868</v>
      </c>
      <c r="L1210" t="s">
        <v>267</v>
      </c>
      <c r="M1210" t="s">
        <v>4647</v>
      </c>
    </row>
    <row r="1211" spans="9:13" x14ac:dyDescent="0.25">
      <c r="I1211" t="s">
        <v>1806</v>
      </c>
      <c r="J1211" t="s">
        <v>1807</v>
      </c>
      <c r="L1211" t="s">
        <v>5878</v>
      </c>
      <c r="M1211" t="s">
        <v>5879</v>
      </c>
    </row>
    <row r="1212" spans="9:13" x14ac:dyDescent="0.25">
      <c r="I1212" t="s">
        <v>267</v>
      </c>
      <c r="J1212" t="s">
        <v>4335</v>
      </c>
      <c r="L1212" t="s">
        <v>6626</v>
      </c>
      <c r="M1212" t="s">
        <v>5194</v>
      </c>
    </row>
    <row r="1213" spans="9:13" x14ac:dyDescent="0.25">
      <c r="I1213" t="s">
        <v>425</v>
      </c>
      <c r="J1213" t="s">
        <v>6969</v>
      </c>
      <c r="L1213" t="s">
        <v>306</v>
      </c>
      <c r="M1213" t="s">
        <v>4750</v>
      </c>
    </row>
    <row r="1214" spans="9:13" x14ac:dyDescent="0.25">
      <c r="I1214" t="s">
        <v>99</v>
      </c>
      <c r="J1214" t="s">
        <v>4388</v>
      </c>
      <c r="L1214" t="s">
        <v>4865</v>
      </c>
      <c r="M1214" t="s">
        <v>4866</v>
      </c>
    </row>
    <row r="1215" spans="9:13" x14ac:dyDescent="0.25">
      <c r="I1215" t="s">
        <v>6733</v>
      </c>
      <c r="J1215" t="s">
        <v>6703</v>
      </c>
      <c r="L1215" t="s">
        <v>41</v>
      </c>
      <c r="M1215" t="s">
        <v>4968</v>
      </c>
    </row>
    <row r="1216" spans="9:13" x14ac:dyDescent="0.25">
      <c r="I1216" t="s">
        <v>98</v>
      </c>
      <c r="J1216" t="s">
        <v>4310</v>
      </c>
      <c r="L1216" t="s">
        <v>508</v>
      </c>
      <c r="M1216" t="s">
        <v>6203</v>
      </c>
    </row>
    <row r="1217" spans="9:13" x14ac:dyDescent="0.25">
      <c r="I1217" t="s">
        <v>129</v>
      </c>
      <c r="J1217" t="s">
        <v>6817</v>
      </c>
      <c r="L1217" t="s">
        <v>5395</v>
      </c>
      <c r="M1217" t="s">
        <v>5425</v>
      </c>
    </row>
    <row r="1218" spans="9:13" x14ac:dyDescent="0.25">
      <c r="I1218" t="s">
        <v>6733</v>
      </c>
      <c r="J1218" t="s">
        <v>4047</v>
      </c>
      <c r="L1218" t="s">
        <v>418</v>
      </c>
      <c r="M1218" t="s">
        <v>6377</v>
      </c>
    </row>
    <row r="1219" spans="9:13" x14ac:dyDescent="0.25">
      <c r="I1219" t="s">
        <v>2639</v>
      </c>
      <c r="J1219" t="s">
        <v>2650</v>
      </c>
      <c r="L1219" t="s">
        <v>5007</v>
      </c>
      <c r="M1219" t="s">
        <v>6590</v>
      </c>
    </row>
    <row r="1220" spans="9:13" x14ac:dyDescent="0.25">
      <c r="I1220" t="s">
        <v>267</v>
      </c>
      <c r="J1220" t="s">
        <v>3668</v>
      </c>
      <c r="L1220" t="s">
        <v>4885</v>
      </c>
      <c r="M1220" t="s">
        <v>4886</v>
      </c>
    </row>
    <row r="1221" spans="9:13" x14ac:dyDescent="0.25">
      <c r="I1221" t="s">
        <v>414</v>
      </c>
      <c r="J1221" t="s">
        <v>2304</v>
      </c>
      <c r="L1221" t="s">
        <v>5883</v>
      </c>
      <c r="M1221" t="s">
        <v>5884</v>
      </c>
    </row>
    <row r="1222" spans="9:13" x14ac:dyDescent="0.25">
      <c r="I1222" t="s">
        <v>98</v>
      </c>
      <c r="J1222" t="s">
        <v>4299</v>
      </c>
      <c r="L1222" t="s">
        <v>2050</v>
      </c>
      <c r="M1222" t="s">
        <v>5853</v>
      </c>
    </row>
    <row r="1223" spans="9:13" x14ac:dyDescent="0.25">
      <c r="I1223" t="s">
        <v>2125</v>
      </c>
      <c r="J1223" t="s">
        <v>6672</v>
      </c>
      <c r="L1223" t="s">
        <v>413</v>
      </c>
      <c r="M1223" t="s">
        <v>6202</v>
      </c>
    </row>
    <row r="1224" spans="9:13" x14ac:dyDescent="0.25">
      <c r="I1224" t="s">
        <v>373</v>
      </c>
      <c r="J1224" t="s">
        <v>6872</v>
      </c>
      <c r="L1224" t="s">
        <v>483</v>
      </c>
      <c r="M1224" t="s">
        <v>5208</v>
      </c>
    </row>
    <row r="1225" spans="9:13" x14ac:dyDescent="0.25">
      <c r="I1225" t="s">
        <v>566</v>
      </c>
      <c r="J1225" t="s">
        <v>6697</v>
      </c>
      <c r="L1225" t="s">
        <v>483</v>
      </c>
      <c r="M1225" t="s">
        <v>6563</v>
      </c>
    </row>
    <row r="1226" spans="9:13" x14ac:dyDescent="0.25">
      <c r="I1226" t="s">
        <v>333</v>
      </c>
      <c r="J1226" t="s">
        <v>4394</v>
      </c>
      <c r="L1226" t="s">
        <v>4605</v>
      </c>
      <c r="M1226" t="s">
        <v>5467</v>
      </c>
    </row>
    <row r="1227" spans="9:13" x14ac:dyDescent="0.25">
      <c r="I1227" t="s">
        <v>422</v>
      </c>
      <c r="J1227" t="s">
        <v>3070</v>
      </c>
      <c r="L1227" t="s">
        <v>5337</v>
      </c>
      <c r="M1227" t="s">
        <v>5338</v>
      </c>
    </row>
    <row r="1228" spans="9:13" x14ac:dyDescent="0.25">
      <c r="I1228" t="s">
        <v>2983</v>
      </c>
      <c r="J1228" t="s">
        <v>4503</v>
      </c>
      <c r="L1228" t="s">
        <v>50</v>
      </c>
      <c r="M1228" t="s">
        <v>6149</v>
      </c>
    </row>
    <row r="1229" spans="9:13" x14ac:dyDescent="0.25">
      <c r="I1229" t="s">
        <v>425</v>
      </c>
      <c r="J1229" t="s">
        <v>6815</v>
      </c>
      <c r="L1229" t="s">
        <v>299</v>
      </c>
      <c r="M1229" t="s">
        <v>6522</v>
      </c>
    </row>
    <row r="1230" spans="9:13" x14ac:dyDescent="0.25">
      <c r="I1230" t="s">
        <v>425</v>
      </c>
      <c r="J1230" t="s">
        <v>6935</v>
      </c>
      <c r="L1230" t="s">
        <v>5049</v>
      </c>
      <c r="M1230" t="s">
        <v>5050</v>
      </c>
    </row>
    <row r="1231" spans="9:13" x14ac:dyDescent="0.25">
      <c r="I1231" t="s">
        <v>267</v>
      </c>
      <c r="J1231" t="s">
        <v>1956</v>
      </c>
      <c r="L1231" t="s">
        <v>483</v>
      </c>
      <c r="M1231" t="s">
        <v>7113</v>
      </c>
    </row>
    <row r="1232" spans="9:13" x14ac:dyDescent="0.25">
      <c r="I1232" t="s">
        <v>330</v>
      </c>
      <c r="J1232" t="s">
        <v>2861</v>
      </c>
      <c r="L1232" t="s">
        <v>299</v>
      </c>
      <c r="M1232" t="s">
        <v>5512</v>
      </c>
    </row>
    <row r="1233" spans="9:13" x14ac:dyDescent="0.25">
      <c r="I1233" t="s">
        <v>267</v>
      </c>
      <c r="J1233" t="s">
        <v>3761</v>
      </c>
      <c r="L1233" t="s">
        <v>267</v>
      </c>
      <c r="M1233" t="s">
        <v>6034</v>
      </c>
    </row>
    <row r="1234" spans="9:13" x14ac:dyDescent="0.25">
      <c r="I1234" t="s">
        <v>2247</v>
      </c>
      <c r="J1234" t="s">
        <v>4301</v>
      </c>
      <c r="L1234" t="s">
        <v>541</v>
      </c>
      <c r="M1234" t="s">
        <v>5807</v>
      </c>
    </row>
    <row r="1235" spans="9:13" x14ac:dyDescent="0.25">
      <c r="I1235" t="s">
        <v>98</v>
      </c>
      <c r="J1235" t="s">
        <v>3443</v>
      </c>
      <c r="L1235" t="s">
        <v>1954</v>
      </c>
      <c r="M1235" t="s">
        <v>6467</v>
      </c>
    </row>
    <row r="1236" spans="9:13" x14ac:dyDescent="0.25">
      <c r="I1236" t="s">
        <v>328</v>
      </c>
      <c r="J1236" t="s">
        <v>4153</v>
      </c>
      <c r="L1236" t="s">
        <v>5584</v>
      </c>
      <c r="M1236" t="s">
        <v>6311</v>
      </c>
    </row>
    <row r="1237" spans="9:13" x14ac:dyDescent="0.25">
      <c r="I1237" t="s">
        <v>266</v>
      </c>
      <c r="J1237" t="s">
        <v>2029</v>
      </c>
      <c r="L1237" t="s">
        <v>293</v>
      </c>
      <c r="M1237" t="s">
        <v>4955</v>
      </c>
    </row>
    <row r="1238" spans="9:13" x14ac:dyDescent="0.25">
      <c r="I1238" t="s">
        <v>2954</v>
      </c>
      <c r="J1238" t="s">
        <v>2955</v>
      </c>
      <c r="L1238" t="s">
        <v>508</v>
      </c>
      <c r="M1238" t="s">
        <v>5936</v>
      </c>
    </row>
    <row r="1239" spans="9:13" x14ac:dyDescent="0.25">
      <c r="I1239" t="s">
        <v>6733</v>
      </c>
      <c r="J1239" t="s">
        <v>2756</v>
      </c>
      <c r="L1239" t="s">
        <v>302</v>
      </c>
      <c r="M1239" t="s">
        <v>5583</v>
      </c>
    </row>
    <row r="1240" spans="9:13" x14ac:dyDescent="0.25">
      <c r="I1240" t="s">
        <v>414</v>
      </c>
      <c r="J1240" t="s">
        <v>1847</v>
      </c>
      <c r="L1240" t="s">
        <v>41</v>
      </c>
      <c r="M1240" t="s">
        <v>5286</v>
      </c>
    </row>
    <row r="1241" spans="9:13" x14ac:dyDescent="0.25">
      <c r="I1241" t="s">
        <v>2348</v>
      </c>
      <c r="J1241" t="s">
        <v>2349</v>
      </c>
      <c r="L1241" t="s">
        <v>326</v>
      </c>
      <c r="M1241" t="s">
        <v>5991</v>
      </c>
    </row>
    <row r="1242" spans="9:13" x14ac:dyDescent="0.25">
      <c r="I1242" t="s">
        <v>267</v>
      </c>
      <c r="J1242" t="s">
        <v>1691</v>
      </c>
      <c r="L1242" t="s">
        <v>41</v>
      </c>
      <c r="M1242" t="s">
        <v>5377</v>
      </c>
    </row>
    <row r="1243" spans="9:13" x14ac:dyDescent="0.25">
      <c r="I1243" t="s">
        <v>2324</v>
      </c>
      <c r="J1243" t="s">
        <v>2325</v>
      </c>
      <c r="L1243" t="s">
        <v>54</v>
      </c>
      <c r="M1243" t="s">
        <v>5756</v>
      </c>
    </row>
    <row r="1244" spans="9:13" x14ac:dyDescent="0.25">
      <c r="I1244" t="s">
        <v>267</v>
      </c>
      <c r="J1244" t="s">
        <v>3726</v>
      </c>
      <c r="L1244" t="s">
        <v>483</v>
      </c>
      <c r="M1244" t="s">
        <v>5943</v>
      </c>
    </row>
    <row r="1245" spans="9:13" x14ac:dyDescent="0.25">
      <c r="I1245" t="s">
        <v>302</v>
      </c>
      <c r="J1245" t="s">
        <v>1700</v>
      </c>
      <c r="L1245" t="s">
        <v>267</v>
      </c>
      <c r="M1245" t="s">
        <v>5815</v>
      </c>
    </row>
    <row r="1246" spans="9:13" x14ac:dyDescent="0.25">
      <c r="I1246" t="s">
        <v>3185</v>
      </c>
      <c r="J1246" t="s">
        <v>4513</v>
      </c>
      <c r="L1246" t="s">
        <v>4960</v>
      </c>
      <c r="M1246" t="s">
        <v>6258</v>
      </c>
    </row>
    <row r="1247" spans="9:13" x14ac:dyDescent="0.25">
      <c r="I1247" t="s">
        <v>97</v>
      </c>
      <c r="J1247" t="s">
        <v>3300</v>
      </c>
      <c r="L1247" t="s">
        <v>41</v>
      </c>
      <c r="M1247" t="s">
        <v>4903</v>
      </c>
    </row>
    <row r="1248" spans="9:13" x14ac:dyDescent="0.25">
      <c r="I1248" t="s">
        <v>41</v>
      </c>
      <c r="J1248" t="s">
        <v>4311</v>
      </c>
      <c r="L1248" t="s">
        <v>299</v>
      </c>
      <c r="M1248" t="s">
        <v>4704</v>
      </c>
    </row>
    <row r="1249" spans="9:13" x14ac:dyDescent="0.25">
      <c r="I1249" t="s">
        <v>3572</v>
      </c>
      <c r="J1249" t="s">
        <v>3573</v>
      </c>
      <c r="L1249" t="s">
        <v>302</v>
      </c>
      <c r="M1249" t="s">
        <v>7175</v>
      </c>
    </row>
    <row r="1250" spans="9:13" x14ac:dyDescent="0.25">
      <c r="I1250" t="s">
        <v>291</v>
      </c>
      <c r="J1250" t="s">
        <v>4030</v>
      </c>
      <c r="L1250" t="s">
        <v>7208</v>
      </c>
      <c r="M1250" t="s">
        <v>7209</v>
      </c>
    </row>
    <row r="1251" spans="9:13" x14ac:dyDescent="0.25">
      <c r="I1251" t="s">
        <v>330</v>
      </c>
      <c r="J1251" t="s">
        <v>3238</v>
      </c>
      <c r="L1251" t="s">
        <v>296</v>
      </c>
      <c r="M1251" t="s">
        <v>6148</v>
      </c>
    </row>
    <row r="1252" spans="9:13" x14ac:dyDescent="0.25">
      <c r="I1252" t="s">
        <v>302</v>
      </c>
      <c r="J1252" t="s">
        <v>6978</v>
      </c>
      <c r="L1252" t="s">
        <v>508</v>
      </c>
      <c r="M1252" t="s">
        <v>7214</v>
      </c>
    </row>
    <row r="1253" spans="9:13" x14ac:dyDescent="0.25">
      <c r="I1253" t="s">
        <v>2980</v>
      </c>
      <c r="J1253" t="s">
        <v>6892</v>
      </c>
      <c r="L1253" t="s">
        <v>302</v>
      </c>
      <c r="M1253" t="s">
        <v>6475</v>
      </c>
    </row>
    <row r="1254" spans="9:13" x14ac:dyDescent="0.25">
      <c r="I1254" t="s">
        <v>328</v>
      </c>
      <c r="J1254" t="s">
        <v>4404</v>
      </c>
      <c r="L1254" t="s">
        <v>2560</v>
      </c>
      <c r="M1254" t="s">
        <v>4591</v>
      </c>
    </row>
    <row r="1255" spans="9:13" x14ac:dyDescent="0.25">
      <c r="I1255" t="s">
        <v>2110</v>
      </c>
      <c r="J1255" t="s">
        <v>3218</v>
      </c>
      <c r="L1255" t="s">
        <v>2105</v>
      </c>
      <c r="M1255" t="s">
        <v>6405</v>
      </c>
    </row>
    <row r="1256" spans="9:13" x14ac:dyDescent="0.25">
      <c r="I1256" t="s">
        <v>97</v>
      </c>
      <c r="J1256" t="s">
        <v>2712</v>
      </c>
      <c r="L1256" t="s">
        <v>418</v>
      </c>
      <c r="M1256" t="s">
        <v>6237</v>
      </c>
    </row>
    <row r="1257" spans="9:13" x14ac:dyDescent="0.25">
      <c r="I1257" t="s">
        <v>266</v>
      </c>
      <c r="J1257" t="s">
        <v>2287</v>
      </c>
      <c r="L1257" t="s">
        <v>267</v>
      </c>
      <c r="M1257" t="s">
        <v>6604</v>
      </c>
    </row>
    <row r="1258" spans="9:13" x14ac:dyDescent="0.25">
      <c r="I1258" t="s">
        <v>1917</v>
      </c>
      <c r="J1258" t="s">
        <v>2303</v>
      </c>
      <c r="L1258" t="s">
        <v>508</v>
      </c>
      <c r="M1258" t="s">
        <v>7178</v>
      </c>
    </row>
    <row r="1259" spans="9:13" x14ac:dyDescent="0.25">
      <c r="I1259" t="s">
        <v>602</v>
      </c>
      <c r="J1259" t="s">
        <v>6965</v>
      </c>
      <c r="L1259" t="s">
        <v>6073</v>
      </c>
      <c r="M1259" t="s">
        <v>6074</v>
      </c>
    </row>
    <row r="1260" spans="9:13" x14ac:dyDescent="0.25">
      <c r="I1260" t="s">
        <v>1751</v>
      </c>
      <c r="J1260" t="s">
        <v>1752</v>
      </c>
      <c r="L1260" t="s">
        <v>302</v>
      </c>
      <c r="M1260" t="s">
        <v>5383</v>
      </c>
    </row>
    <row r="1261" spans="9:13" x14ac:dyDescent="0.25">
      <c r="I1261" t="s">
        <v>414</v>
      </c>
      <c r="J1261" t="s">
        <v>4109</v>
      </c>
      <c r="L1261" t="s">
        <v>267</v>
      </c>
      <c r="M1261" t="s">
        <v>5786</v>
      </c>
    </row>
    <row r="1262" spans="9:13" x14ac:dyDescent="0.25">
      <c r="I1262" t="s">
        <v>16</v>
      </c>
      <c r="J1262" t="s">
        <v>6928</v>
      </c>
      <c r="L1262" t="s">
        <v>41</v>
      </c>
      <c r="M1262" t="s">
        <v>6269</v>
      </c>
    </row>
    <row r="1263" spans="9:13" x14ac:dyDescent="0.25">
      <c r="I1263" t="s">
        <v>373</v>
      </c>
      <c r="J1263" t="s">
        <v>2202</v>
      </c>
      <c r="L1263" t="s">
        <v>266</v>
      </c>
      <c r="M1263" t="s">
        <v>5084</v>
      </c>
    </row>
    <row r="1264" spans="9:13" x14ac:dyDescent="0.25">
      <c r="I1264" t="s">
        <v>267</v>
      </c>
      <c r="J1264" t="s">
        <v>1818</v>
      </c>
      <c r="L1264" t="s">
        <v>6626</v>
      </c>
      <c r="M1264" t="s">
        <v>4552</v>
      </c>
    </row>
    <row r="1265" spans="9:13" x14ac:dyDescent="0.25">
      <c r="I1265" t="s">
        <v>412</v>
      </c>
      <c r="J1265" t="s">
        <v>6939</v>
      </c>
      <c r="L1265" t="s">
        <v>483</v>
      </c>
      <c r="M1265" t="s">
        <v>5896</v>
      </c>
    </row>
    <row r="1266" spans="9:13" x14ac:dyDescent="0.25">
      <c r="I1266" t="s">
        <v>302</v>
      </c>
      <c r="J1266" t="s">
        <v>3963</v>
      </c>
      <c r="L1266" t="s">
        <v>267</v>
      </c>
      <c r="M1266" t="s">
        <v>5101</v>
      </c>
    </row>
    <row r="1267" spans="9:13" x14ac:dyDescent="0.25">
      <c r="I1267" t="s">
        <v>1842</v>
      </c>
      <c r="J1267" t="s">
        <v>3962</v>
      </c>
      <c r="L1267" t="s">
        <v>302</v>
      </c>
      <c r="M1267" t="s">
        <v>6068</v>
      </c>
    </row>
    <row r="1268" spans="9:13" x14ac:dyDescent="0.25">
      <c r="I1268" t="s">
        <v>267</v>
      </c>
      <c r="J1268" t="s">
        <v>2780</v>
      </c>
      <c r="L1268" t="s">
        <v>267</v>
      </c>
      <c r="M1268" t="s">
        <v>5710</v>
      </c>
    </row>
    <row r="1269" spans="9:13" x14ac:dyDescent="0.25">
      <c r="I1269" t="s">
        <v>489</v>
      </c>
      <c r="J1269" t="s">
        <v>3891</v>
      </c>
      <c r="L1269" t="s">
        <v>2174</v>
      </c>
      <c r="M1269" t="s">
        <v>6375</v>
      </c>
    </row>
    <row r="1270" spans="9:13" x14ac:dyDescent="0.25">
      <c r="I1270" t="s">
        <v>4473</v>
      </c>
      <c r="J1270" t="s">
        <v>4474</v>
      </c>
      <c r="L1270" t="s">
        <v>4562</v>
      </c>
      <c r="M1270" t="s">
        <v>4563</v>
      </c>
    </row>
    <row r="1271" spans="9:13" x14ac:dyDescent="0.25">
      <c r="I1271" t="s">
        <v>425</v>
      </c>
      <c r="J1271" t="s">
        <v>3126</v>
      </c>
      <c r="L1271" t="s">
        <v>5775</v>
      </c>
      <c r="M1271" t="s">
        <v>5776</v>
      </c>
    </row>
    <row r="1272" spans="9:13" x14ac:dyDescent="0.25">
      <c r="I1272" t="s">
        <v>1670</v>
      </c>
      <c r="J1272" t="s">
        <v>1671</v>
      </c>
      <c r="L1272" t="s">
        <v>267</v>
      </c>
      <c r="M1272" t="s">
        <v>5452</v>
      </c>
    </row>
    <row r="1273" spans="9:13" x14ac:dyDescent="0.25">
      <c r="I1273" t="s">
        <v>333</v>
      </c>
      <c r="J1273" t="s">
        <v>2777</v>
      </c>
      <c r="L1273" t="s">
        <v>2200</v>
      </c>
      <c r="M1273" t="s">
        <v>5329</v>
      </c>
    </row>
    <row r="1274" spans="9:13" x14ac:dyDescent="0.25">
      <c r="I1274" t="s">
        <v>2174</v>
      </c>
      <c r="J1274" t="s">
        <v>2175</v>
      </c>
      <c r="L1274" t="s">
        <v>302</v>
      </c>
      <c r="M1274" t="s">
        <v>7166</v>
      </c>
    </row>
    <row r="1275" spans="9:13" x14ac:dyDescent="0.25">
      <c r="I1275" t="s">
        <v>50</v>
      </c>
      <c r="J1275" t="s">
        <v>3341</v>
      </c>
      <c r="L1275" t="s">
        <v>5275</v>
      </c>
      <c r="M1275" t="s">
        <v>6380</v>
      </c>
    </row>
    <row r="1276" spans="9:13" x14ac:dyDescent="0.25">
      <c r="I1276" t="s">
        <v>3648</v>
      </c>
      <c r="J1276" t="s">
        <v>6938</v>
      </c>
      <c r="L1276" t="s">
        <v>302</v>
      </c>
      <c r="M1276" t="s">
        <v>7185</v>
      </c>
    </row>
    <row r="1277" spans="9:13" x14ac:dyDescent="0.25">
      <c r="I1277" t="s">
        <v>4256</v>
      </c>
      <c r="J1277" t="s">
        <v>4257</v>
      </c>
      <c r="L1277" t="s">
        <v>267</v>
      </c>
      <c r="M1277" t="s">
        <v>6134</v>
      </c>
    </row>
    <row r="1278" spans="9:13" x14ac:dyDescent="0.25">
      <c r="I1278" t="s">
        <v>302</v>
      </c>
      <c r="J1278" t="s">
        <v>6862</v>
      </c>
      <c r="L1278" t="s">
        <v>5282</v>
      </c>
      <c r="M1278" t="s">
        <v>5283</v>
      </c>
    </row>
    <row r="1279" spans="9:13" x14ac:dyDescent="0.25">
      <c r="I1279" t="s">
        <v>414</v>
      </c>
      <c r="J1279" t="s">
        <v>2755</v>
      </c>
      <c r="L1279" t="s">
        <v>5275</v>
      </c>
      <c r="M1279" t="s">
        <v>6163</v>
      </c>
    </row>
    <row r="1280" spans="9:13" x14ac:dyDescent="0.25">
      <c r="I1280" t="s">
        <v>3251</v>
      </c>
      <c r="J1280" t="s">
        <v>3252</v>
      </c>
      <c r="L1280" t="s">
        <v>4718</v>
      </c>
      <c r="M1280" t="s">
        <v>4719</v>
      </c>
    </row>
    <row r="1281" spans="9:13" x14ac:dyDescent="0.25">
      <c r="I1281" t="s">
        <v>328</v>
      </c>
      <c r="J1281" t="s">
        <v>2415</v>
      </c>
      <c r="L1281" t="s">
        <v>483</v>
      </c>
      <c r="M1281" t="s">
        <v>6537</v>
      </c>
    </row>
    <row r="1282" spans="9:13" x14ac:dyDescent="0.25">
      <c r="I1282" t="s">
        <v>414</v>
      </c>
      <c r="J1282" t="s">
        <v>4317</v>
      </c>
      <c r="L1282" t="s">
        <v>486</v>
      </c>
      <c r="M1282" t="s">
        <v>6041</v>
      </c>
    </row>
    <row r="1283" spans="9:13" x14ac:dyDescent="0.25">
      <c r="I1283" t="s">
        <v>67</v>
      </c>
      <c r="J1283" t="s">
        <v>6963</v>
      </c>
      <c r="L1283" t="s">
        <v>474</v>
      </c>
      <c r="M1283" t="s">
        <v>5749</v>
      </c>
    </row>
    <row r="1284" spans="9:13" x14ac:dyDescent="0.25">
      <c r="I1284" t="s">
        <v>414</v>
      </c>
      <c r="J1284" t="s">
        <v>4178</v>
      </c>
      <c r="L1284" t="s">
        <v>485</v>
      </c>
      <c r="M1284" t="s">
        <v>4782</v>
      </c>
    </row>
    <row r="1285" spans="9:13" x14ac:dyDescent="0.25">
      <c r="I1285" t="s">
        <v>267</v>
      </c>
      <c r="J1285" t="s">
        <v>3545</v>
      </c>
      <c r="L1285" t="s">
        <v>486</v>
      </c>
      <c r="M1285" t="s">
        <v>6175</v>
      </c>
    </row>
    <row r="1286" spans="9:13" x14ac:dyDescent="0.25">
      <c r="I1286" t="s">
        <v>6830</v>
      </c>
      <c r="J1286" t="s">
        <v>4531</v>
      </c>
      <c r="L1286" t="s">
        <v>302</v>
      </c>
      <c r="M1286" t="s">
        <v>7141</v>
      </c>
    </row>
    <row r="1287" spans="9:13" x14ac:dyDescent="0.25">
      <c r="I1287" t="s">
        <v>267</v>
      </c>
      <c r="J1287" t="s">
        <v>4504</v>
      </c>
      <c r="L1287" t="s">
        <v>5275</v>
      </c>
      <c r="M1287" t="s">
        <v>5840</v>
      </c>
    </row>
    <row r="1288" spans="9:13" x14ac:dyDescent="0.25">
      <c r="I1288" t="s">
        <v>2879</v>
      </c>
      <c r="J1288" t="s">
        <v>2880</v>
      </c>
      <c r="L1288" t="s">
        <v>293</v>
      </c>
      <c r="M1288" t="s">
        <v>4842</v>
      </c>
    </row>
    <row r="1289" spans="9:13" x14ac:dyDescent="0.25">
      <c r="I1289" t="s">
        <v>414</v>
      </c>
      <c r="J1289" t="s">
        <v>3154</v>
      </c>
      <c r="L1289" t="s">
        <v>2105</v>
      </c>
      <c r="M1289" t="s">
        <v>5139</v>
      </c>
    </row>
    <row r="1290" spans="9:13" x14ac:dyDescent="0.25">
      <c r="I1290" t="s">
        <v>2793</v>
      </c>
      <c r="J1290" t="s">
        <v>2794</v>
      </c>
      <c r="L1290" t="s">
        <v>49</v>
      </c>
      <c r="M1290" t="s">
        <v>5478</v>
      </c>
    </row>
    <row r="1291" spans="9:13" x14ac:dyDescent="0.25">
      <c r="I1291" t="s">
        <v>1808</v>
      </c>
      <c r="J1291" t="s">
        <v>3689</v>
      </c>
      <c r="L1291" t="s">
        <v>6436</v>
      </c>
      <c r="M1291" t="s">
        <v>6437</v>
      </c>
    </row>
    <row r="1292" spans="9:13" x14ac:dyDescent="0.25">
      <c r="I1292" t="s">
        <v>355</v>
      </c>
      <c r="J1292" t="s">
        <v>1916</v>
      </c>
      <c r="L1292" t="s">
        <v>418</v>
      </c>
      <c r="M1292" t="s">
        <v>6121</v>
      </c>
    </row>
    <row r="1293" spans="9:13" x14ac:dyDescent="0.25">
      <c r="I1293" t="s">
        <v>267</v>
      </c>
      <c r="J1293" t="s">
        <v>4357</v>
      </c>
      <c r="L1293" t="s">
        <v>302</v>
      </c>
      <c r="M1293" t="s">
        <v>7114</v>
      </c>
    </row>
    <row r="1294" spans="9:13" x14ac:dyDescent="0.25">
      <c r="I1294" t="s">
        <v>1763</v>
      </c>
      <c r="J1294" t="s">
        <v>3594</v>
      </c>
      <c r="L1294" t="s">
        <v>302</v>
      </c>
      <c r="M1294" t="s">
        <v>7047</v>
      </c>
    </row>
    <row r="1295" spans="9:13" x14ac:dyDescent="0.25">
      <c r="I1295" t="s">
        <v>2174</v>
      </c>
      <c r="J1295" t="s">
        <v>2457</v>
      </c>
      <c r="L1295" t="s">
        <v>267</v>
      </c>
      <c r="M1295" t="s">
        <v>6497</v>
      </c>
    </row>
    <row r="1296" spans="9:13" x14ac:dyDescent="0.25">
      <c r="I1296" t="s">
        <v>289</v>
      </c>
      <c r="J1296" t="s">
        <v>3172</v>
      </c>
      <c r="L1296" t="s">
        <v>291</v>
      </c>
      <c r="M1296" t="s">
        <v>5680</v>
      </c>
    </row>
    <row r="1297" spans="9:13" x14ac:dyDescent="0.25">
      <c r="I1297" t="s">
        <v>267</v>
      </c>
      <c r="J1297" t="s">
        <v>4371</v>
      </c>
      <c r="L1297" t="s">
        <v>418</v>
      </c>
      <c r="M1297" t="s">
        <v>6076</v>
      </c>
    </row>
    <row r="1298" spans="9:13" x14ac:dyDescent="0.25">
      <c r="I1298" t="s">
        <v>1816</v>
      </c>
      <c r="J1298" t="s">
        <v>4014</v>
      </c>
      <c r="L1298" t="s">
        <v>144</v>
      </c>
      <c r="M1298" t="s">
        <v>4910</v>
      </c>
    </row>
    <row r="1299" spans="9:13" x14ac:dyDescent="0.25">
      <c r="I1299" t="s">
        <v>425</v>
      </c>
      <c r="J1299" t="s">
        <v>3444</v>
      </c>
      <c r="L1299" t="s">
        <v>302</v>
      </c>
      <c r="M1299" t="s">
        <v>7144</v>
      </c>
    </row>
    <row r="1300" spans="9:13" x14ac:dyDescent="0.25">
      <c r="I1300" t="s">
        <v>1907</v>
      </c>
      <c r="J1300" t="s">
        <v>3958</v>
      </c>
      <c r="L1300" t="s">
        <v>749</v>
      </c>
      <c r="M1300" t="s">
        <v>7240</v>
      </c>
    </row>
    <row r="1301" spans="9:13" x14ac:dyDescent="0.25">
      <c r="I1301" t="s">
        <v>2184</v>
      </c>
      <c r="J1301" t="s">
        <v>2185</v>
      </c>
      <c r="L1301" t="s">
        <v>1</v>
      </c>
      <c r="M1301" t="s">
        <v>5640</v>
      </c>
    </row>
    <row r="1302" spans="9:13" x14ac:dyDescent="0.25">
      <c r="I1302" t="s">
        <v>1894</v>
      </c>
      <c r="J1302" t="s">
        <v>1895</v>
      </c>
      <c r="L1302" t="s">
        <v>483</v>
      </c>
      <c r="M1302" t="s">
        <v>6476</v>
      </c>
    </row>
    <row r="1303" spans="9:13" x14ac:dyDescent="0.25">
      <c r="I1303" t="s">
        <v>299</v>
      </c>
      <c r="J1303" t="s">
        <v>2163</v>
      </c>
      <c r="L1303" t="s">
        <v>326</v>
      </c>
      <c r="M1303" t="s">
        <v>4613</v>
      </c>
    </row>
    <row r="1304" spans="9:13" x14ac:dyDescent="0.25">
      <c r="I1304" t="s">
        <v>19</v>
      </c>
      <c r="J1304" t="s">
        <v>4495</v>
      </c>
      <c r="L1304" t="s">
        <v>302</v>
      </c>
      <c r="M1304" t="s">
        <v>6267</v>
      </c>
    </row>
    <row r="1305" spans="9:13" x14ac:dyDescent="0.25">
      <c r="I1305" t="s">
        <v>2910</v>
      </c>
      <c r="J1305" t="s">
        <v>2911</v>
      </c>
      <c r="L1305" t="s">
        <v>483</v>
      </c>
      <c r="M1305" t="s">
        <v>6183</v>
      </c>
    </row>
    <row r="1306" spans="9:13" x14ac:dyDescent="0.25">
      <c r="I1306" t="s">
        <v>3607</v>
      </c>
      <c r="J1306" t="s">
        <v>3608</v>
      </c>
      <c r="L1306" t="s">
        <v>420</v>
      </c>
      <c r="M1306" t="s">
        <v>6028</v>
      </c>
    </row>
    <row r="1307" spans="9:13" x14ac:dyDescent="0.25">
      <c r="I1307" t="s">
        <v>373</v>
      </c>
      <c r="J1307" t="s">
        <v>3688</v>
      </c>
      <c r="L1307" t="s">
        <v>326</v>
      </c>
      <c r="M1307" t="s">
        <v>6427</v>
      </c>
    </row>
    <row r="1308" spans="9:13" x14ac:dyDescent="0.25">
      <c r="I1308" t="s">
        <v>98</v>
      </c>
      <c r="J1308" t="s">
        <v>2043</v>
      </c>
      <c r="L1308" t="s">
        <v>267</v>
      </c>
      <c r="M1308" t="s">
        <v>5737</v>
      </c>
    </row>
    <row r="1309" spans="9:13" x14ac:dyDescent="0.25">
      <c r="I1309" t="s">
        <v>3714</v>
      </c>
      <c r="J1309" t="s">
        <v>3735</v>
      </c>
      <c r="L1309" t="s">
        <v>483</v>
      </c>
      <c r="M1309" t="s">
        <v>5702</v>
      </c>
    </row>
    <row r="1310" spans="9:13" x14ac:dyDescent="0.25">
      <c r="I1310" t="s">
        <v>17</v>
      </c>
      <c r="J1310" t="s">
        <v>4448</v>
      </c>
      <c r="L1310" t="s">
        <v>5301</v>
      </c>
      <c r="M1310" t="s">
        <v>5302</v>
      </c>
    </row>
    <row r="1311" spans="9:13" x14ac:dyDescent="0.25">
      <c r="I1311" t="s">
        <v>378</v>
      </c>
      <c r="J1311" t="s">
        <v>4022</v>
      </c>
      <c r="L1311" t="s">
        <v>508</v>
      </c>
      <c r="M1311" t="s">
        <v>7116</v>
      </c>
    </row>
    <row r="1312" spans="9:13" x14ac:dyDescent="0.25">
      <c r="I1312" t="s">
        <v>1976</v>
      </c>
      <c r="J1312" t="s">
        <v>6826</v>
      </c>
      <c r="L1312" t="s">
        <v>41</v>
      </c>
      <c r="M1312" t="s">
        <v>5037</v>
      </c>
    </row>
    <row r="1313" spans="9:13" x14ac:dyDescent="0.25">
      <c r="I1313" t="s">
        <v>2247</v>
      </c>
      <c r="J1313" t="s">
        <v>2248</v>
      </c>
      <c r="L1313" t="s">
        <v>5690</v>
      </c>
      <c r="M1313" t="s">
        <v>5691</v>
      </c>
    </row>
    <row r="1314" spans="9:13" x14ac:dyDescent="0.25">
      <c r="I1314" t="s">
        <v>414</v>
      </c>
      <c r="J1314" t="s">
        <v>4088</v>
      </c>
      <c r="L1314" t="s">
        <v>6124</v>
      </c>
      <c r="M1314" t="s">
        <v>6125</v>
      </c>
    </row>
    <row r="1315" spans="9:13" x14ac:dyDescent="0.25">
      <c r="I1315" t="s">
        <v>1958</v>
      </c>
      <c r="J1315" t="s">
        <v>1959</v>
      </c>
      <c r="L1315" t="s">
        <v>291</v>
      </c>
      <c r="M1315" t="s">
        <v>5871</v>
      </c>
    </row>
    <row r="1316" spans="9:13" x14ac:dyDescent="0.25">
      <c r="I1316" t="s">
        <v>2408</v>
      </c>
      <c r="J1316" t="s">
        <v>2409</v>
      </c>
      <c r="L1316" t="s">
        <v>144</v>
      </c>
      <c r="M1316" t="s">
        <v>6493</v>
      </c>
    </row>
    <row r="1317" spans="9:13" x14ac:dyDescent="0.25">
      <c r="I1317" t="s">
        <v>50</v>
      </c>
      <c r="J1317" t="s">
        <v>3709</v>
      </c>
      <c r="L1317" t="s">
        <v>1943</v>
      </c>
      <c r="M1317" t="s">
        <v>5188</v>
      </c>
    </row>
    <row r="1318" spans="9:13" x14ac:dyDescent="0.25">
      <c r="I1318" t="s">
        <v>2174</v>
      </c>
      <c r="J1318" t="s">
        <v>3023</v>
      </c>
      <c r="L1318" t="s">
        <v>2297</v>
      </c>
      <c r="M1318" t="s">
        <v>4858</v>
      </c>
    </row>
    <row r="1319" spans="9:13" x14ac:dyDescent="0.25">
      <c r="I1319" t="s">
        <v>425</v>
      </c>
      <c r="J1319" t="s">
        <v>6941</v>
      </c>
      <c r="L1319" t="s">
        <v>355</v>
      </c>
      <c r="M1319" t="s">
        <v>4875</v>
      </c>
    </row>
    <row r="1320" spans="9:13" x14ac:dyDescent="0.25">
      <c r="I1320" t="s">
        <v>414</v>
      </c>
      <c r="J1320" t="s">
        <v>4280</v>
      </c>
      <c r="L1320" t="s">
        <v>302</v>
      </c>
      <c r="M1320" t="s">
        <v>6562</v>
      </c>
    </row>
    <row r="1321" spans="9:13" x14ac:dyDescent="0.25">
      <c r="I1321" t="s">
        <v>266</v>
      </c>
      <c r="J1321" t="s">
        <v>4135</v>
      </c>
      <c r="L1321" t="s">
        <v>302</v>
      </c>
      <c r="M1321" t="s">
        <v>5922</v>
      </c>
    </row>
    <row r="1322" spans="9:13" x14ac:dyDescent="0.25">
      <c r="I1322" t="s">
        <v>267</v>
      </c>
      <c r="J1322" t="s">
        <v>2377</v>
      </c>
      <c r="L1322" t="s">
        <v>267</v>
      </c>
      <c r="M1322" t="s">
        <v>6235</v>
      </c>
    </row>
    <row r="1323" spans="9:13" x14ac:dyDescent="0.25">
      <c r="I1323" t="s">
        <v>363</v>
      </c>
      <c r="J1323" t="s">
        <v>3905</v>
      </c>
      <c r="L1323" t="s">
        <v>302</v>
      </c>
      <c r="M1323" t="s">
        <v>5995</v>
      </c>
    </row>
    <row r="1324" spans="9:13" x14ac:dyDescent="0.25">
      <c r="I1324" t="s">
        <v>3275</v>
      </c>
      <c r="J1324" t="s">
        <v>3276</v>
      </c>
      <c r="L1324" t="s">
        <v>483</v>
      </c>
      <c r="M1324" t="s">
        <v>6637</v>
      </c>
    </row>
    <row r="1325" spans="9:13" x14ac:dyDescent="0.25">
      <c r="I1325" t="s">
        <v>52</v>
      </c>
      <c r="J1325" t="s">
        <v>1775</v>
      </c>
      <c r="L1325" t="s">
        <v>330</v>
      </c>
      <c r="M1325" t="s">
        <v>5557</v>
      </c>
    </row>
    <row r="1326" spans="9:13" x14ac:dyDescent="0.25">
      <c r="I1326" t="s">
        <v>414</v>
      </c>
      <c r="J1326" t="s">
        <v>3091</v>
      </c>
      <c r="L1326" t="s">
        <v>5446</v>
      </c>
      <c r="M1326" t="s">
        <v>5447</v>
      </c>
    </row>
    <row r="1327" spans="9:13" x14ac:dyDescent="0.25">
      <c r="I1327" t="s">
        <v>425</v>
      </c>
      <c r="J1327" t="s">
        <v>2316</v>
      </c>
      <c r="L1327" t="s">
        <v>330</v>
      </c>
      <c r="M1327" t="s">
        <v>4671</v>
      </c>
    </row>
    <row r="1328" spans="9:13" x14ac:dyDescent="0.25">
      <c r="I1328" t="s">
        <v>102</v>
      </c>
      <c r="J1328" t="s">
        <v>3456</v>
      </c>
      <c r="L1328" t="s">
        <v>302</v>
      </c>
      <c r="M1328" t="s">
        <v>6463</v>
      </c>
    </row>
    <row r="1329" spans="9:13" x14ac:dyDescent="0.25">
      <c r="I1329" t="s">
        <v>6733</v>
      </c>
      <c r="J1329" t="s">
        <v>2251</v>
      </c>
      <c r="L1329" t="s">
        <v>483</v>
      </c>
      <c r="M1329" t="s">
        <v>4932</v>
      </c>
    </row>
    <row r="1330" spans="9:13" x14ac:dyDescent="0.25">
      <c r="I1330" t="s">
        <v>67</v>
      </c>
      <c r="J1330" t="s">
        <v>6867</v>
      </c>
      <c r="L1330" t="s">
        <v>5530</v>
      </c>
      <c r="M1330" t="s">
        <v>5531</v>
      </c>
    </row>
    <row r="1331" spans="9:13" x14ac:dyDescent="0.25">
      <c r="I1331" t="s">
        <v>267</v>
      </c>
      <c r="J1331" t="s">
        <v>3008</v>
      </c>
      <c r="L1331" t="s">
        <v>597</v>
      </c>
      <c r="M1331" t="s">
        <v>6308</v>
      </c>
    </row>
    <row r="1332" spans="9:13" x14ac:dyDescent="0.25">
      <c r="I1332" t="s">
        <v>489</v>
      </c>
      <c r="J1332" t="s">
        <v>3120</v>
      </c>
      <c r="L1332" t="s">
        <v>506</v>
      </c>
      <c r="M1332" t="s">
        <v>7074</v>
      </c>
    </row>
    <row r="1333" spans="9:13" x14ac:dyDescent="0.25">
      <c r="I1333" t="s">
        <v>98</v>
      </c>
      <c r="J1333" t="s">
        <v>3346</v>
      </c>
      <c r="L1333" t="s">
        <v>418</v>
      </c>
      <c r="M1333" t="s">
        <v>7264</v>
      </c>
    </row>
    <row r="1334" spans="9:13" x14ac:dyDescent="0.25">
      <c r="I1334" t="s">
        <v>267</v>
      </c>
      <c r="J1334" t="s">
        <v>1706</v>
      </c>
      <c r="L1334" t="s">
        <v>425</v>
      </c>
      <c r="M1334" t="s">
        <v>7102</v>
      </c>
    </row>
    <row r="1335" spans="9:13" x14ac:dyDescent="0.25">
      <c r="I1335" t="s">
        <v>267</v>
      </c>
      <c r="J1335" t="s">
        <v>3060</v>
      </c>
      <c r="L1335" t="s">
        <v>302</v>
      </c>
      <c r="M1335" t="s">
        <v>5696</v>
      </c>
    </row>
    <row r="1336" spans="9:13" x14ac:dyDescent="0.25">
      <c r="I1336" t="s">
        <v>1831</v>
      </c>
      <c r="J1336" t="s">
        <v>3627</v>
      </c>
      <c r="L1336" t="s">
        <v>302</v>
      </c>
      <c r="M1336" t="s">
        <v>5505</v>
      </c>
    </row>
    <row r="1337" spans="9:13" x14ac:dyDescent="0.25">
      <c r="I1337" t="s">
        <v>2775</v>
      </c>
      <c r="J1337" t="s">
        <v>2776</v>
      </c>
      <c r="L1337" t="s">
        <v>483</v>
      </c>
      <c r="M1337" t="s">
        <v>5499</v>
      </c>
    </row>
    <row r="1338" spans="9:13" x14ac:dyDescent="0.25">
      <c r="I1338" t="s">
        <v>414</v>
      </c>
      <c r="J1338" t="s">
        <v>3578</v>
      </c>
      <c r="L1338" t="s">
        <v>418</v>
      </c>
      <c r="M1338" t="s">
        <v>5483</v>
      </c>
    </row>
    <row r="1339" spans="9:13" x14ac:dyDescent="0.25">
      <c r="I1339" t="s">
        <v>2549</v>
      </c>
      <c r="J1339" t="s">
        <v>2550</v>
      </c>
      <c r="L1339" t="s">
        <v>302</v>
      </c>
      <c r="M1339" t="s">
        <v>5500</v>
      </c>
    </row>
    <row r="1340" spans="9:13" x14ac:dyDescent="0.25">
      <c r="I1340" t="s">
        <v>267</v>
      </c>
      <c r="J1340" t="s">
        <v>3440</v>
      </c>
      <c r="L1340" t="s">
        <v>5076</v>
      </c>
      <c r="M1340" t="s">
        <v>5077</v>
      </c>
    </row>
    <row r="1341" spans="9:13" x14ac:dyDescent="0.25">
      <c r="I1341" t="s">
        <v>291</v>
      </c>
      <c r="J1341" t="s">
        <v>1773</v>
      </c>
      <c r="L1341" t="s">
        <v>6806</v>
      </c>
      <c r="M1341" t="s">
        <v>5156</v>
      </c>
    </row>
    <row r="1342" spans="9:13" x14ac:dyDescent="0.25">
      <c r="I1342" t="s">
        <v>302</v>
      </c>
      <c r="J1342" t="s">
        <v>2421</v>
      </c>
      <c r="L1342" t="s">
        <v>541</v>
      </c>
      <c r="M1342" t="s">
        <v>5299</v>
      </c>
    </row>
    <row r="1343" spans="9:13" x14ac:dyDescent="0.25">
      <c r="I1343" t="s">
        <v>42</v>
      </c>
      <c r="J1343" t="s">
        <v>3398</v>
      </c>
      <c r="L1343" t="s">
        <v>324</v>
      </c>
      <c r="M1343" t="s">
        <v>5362</v>
      </c>
    </row>
    <row r="1344" spans="9:13" x14ac:dyDescent="0.25">
      <c r="I1344" t="s">
        <v>42</v>
      </c>
      <c r="J1344" t="s">
        <v>4476</v>
      </c>
      <c r="L1344" t="s">
        <v>355</v>
      </c>
      <c r="M1344" t="s">
        <v>6362</v>
      </c>
    </row>
    <row r="1345" spans="9:13" x14ac:dyDescent="0.25">
      <c r="I1345" t="s">
        <v>425</v>
      </c>
      <c r="J1345" t="s">
        <v>6828</v>
      </c>
      <c r="L1345" t="s">
        <v>41</v>
      </c>
      <c r="M1345" t="s">
        <v>4936</v>
      </c>
    </row>
    <row r="1346" spans="9:13" x14ac:dyDescent="0.25">
      <c r="I1346" t="s">
        <v>425</v>
      </c>
      <c r="J1346" t="s">
        <v>4450</v>
      </c>
      <c r="L1346" t="s">
        <v>752</v>
      </c>
      <c r="M1346" t="s">
        <v>6538</v>
      </c>
    </row>
    <row r="1347" spans="9:13" x14ac:dyDescent="0.25">
      <c r="I1347" t="s">
        <v>42</v>
      </c>
      <c r="J1347" t="s">
        <v>3568</v>
      </c>
      <c r="L1347" t="s">
        <v>1883</v>
      </c>
      <c r="M1347" t="s">
        <v>6519</v>
      </c>
    </row>
    <row r="1348" spans="9:13" x14ac:dyDescent="0.25">
      <c r="I1348" t="s">
        <v>4516</v>
      </c>
      <c r="J1348" t="s">
        <v>4517</v>
      </c>
      <c r="L1348" t="s">
        <v>597</v>
      </c>
      <c r="M1348" t="s">
        <v>5741</v>
      </c>
    </row>
    <row r="1349" spans="9:13" x14ac:dyDescent="0.25">
      <c r="I1349" t="s">
        <v>42</v>
      </c>
      <c r="J1349" t="s">
        <v>2219</v>
      </c>
      <c r="L1349" t="s">
        <v>5436</v>
      </c>
      <c r="M1349" t="s">
        <v>5437</v>
      </c>
    </row>
    <row r="1350" spans="9:13" x14ac:dyDescent="0.25">
      <c r="I1350" t="s">
        <v>97</v>
      </c>
      <c r="J1350" t="s">
        <v>2018</v>
      </c>
      <c r="L1350" t="s">
        <v>324</v>
      </c>
      <c r="M1350" t="s">
        <v>5752</v>
      </c>
    </row>
    <row r="1351" spans="9:13" x14ac:dyDescent="0.25">
      <c r="I1351" t="s">
        <v>2879</v>
      </c>
      <c r="J1351" t="s">
        <v>4405</v>
      </c>
      <c r="L1351" t="s">
        <v>4597</v>
      </c>
      <c r="M1351" t="s">
        <v>4598</v>
      </c>
    </row>
    <row r="1352" spans="9:13" x14ac:dyDescent="0.25">
      <c r="I1352" t="s">
        <v>296</v>
      </c>
      <c r="J1352" t="s">
        <v>6845</v>
      </c>
      <c r="L1352" t="s">
        <v>418</v>
      </c>
      <c r="M1352" t="s">
        <v>5422</v>
      </c>
    </row>
    <row r="1353" spans="9:13" x14ac:dyDescent="0.25">
      <c r="I1353" t="s">
        <v>6733</v>
      </c>
      <c r="J1353" t="s">
        <v>3949</v>
      </c>
      <c r="L1353" t="s">
        <v>508</v>
      </c>
      <c r="M1353" t="s">
        <v>7080</v>
      </c>
    </row>
    <row r="1354" spans="9:13" x14ac:dyDescent="0.25">
      <c r="I1354" t="s">
        <v>41</v>
      </c>
      <c r="J1354" t="s">
        <v>2649</v>
      </c>
      <c r="L1354" t="s">
        <v>5371</v>
      </c>
      <c r="M1354" t="s">
        <v>5667</v>
      </c>
    </row>
    <row r="1355" spans="9:13" x14ac:dyDescent="0.25">
      <c r="I1355" t="s">
        <v>328</v>
      </c>
      <c r="J1355" t="s">
        <v>3939</v>
      </c>
      <c r="L1355" t="s">
        <v>6138</v>
      </c>
      <c r="M1355" t="s">
        <v>7201</v>
      </c>
    </row>
    <row r="1356" spans="9:13" x14ac:dyDescent="0.25">
      <c r="I1356" t="s">
        <v>4212</v>
      </c>
      <c r="J1356" t="s">
        <v>4213</v>
      </c>
      <c r="L1356" t="s">
        <v>1689</v>
      </c>
      <c r="M1356" t="s">
        <v>5123</v>
      </c>
    </row>
    <row r="1357" spans="9:13" x14ac:dyDescent="0.25">
      <c r="I1357" t="s">
        <v>6832</v>
      </c>
      <c r="J1357" t="s">
        <v>2052</v>
      </c>
      <c r="L1357" t="s">
        <v>4823</v>
      </c>
      <c r="M1357" t="s">
        <v>4824</v>
      </c>
    </row>
    <row r="1358" spans="9:13" x14ac:dyDescent="0.25">
      <c r="I1358" t="s">
        <v>414</v>
      </c>
      <c r="J1358" t="s">
        <v>6661</v>
      </c>
      <c r="L1358" t="s">
        <v>483</v>
      </c>
      <c r="M1358" t="s">
        <v>5181</v>
      </c>
    </row>
    <row r="1359" spans="9:13" x14ac:dyDescent="0.25">
      <c r="I1359" t="s">
        <v>2110</v>
      </c>
      <c r="J1359" t="s">
        <v>2914</v>
      </c>
      <c r="L1359" t="s">
        <v>4588</v>
      </c>
      <c r="M1359" t="s">
        <v>5473</v>
      </c>
    </row>
    <row r="1360" spans="9:13" x14ac:dyDescent="0.25">
      <c r="I1360" t="s">
        <v>6813</v>
      </c>
      <c r="J1360" t="s">
        <v>3054</v>
      </c>
      <c r="L1360" t="s">
        <v>5097</v>
      </c>
      <c r="M1360" t="s">
        <v>5098</v>
      </c>
    </row>
    <row r="1361" spans="9:13" x14ac:dyDescent="0.25">
      <c r="I1361" t="s">
        <v>3112</v>
      </c>
      <c r="J1361" t="s">
        <v>3113</v>
      </c>
      <c r="L1361" t="s">
        <v>302</v>
      </c>
      <c r="M1361" t="s">
        <v>4811</v>
      </c>
    </row>
    <row r="1362" spans="9:13" x14ac:dyDescent="0.25">
      <c r="I1362" t="s">
        <v>6813</v>
      </c>
      <c r="J1362" t="s">
        <v>3284</v>
      </c>
      <c r="L1362" t="s">
        <v>5654</v>
      </c>
      <c r="M1362" t="s">
        <v>5735</v>
      </c>
    </row>
    <row r="1363" spans="9:13" x14ac:dyDescent="0.25">
      <c r="I1363" t="s">
        <v>2455</v>
      </c>
      <c r="J1363" t="s">
        <v>3230</v>
      </c>
      <c r="L1363" t="s">
        <v>412</v>
      </c>
      <c r="M1363" t="s">
        <v>7206</v>
      </c>
    </row>
    <row r="1364" spans="9:13" x14ac:dyDescent="0.25">
      <c r="I1364" t="s">
        <v>581</v>
      </c>
      <c r="J1364" t="s">
        <v>2380</v>
      </c>
      <c r="L1364" t="s">
        <v>330</v>
      </c>
      <c r="M1364" t="s">
        <v>6448</v>
      </c>
    </row>
    <row r="1365" spans="9:13" x14ac:dyDescent="0.25">
      <c r="I1365" t="s">
        <v>6733</v>
      </c>
      <c r="J1365" t="s">
        <v>3371</v>
      </c>
      <c r="L1365" t="s">
        <v>267</v>
      </c>
      <c r="M1365" t="s">
        <v>4627</v>
      </c>
    </row>
    <row r="1366" spans="9:13" x14ac:dyDescent="0.25">
      <c r="I1366" t="s">
        <v>289</v>
      </c>
      <c r="J1366" t="s">
        <v>3669</v>
      </c>
      <c r="L1366" t="s">
        <v>420</v>
      </c>
      <c r="M1366" t="s">
        <v>5755</v>
      </c>
    </row>
    <row r="1367" spans="9:13" x14ac:dyDescent="0.25">
      <c r="I1367" t="s">
        <v>2078</v>
      </c>
      <c r="J1367" t="s">
        <v>3432</v>
      </c>
      <c r="L1367" t="s">
        <v>40</v>
      </c>
      <c r="M1367" t="s">
        <v>4618</v>
      </c>
    </row>
    <row r="1368" spans="9:13" x14ac:dyDescent="0.25">
      <c r="I1368" t="s">
        <v>2742</v>
      </c>
      <c r="J1368" t="s">
        <v>2743</v>
      </c>
      <c r="L1368" t="s">
        <v>144</v>
      </c>
      <c r="M1368" t="s">
        <v>5100</v>
      </c>
    </row>
    <row r="1369" spans="9:13" x14ac:dyDescent="0.25">
      <c r="I1369" t="s">
        <v>414</v>
      </c>
      <c r="J1369" t="s">
        <v>2441</v>
      </c>
      <c r="L1369" t="s">
        <v>267</v>
      </c>
      <c r="M1369" t="s">
        <v>4698</v>
      </c>
    </row>
    <row r="1370" spans="9:13" x14ac:dyDescent="0.25">
      <c r="I1370" t="s">
        <v>420</v>
      </c>
      <c r="J1370" t="s">
        <v>3021</v>
      </c>
      <c r="L1370" t="s">
        <v>412</v>
      </c>
      <c r="M1370" t="s">
        <v>7168</v>
      </c>
    </row>
    <row r="1371" spans="9:13" x14ac:dyDescent="0.25">
      <c r="I1371" t="s">
        <v>267</v>
      </c>
      <c r="J1371" t="s">
        <v>2236</v>
      </c>
      <c r="L1371" t="s">
        <v>483</v>
      </c>
      <c r="M1371" t="s">
        <v>5087</v>
      </c>
    </row>
    <row r="1372" spans="9:13" x14ac:dyDescent="0.25">
      <c r="I1372" t="s">
        <v>2980</v>
      </c>
      <c r="J1372" t="s">
        <v>6900</v>
      </c>
      <c r="L1372" t="s">
        <v>506</v>
      </c>
      <c r="M1372" t="s">
        <v>6597</v>
      </c>
    </row>
    <row r="1373" spans="9:13" x14ac:dyDescent="0.25">
      <c r="I1373" t="s">
        <v>102</v>
      </c>
      <c r="J1373" t="s">
        <v>2553</v>
      </c>
      <c r="L1373" t="s">
        <v>541</v>
      </c>
      <c r="M1373" t="s">
        <v>6007</v>
      </c>
    </row>
    <row r="1374" spans="9:13" x14ac:dyDescent="0.25">
      <c r="I1374" t="s">
        <v>328</v>
      </c>
      <c r="J1374" t="s">
        <v>2143</v>
      </c>
      <c r="L1374" t="s">
        <v>1</v>
      </c>
      <c r="M1374" t="s">
        <v>6368</v>
      </c>
    </row>
    <row r="1375" spans="9:13" x14ac:dyDescent="0.25">
      <c r="I1375" t="s">
        <v>438</v>
      </c>
      <c r="J1375" t="s">
        <v>3721</v>
      </c>
      <c r="L1375" t="s">
        <v>483</v>
      </c>
      <c r="M1375" t="s">
        <v>4911</v>
      </c>
    </row>
    <row r="1376" spans="9:13" x14ac:dyDescent="0.25">
      <c r="I1376" t="s">
        <v>102</v>
      </c>
      <c r="J1376" t="s">
        <v>3650</v>
      </c>
      <c r="L1376" t="s">
        <v>5044</v>
      </c>
      <c r="M1376" t="s">
        <v>5986</v>
      </c>
    </row>
    <row r="1377" spans="9:13" x14ac:dyDescent="0.25">
      <c r="I1377" t="s">
        <v>414</v>
      </c>
      <c r="J1377" t="s">
        <v>2591</v>
      </c>
      <c r="L1377" t="s">
        <v>4956</v>
      </c>
      <c r="M1377" t="s">
        <v>4957</v>
      </c>
    </row>
    <row r="1378" spans="9:13" x14ac:dyDescent="0.25">
      <c r="I1378" t="s">
        <v>99</v>
      </c>
      <c r="J1378" t="s">
        <v>3512</v>
      </c>
      <c r="L1378" t="s">
        <v>44</v>
      </c>
      <c r="M1378" t="s">
        <v>5392</v>
      </c>
    </row>
    <row r="1379" spans="9:13" x14ac:dyDescent="0.25">
      <c r="I1379" t="s">
        <v>2961</v>
      </c>
      <c r="J1379" t="s">
        <v>2962</v>
      </c>
      <c r="L1379" t="s">
        <v>267</v>
      </c>
      <c r="M1379" t="s">
        <v>5304</v>
      </c>
    </row>
    <row r="1380" spans="9:13" x14ac:dyDescent="0.25">
      <c r="I1380" t="s">
        <v>67</v>
      </c>
      <c r="J1380" t="s">
        <v>6869</v>
      </c>
      <c r="L1380" t="s">
        <v>597</v>
      </c>
      <c r="M1380" t="s">
        <v>6397</v>
      </c>
    </row>
    <row r="1381" spans="9:13" x14ac:dyDescent="0.25">
      <c r="I1381" t="s">
        <v>267</v>
      </c>
      <c r="J1381" t="s">
        <v>3177</v>
      </c>
      <c r="L1381" t="s">
        <v>4664</v>
      </c>
      <c r="M1381" t="s">
        <v>5107</v>
      </c>
    </row>
    <row r="1382" spans="9:13" x14ac:dyDescent="0.25">
      <c r="I1382" t="s">
        <v>267</v>
      </c>
      <c r="J1382" t="s">
        <v>3134</v>
      </c>
      <c r="L1382" t="s">
        <v>738</v>
      </c>
      <c r="M1382" t="s">
        <v>6336</v>
      </c>
    </row>
    <row r="1383" spans="9:13" x14ac:dyDescent="0.25">
      <c r="I1383" t="s">
        <v>581</v>
      </c>
      <c r="J1383" t="s">
        <v>3623</v>
      </c>
      <c r="L1383" t="s">
        <v>267</v>
      </c>
      <c r="M1383" t="s">
        <v>4966</v>
      </c>
    </row>
    <row r="1384" spans="9:13" x14ac:dyDescent="0.25">
      <c r="I1384" t="s">
        <v>414</v>
      </c>
      <c r="J1384" t="s">
        <v>4379</v>
      </c>
      <c r="L1384" t="s">
        <v>4775</v>
      </c>
      <c r="M1384" t="s">
        <v>4776</v>
      </c>
    </row>
    <row r="1385" spans="9:13" x14ac:dyDescent="0.25">
      <c r="I1385" t="s">
        <v>3639</v>
      </c>
      <c r="J1385" t="s">
        <v>3640</v>
      </c>
      <c r="L1385" t="s">
        <v>483</v>
      </c>
      <c r="M1385" t="s">
        <v>6539</v>
      </c>
    </row>
    <row r="1386" spans="9:13" x14ac:dyDescent="0.25">
      <c r="I1386" t="s">
        <v>425</v>
      </c>
      <c r="J1386" t="s">
        <v>6887</v>
      </c>
      <c r="L1386" t="s">
        <v>328</v>
      </c>
      <c r="M1386" t="s">
        <v>4741</v>
      </c>
    </row>
    <row r="1387" spans="9:13" x14ac:dyDescent="0.25">
      <c r="I1387" t="s">
        <v>97</v>
      </c>
      <c r="J1387" t="s">
        <v>2017</v>
      </c>
      <c r="L1387" t="s">
        <v>19</v>
      </c>
      <c r="M1387" t="s">
        <v>5864</v>
      </c>
    </row>
    <row r="1388" spans="9:13" x14ac:dyDescent="0.25">
      <c r="I1388" t="s">
        <v>581</v>
      </c>
      <c r="J1388" t="s">
        <v>1940</v>
      </c>
      <c r="L1388" t="s">
        <v>267</v>
      </c>
      <c r="M1388" t="s">
        <v>5221</v>
      </c>
    </row>
    <row r="1389" spans="9:13" x14ac:dyDescent="0.25">
      <c r="I1389" t="s">
        <v>102</v>
      </c>
      <c r="J1389" t="s">
        <v>4319</v>
      </c>
      <c r="L1389" t="s">
        <v>41</v>
      </c>
      <c r="M1389" t="s">
        <v>5457</v>
      </c>
    </row>
    <row r="1390" spans="9:13" x14ac:dyDescent="0.25">
      <c r="I1390" t="s">
        <v>2710</v>
      </c>
      <c r="J1390" t="s">
        <v>4456</v>
      </c>
      <c r="L1390" t="s">
        <v>5154</v>
      </c>
      <c r="M1390" t="s">
        <v>5296</v>
      </c>
    </row>
    <row r="1391" spans="9:13" x14ac:dyDescent="0.25">
      <c r="I1391" t="s">
        <v>414</v>
      </c>
      <c r="J1391" t="s">
        <v>1697</v>
      </c>
      <c r="L1391" t="s">
        <v>267</v>
      </c>
      <c r="M1391" t="s">
        <v>5057</v>
      </c>
    </row>
    <row r="1392" spans="9:13" x14ac:dyDescent="0.25">
      <c r="I1392" t="s">
        <v>414</v>
      </c>
      <c r="J1392" t="s">
        <v>1783</v>
      </c>
      <c r="L1392" t="s">
        <v>267</v>
      </c>
      <c r="M1392" t="s">
        <v>5704</v>
      </c>
    </row>
    <row r="1393" spans="9:13" x14ac:dyDescent="0.25">
      <c r="I1393" t="s">
        <v>99</v>
      </c>
      <c r="J1393" t="s">
        <v>3462</v>
      </c>
      <c r="L1393" t="s">
        <v>483</v>
      </c>
      <c r="M1393" t="s">
        <v>6262</v>
      </c>
    </row>
    <row r="1394" spans="9:13" x14ac:dyDescent="0.25">
      <c r="I1394" t="s">
        <v>102</v>
      </c>
      <c r="J1394" t="s">
        <v>3839</v>
      </c>
      <c r="L1394" t="s">
        <v>483</v>
      </c>
      <c r="M1394" t="s">
        <v>5228</v>
      </c>
    </row>
    <row r="1395" spans="9:13" x14ac:dyDescent="0.25">
      <c r="I1395" t="s">
        <v>44</v>
      </c>
      <c r="J1395" t="s">
        <v>3491</v>
      </c>
      <c r="L1395" t="s">
        <v>4743</v>
      </c>
      <c r="M1395" t="s">
        <v>4744</v>
      </c>
    </row>
    <row r="1396" spans="9:13" x14ac:dyDescent="0.25">
      <c r="I1396" t="s">
        <v>3360</v>
      </c>
      <c r="J1396" t="s">
        <v>3361</v>
      </c>
      <c r="L1396" t="s">
        <v>474</v>
      </c>
      <c r="M1396" t="s">
        <v>5326</v>
      </c>
    </row>
    <row r="1397" spans="9:13" x14ac:dyDescent="0.25">
      <c r="I1397" t="s">
        <v>102</v>
      </c>
      <c r="J1397" t="s">
        <v>4083</v>
      </c>
      <c r="L1397" t="s">
        <v>4949</v>
      </c>
      <c r="M1397" t="s">
        <v>4950</v>
      </c>
    </row>
    <row r="1398" spans="9:13" x14ac:dyDescent="0.25">
      <c r="I1398" t="s">
        <v>328</v>
      </c>
      <c r="J1398" t="s">
        <v>3529</v>
      </c>
      <c r="L1398" t="s">
        <v>302</v>
      </c>
      <c r="M1398" t="s">
        <v>7103</v>
      </c>
    </row>
    <row r="1399" spans="9:13" x14ac:dyDescent="0.25">
      <c r="I1399" t="s">
        <v>100</v>
      </c>
      <c r="J1399" t="s">
        <v>2631</v>
      </c>
      <c r="L1399" t="s">
        <v>508</v>
      </c>
      <c r="M1399" t="s">
        <v>5951</v>
      </c>
    </row>
    <row r="1400" spans="9:13" x14ac:dyDescent="0.25">
      <c r="I1400" t="s">
        <v>50</v>
      </c>
      <c r="J1400" t="s">
        <v>2985</v>
      </c>
      <c r="L1400" t="s">
        <v>267</v>
      </c>
      <c r="M1400" t="s">
        <v>6347</v>
      </c>
    </row>
    <row r="1401" spans="9:13" x14ac:dyDescent="0.25">
      <c r="I1401" t="s">
        <v>4442</v>
      </c>
      <c r="J1401" t="s">
        <v>4443</v>
      </c>
      <c r="L1401" t="s">
        <v>302</v>
      </c>
      <c r="M1401" t="s">
        <v>5866</v>
      </c>
    </row>
    <row r="1402" spans="9:13" x14ac:dyDescent="0.25">
      <c r="I1402" t="s">
        <v>414</v>
      </c>
      <c r="J1402" t="s">
        <v>4418</v>
      </c>
      <c r="L1402" t="s">
        <v>267</v>
      </c>
      <c r="M1402" t="s">
        <v>6101</v>
      </c>
    </row>
    <row r="1403" spans="9:13" x14ac:dyDescent="0.25">
      <c r="I1403" t="s">
        <v>3923</v>
      </c>
      <c r="J1403" t="s">
        <v>3924</v>
      </c>
      <c r="L1403" t="s">
        <v>328</v>
      </c>
      <c r="M1403" t="s">
        <v>4845</v>
      </c>
    </row>
    <row r="1404" spans="9:13" x14ac:dyDescent="0.25">
      <c r="I1404" t="s">
        <v>425</v>
      </c>
      <c r="J1404" t="s">
        <v>2293</v>
      </c>
      <c r="L1404" t="s">
        <v>4667</v>
      </c>
      <c r="M1404" t="s">
        <v>4668</v>
      </c>
    </row>
    <row r="1405" spans="9:13" x14ac:dyDescent="0.25">
      <c r="I1405" t="s">
        <v>6733</v>
      </c>
      <c r="J1405" t="s">
        <v>3933</v>
      </c>
      <c r="L1405" t="s">
        <v>5095</v>
      </c>
      <c r="M1405" t="s">
        <v>5096</v>
      </c>
    </row>
    <row r="1406" spans="9:13" x14ac:dyDescent="0.25">
      <c r="I1406" t="s">
        <v>44</v>
      </c>
      <c r="J1406" t="s">
        <v>2199</v>
      </c>
      <c r="L1406" t="s">
        <v>267</v>
      </c>
      <c r="M1406" t="s">
        <v>5876</v>
      </c>
    </row>
    <row r="1407" spans="9:13" x14ac:dyDescent="0.25">
      <c r="I1407" t="s">
        <v>43</v>
      </c>
      <c r="J1407" t="s">
        <v>2193</v>
      </c>
      <c r="L1407" t="s">
        <v>4664</v>
      </c>
      <c r="M1407" t="s">
        <v>5949</v>
      </c>
    </row>
    <row r="1408" spans="9:13" x14ac:dyDescent="0.25">
      <c r="I1408" t="s">
        <v>50</v>
      </c>
      <c r="J1408" t="s">
        <v>2007</v>
      </c>
      <c r="L1408" t="s">
        <v>267</v>
      </c>
      <c r="M1408" t="s">
        <v>5940</v>
      </c>
    </row>
    <row r="1409" spans="9:13" x14ac:dyDescent="0.25">
      <c r="I1409" t="s">
        <v>2800</v>
      </c>
      <c r="J1409" t="s">
        <v>2801</v>
      </c>
      <c r="L1409" t="s">
        <v>418</v>
      </c>
      <c r="M1409" t="s">
        <v>6521</v>
      </c>
    </row>
    <row r="1410" spans="9:13" x14ac:dyDescent="0.25">
      <c r="I1410" t="s">
        <v>328</v>
      </c>
      <c r="J1410" t="s">
        <v>4389</v>
      </c>
      <c r="L1410" t="s">
        <v>2365</v>
      </c>
      <c r="M1410" t="s">
        <v>6055</v>
      </c>
    </row>
    <row r="1411" spans="9:13" x14ac:dyDescent="0.25">
      <c r="I1411" t="s">
        <v>43</v>
      </c>
      <c r="J1411" t="s">
        <v>3597</v>
      </c>
      <c r="L1411" t="s">
        <v>418</v>
      </c>
      <c r="M1411" t="s">
        <v>6382</v>
      </c>
    </row>
    <row r="1412" spans="9:13" x14ac:dyDescent="0.25">
      <c r="I1412" t="s">
        <v>43</v>
      </c>
      <c r="J1412" t="s">
        <v>4373</v>
      </c>
      <c r="L1412" t="s">
        <v>422</v>
      </c>
      <c r="M1412" t="s">
        <v>6333</v>
      </c>
    </row>
    <row r="1413" spans="9:13" x14ac:dyDescent="0.25">
      <c r="I1413" t="s">
        <v>2647</v>
      </c>
      <c r="J1413" t="s">
        <v>2648</v>
      </c>
      <c r="L1413" t="s">
        <v>422</v>
      </c>
      <c r="M1413" t="s">
        <v>6174</v>
      </c>
    </row>
    <row r="1414" spans="9:13" x14ac:dyDescent="0.25">
      <c r="I1414" t="s">
        <v>414</v>
      </c>
      <c r="J1414" t="s">
        <v>1990</v>
      </c>
      <c r="L1414" t="s">
        <v>4664</v>
      </c>
      <c r="M1414" t="s">
        <v>4665</v>
      </c>
    </row>
    <row r="1415" spans="9:13" x14ac:dyDescent="0.25">
      <c r="I1415" t="s">
        <v>267</v>
      </c>
      <c r="J1415" t="s">
        <v>1761</v>
      </c>
      <c r="L1415" t="s">
        <v>597</v>
      </c>
      <c r="M1415" t="s">
        <v>5331</v>
      </c>
    </row>
    <row r="1416" spans="9:13" x14ac:dyDescent="0.25">
      <c r="I1416" t="s">
        <v>333</v>
      </c>
      <c r="J1416" t="s">
        <v>3179</v>
      </c>
      <c r="L1416" t="s">
        <v>5731</v>
      </c>
      <c r="M1416" t="s">
        <v>5754</v>
      </c>
    </row>
    <row r="1417" spans="9:13" x14ac:dyDescent="0.25">
      <c r="I1417" t="s">
        <v>414</v>
      </c>
      <c r="J1417" t="s">
        <v>1663</v>
      </c>
      <c r="L1417" t="s">
        <v>5064</v>
      </c>
      <c r="M1417" t="s">
        <v>5065</v>
      </c>
    </row>
    <row r="1418" spans="9:13" x14ac:dyDescent="0.25">
      <c r="I1418" t="s">
        <v>2318</v>
      </c>
      <c r="J1418" t="s">
        <v>2319</v>
      </c>
      <c r="L1418" t="s">
        <v>597</v>
      </c>
      <c r="M1418" t="s">
        <v>6473</v>
      </c>
    </row>
    <row r="1419" spans="9:13" x14ac:dyDescent="0.25">
      <c r="I1419" t="s">
        <v>566</v>
      </c>
      <c r="J1419" t="s">
        <v>4446</v>
      </c>
      <c r="L1419" t="s">
        <v>40</v>
      </c>
      <c r="M1419" t="s">
        <v>4974</v>
      </c>
    </row>
    <row r="1420" spans="9:13" x14ac:dyDescent="0.25">
      <c r="I1420" t="s">
        <v>308</v>
      </c>
      <c r="J1420" t="s">
        <v>2792</v>
      </c>
      <c r="L1420" t="s">
        <v>418</v>
      </c>
      <c r="M1420" t="s">
        <v>6617</v>
      </c>
    </row>
    <row r="1421" spans="9:13" x14ac:dyDescent="0.25">
      <c r="I1421" t="s">
        <v>267</v>
      </c>
      <c r="J1421" t="s">
        <v>3274</v>
      </c>
      <c r="L1421" t="s">
        <v>422</v>
      </c>
      <c r="M1421" t="s">
        <v>6640</v>
      </c>
    </row>
    <row r="1422" spans="9:13" x14ac:dyDescent="0.25">
      <c r="I1422" t="s">
        <v>1657</v>
      </c>
      <c r="J1422" t="s">
        <v>2806</v>
      </c>
      <c r="L1422" t="s">
        <v>267</v>
      </c>
      <c r="M1422" t="s">
        <v>6071</v>
      </c>
    </row>
    <row r="1423" spans="9:13" x14ac:dyDescent="0.25">
      <c r="I1423" t="s">
        <v>2769</v>
      </c>
      <c r="J1423" t="s">
        <v>4535</v>
      </c>
      <c r="L1423" t="s">
        <v>414</v>
      </c>
      <c r="M1423" t="s">
        <v>6338</v>
      </c>
    </row>
    <row r="1424" spans="9:13" x14ac:dyDescent="0.25">
      <c r="I1424" t="s">
        <v>51</v>
      </c>
      <c r="J1424" t="s">
        <v>1865</v>
      </c>
      <c r="L1424" t="s">
        <v>373</v>
      </c>
      <c r="M1424" t="s">
        <v>5915</v>
      </c>
    </row>
    <row r="1425" spans="9:13" x14ac:dyDescent="0.25">
      <c r="I1425" t="s">
        <v>44</v>
      </c>
      <c r="J1425" t="s">
        <v>2197</v>
      </c>
      <c r="L1425" t="s">
        <v>328</v>
      </c>
      <c r="M1425" t="s">
        <v>5908</v>
      </c>
    </row>
    <row r="1426" spans="9:13" x14ac:dyDescent="0.25">
      <c r="I1426" t="s">
        <v>414</v>
      </c>
      <c r="J1426" t="s">
        <v>2613</v>
      </c>
      <c r="L1426" t="s">
        <v>506</v>
      </c>
      <c r="M1426" t="s">
        <v>7005</v>
      </c>
    </row>
    <row r="1427" spans="9:13" x14ac:dyDescent="0.25">
      <c r="I1427" t="s">
        <v>99</v>
      </c>
      <c r="J1427" t="s">
        <v>3249</v>
      </c>
      <c r="L1427" t="s">
        <v>6030</v>
      </c>
      <c r="M1427" t="s">
        <v>6031</v>
      </c>
    </row>
    <row r="1428" spans="9:13" x14ac:dyDescent="0.25">
      <c r="I1428" t="s">
        <v>267</v>
      </c>
      <c r="J1428" t="s">
        <v>1839</v>
      </c>
      <c r="L1428" t="s">
        <v>483</v>
      </c>
      <c r="M1428" t="s">
        <v>5893</v>
      </c>
    </row>
    <row r="1429" spans="9:13" x14ac:dyDescent="0.25">
      <c r="I1429" t="s">
        <v>1808</v>
      </c>
      <c r="J1429" t="s">
        <v>3063</v>
      </c>
      <c r="L1429" t="s">
        <v>267</v>
      </c>
      <c r="M1429" t="s">
        <v>4789</v>
      </c>
    </row>
    <row r="1430" spans="9:13" x14ac:dyDescent="0.25">
      <c r="I1430" t="s">
        <v>267</v>
      </c>
      <c r="J1430" t="s">
        <v>3593</v>
      </c>
      <c r="L1430" t="s">
        <v>422</v>
      </c>
      <c r="M1430" t="s">
        <v>6644</v>
      </c>
    </row>
    <row r="1431" spans="9:13" x14ac:dyDescent="0.25">
      <c r="I1431" t="s">
        <v>43</v>
      </c>
      <c r="J1431" t="s">
        <v>4107</v>
      </c>
      <c r="L1431" t="s">
        <v>328</v>
      </c>
      <c r="M1431" t="s">
        <v>4560</v>
      </c>
    </row>
    <row r="1432" spans="9:13" x14ac:dyDescent="0.25">
      <c r="I1432" t="s">
        <v>1731</v>
      </c>
      <c r="J1432" t="s">
        <v>1732</v>
      </c>
      <c r="L1432" t="s">
        <v>267</v>
      </c>
      <c r="M1432" t="s">
        <v>6090</v>
      </c>
    </row>
    <row r="1433" spans="9:13" x14ac:dyDescent="0.25">
      <c r="I1433" t="s">
        <v>1993</v>
      </c>
      <c r="J1433" t="s">
        <v>3470</v>
      </c>
      <c r="L1433" t="s">
        <v>597</v>
      </c>
      <c r="M1433" t="s">
        <v>6344</v>
      </c>
    </row>
    <row r="1434" spans="9:13" x14ac:dyDescent="0.25">
      <c r="I1434" t="s">
        <v>600</v>
      </c>
      <c r="J1434" t="s">
        <v>3173</v>
      </c>
      <c r="L1434" t="s">
        <v>418</v>
      </c>
      <c r="M1434" t="s">
        <v>6636</v>
      </c>
    </row>
    <row r="1435" spans="9:13" x14ac:dyDescent="0.25">
      <c r="I1435" t="s">
        <v>43</v>
      </c>
      <c r="J1435" t="s">
        <v>3968</v>
      </c>
      <c r="L1435" t="s">
        <v>2365</v>
      </c>
      <c r="M1435" t="s">
        <v>5014</v>
      </c>
    </row>
    <row r="1436" spans="9:13" x14ac:dyDescent="0.25">
      <c r="I1436" t="s">
        <v>597</v>
      </c>
      <c r="J1436" t="s">
        <v>2138</v>
      </c>
      <c r="L1436" t="s">
        <v>4878</v>
      </c>
      <c r="M1436" t="s">
        <v>4879</v>
      </c>
    </row>
    <row r="1437" spans="9:13" x14ac:dyDescent="0.25">
      <c r="I1437" t="s">
        <v>267</v>
      </c>
      <c r="J1437" t="s">
        <v>2789</v>
      </c>
      <c r="L1437" t="s">
        <v>266</v>
      </c>
      <c r="M1437" t="s">
        <v>5246</v>
      </c>
    </row>
    <row r="1438" spans="9:13" x14ac:dyDescent="0.25">
      <c r="I1438" t="s">
        <v>333</v>
      </c>
      <c r="J1438" t="s">
        <v>2741</v>
      </c>
      <c r="L1438" t="s">
        <v>486</v>
      </c>
      <c r="M1438" t="s">
        <v>6600</v>
      </c>
    </row>
    <row r="1439" spans="9:13" x14ac:dyDescent="0.25">
      <c r="I1439" t="s">
        <v>1880</v>
      </c>
      <c r="J1439" t="s">
        <v>4410</v>
      </c>
      <c r="L1439" t="s">
        <v>6420</v>
      </c>
      <c r="M1439" t="s">
        <v>6421</v>
      </c>
    </row>
    <row r="1440" spans="9:13" x14ac:dyDescent="0.25">
      <c r="I1440" t="s">
        <v>266</v>
      </c>
      <c r="J1440" t="s">
        <v>4461</v>
      </c>
      <c r="L1440" t="s">
        <v>708</v>
      </c>
      <c r="M1440" t="s">
        <v>5998</v>
      </c>
    </row>
    <row r="1441" spans="9:13" x14ac:dyDescent="0.25">
      <c r="I1441" t="s">
        <v>267</v>
      </c>
      <c r="J1441" t="s">
        <v>2719</v>
      </c>
      <c r="L1441" t="s">
        <v>2245</v>
      </c>
      <c r="M1441" t="s">
        <v>4939</v>
      </c>
    </row>
    <row r="1442" spans="9:13" x14ac:dyDescent="0.25">
      <c r="I1442" t="s">
        <v>414</v>
      </c>
      <c r="J1442" t="s">
        <v>3128</v>
      </c>
      <c r="L1442" t="s">
        <v>5731</v>
      </c>
      <c r="M1442" t="s">
        <v>5996</v>
      </c>
    </row>
    <row r="1443" spans="9:13" x14ac:dyDescent="0.25">
      <c r="I1443" t="s">
        <v>2728</v>
      </c>
      <c r="J1443" t="s">
        <v>2729</v>
      </c>
      <c r="L1443" t="s">
        <v>267</v>
      </c>
      <c r="M1443" t="s">
        <v>5975</v>
      </c>
    </row>
    <row r="1444" spans="9:13" x14ac:dyDescent="0.25">
      <c r="I1444" t="s">
        <v>102</v>
      </c>
      <c r="J1444" t="s">
        <v>2139</v>
      </c>
      <c r="L1444" t="s">
        <v>4838</v>
      </c>
      <c r="M1444" t="s">
        <v>5882</v>
      </c>
    </row>
    <row r="1445" spans="9:13" x14ac:dyDescent="0.25">
      <c r="I1445" t="s">
        <v>102</v>
      </c>
      <c r="J1445" t="s">
        <v>3488</v>
      </c>
      <c r="L1445" t="s">
        <v>5105</v>
      </c>
      <c r="M1445" t="s">
        <v>5106</v>
      </c>
    </row>
    <row r="1446" spans="9:13" x14ac:dyDescent="0.25">
      <c r="I1446" t="s">
        <v>333</v>
      </c>
      <c r="J1446" t="s">
        <v>4530</v>
      </c>
      <c r="L1446" t="s">
        <v>708</v>
      </c>
      <c r="M1446" t="s">
        <v>7022</v>
      </c>
    </row>
    <row r="1447" spans="9:13" x14ac:dyDescent="0.25">
      <c r="I1447" t="s">
        <v>2401</v>
      </c>
      <c r="J1447" t="s">
        <v>2402</v>
      </c>
      <c r="L1447" t="s">
        <v>508</v>
      </c>
      <c r="M1447" t="s">
        <v>4688</v>
      </c>
    </row>
    <row r="1448" spans="9:13" x14ac:dyDescent="0.25">
      <c r="I1448" t="s">
        <v>414</v>
      </c>
      <c r="J1448" t="s">
        <v>2084</v>
      </c>
      <c r="L1448" t="s">
        <v>708</v>
      </c>
      <c r="M1448" t="s">
        <v>7025</v>
      </c>
    </row>
    <row r="1449" spans="9:13" x14ac:dyDescent="0.25">
      <c r="I1449" t="s">
        <v>266</v>
      </c>
      <c r="J1449" t="s">
        <v>2220</v>
      </c>
      <c r="L1449" t="s">
        <v>418</v>
      </c>
      <c r="M1449" t="s">
        <v>6400</v>
      </c>
    </row>
    <row r="1450" spans="9:13" x14ac:dyDescent="0.25">
      <c r="I1450" t="s">
        <v>414</v>
      </c>
      <c r="J1450" t="s">
        <v>3550</v>
      </c>
      <c r="L1450" t="s">
        <v>130</v>
      </c>
      <c r="M1450" t="s">
        <v>5673</v>
      </c>
    </row>
    <row r="1451" spans="9:13" x14ac:dyDescent="0.25">
      <c r="I1451" t="s">
        <v>425</v>
      </c>
      <c r="J1451" t="s">
        <v>3876</v>
      </c>
      <c r="L1451" t="s">
        <v>4838</v>
      </c>
      <c r="M1451" t="s">
        <v>7161</v>
      </c>
    </row>
    <row r="1452" spans="9:13" x14ac:dyDescent="0.25">
      <c r="I1452" t="s">
        <v>6813</v>
      </c>
      <c r="J1452" t="s">
        <v>2439</v>
      </c>
      <c r="L1452" t="s">
        <v>302</v>
      </c>
      <c r="M1452" t="s">
        <v>7241</v>
      </c>
    </row>
    <row r="1453" spans="9:13" x14ac:dyDescent="0.25">
      <c r="I1453" t="s">
        <v>328</v>
      </c>
      <c r="J1453" t="s">
        <v>3240</v>
      </c>
      <c r="L1453" t="s">
        <v>483</v>
      </c>
      <c r="M1453" t="s">
        <v>5830</v>
      </c>
    </row>
    <row r="1454" spans="9:13" x14ac:dyDescent="0.25">
      <c r="I1454" t="s">
        <v>425</v>
      </c>
      <c r="J1454" t="s">
        <v>6870</v>
      </c>
      <c r="L1454" t="s">
        <v>6442</v>
      </c>
      <c r="M1454" t="s">
        <v>6443</v>
      </c>
    </row>
    <row r="1455" spans="9:13" x14ac:dyDescent="0.25">
      <c r="I1455" t="s">
        <v>2383</v>
      </c>
      <c r="J1455" t="s">
        <v>2384</v>
      </c>
      <c r="L1455" t="s">
        <v>4800</v>
      </c>
      <c r="M1455" t="s">
        <v>7038</v>
      </c>
    </row>
    <row r="1456" spans="9:13" x14ac:dyDescent="0.25">
      <c r="I1456" t="s">
        <v>6733</v>
      </c>
      <c r="J1456" t="s">
        <v>2570</v>
      </c>
      <c r="L1456" t="s">
        <v>5131</v>
      </c>
      <c r="M1456" t="s">
        <v>5132</v>
      </c>
    </row>
    <row r="1457" spans="9:13" x14ac:dyDescent="0.25">
      <c r="I1457" t="s">
        <v>267</v>
      </c>
      <c r="J1457" t="s">
        <v>4341</v>
      </c>
      <c r="L1457" t="s">
        <v>5017</v>
      </c>
      <c r="M1457" t="s">
        <v>5018</v>
      </c>
    </row>
    <row r="1458" spans="9:13" x14ac:dyDescent="0.25">
      <c r="I1458" t="s">
        <v>129</v>
      </c>
      <c r="J1458" t="s">
        <v>2610</v>
      </c>
      <c r="L1458" t="s">
        <v>130</v>
      </c>
      <c r="M1458" t="s">
        <v>6424</v>
      </c>
    </row>
    <row r="1459" spans="9:13" x14ac:dyDescent="0.25">
      <c r="I1459" t="s">
        <v>414</v>
      </c>
      <c r="J1459" t="s">
        <v>3645</v>
      </c>
      <c r="L1459" t="s">
        <v>4672</v>
      </c>
      <c r="M1459" t="s">
        <v>4673</v>
      </c>
    </row>
    <row r="1460" spans="9:13" x14ac:dyDescent="0.25">
      <c r="I1460" t="s">
        <v>3836</v>
      </c>
      <c r="J1460" t="s">
        <v>3837</v>
      </c>
      <c r="L1460" t="s">
        <v>302</v>
      </c>
      <c r="M1460" t="s">
        <v>7239</v>
      </c>
    </row>
    <row r="1461" spans="9:13" x14ac:dyDescent="0.25">
      <c r="I1461" t="s">
        <v>102</v>
      </c>
      <c r="J1461" t="s">
        <v>1915</v>
      </c>
      <c r="L1461" t="s">
        <v>708</v>
      </c>
      <c r="M1461" t="s">
        <v>7014</v>
      </c>
    </row>
    <row r="1462" spans="9:13" x14ac:dyDescent="0.25">
      <c r="I1462" t="s">
        <v>97</v>
      </c>
      <c r="J1462" t="s">
        <v>2153</v>
      </c>
      <c r="L1462" t="s">
        <v>420</v>
      </c>
      <c r="M1462" t="s">
        <v>7146</v>
      </c>
    </row>
    <row r="1463" spans="9:13" x14ac:dyDescent="0.25">
      <c r="I1463" t="s">
        <v>266</v>
      </c>
      <c r="J1463" t="s">
        <v>2063</v>
      </c>
      <c r="L1463" t="s">
        <v>486</v>
      </c>
      <c r="M1463" t="s">
        <v>5917</v>
      </c>
    </row>
    <row r="1464" spans="9:13" x14ac:dyDescent="0.25">
      <c r="I1464" t="s">
        <v>2605</v>
      </c>
      <c r="J1464" t="s">
        <v>2888</v>
      </c>
      <c r="L1464" t="s">
        <v>486</v>
      </c>
      <c r="M1464" t="s">
        <v>6327</v>
      </c>
    </row>
    <row r="1465" spans="9:13" x14ac:dyDescent="0.25">
      <c r="I1465" t="s">
        <v>2818</v>
      </c>
      <c r="J1465" t="s">
        <v>2819</v>
      </c>
      <c r="L1465" t="s">
        <v>130</v>
      </c>
      <c r="M1465" t="s">
        <v>5526</v>
      </c>
    </row>
    <row r="1466" spans="9:13" x14ac:dyDescent="0.25">
      <c r="I1466" t="s">
        <v>2255</v>
      </c>
      <c r="J1466" t="s">
        <v>2256</v>
      </c>
      <c r="L1466" t="s">
        <v>541</v>
      </c>
      <c r="M1466" t="s">
        <v>6021</v>
      </c>
    </row>
    <row r="1467" spans="9:13" x14ac:dyDescent="0.25">
      <c r="I1467" t="s">
        <v>326</v>
      </c>
      <c r="J1467" t="s">
        <v>3100</v>
      </c>
      <c r="L1467" t="s">
        <v>267</v>
      </c>
      <c r="M1467" t="s">
        <v>5689</v>
      </c>
    </row>
    <row r="1468" spans="9:13" x14ac:dyDescent="0.25">
      <c r="I1468" t="s">
        <v>2039</v>
      </c>
      <c r="J1468" t="s">
        <v>2040</v>
      </c>
      <c r="L1468" t="s">
        <v>328</v>
      </c>
      <c r="M1468" t="s">
        <v>5257</v>
      </c>
    </row>
    <row r="1469" spans="9:13" x14ac:dyDescent="0.25">
      <c r="I1469" t="s">
        <v>43</v>
      </c>
      <c r="J1469" t="s">
        <v>2416</v>
      </c>
      <c r="L1469" t="s">
        <v>597</v>
      </c>
      <c r="M1469" t="s">
        <v>5189</v>
      </c>
    </row>
    <row r="1470" spans="9:13" x14ac:dyDescent="0.25">
      <c r="I1470" t="s">
        <v>102</v>
      </c>
      <c r="J1470" t="s">
        <v>1659</v>
      </c>
      <c r="L1470" t="s">
        <v>486</v>
      </c>
      <c r="M1470" t="s">
        <v>4794</v>
      </c>
    </row>
    <row r="1471" spans="9:13" x14ac:dyDescent="0.25">
      <c r="I1471" t="s">
        <v>3656</v>
      </c>
      <c r="J1471" t="s">
        <v>3657</v>
      </c>
      <c r="L1471" t="s">
        <v>422</v>
      </c>
      <c r="M1471" t="s">
        <v>5911</v>
      </c>
    </row>
    <row r="1472" spans="9:13" x14ac:dyDescent="0.25">
      <c r="I1472" t="s">
        <v>6813</v>
      </c>
      <c r="J1472" t="s">
        <v>3871</v>
      </c>
      <c r="L1472" t="s">
        <v>1</v>
      </c>
      <c r="M1472" t="s">
        <v>5944</v>
      </c>
    </row>
    <row r="1473" spans="9:13" x14ac:dyDescent="0.25">
      <c r="I1473" t="s">
        <v>2599</v>
      </c>
      <c r="J1473" t="s">
        <v>3232</v>
      </c>
      <c r="L1473" t="s">
        <v>5900</v>
      </c>
      <c r="M1473" t="s">
        <v>5901</v>
      </c>
    </row>
    <row r="1474" spans="9:13" x14ac:dyDescent="0.25">
      <c r="I1474" t="s">
        <v>3680</v>
      </c>
      <c r="J1474" t="s">
        <v>3681</v>
      </c>
      <c r="L1474" t="s">
        <v>483</v>
      </c>
      <c r="M1474" t="s">
        <v>6507</v>
      </c>
    </row>
    <row r="1475" spans="9:13" x14ac:dyDescent="0.25">
      <c r="I1475" t="s">
        <v>355</v>
      </c>
      <c r="J1475" t="s">
        <v>4313</v>
      </c>
      <c r="L1475" t="s">
        <v>302</v>
      </c>
      <c r="M1475" t="s">
        <v>7187</v>
      </c>
    </row>
    <row r="1476" spans="9:13" x14ac:dyDescent="0.25">
      <c r="I1476" t="s">
        <v>333</v>
      </c>
      <c r="J1476" t="s">
        <v>2023</v>
      </c>
      <c r="L1476" t="s">
        <v>508</v>
      </c>
      <c r="M1476" t="s">
        <v>5016</v>
      </c>
    </row>
    <row r="1477" spans="9:13" x14ac:dyDescent="0.25">
      <c r="I1477" t="s">
        <v>328</v>
      </c>
      <c r="J1477" t="s">
        <v>3079</v>
      </c>
      <c r="L1477" t="s">
        <v>483</v>
      </c>
      <c r="M1477" t="s">
        <v>5480</v>
      </c>
    </row>
    <row r="1478" spans="9:13" x14ac:dyDescent="0.25">
      <c r="I1478" t="s">
        <v>414</v>
      </c>
      <c r="J1478" t="s">
        <v>2162</v>
      </c>
      <c r="L1478" t="s">
        <v>267</v>
      </c>
      <c r="M1478" t="s">
        <v>6550</v>
      </c>
    </row>
    <row r="1479" spans="9:13" x14ac:dyDescent="0.25">
      <c r="I1479" t="s">
        <v>328</v>
      </c>
      <c r="J1479" t="s">
        <v>4129</v>
      </c>
      <c r="L1479" t="s">
        <v>486</v>
      </c>
      <c r="M1479" t="s">
        <v>5701</v>
      </c>
    </row>
    <row r="1480" spans="9:13" x14ac:dyDescent="0.25">
      <c r="I1480" t="s">
        <v>3280</v>
      </c>
      <c r="J1480" t="s">
        <v>4175</v>
      </c>
      <c r="L1480" t="s">
        <v>483</v>
      </c>
      <c r="M1480" t="s">
        <v>4687</v>
      </c>
    </row>
    <row r="1481" spans="9:13" x14ac:dyDescent="0.25">
      <c r="I1481" t="s">
        <v>328</v>
      </c>
      <c r="J1481" t="s">
        <v>1735</v>
      </c>
      <c r="L1481" t="s">
        <v>267</v>
      </c>
      <c r="M1481" t="s">
        <v>4721</v>
      </c>
    </row>
    <row r="1482" spans="9:13" x14ac:dyDescent="0.25">
      <c r="I1482" t="s">
        <v>302</v>
      </c>
      <c r="J1482" t="s">
        <v>1709</v>
      </c>
      <c r="L1482" t="s">
        <v>130</v>
      </c>
      <c r="M1482" t="s">
        <v>4683</v>
      </c>
    </row>
    <row r="1483" spans="9:13" x14ac:dyDescent="0.25">
      <c r="I1483" t="s">
        <v>266</v>
      </c>
      <c r="J1483" t="s">
        <v>2011</v>
      </c>
      <c r="L1483" t="s">
        <v>6806</v>
      </c>
      <c r="M1483" t="s">
        <v>5598</v>
      </c>
    </row>
    <row r="1484" spans="9:13" x14ac:dyDescent="0.25">
      <c r="I1484" t="s">
        <v>414</v>
      </c>
      <c r="J1484" t="s">
        <v>4082</v>
      </c>
      <c r="L1484" t="s">
        <v>4655</v>
      </c>
      <c r="M1484" t="s">
        <v>5114</v>
      </c>
    </row>
    <row r="1485" spans="9:13" x14ac:dyDescent="0.25">
      <c r="I1485" t="s">
        <v>43</v>
      </c>
      <c r="J1485" t="s">
        <v>3492</v>
      </c>
      <c r="L1485" t="s">
        <v>5199</v>
      </c>
      <c r="M1485" t="s">
        <v>5200</v>
      </c>
    </row>
    <row r="1486" spans="9:13" x14ac:dyDescent="0.25">
      <c r="I1486" t="s">
        <v>302</v>
      </c>
      <c r="J1486" t="s">
        <v>3770</v>
      </c>
      <c r="L1486" t="s">
        <v>5624</v>
      </c>
      <c r="M1486" t="s">
        <v>5625</v>
      </c>
    </row>
    <row r="1487" spans="9:13" x14ac:dyDescent="0.25">
      <c r="I1487" t="s">
        <v>6733</v>
      </c>
      <c r="J1487" t="s">
        <v>2674</v>
      </c>
      <c r="L1487" t="s">
        <v>44</v>
      </c>
      <c r="M1487" t="s">
        <v>6611</v>
      </c>
    </row>
    <row r="1488" spans="9:13" x14ac:dyDescent="0.25">
      <c r="I1488" t="s">
        <v>267</v>
      </c>
      <c r="J1488" t="s">
        <v>3103</v>
      </c>
      <c r="L1488" t="s">
        <v>418</v>
      </c>
      <c r="M1488" t="s">
        <v>6078</v>
      </c>
    </row>
    <row r="1489" spans="9:13" x14ac:dyDescent="0.25">
      <c r="I1489" t="s">
        <v>267</v>
      </c>
      <c r="J1489" t="s">
        <v>3085</v>
      </c>
      <c r="L1489" t="s">
        <v>541</v>
      </c>
      <c r="M1489" t="s">
        <v>5394</v>
      </c>
    </row>
    <row r="1490" spans="9:13" x14ac:dyDescent="0.25">
      <c r="I1490" t="s">
        <v>43</v>
      </c>
      <c r="J1490" t="s">
        <v>1730</v>
      </c>
      <c r="L1490" t="s">
        <v>412</v>
      </c>
      <c r="M1490" t="s">
        <v>7198</v>
      </c>
    </row>
    <row r="1491" spans="9:13" x14ac:dyDescent="0.25">
      <c r="I1491" t="s">
        <v>2177</v>
      </c>
      <c r="J1491" t="s">
        <v>3516</v>
      </c>
      <c r="L1491" t="s">
        <v>267</v>
      </c>
      <c r="M1491" t="s">
        <v>4596</v>
      </c>
    </row>
    <row r="1492" spans="9:13" x14ac:dyDescent="0.25">
      <c r="I1492" t="s">
        <v>267</v>
      </c>
      <c r="J1492" t="s">
        <v>2450</v>
      </c>
      <c r="L1492" t="s">
        <v>41</v>
      </c>
      <c r="M1492" t="s">
        <v>5887</v>
      </c>
    </row>
    <row r="1493" spans="9:13" x14ac:dyDescent="0.25">
      <c r="I1493" t="s">
        <v>267</v>
      </c>
      <c r="J1493" t="s">
        <v>3791</v>
      </c>
      <c r="L1493" t="s">
        <v>486</v>
      </c>
      <c r="M1493" t="s">
        <v>6297</v>
      </c>
    </row>
    <row r="1494" spans="9:13" x14ac:dyDescent="0.25">
      <c r="I1494" t="s">
        <v>67</v>
      </c>
      <c r="J1494" t="s">
        <v>6902</v>
      </c>
      <c r="L1494" t="s">
        <v>6009</v>
      </c>
      <c r="M1494" t="s">
        <v>6010</v>
      </c>
    </row>
    <row r="1495" spans="9:13" x14ac:dyDescent="0.25">
      <c r="I1495" t="s">
        <v>4073</v>
      </c>
      <c r="J1495" t="s">
        <v>4074</v>
      </c>
      <c r="L1495" t="s">
        <v>302</v>
      </c>
      <c r="M1495" t="s">
        <v>7167</v>
      </c>
    </row>
    <row r="1496" spans="9:13" x14ac:dyDescent="0.25">
      <c r="I1496" t="s">
        <v>1731</v>
      </c>
      <c r="J1496" t="s">
        <v>1866</v>
      </c>
      <c r="L1496" t="s">
        <v>302</v>
      </c>
      <c r="M1496" t="s">
        <v>6102</v>
      </c>
    </row>
    <row r="1497" spans="9:13" x14ac:dyDescent="0.25">
      <c r="I1497" t="s">
        <v>414</v>
      </c>
      <c r="J1497" t="s">
        <v>3413</v>
      </c>
      <c r="L1497" t="s">
        <v>5081</v>
      </c>
      <c r="M1497" t="s">
        <v>4572</v>
      </c>
    </row>
    <row r="1498" spans="9:13" x14ac:dyDescent="0.25">
      <c r="I1498" t="s">
        <v>566</v>
      </c>
      <c r="J1498" t="s">
        <v>3376</v>
      </c>
      <c r="L1498" t="s">
        <v>328</v>
      </c>
      <c r="M1498" t="s">
        <v>6103</v>
      </c>
    </row>
    <row r="1499" spans="9:13" x14ac:dyDescent="0.25">
      <c r="I1499" t="s">
        <v>40</v>
      </c>
      <c r="J1499" t="s">
        <v>4359</v>
      </c>
      <c r="L1499" t="s">
        <v>267</v>
      </c>
      <c r="M1499" t="s">
        <v>4927</v>
      </c>
    </row>
    <row r="1500" spans="9:13" x14ac:dyDescent="0.25">
      <c r="I1500" t="s">
        <v>3280</v>
      </c>
      <c r="J1500" t="s">
        <v>3281</v>
      </c>
      <c r="L1500" t="s">
        <v>467</v>
      </c>
      <c r="M1500" t="s">
        <v>5791</v>
      </c>
    </row>
    <row r="1501" spans="9:13" x14ac:dyDescent="0.25">
      <c r="I1501" t="s">
        <v>425</v>
      </c>
      <c r="J1501" t="s">
        <v>6976</v>
      </c>
      <c r="L1501" t="s">
        <v>355</v>
      </c>
      <c r="M1501" t="s">
        <v>4869</v>
      </c>
    </row>
    <row r="1502" spans="9:13" x14ac:dyDescent="0.25">
      <c r="I1502" t="s">
        <v>3656</v>
      </c>
      <c r="J1502" t="s">
        <v>3829</v>
      </c>
      <c r="L1502" t="s">
        <v>483</v>
      </c>
      <c r="M1502" t="s">
        <v>6343</v>
      </c>
    </row>
    <row r="1503" spans="9:13" x14ac:dyDescent="0.25">
      <c r="I1503" t="s">
        <v>414</v>
      </c>
      <c r="J1503" t="s">
        <v>2203</v>
      </c>
      <c r="L1503" t="s">
        <v>44</v>
      </c>
      <c r="M1503" t="s">
        <v>5264</v>
      </c>
    </row>
    <row r="1504" spans="9:13" x14ac:dyDescent="0.25">
      <c r="I1504" t="s">
        <v>43</v>
      </c>
      <c r="J1504" t="s">
        <v>3539</v>
      </c>
      <c r="L1504" t="s">
        <v>597</v>
      </c>
      <c r="M1504" t="s">
        <v>5732</v>
      </c>
    </row>
    <row r="1505" spans="9:13" x14ac:dyDescent="0.25">
      <c r="I1505" t="s">
        <v>99</v>
      </c>
      <c r="J1505" t="s">
        <v>4128</v>
      </c>
      <c r="L1505" t="s">
        <v>483</v>
      </c>
      <c r="M1505" t="s">
        <v>4580</v>
      </c>
    </row>
    <row r="1506" spans="9:13" x14ac:dyDescent="0.25">
      <c r="I1506" t="s">
        <v>41</v>
      </c>
      <c r="J1506" t="s">
        <v>1971</v>
      </c>
      <c r="L1506" t="s">
        <v>328</v>
      </c>
      <c r="M1506" t="s">
        <v>5120</v>
      </c>
    </row>
    <row r="1507" spans="9:13" x14ac:dyDescent="0.25">
      <c r="I1507" t="s">
        <v>2027</v>
      </c>
      <c r="J1507" t="s">
        <v>2726</v>
      </c>
      <c r="L1507" t="s">
        <v>5148</v>
      </c>
      <c r="M1507" t="s">
        <v>7077</v>
      </c>
    </row>
    <row r="1508" spans="9:13" x14ac:dyDescent="0.25">
      <c r="I1508" t="s">
        <v>3783</v>
      </c>
      <c r="J1508" t="s">
        <v>6957</v>
      </c>
      <c r="L1508" t="s">
        <v>10</v>
      </c>
      <c r="M1508" t="s">
        <v>6358</v>
      </c>
    </row>
    <row r="1509" spans="9:13" x14ac:dyDescent="0.25">
      <c r="I1509" t="s">
        <v>1</v>
      </c>
      <c r="J1509" t="s">
        <v>1924</v>
      </c>
      <c r="L1509" t="s">
        <v>328</v>
      </c>
      <c r="M1509" t="s">
        <v>5309</v>
      </c>
    </row>
    <row r="1510" spans="9:13" x14ac:dyDescent="0.25">
      <c r="I1510" t="s">
        <v>43</v>
      </c>
      <c r="J1510" t="s">
        <v>1696</v>
      </c>
      <c r="L1510" t="s">
        <v>2475</v>
      </c>
      <c r="M1510" t="s">
        <v>6625</v>
      </c>
    </row>
    <row r="1511" spans="9:13" x14ac:dyDescent="0.25">
      <c r="I1511" t="s">
        <v>2605</v>
      </c>
      <c r="J1511" t="s">
        <v>3981</v>
      </c>
      <c r="L1511" t="s">
        <v>4588</v>
      </c>
      <c r="M1511" t="s">
        <v>4589</v>
      </c>
    </row>
    <row r="1512" spans="9:13" x14ac:dyDescent="0.25">
      <c r="I1512" t="s">
        <v>3280</v>
      </c>
      <c r="J1512" t="s">
        <v>3757</v>
      </c>
      <c r="L1512" t="s">
        <v>5371</v>
      </c>
      <c r="M1512" t="s">
        <v>4589</v>
      </c>
    </row>
    <row r="1513" spans="9:13" x14ac:dyDescent="0.25">
      <c r="I1513" t="s">
        <v>25</v>
      </c>
      <c r="J1513" t="s">
        <v>3358</v>
      </c>
      <c r="L1513" t="s">
        <v>413</v>
      </c>
      <c r="M1513" t="s">
        <v>5919</v>
      </c>
    </row>
    <row r="1514" spans="9:13" x14ac:dyDescent="0.25">
      <c r="I1514" t="s">
        <v>414</v>
      </c>
      <c r="J1514" t="s">
        <v>2301</v>
      </c>
      <c r="L1514" t="s">
        <v>267</v>
      </c>
      <c r="M1514" t="s">
        <v>5569</v>
      </c>
    </row>
    <row r="1515" spans="9:13" x14ac:dyDescent="0.25">
      <c r="I1515" t="s">
        <v>425</v>
      </c>
      <c r="J1515" t="s">
        <v>6901</v>
      </c>
      <c r="L1515" t="s">
        <v>328</v>
      </c>
      <c r="M1515" t="s">
        <v>5028</v>
      </c>
    </row>
    <row r="1516" spans="9:13" x14ac:dyDescent="0.25">
      <c r="I1516" t="s">
        <v>597</v>
      </c>
      <c r="J1516" t="s">
        <v>3925</v>
      </c>
      <c r="L1516" t="s">
        <v>267</v>
      </c>
      <c r="M1516" t="s">
        <v>5861</v>
      </c>
    </row>
    <row r="1517" spans="9:13" x14ac:dyDescent="0.25">
      <c r="I1517" t="s">
        <v>43</v>
      </c>
      <c r="J1517" t="s">
        <v>3846</v>
      </c>
      <c r="L1517" t="s">
        <v>267</v>
      </c>
      <c r="M1517" t="s">
        <v>4986</v>
      </c>
    </row>
    <row r="1518" spans="9:13" x14ac:dyDescent="0.25">
      <c r="I1518" t="s">
        <v>333</v>
      </c>
      <c r="J1518" t="s">
        <v>2619</v>
      </c>
      <c r="L1518" t="s">
        <v>328</v>
      </c>
      <c r="M1518" t="s">
        <v>6485</v>
      </c>
    </row>
    <row r="1519" spans="9:13" x14ac:dyDescent="0.25">
      <c r="I1519" t="s">
        <v>333</v>
      </c>
      <c r="J1519" t="s">
        <v>2418</v>
      </c>
      <c r="L1519" t="s">
        <v>44</v>
      </c>
      <c r="M1519" t="s">
        <v>4909</v>
      </c>
    </row>
    <row r="1520" spans="9:13" x14ac:dyDescent="0.25">
      <c r="I1520" t="s">
        <v>11</v>
      </c>
      <c r="J1520" t="s">
        <v>2310</v>
      </c>
      <c r="L1520" t="s">
        <v>4594</v>
      </c>
      <c r="M1520" t="s">
        <v>4595</v>
      </c>
    </row>
    <row r="1521" spans="9:13" x14ac:dyDescent="0.25">
      <c r="I1521" t="s">
        <v>267</v>
      </c>
      <c r="J1521" t="s">
        <v>3395</v>
      </c>
      <c r="L1521" t="s">
        <v>302</v>
      </c>
      <c r="M1521" t="s">
        <v>6525</v>
      </c>
    </row>
    <row r="1522" spans="9:13" x14ac:dyDescent="0.25">
      <c r="I1522" t="s">
        <v>6733</v>
      </c>
      <c r="J1522" t="s">
        <v>4353</v>
      </c>
      <c r="L1522" t="s">
        <v>302</v>
      </c>
      <c r="M1522" t="s">
        <v>5166</v>
      </c>
    </row>
    <row r="1523" spans="9:13" x14ac:dyDescent="0.25">
      <c r="I1523" t="s">
        <v>2422</v>
      </c>
      <c r="J1523" t="s">
        <v>2423</v>
      </c>
      <c r="L1523" t="s">
        <v>581</v>
      </c>
      <c r="M1523" t="s">
        <v>5708</v>
      </c>
    </row>
    <row r="1524" spans="9:13" x14ac:dyDescent="0.25">
      <c r="I1524" t="s">
        <v>326</v>
      </c>
      <c r="J1524" t="s">
        <v>3261</v>
      </c>
      <c r="L1524" t="s">
        <v>41</v>
      </c>
      <c r="M1524" t="s">
        <v>6556</v>
      </c>
    </row>
    <row r="1525" spans="9:13" x14ac:dyDescent="0.25">
      <c r="I1525" t="s">
        <v>266</v>
      </c>
      <c r="J1525" t="s">
        <v>4017</v>
      </c>
      <c r="L1525" t="s">
        <v>5044</v>
      </c>
      <c r="M1525" t="s">
        <v>5930</v>
      </c>
    </row>
    <row r="1526" spans="9:13" x14ac:dyDescent="0.25">
      <c r="I1526" t="s">
        <v>2495</v>
      </c>
      <c r="J1526" t="s">
        <v>2496</v>
      </c>
      <c r="L1526" t="s">
        <v>5035</v>
      </c>
      <c r="M1526" t="s">
        <v>5036</v>
      </c>
    </row>
    <row r="1527" spans="9:13" x14ac:dyDescent="0.25">
      <c r="I1527" t="s">
        <v>97</v>
      </c>
      <c r="J1527" t="s">
        <v>4062</v>
      </c>
      <c r="L1527" t="s">
        <v>302</v>
      </c>
      <c r="M1527" t="s">
        <v>7221</v>
      </c>
    </row>
    <row r="1528" spans="9:13" x14ac:dyDescent="0.25">
      <c r="I1528" t="s">
        <v>102</v>
      </c>
      <c r="J1528" t="s">
        <v>3647</v>
      </c>
      <c r="L1528" t="s">
        <v>302</v>
      </c>
      <c r="M1528" t="s">
        <v>6043</v>
      </c>
    </row>
    <row r="1529" spans="9:13" x14ac:dyDescent="0.25">
      <c r="I1529" t="s">
        <v>43</v>
      </c>
      <c r="J1529" t="s">
        <v>1870</v>
      </c>
      <c r="L1529" t="s">
        <v>4588</v>
      </c>
      <c r="M1529" t="s">
        <v>4628</v>
      </c>
    </row>
    <row r="1530" spans="9:13" x14ac:dyDescent="0.25">
      <c r="I1530" t="s">
        <v>49</v>
      </c>
      <c r="J1530" t="s">
        <v>2913</v>
      </c>
      <c r="L1530" t="s">
        <v>5371</v>
      </c>
      <c r="M1530" t="s">
        <v>4628</v>
      </c>
    </row>
    <row r="1531" spans="9:13" x14ac:dyDescent="0.25">
      <c r="I1531" t="s">
        <v>129</v>
      </c>
      <c r="J1531" t="s">
        <v>2154</v>
      </c>
      <c r="L1531" t="s">
        <v>418</v>
      </c>
      <c r="M1531" t="s">
        <v>4576</v>
      </c>
    </row>
    <row r="1532" spans="9:13" x14ac:dyDescent="0.25">
      <c r="I1532" t="s">
        <v>414</v>
      </c>
      <c r="J1532" t="s">
        <v>4483</v>
      </c>
      <c r="L1532" t="s">
        <v>4983</v>
      </c>
      <c r="M1532" t="s">
        <v>7062</v>
      </c>
    </row>
    <row r="1533" spans="9:13" x14ac:dyDescent="0.25">
      <c r="I1533" t="s">
        <v>43</v>
      </c>
      <c r="J1533" t="s">
        <v>4451</v>
      </c>
      <c r="L1533" t="s">
        <v>12</v>
      </c>
      <c r="M1533" t="s">
        <v>5520</v>
      </c>
    </row>
    <row r="1534" spans="9:13" x14ac:dyDescent="0.25">
      <c r="I1534" t="s">
        <v>820</v>
      </c>
      <c r="J1534" t="s">
        <v>3458</v>
      </c>
      <c r="L1534" t="s">
        <v>302</v>
      </c>
      <c r="M1534" t="s">
        <v>7171</v>
      </c>
    </row>
    <row r="1535" spans="9:13" x14ac:dyDescent="0.25">
      <c r="I1535" t="s">
        <v>377</v>
      </c>
      <c r="J1535" t="s">
        <v>4240</v>
      </c>
      <c r="L1535" t="s">
        <v>25</v>
      </c>
      <c r="M1535" t="s">
        <v>5468</v>
      </c>
    </row>
    <row r="1536" spans="9:13" x14ac:dyDescent="0.25">
      <c r="I1536" t="s">
        <v>328</v>
      </c>
      <c r="J1536" t="s">
        <v>2766</v>
      </c>
      <c r="L1536" t="s">
        <v>40</v>
      </c>
      <c r="M1536" t="s">
        <v>6581</v>
      </c>
    </row>
    <row r="1537" spans="9:13" x14ac:dyDescent="0.25">
      <c r="I1537" t="s">
        <v>266</v>
      </c>
      <c r="J1537" t="s">
        <v>2372</v>
      </c>
      <c r="L1537" t="s">
        <v>267</v>
      </c>
      <c r="M1537" t="s">
        <v>5330</v>
      </c>
    </row>
    <row r="1538" spans="9:13" x14ac:dyDescent="0.25">
      <c r="I1538" t="s">
        <v>414</v>
      </c>
      <c r="J1538" t="s">
        <v>4445</v>
      </c>
      <c r="L1538" t="s">
        <v>41</v>
      </c>
      <c r="M1538" t="s">
        <v>4707</v>
      </c>
    </row>
    <row r="1539" spans="9:13" x14ac:dyDescent="0.25">
      <c r="I1539" t="s">
        <v>26</v>
      </c>
      <c r="J1539" t="s">
        <v>3412</v>
      </c>
      <c r="L1539" t="s">
        <v>4558</v>
      </c>
      <c r="M1539" t="s">
        <v>4810</v>
      </c>
    </row>
    <row r="1540" spans="9:13" x14ac:dyDescent="0.25">
      <c r="I1540" t="s">
        <v>2442</v>
      </c>
      <c r="J1540" t="s">
        <v>2443</v>
      </c>
      <c r="L1540" t="s">
        <v>483</v>
      </c>
      <c r="M1540" t="s">
        <v>5506</v>
      </c>
    </row>
    <row r="1541" spans="9:13" x14ac:dyDescent="0.25">
      <c r="I1541" t="s">
        <v>3216</v>
      </c>
      <c r="J1541" t="s">
        <v>3217</v>
      </c>
      <c r="L1541" t="s">
        <v>5578</v>
      </c>
      <c r="M1541" t="s">
        <v>5579</v>
      </c>
    </row>
    <row r="1542" spans="9:13" x14ac:dyDescent="0.25">
      <c r="I1542" t="s">
        <v>266</v>
      </c>
      <c r="J1542" t="s">
        <v>2483</v>
      </c>
      <c r="L1542" t="s">
        <v>483</v>
      </c>
      <c r="M1542" t="s">
        <v>6042</v>
      </c>
    </row>
    <row r="1543" spans="9:13" x14ac:dyDescent="0.25">
      <c r="I1543" t="s">
        <v>100</v>
      </c>
      <c r="J1543" t="s">
        <v>3475</v>
      </c>
      <c r="L1543" t="s">
        <v>4558</v>
      </c>
      <c r="M1543" t="s">
        <v>4896</v>
      </c>
    </row>
    <row r="1544" spans="9:13" x14ac:dyDescent="0.25">
      <c r="I1544" t="s">
        <v>6733</v>
      </c>
      <c r="J1544" t="s">
        <v>3098</v>
      </c>
      <c r="L1544" t="s">
        <v>4543</v>
      </c>
      <c r="M1544" t="s">
        <v>4544</v>
      </c>
    </row>
    <row r="1545" spans="9:13" x14ac:dyDescent="0.25">
      <c r="I1545" t="s">
        <v>3280</v>
      </c>
      <c r="J1545" t="s">
        <v>4427</v>
      </c>
      <c r="L1545" t="s">
        <v>6456</v>
      </c>
      <c r="M1545" t="s">
        <v>6457</v>
      </c>
    </row>
    <row r="1546" spans="9:13" x14ac:dyDescent="0.25">
      <c r="I1546" t="s">
        <v>1808</v>
      </c>
      <c r="J1546" t="s">
        <v>1809</v>
      </c>
      <c r="L1546" t="s">
        <v>4558</v>
      </c>
      <c r="M1546" t="s">
        <v>5239</v>
      </c>
    </row>
    <row r="1547" spans="9:13" x14ac:dyDescent="0.25">
      <c r="I1547" t="s">
        <v>4162</v>
      </c>
      <c r="J1547" t="s">
        <v>6975</v>
      </c>
      <c r="L1547" t="s">
        <v>4558</v>
      </c>
      <c r="M1547" t="s">
        <v>5125</v>
      </c>
    </row>
    <row r="1548" spans="9:13" x14ac:dyDescent="0.25">
      <c r="I1548" t="s">
        <v>328</v>
      </c>
      <c r="J1548" t="s">
        <v>4480</v>
      </c>
      <c r="L1548" t="s">
        <v>4734</v>
      </c>
      <c r="M1548" t="s">
        <v>4735</v>
      </c>
    </row>
    <row r="1549" spans="9:13" x14ac:dyDescent="0.25">
      <c r="I1549" t="s">
        <v>67</v>
      </c>
      <c r="J1549" t="s">
        <v>6932</v>
      </c>
      <c r="L1549" t="s">
        <v>328</v>
      </c>
      <c r="M1549" t="s">
        <v>5376</v>
      </c>
    </row>
    <row r="1550" spans="9:13" x14ac:dyDescent="0.25">
      <c r="I1550" t="s">
        <v>2605</v>
      </c>
      <c r="J1550" t="s">
        <v>2606</v>
      </c>
      <c r="L1550" t="s">
        <v>50</v>
      </c>
      <c r="M1550" t="s">
        <v>4548</v>
      </c>
    </row>
    <row r="1551" spans="9:13" x14ac:dyDescent="0.25">
      <c r="I1551" t="s">
        <v>1748</v>
      </c>
      <c r="J1551" t="s">
        <v>1749</v>
      </c>
      <c r="L1551" t="s">
        <v>483</v>
      </c>
      <c r="M1551" t="s">
        <v>6277</v>
      </c>
    </row>
    <row r="1552" spans="9:13" x14ac:dyDescent="0.25">
      <c r="I1552" t="s">
        <v>414</v>
      </c>
      <c r="J1552" t="s">
        <v>4463</v>
      </c>
      <c r="L1552" t="s">
        <v>541</v>
      </c>
      <c r="M1552" t="s">
        <v>5092</v>
      </c>
    </row>
    <row r="1553" spans="9:13" x14ac:dyDescent="0.25">
      <c r="I1553" t="s">
        <v>1727</v>
      </c>
      <c r="J1553" t="s">
        <v>1728</v>
      </c>
      <c r="L1553" t="s">
        <v>293</v>
      </c>
      <c r="M1553" t="s">
        <v>6156</v>
      </c>
    </row>
    <row r="1554" spans="9:13" x14ac:dyDescent="0.25">
      <c r="I1554" t="s">
        <v>40</v>
      </c>
      <c r="J1554" t="s">
        <v>2877</v>
      </c>
      <c r="L1554" t="s">
        <v>418</v>
      </c>
      <c r="M1554" t="s">
        <v>5513</v>
      </c>
    </row>
    <row r="1555" spans="9:13" x14ac:dyDescent="0.25">
      <c r="I1555" t="s">
        <v>1981</v>
      </c>
      <c r="J1555" t="s">
        <v>1982</v>
      </c>
      <c r="L1555" t="s">
        <v>581</v>
      </c>
      <c r="M1555" t="s">
        <v>4662</v>
      </c>
    </row>
    <row r="1556" spans="9:13" x14ac:dyDescent="0.25">
      <c r="I1556" t="s">
        <v>3092</v>
      </c>
      <c r="J1556" t="s">
        <v>3093</v>
      </c>
      <c r="L1556" t="s">
        <v>326</v>
      </c>
      <c r="M1556" t="s">
        <v>6099</v>
      </c>
    </row>
    <row r="1557" spans="9:13" x14ac:dyDescent="0.25">
      <c r="I1557" t="s">
        <v>2073</v>
      </c>
      <c r="J1557" t="s">
        <v>3758</v>
      </c>
      <c r="L1557" t="s">
        <v>326</v>
      </c>
      <c r="M1557" t="s">
        <v>5709</v>
      </c>
    </row>
    <row r="1558" spans="9:13" x14ac:dyDescent="0.25">
      <c r="I1558" t="s">
        <v>1</v>
      </c>
      <c r="J1558" t="s">
        <v>6836</v>
      </c>
      <c r="L1558" t="s">
        <v>326</v>
      </c>
      <c r="M1558" t="s">
        <v>6635</v>
      </c>
    </row>
    <row r="1559" spans="9:13" x14ac:dyDescent="0.25">
      <c r="I1559" t="s">
        <v>414</v>
      </c>
      <c r="J1559" t="s">
        <v>1746</v>
      </c>
      <c r="L1559" t="s">
        <v>328</v>
      </c>
      <c r="M1559" t="s">
        <v>4897</v>
      </c>
    </row>
    <row r="1560" spans="9:13" x14ac:dyDescent="0.25">
      <c r="I1560" t="s">
        <v>3234</v>
      </c>
      <c r="J1560" t="s">
        <v>6906</v>
      </c>
      <c r="L1560" t="s">
        <v>267</v>
      </c>
      <c r="M1560" t="s">
        <v>4751</v>
      </c>
    </row>
    <row r="1561" spans="9:13" x14ac:dyDescent="0.25">
      <c r="I1561" t="s">
        <v>267</v>
      </c>
      <c r="J1561" t="s">
        <v>4355</v>
      </c>
      <c r="L1561" t="s">
        <v>328</v>
      </c>
      <c r="M1561" t="s">
        <v>6165</v>
      </c>
    </row>
    <row r="1562" spans="9:13" x14ac:dyDescent="0.25">
      <c r="I1562" t="s">
        <v>328</v>
      </c>
      <c r="J1562" t="s">
        <v>3831</v>
      </c>
      <c r="L1562" t="s">
        <v>267</v>
      </c>
      <c r="M1562" t="s">
        <v>4722</v>
      </c>
    </row>
    <row r="1563" spans="9:13" x14ac:dyDescent="0.25">
      <c r="I1563" t="s">
        <v>414</v>
      </c>
      <c r="J1563" t="s">
        <v>2148</v>
      </c>
      <c r="L1563" t="s">
        <v>267</v>
      </c>
      <c r="M1563" t="s">
        <v>6142</v>
      </c>
    </row>
    <row r="1564" spans="9:13" x14ac:dyDescent="0.25">
      <c r="I1564" t="s">
        <v>355</v>
      </c>
      <c r="J1564" t="s">
        <v>4233</v>
      </c>
      <c r="L1564" t="s">
        <v>25</v>
      </c>
      <c r="M1564" t="s">
        <v>6051</v>
      </c>
    </row>
    <row r="1565" spans="9:13" x14ac:dyDescent="0.25">
      <c r="I1565" t="s">
        <v>3435</v>
      </c>
      <c r="J1565" t="s">
        <v>3436</v>
      </c>
      <c r="L1565" t="s">
        <v>41</v>
      </c>
      <c r="M1565" t="s">
        <v>5706</v>
      </c>
    </row>
    <row r="1566" spans="9:13" x14ac:dyDescent="0.25">
      <c r="I1566" t="s">
        <v>3148</v>
      </c>
      <c r="J1566" t="s">
        <v>3149</v>
      </c>
      <c r="L1566" t="s">
        <v>41</v>
      </c>
      <c r="M1566" t="s">
        <v>6379</v>
      </c>
    </row>
    <row r="1567" spans="9:13" x14ac:dyDescent="0.25">
      <c r="I1567" t="s">
        <v>321</v>
      </c>
      <c r="J1567" t="s">
        <v>3024</v>
      </c>
      <c r="L1567" t="s">
        <v>267</v>
      </c>
      <c r="M1567" t="s">
        <v>6024</v>
      </c>
    </row>
    <row r="1568" spans="9:13" x14ac:dyDescent="0.25">
      <c r="I1568" t="s">
        <v>2078</v>
      </c>
      <c r="J1568" t="s">
        <v>2079</v>
      </c>
      <c r="L1568" t="s">
        <v>41</v>
      </c>
      <c r="M1568" t="s">
        <v>5570</v>
      </c>
    </row>
    <row r="1569" spans="9:13" x14ac:dyDescent="0.25">
      <c r="I1569" t="s">
        <v>12</v>
      </c>
      <c r="J1569" t="s">
        <v>4487</v>
      </c>
      <c r="L1569" t="s">
        <v>324</v>
      </c>
      <c r="M1569" t="s">
        <v>6233</v>
      </c>
    </row>
    <row r="1570" spans="9:13" x14ac:dyDescent="0.25">
      <c r="I1570" t="s">
        <v>414</v>
      </c>
      <c r="J1570" t="s">
        <v>3446</v>
      </c>
      <c r="L1570" t="s">
        <v>486</v>
      </c>
      <c r="M1570" t="s">
        <v>4931</v>
      </c>
    </row>
    <row r="1571" spans="9:13" x14ac:dyDescent="0.25">
      <c r="I1571" t="s">
        <v>414</v>
      </c>
      <c r="J1571" t="s">
        <v>2403</v>
      </c>
      <c r="L1571" t="s">
        <v>328</v>
      </c>
      <c r="M1571" t="s">
        <v>6045</v>
      </c>
    </row>
    <row r="1572" spans="9:13" x14ac:dyDescent="0.25">
      <c r="I1572" t="s">
        <v>3064</v>
      </c>
      <c r="J1572" t="s">
        <v>3065</v>
      </c>
      <c r="L1572" t="s">
        <v>296</v>
      </c>
      <c r="M1572" t="s">
        <v>4569</v>
      </c>
    </row>
    <row r="1573" spans="9:13" x14ac:dyDescent="0.25">
      <c r="I1573" t="s">
        <v>2783</v>
      </c>
      <c r="J1573" t="s">
        <v>3208</v>
      </c>
      <c r="L1573" t="s">
        <v>286</v>
      </c>
      <c r="M1573" t="s">
        <v>4753</v>
      </c>
    </row>
    <row r="1574" spans="9:13" x14ac:dyDescent="0.25">
      <c r="I1574" t="s">
        <v>326</v>
      </c>
      <c r="J1574" t="s">
        <v>2721</v>
      </c>
      <c r="L1574" t="s">
        <v>267</v>
      </c>
      <c r="M1574" t="s">
        <v>5769</v>
      </c>
    </row>
    <row r="1575" spans="9:13" x14ac:dyDescent="0.25">
      <c r="I1575" t="s">
        <v>2073</v>
      </c>
      <c r="J1575" t="s">
        <v>3786</v>
      </c>
      <c r="L1575" t="s">
        <v>697</v>
      </c>
      <c r="M1575" t="s">
        <v>5833</v>
      </c>
    </row>
    <row r="1576" spans="9:13" x14ac:dyDescent="0.25">
      <c r="I1576" t="s">
        <v>328</v>
      </c>
      <c r="J1576" t="s">
        <v>2221</v>
      </c>
      <c r="L1576" t="s">
        <v>328</v>
      </c>
      <c r="M1576" t="s">
        <v>6150</v>
      </c>
    </row>
    <row r="1577" spans="9:13" x14ac:dyDescent="0.25">
      <c r="I1577" t="s">
        <v>267</v>
      </c>
      <c r="J1577" t="s">
        <v>2939</v>
      </c>
      <c r="L1577" t="s">
        <v>328</v>
      </c>
      <c r="M1577" t="s">
        <v>4887</v>
      </c>
    </row>
    <row r="1578" spans="9:13" x14ac:dyDescent="0.25">
      <c r="I1578" t="s">
        <v>3738</v>
      </c>
      <c r="J1578" t="s">
        <v>3739</v>
      </c>
      <c r="L1578" t="s">
        <v>41</v>
      </c>
      <c r="M1578" t="s">
        <v>6508</v>
      </c>
    </row>
    <row r="1579" spans="9:13" x14ac:dyDescent="0.25">
      <c r="I1579" t="s">
        <v>3043</v>
      </c>
      <c r="J1579" t="s">
        <v>3954</v>
      </c>
      <c r="L1579" t="s">
        <v>328</v>
      </c>
      <c r="M1579" t="s">
        <v>4561</v>
      </c>
    </row>
    <row r="1580" spans="9:13" x14ac:dyDescent="0.25">
      <c r="I1580" t="s">
        <v>374</v>
      </c>
      <c r="J1580" t="s">
        <v>2520</v>
      </c>
      <c r="L1580" t="s">
        <v>4558</v>
      </c>
      <c r="M1580" t="s">
        <v>4679</v>
      </c>
    </row>
    <row r="1581" spans="9:13" x14ac:dyDescent="0.25">
      <c r="I1581" t="s">
        <v>363</v>
      </c>
      <c r="J1581" t="s">
        <v>2782</v>
      </c>
      <c r="L1581" t="s">
        <v>130</v>
      </c>
      <c r="M1581" t="s">
        <v>5421</v>
      </c>
    </row>
    <row r="1582" spans="9:13" x14ac:dyDescent="0.25">
      <c r="I1582" t="s">
        <v>414</v>
      </c>
      <c r="J1582" t="s">
        <v>3239</v>
      </c>
      <c r="L1582" t="s">
        <v>130</v>
      </c>
      <c r="M1582" t="s">
        <v>5229</v>
      </c>
    </row>
    <row r="1583" spans="9:13" x14ac:dyDescent="0.25">
      <c r="I1583" t="s">
        <v>289</v>
      </c>
      <c r="J1583" t="s">
        <v>2616</v>
      </c>
      <c r="L1583" t="s">
        <v>789</v>
      </c>
      <c r="M1583" t="s">
        <v>6403</v>
      </c>
    </row>
    <row r="1584" spans="9:13" x14ac:dyDescent="0.25">
      <c r="I1584" t="s">
        <v>267</v>
      </c>
      <c r="J1584" t="s">
        <v>3638</v>
      </c>
      <c r="L1584" t="s">
        <v>130</v>
      </c>
      <c r="M1584" t="s">
        <v>6430</v>
      </c>
    </row>
    <row r="1585" spans="9:13" x14ac:dyDescent="0.25">
      <c r="I1585" t="s">
        <v>2073</v>
      </c>
      <c r="J1585" t="s">
        <v>2598</v>
      </c>
      <c r="L1585" t="s">
        <v>4588</v>
      </c>
      <c r="M1585" t="s">
        <v>5145</v>
      </c>
    </row>
    <row r="1586" spans="9:13" x14ac:dyDescent="0.25">
      <c r="I1586" t="s">
        <v>267</v>
      </c>
      <c r="J1586" t="s">
        <v>4354</v>
      </c>
      <c r="L1586" t="s">
        <v>5371</v>
      </c>
      <c r="M1586" t="s">
        <v>5145</v>
      </c>
    </row>
    <row r="1587" spans="9:13" x14ac:dyDescent="0.25">
      <c r="I1587" t="s">
        <v>2305</v>
      </c>
      <c r="J1587" t="s">
        <v>2306</v>
      </c>
      <c r="L1587" t="s">
        <v>4558</v>
      </c>
      <c r="M1587" t="s">
        <v>5211</v>
      </c>
    </row>
    <row r="1588" spans="9:13" x14ac:dyDescent="0.25">
      <c r="I1588" t="s">
        <v>425</v>
      </c>
      <c r="J1588" t="s">
        <v>3118</v>
      </c>
      <c r="L1588" t="s">
        <v>600</v>
      </c>
      <c r="M1588" t="s">
        <v>4740</v>
      </c>
    </row>
    <row r="1589" spans="9:13" x14ac:dyDescent="0.25">
      <c r="I1589" t="s">
        <v>289</v>
      </c>
      <c r="J1589" t="s">
        <v>2180</v>
      </c>
      <c r="L1589" t="s">
        <v>5842</v>
      </c>
      <c r="M1589" t="s">
        <v>5843</v>
      </c>
    </row>
    <row r="1590" spans="9:13" x14ac:dyDescent="0.25">
      <c r="I1590" t="s">
        <v>2073</v>
      </c>
      <c r="J1590" t="s">
        <v>2074</v>
      </c>
      <c r="L1590" t="s">
        <v>4558</v>
      </c>
      <c r="M1590" t="s">
        <v>5588</v>
      </c>
    </row>
    <row r="1591" spans="9:13" x14ac:dyDescent="0.25">
      <c r="I1591" t="s">
        <v>102</v>
      </c>
      <c r="J1591" t="s">
        <v>6695</v>
      </c>
      <c r="L1591" t="s">
        <v>5224</v>
      </c>
      <c r="M1591" t="s">
        <v>5225</v>
      </c>
    </row>
    <row r="1592" spans="9:13" x14ac:dyDescent="0.25">
      <c r="I1592" t="s">
        <v>321</v>
      </c>
      <c r="J1592" t="s">
        <v>3921</v>
      </c>
      <c r="L1592" t="s">
        <v>267</v>
      </c>
      <c r="M1592" t="s">
        <v>5325</v>
      </c>
    </row>
    <row r="1593" spans="9:13" x14ac:dyDescent="0.25">
      <c r="I1593" t="s">
        <v>6733</v>
      </c>
      <c r="J1593" t="s">
        <v>4134</v>
      </c>
      <c r="L1593" t="s">
        <v>777</v>
      </c>
      <c r="M1593" t="s">
        <v>5567</v>
      </c>
    </row>
    <row r="1594" spans="9:13" x14ac:dyDescent="0.25">
      <c r="I1594" t="s">
        <v>373</v>
      </c>
      <c r="J1594" t="s">
        <v>2240</v>
      </c>
      <c r="L1594" t="s">
        <v>41</v>
      </c>
      <c r="M1594" t="s">
        <v>5343</v>
      </c>
    </row>
    <row r="1595" spans="9:13" x14ac:dyDescent="0.25">
      <c r="I1595" t="s">
        <v>328</v>
      </c>
      <c r="J1595" t="s">
        <v>3018</v>
      </c>
      <c r="L1595" t="s">
        <v>697</v>
      </c>
      <c r="M1595" t="s">
        <v>5356</v>
      </c>
    </row>
    <row r="1596" spans="9:13" x14ac:dyDescent="0.25">
      <c r="I1596" t="s">
        <v>373</v>
      </c>
      <c r="J1596" t="s">
        <v>2430</v>
      </c>
      <c r="L1596" t="s">
        <v>508</v>
      </c>
      <c r="M1596" t="s">
        <v>4846</v>
      </c>
    </row>
    <row r="1597" spans="9:13" x14ac:dyDescent="0.25">
      <c r="I1597" t="s">
        <v>414</v>
      </c>
      <c r="J1597" t="s">
        <v>1858</v>
      </c>
      <c r="L1597" t="s">
        <v>328</v>
      </c>
      <c r="M1597" t="s">
        <v>5306</v>
      </c>
    </row>
    <row r="1598" spans="9:13" x14ac:dyDescent="0.25">
      <c r="I1598" t="s">
        <v>129</v>
      </c>
      <c r="J1598" t="s">
        <v>3967</v>
      </c>
      <c r="L1598" t="s">
        <v>4558</v>
      </c>
      <c r="M1598" t="s">
        <v>6271</v>
      </c>
    </row>
    <row r="1599" spans="9:13" x14ac:dyDescent="0.25">
      <c r="I1599" t="s">
        <v>2656</v>
      </c>
      <c r="J1599" t="s">
        <v>3961</v>
      </c>
      <c r="L1599" t="s">
        <v>4558</v>
      </c>
      <c r="M1599" t="s">
        <v>5269</v>
      </c>
    </row>
    <row r="1600" spans="9:13" x14ac:dyDescent="0.25">
      <c r="I1600" t="s">
        <v>267</v>
      </c>
      <c r="J1600" t="s">
        <v>4138</v>
      </c>
      <c r="L1600" t="s">
        <v>291</v>
      </c>
      <c r="M1600" t="s">
        <v>5413</v>
      </c>
    </row>
    <row r="1601" spans="9:13" x14ac:dyDescent="0.25">
      <c r="I1601" t="s">
        <v>2983</v>
      </c>
      <c r="J1601" t="s">
        <v>2984</v>
      </c>
      <c r="L1601" t="s">
        <v>50</v>
      </c>
      <c r="M1601" t="s">
        <v>5757</v>
      </c>
    </row>
    <row r="1602" spans="9:13" x14ac:dyDescent="0.25">
      <c r="I1602" t="s">
        <v>1993</v>
      </c>
      <c r="J1602" t="s">
        <v>2521</v>
      </c>
      <c r="L1602" t="s">
        <v>267</v>
      </c>
      <c r="M1602" t="s">
        <v>5713</v>
      </c>
    </row>
    <row r="1603" spans="9:13" x14ac:dyDescent="0.25">
      <c r="I1603" t="s">
        <v>438</v>
      </c>
      <c r="J1603" t="s">
        <v>4364</v>
      </c>
      <c r="L1603" t="s">
        <v>267</v>
      </c>
      <c r="M1603" t="s">
        <v>6483</v>
      </c>
    </row>
    <row r="1604" spans="9:13" x14ac:dyDescent="0.25">
      <c r="I1604" t="s">
        <v>4247</v>
      </c>
      <c r="J1604" t="s">
        <v>4248</v>
      </c>
      <c r="L1604" t="s">
        <v>3011</v>
      </c>
      <c r="M1604" t="s">
        <v>6086</v>
      </c>
    </row>
    <row r="1605" spans="9:13" x14ac:dyDescent="0.25">
      <c r="I1605" t="s">
        <v>48</v>
      </c>
      <c r="J1605" t="s">
        <v>3192</v>
      </c>
      <c r="L1605" t="s">
        <v>5873</v>
      </c>
      <c r="M1605" t="s">
        <v>5874</v>
      </c>
    </row>
    <row r="1606" spans="9:13" x14ac:dyDescent="0.25">
      <c r="I1606" t="s">
        <v>98</v>
      </c>
      <c r="J1606" t="s">
        <v>3935</v>
      </c>
      <c r="L1606" t="s">
        <v>40</v>
      </c>
      <c r="M1606" t="s">
        <v>6641</v>
      </c>
    </row>
    <row r="1607" spans="9:13" x14ac:dyDescent="0.25">
      <c r="I1607" t="s">
        <v>267</v>
      </c>
      <c r="J1607" t="s">
        <v>3895</v>
      </c>
      <c r="L1607" t="s">
        <v>5485</v>
      </c>
      <c r="M1607" t="s">
        <v>5486</v>
      </c>
    </row>
    <row r="1608" spans="9:13" x14ac:dyDescent="0.25">
      <c r="I1608" t="s">
        <v>4204</v>
      </c>
      <c r="J1608" t="s">
        <v>4205</v>
      </c>
      <c r="L1608" t="s">
        <v>328</v>
      </c>
      <c r="M1608" t="s">
        <v>5254</v>
      </c>
    </row>
    <row r="1609" spans="9:13" x14ac:dyDescent="0.25">
      <c r="I1609" t="s">
        <v>2778</v>
      </c>
      <c r="J1609" t="s">
        <v>2779</v>
      </c>
      <c r="L1609" t="s">
        <v>4558</v>
      </c>
      <c r="M1609" t="s">
        <v>4559</v>
      </c>
    </row>
    <row r="1610" spans="9:13" x14ac:dyDescent="0.25">
      <c r="I1610" t="s">
        <v>597</v>
      </c>
      <c r="J1610" t="s">
        <v>4217</v>
      </c>
      <c r="L1610" t="s">
        <v>289</v>
      </c>
      <c r="M1610" t="s">
        <v>5342</v>
      </c>
    </row>
    <row r="1611" spans="9:13" x14ac:dyDescent="0.25">
      <c r="I1611" t="s">
        <v>102</v>
      </c>
      <c r="J1611" t="s">
        <v>2261</v>
      </c>
      <c r="L1611" t="s">
        <v>330</v>
      </c>
      <c r="M1611" t="s">
        <v>5091</v>
      </c>
    </row>
    <row r="1612" spans="9:13" x14ac:dyDescent="0.25">
      <c r="I1612" t="s">
        <v>1678</v>
      </c>
      <c r="J1612" t="s">
        <v>2347</v>
      </c>
      <c r="L1612" t="s">
        <v>6626</v>
      </c>
      <c r="M1612" t="s">
        <v>5311</v>
      </c>
    </row>
    <row r="1613" spans="9:13" x14ac:dyDescent="0.25">
      <c r="I1613" t="s">
        <v>321</v>
      </c>
      <c r="J1613" t="s">
        <v>2569</v>
      </c>
      <c r="L1613" t="s">
        <v>129</v>
      </c>
      <c r="M1613" t="s">
        <v>5133</v>
      </c>
    </row>
    <row r="1614" spans="9:13" x14ac:dyDescent="0.25">
      <c r="I1614" t="s">
        <v>425</v>
      </c>
      <c r="J1614" t="s">
        <v>2686</v>
      </c>
      <c r="L1614" t="s">
        <v>5559</v>
      </c>
      <c r="M1614" t="s">
        <v>5560</v>
      </c>
    </row>
    <row r="1615" spans="9:13" x14ac:dyDescent="0.25">
      <c r="I1615" t="s">
        <v>3575</v>
      </c>
      <c r="J1615" t="s">
        <v>4086</v>
      </c>
      <c r="L1615" t="s">
        <v>597</v>
      </c>
      <c r="M1615" t="s">
        <v>6039</v>
      </c>
    </row>
    <row r="1616" spans="9:13" x14ac:dyDescent="0.25">
      <c r="I1616" t="s">
        <v>102</v>
      </c>
      <c r="J1616" t="s">
        <v>3542</v>
      </c>
      <c r="L1616" t="s">
        <v>600</v>
      </c>
      <c r="M1616" t="s">
        <v>5273</v>
      </c>
    </row>
    <row r="1617" spans="9:13" x14ac:dyDescent="0.25">
      <c r="I1617" t="s">
        <v>669</v>
      </c>
      <c r="J1617" t="s">
        <v>2227</v>
      </c>
      <c r="L1617" t="s">
        <v>130</v>
      </c>
      <c r="M1617" t="s">
        <v>4670</v>
      </c>
    </row>
    <row r="1618" spans="9:13" x14ac:dyDescent="0.25">
      <c r="I1618" t="s">
        <v>597</v>
      </c>
      <c r="J1618" t="s">
        <v>2322</v>
      </c>
      <c r="L1618" t="s">
        <v>328</v>
      </c>
      <c r="M1618" t="s">
        <v>5894</v>
      </c>
    </row>
    <row r="1619" spans="9:13" x14ac:dyDescent="0.25">
      <c r="I1619" t="s">
        <v>425</v>
      </c>
      <c r="J1619" t="s">
        <v>1879</v>
      </c>
      <c r="L1619" t="s">
        <v>5378</v>
      </c>
      <c r="M1619" t="s">
        <v>6360</v>
      </c>
    </row>
    <row r="1620" spans="9:13" x14ac:dyDescent="0.25">
      <c r="I1620" t="s">
        <v>4466</v>
      </c>
      <c r="J1620" t="s">
        <v>4467</v>
      </c>
      <c r="L1620" t="s">
        <v>267</v>
      </c>
      <c r="M1620" t="s">
        <v>5793</v>
      </c>
    </row>
    <row r="1621" spans="9:13" x14ac:dyDescent="0.25">
      <c r="I1621" t="s">
        <v>326</v>
      </c>
      <c r="J1621" t="s">
        <v>3150</v>
      </c>
      <c r="L1621" t="s">
        <v>5580</v>
      </c>
      <c r="M1621" t="s">
        <v>5581</v>
      </c>
    </row>
    <row r="1622" spans="9:13" x14ac:dyDescent="0.25">
      <c r="I1622" t="s">
        <v>26</v>
      </c>
      <c r="J1622" t="s">
        <v>4198</v>
      </c>
      <c r="L1622" t="s">
        <v>4583</v>
      </c>
      <c r="M1622" t="s">
        <v>4584</v>
      </c>
    </row>
    <row r="1623" spans="9:13" x14ac:dyDescent="0.25">
      <c r="I1623" t="s">
        <v>2723</v>
      </c>
      <c r="J1623" t="s">
        <v>2724</v>
      </c>
      <c r="L1623" t="s">
        <v>483</v>
      </c>
      <c r="M1623" t="s">
        <v>6050</v>
      </c>
    </row>
    <row r="1624" spans="9:13" x14ac:dyDescent="0.25">
      <c r="I1624" t="s">
        <v>266</v>
      </c>
      <c r="J1624" t="s">
        <v>2947</v>
      </c>
      <c r="L1624" t="s">
        <v>41</v>
      </c>
      <c r="M1624" t="s">
        <v>6251</v>
      </c>
    </row>
    <row r="1625" spans="9:13" x14ac:dyDescent="0.25">
      <c r="I1625" t="s">
        <v>266</v>
      </c>
      <c r="J1625" t="s">
        <v>6713</v>
      </c>
      <c r="L1625" t="s">
        <v>6238</v>
      </c>
      <c r="M1625" t="s">
        <v>6239</v>
      </c>
    </row>
    <row r="1626" spans="9:13" x14ac:dyDescent="0.25">
      <c r="I1626" t="s">
        <v>267</v>
      </c>
      <c r="J1626" t="s">
        <v>2565</v>
      </c>
      <c r="L1626" t="s">
        <v>330</v>
      </c>
      <c r="M1626" t="s">
        <v>4853</v>
      </c>
    </row>
    <row r="1627" spans="9:13" x14ac:dyDescent="0.25">
      <c r="I1627" t="s">
        <v>723</v>
      </c>
      <c r="J1627" t="s">
        <v>4023</v>
      </c>
      <c r="L1627" t="s">
        <v>486</v>
      </c>
      <c r="M1627" t="s">
        <v>5877</v>
      </c>
    </row>
    <row r="1628" spans="9:13" x14ac:dyDescent="0.25">
      <c r="I1628" t="s">
        <v>267</v>
      </c>
      <c r="J1628" t="s">
        <v>2510</v>
      </c>
      <c r="L1628" t="s">
        <v>267</v>
      </c>
      <c r="M1628" t="s">
        <v>5716</v>
      </c>
    </row>
    <row r="1629" spans="9:13" x14ac:dyDescent="0.25">
      <c r="I1629" t="s">
        <v>289</v>
      </c>
      <c r="J1629" t="s">
        <v>2385</v>
      </c>
      <c r="L1629" t="s">
        <v>324</v>
      </c>
      <c r="M1629" t="s">
        <v>6209</v>
      </c>
    </row>
    <row r="1630" spans="9:13" x14ac:dyDescent="0.25">
      <c r="I1630" t="s">
        <v>3877</v>
      </c>
      <c r="J1630" t="s">
        <v>3998</v>
      </c>
      <c r="L1630" t="s">
        <v>129</v>
      </c>
      <c r="M1630" t="s">
        <v>6240</v>
      </c>
    </row>
    <row r="1631" spans="9:13" x14ac:dyDescent="0.25">
      <c r="I1631" t="s">
        <v>2005</v>
      </c>
      <c r="J1631" t="s">
        <v>2006</v>
      </c>
      <c r="L1631" t="s">
        <v>330</v>
      </c>
      <c r="M1631" t="s">
        <v>5865</v>
      </c>
    </row>
    <row r="1632" spans="9:13" x14ac:dyDescent="0.25">
      <c r="I1632" t="s">
        <v>1855</v>
      </c>
      <c r="J1632" t="s">
        <v>6874</v>
      </c>
      <c r="L1632" t="s">
        <v>420</v>
      </c>
      <c r="M1632" t="s">
        <v>7260</v>
      </c>
    </row>
    <row r="1633" spans="9:13" x14ac:dyDescent="0.25">
      <c r="I1633" t="s">
        <v>363</v>
      </c>
      <c r="J1633" t="s">
        <v>6689</v>
      </c>
      <c r="L1633" t="s">
        <v>581</v>
      </c>
      <c r="M1633" t="s">
        <v>5905</v>
      </c>
    </row>
    <row r="1634" spans="9:13" x14ac:dyDescent="0.25">
      <c r="I1634" t="s">
        <v>102</v>
      </c>
      <c r="J1634" t="s">
        <v>4087</v>
      </c>
      <c r="L1634" t="s">
        <v>291</v>
      </c>
      <c r="M1634" t="s">
        <v>7230</v>
      </c>
    </row>
    <row r="1635" spans="9:13" x14ac:dyDescent="0.25">
      <c r="I1635" t="s">
        <v>267</v>
      </c>
      <c r="J1635" t="s">
        <v>2690</v>
      </c>
      <c r="L1635" t="s">
        <v>412</v>
      </c>
      <c r="M1635" t="s">
        <v>5912</v>
      </c>
    </row>
    <row r="1636" spans="9:13" x14ac:dyDescent="0.25">
      <c r="I1636" t="s">
        <v>414</v>
      </c>
      <c r="J1636" t="s">
        <v>3040</v>
      </c>
      <c r="L1636" t="s">
        <v>483</v>
      </c>
      <c r="M1636" t="s">
        <v>5046</v>
      </c>
    </row>
    <row r="1637" spans="9:13" x14ac:dyDescent="0.25">
      <c r="I1637" t="s">
        <v>597</v>
      </c>
      <c r="J1637" t="s">
        <v>2341</v>
      </c>
      <c r="L1637" t="s">
        <v>267</v>
      </c>
      <c r="M1637" t="s">
        <v>4829</v>
      </c>
    </row>
    <row r="1638" spans="9:13" x14ac:dyDescent="0.25">
      <c r="I1638" t="s">
        <v>308</v>
      </c>
      <c r="J1638" t="s">
        <v>2544</v>
      </c>
      <c r="L1638" t="s">
        <v>41</v>
      </c>
      <c r="M1638" t="s">
        <v>4642</v>
      </c>
    </row>
    <row r="1639" spans="9:13" x14ac:dyDescent="0.25">
      <c r="I1639" t="s">
        <v>414</v>
      </c>
      <c r="J1639" t="s">
        <v>1926</v>
      </c>
      <c r="L1639" t="s">
        <v>43</v>
      </c>
      <c r="M1639" t="s">
        <v>6515</v>
      </c>
    </row>
    <row r="1640" spans="9:13" x14ac:dyDescent="0.25">
      <c r="I1640" t="s">
        <v>266</v>
      </c>
      <c r="J1640" t="s">
        <v>3074</v>
      </c>
      <c r="L1640" t="s">
        <v>5378</v>
      </c>
      <c r="M1640" t="s">
        <v>5379</v>
      </c>
    </row>
    <row r="1641" spans="9:13" x14ac:dyDescent="0.25">
      <c r="I1641" t="s">
        <v>326</v>
      </c>
      <c r="J1641" t="s">
        <v>4040</v>
      </c>
      <c r="L1641" t="s">
        <v>486</v>
      </c>
      <c r="M1641" t="s">
        <v>5904</v>
      </c>
    </row>
    <row r="1642" spans="9:13" x14ac:dyDescent="0.25">
      <c r="I1642" t="s">
        <v>1855</v>
      </c>
      <c r="J1642" t="s">
        <v>1856</v>
      </c>
      <c r="L1642" t="s">
        <v>50</v>
      </c>
      <c r="M1642" t="s">
        <v>5255</v>
      </c>
    </row>
    <row r="1643" spans="9:13" x14ac:dyDescent="0.25">
      <c r="I1643" t="s">
        <v>2069</v>
      </c>
      <c r="J1643" t="s">
        <v>2070</v>
      </c>
      <c r="L1643" t="s">
        <v>267</v>
      </c>
      <c r="M1643" t="s">
        <v>4708</v>
      </c>
    </row>
    <row r="1644" spans="9:13" x14ac:dyDescent="0.25">
      <c r="I1644" t="s">
        <v>414</v>
      </c>
      <c r="J1644" t="s">
        <v>2894</v>
      </c>
      <c r="L1644" t="s">
        <v>5136</v>
      </c>
      <c r="M1644" t="s">
        <v>5137</v>
      </c>
    </row>
    <row r="1645" spans="9:13" x14ac:dyDescent="0.25">
      <c r="I1645" t="s">
        <v>102</v>
      </c>
      <c r="J1645" t="s">
        <v>2352</v>
      </c>
      <c r="L1645" t="s">
        <v>483</v>
      </c>
      <c r="M1645" t="s">
        <v>4609</v>
      </c>
    </row>
    <row r="1646" spans="9:13" x14ac:dyDescent="0.25">
      <c r="I1646" t="s">
        <v>414</v>
      </c>
      <c r="J1646" t="s">
        <v>4065</v>
      </c>
      <c r="L1646" t="s">
        <v>326</v>
      </c>
      <c r="M1646" t="s">
        <v>4545</v>
      </c>
    </row>
    <row r="1647" spans="9:13" x14ac:dyDescent="0.25">
      <c r="I1647" t="s">
        <v>6830</v>
      </c>
      <c r="J1647" t="s">
        <v>4318</v>
      </c>
      <c r="L1647" t="s">
        <v>267</v>
      </c>
      <c r="M1647" t="s">
        <v>4784</v>
      </c>
    </row>
    <row r="1648" spans="9:13" x14ac:dyDescent="0.25">
      <c r="I1648" t="s">
        <v>3209</v>
      </c>
      <c r="J1648" t="s">
        <v>3210</v>
      </c>
      <c r="L1648" t="s">
        <v>328</v>
      </c>
      <c r="M1648" t="s">
        <v>5082</v>
      </c>
    </row>
    <row r="1649" spans="9:13" x14ac:dyDescent="0.25">
      <c r="I1649" t="s">
        <v>1917</v>
      </c>
      <c r="J1649" t="s">
        <v>1918</v>
      </c>
      <c r="L1649" t="s">
        <v>267</v>
      </c>
      <c r="M1649" t="s">
        <v>6026</v>
      </c>
    </row>
    <row r="1650" spans="9:13" x14ac:dyDescent="0.25">
      <c r="I1650" t="s">
        <v>2459</v>
      </c>
      <c r="J1650" t="s">
        <v>2460</v>
      </c>
      <c r="L1650" t="s">
        <v>41</v>
      </c>
      <c r="M1650" t="s">
        <v>5736</v>
      </c>
    </row>
    <row r="1651" spans="9:13" x14ac:dyDescent="0.25">
      <c r="I1651" t="s">
        <v>1785</v>
      </c>
      <c r="J1651" t="s">
        <v>3097</v>
      </c>
      <c r="L1651" t="s">
        <v>6126</v>
      </c>
      <c r="M1651" t="s">
        <v>6127</v>
      </c>
    </row>
    <row r="1652" spans="9:13" x14ac:dyDescent="0.25">
      <c r="I1652" t="s">
        <v>270</v>
      </c>
      <c r="J1652" t="s">
        <v>3654</v>
      </c>
      <c r="L1652" t="s">
        <v>41</v>
      </c>
      <c r="M1652" t="s">
        <v>5271</v>
      </c>
    </row>
    <row r="1653" spans="9:13" x14ac:dyDescent="0.25">
      <c r="I1653" t="s">
        <v>50</v>
      </c>
      <c r="J1653" t="s">
        <v>4337</v>
      </c>
      <c r="L1653" t="s">
        <v>267</v>
      </c>
      <c r="M1653" t="s">
        <v>6255</v>
      </c>
    </row>
    <row r="1654" spans="9:13" x14ac:dyDescent="0.25">
      <c r="I1654" t="s">
        <v>414</v>
      </c>
      <c r="J1654" t="s">
        <v>6988</v>
      </c>
      <c r="L1654" t="s">
        <v>291</v>
      </c>
      <c r="M1654" t="s">
        <v>5863</v>
      </c>
    </row>
    <row r="1655" spans="9:13" x14ac:dyDescent="0.25">
      <c r="I1655" t="s">
        <v>2333</v>
      </c>
      <c r="J1655" t="s">
        <v>4391</v>
      </c>
      <c r="L1655" t="s">
        <v>4937</v>
      </c>
      <c r="M1655" t="s">
        <v>4938</v>
      </c>
    </row>
    <row r="1656" spans="9:13" x14ac:dyDescent="0.25">
      <c r="I1656" t="s">
        <v>328</v>
      </c>
      <c r="J1656" t="s">
        <v>1869</v>
      </c>
      <c r="L1656" t="s">
        <v>321</v>
      </c>
      <c r="M1656" t="s">
        <v>5950</v>
      </c>
    </row>
    <row r="1657" spans="9:13" x14ac:dyDescent="0.25">
      <c r="I1657" t="s">
        <v>425</v>
      </c>
      <c r="J1657" t="s">
        <v>6983</v>
      </c>
      <c r="L1657" t="s">
        <v>483</v>
      </c>
      <c r="M1657" t="s">
        <v>6067</v>
      </c>
    </row>
    <row r="1658" spans="9:13" x14ac:dyDescent="0.25">
      <c r="I1658" t="s">
        <v>328</v>
      </c>
      <c r="J1658" t="s">
        <v>2317</v>
      </c>
      <c r="L1658" t="s">
        <v>41</v>
      </c>
      <c r="M1658" t="s">
        <v>5434</v>
      </c>
    </row>
    <row r="1659" spans="9:13" x14ac:dyDescent="0.25">
      <c r="I1659" t="s">
        <v>269</v>
      </c>
      <c r="J1659" t="s">
        <v>4292</v>
      </c>
      <c r="L1659" t="s">
        <v>25</v>
      </c>
      <c r="M1659" t="s">
        <v>4678</v>
      </c>
    </row>
    <row r="1660" spans="9:13" x14ac:dyDescent="0.25">
      <c r="I1660" t="s">
        <v>299</v>
      </c>
      <c r="J1660" t="s">
        <v>3104</v>
      </c>
      <c r="L1660" t="s">
        <v>597</v>
      </c>
      <c r="M1660" t="s">
        <v>4654</v>
      </c>
    </row>
    <row r="1661" spans="9:13" x14ac:dyDescent="0.25">
      <c r="I1661" t="s">
        <v>308</v>
      </c>
      <c r="J1661" t="s">
        <v>2891</v>
      </c>
      <c r="L1661" t="s">
        <v>5726</v>
      </c>
      <c r="M1661" t="s">
        <v>5727</v>
      </c>
    </row>
    <row r="1662" spans="9:13" x14ac:dyDescent="0.25">
      <c r="I1662" t="s">
        <v>326</v>
      </c>
      <c r="J1662" t="s">
        <v>2956</v>
      </c>
      <c r="L1662" t="s">
        <v>3771</v>
      </c>
      <c r="M1662" t="s">
        <v>5727</v>
      </c>
    </row>
    <row r="1663" spans="9:13" x14ac:dyDescent="0.25">
      <c r="I1663" t="s">
        <v>98</v>
      </c>
      <c r="J1663" t="s">
        <v>4033</v>
      </c>
      <c r="L1663" t="s">
        <v>486</v>
      </c>
      <c r="M1663" t="s">
        <v>6306</v>
      </c>
    </row>
    <row r="1664" spans="9:13" x14ac:dyDescent="0.25">
      <c r="I1664" t="s">
        <v>330</v>
      </c>
      <c r="J1664" t="s">
        <v>4013</v>
      </c>
      <c r="L1664" t="s">
        <v>41</v>
      </c>
      <c r="M1664" t="s">
        <v>5611</v>
      </c>
    </row>
    <row r="1665" spans="9:13" x14ac:dyDescent="0.25">
      <c r="I1665" t="s">
        <v>270</v>
      </c>
      <c r="J1665" t="s">
        <v>1812</v>
      </c>
      <c r="L1665" t="s">
        <v>541</v>
      </c>
      <c r="M1665" t="s">
        <v>5552</v>
      </c>
    </row>
    <row r="1666" spans="9:13" x14ac:dyDescent="0.25">
      <c r="I1666" t="s">
        <v>129</v>
      </c>
      <c r="J1666" t="s">
        <v>2990</v>
      </c>
      <c r="L1666" t="s">
        <v>267</v>
      </c>
      <c r="M1666" t="s">
        <v>5772</v>
      </c>
    </row>
    <row r="1667" spans="9:13" x14ac:dyDescent="0.25">
      <c r="I1667" t="s">
        <v>425</v>
      </c>
      <c r="J1667" t="s">
        <v>4522</v>
      </c>
      <c r="L1667" t="s">
        <v>25</v>
      </c>
      <c r="M1667" t="s">
        <v>6151</v>
      </c>
    </row>
    <row r="1668" spans="9:13" x14ac:dyDescent="0.25">
      <c r="I1668" t="s">
        <v>328</v>
      </c>
      <c r="J1668" t="s">
        <v>2048</v>
      </c>
      <c r="L1668" t="s">
        <v>597</v>
      </c>
      <c r="M1668" t="s">
        <v>5341</v>
      </c>
    </row>
    <row r="1669" spans="9:13" x14ac:dyDescent="0.25">
      <c r="I1669" t="s">
        <v>4329</v>
      </c>
      <c r="J1669" t="s">
        <v>4330</v>
      </c>
      <c r="L1669" t="s">
        <v>129</v>
      </c>
      <c r="M1669" t="s">
        <v>5404</v>
      </c>
    </row>
    <row r="1670" spans="9:13" x14ac:dyDescent="0.25">
      <c r="I1670" t="s">
        <v>270</v>
      </c>
      <c r="J1670" t="s">
        <v>3642</v>
      </c>
      <c r="L1670" t="s">
        <v>267</v>
      </c>
      <c r="M1670" t="s">
        <v>4643</v>
      </c>
    </row>
    <row r="1671" spans="9:13" x14ac:dyDescent="0.25">
      <c r="I1671" t="s">
        <v>414</v>
      </c>
      <c r="J1671" t="s">
        <v>3628</v>
      </c>
      <c r="L1671" t="s">
        <v>267</v>
      </c>
      <c r="M1671" t="s">
        <v>5794</v>
      </c>
    </row>
    <row r="1672" spans="9:13" x14ac:dyDescent="0.25">
      <c r="I1672" t="s">
        <v>328</v>
      </c>
      <c r="J1672" t="s">
        <v>4365</v>
      </c>
      <c r="L1672" t="s">
        <v>328</v>
      </c>
      <c r="M1672" t="s">
        <v>6224</v>
      </c>
    </row>
    <row r="1673" spans="9:13" x14ac:dyDescent="0.25">
      <c r="I1673" t="s">
        <v>330</v>
      </c>
      <c r="J1673" t="s">
        <v>3354</v>
      </c>
      <c r="L1673" t="s">
        <v>600</v>
      </c>
      <c r="M1673" t="s">
        <v>5521</v>
      </c>
    </row>
    <row r="1674" spans="9:13" x14ac:dyDescent="0.25">
      <c r="I1674" t="s">
        <v>270</v>
      </c>
      <c r="J1674" t="s">
        <v>4352</v>
      </c>
      <c r="L1674" t="s">
        <v>328</v>
      </c>
      <c r="M1674" t="s">
        <v>5094</v>
      </c>
    </row>
    <row r="1675" spans="9:13" x14ac:dyDescent="0.25">
      <c r="I1675" t="s">
        <v>299</v>
      </c>
      <c r="J1675" t="s">
        <v>4108</v>
      </c>
      <c r="L1675" t="s">
        <v>483</v>
      </c>
      <c r="M1675" t="s">
        <v>4847</v>
      </c>
    </row>
    <row r="1676" spans="9:13" x14ac:dyDescent="0.25">
      <c r="I1676" t="s">
        <v>129</v>
      </c>
      <c r="J1676" t="s">
        <v>2130</v>
      </c>
      <c r="L1676" t="s">
        <v>267</v>
      </c>
      <c r="M1676" t="s">
        <v>5618</v>
      </c>
    </row>
    <row r="1677" spans="9:13" x14ac:dyDescent="0.25">
      <c r="I1677" t="s">
        <v>330</v>
      </c>
      <c r="J1677" t="s">
        <v>4053</v>
      </c>
      <c r="L1677" t="s">
        <v>4702</v>
      </c>
      <c r="M1677" t="s">
        <v>4703</v>
      </c>
    </row>
    <row r="1678" spans="9:13" x14ac:dyDescent="0.25">
      <c r="I1678" t="s">
        <v>2125</v>
      </c>
      <c r="J1678" t="s">
        <v>4324</v>
      </c>
      <c r="L1678" t="s">
        <v>266</v>
      </c>
      <c r="M1678" t="s">
        <v>5762</v>
      </c>
    </row>
    <row r="1679" spans="9:13" x14ac:dyDescent="0.25">
      <c r="I1679" t="s">
        <v>326</v>
      </c>
      <c r="J1679" t="s">
        <v>1862</v>
      </c>
      <c r="L1679" t="s">
        <v>41</v>
      </c>
      <c r="M1679" t="s">
        <v>5042</v>
      </c>
    </row>
    <row r="1680" spans="9:13" x14ac:dyDescent="0.25">
      <c r="I1680" t="s">
        <v>1855</v>
      </c>
      <c r="J1680" t="s">
        <v>2437</v>
      </c>
      <c r="L1680" t="s">
        <v>267</v>
      </c>
      <c r="M1680" t="s">
        <v>4681</v>
      </c>
    </row>
    <row r="1681" spans="9:13" x14ac:dyDescent="0.25">
      <c r="I1681" t="s">
        <v>270</v>
      </c>
      <c r="J1681" t="s">
        <v>3951</v>
      </c>
      <c r="L1681" t="s">
        <v>267</v>
      </c>
      <c r="M1681" t="s">
        <v>5955</v>
      </c>
    </row>
    <row r="1682" spans="9:13" x14ac:dyDescent="0.25">
      <c r="I1682" t="s">
        <v>330</v>
      </c>
      <c r="J1682" t="s">
        <v>6693</v>
      </c>
      <c r="L1682" t="s">
        <v>129</v>
      </c>
      <c r="M1682" t="s">
        <v>6578</v>
      </c>
    </row>
    <row r="1683" spans="9:13" x14ac:dyDescent="0.25">
      <c r="I1683" t="s">
        <v>430</v>
      </c>
      <c r="J1683" t="s">
        <v>2798</v>
      </c>
      <c r="L1683" t="s">
        <v>486</v>
      </c>
      <c r="M1683" t="s">
        <v>6178</v>
      </c>
    </row>
    <row r="1684" spans="9:13" x14ac:dyDescent="0.25">
      <c r="I1684" t="s">
        <v>267</v>
      </c>
      <c r="J1684" t="s">
        <v>1698</v>
      </c>
      <c r="L1684" t="s">
        <v>12</v>
      </c>
      <c r="M1684" t="s">
        <v>5321</v>
      </c>
    </row>
    <row r="1685" spans="9:13" x14ac:dyDescent="0.25">
      <c r="I1685" t="s">
        <v>270</v>
      </c>
      <c r="J1685" t="s">
        <v>1953</v>
      </c>
      <c r="L1685" t="s">
        <v>41</v>
      </c>
      <c r="M1685" t="s">
        <v>5730</v>
      </c>
    </row>
    <row r="1686" spans="9:13" x14ac:dyDescent="0.25">
      <c r="I1686" t="s">
        <v>2656</v>
      </c>
      <c r="J1686" t="s">
        <v>2657</v>
      </c>
      <c r="L1686" t="s">
        <v>43</v>
      </c>
      <c r="M1686" t="s">
        <v>5889</v>
      </c>
    </row>
    <row r="1687" spans="9:13" x14ac:dyDescent="0.25">
      <c r="I1687" t="s">
        <v>414</v>
      </c>
      <c r="J1687" t="s">
        <v>2516</v>
      </c>
      <c r="L1687" t="s">
        <v>41</v>
      </c>
      <c r="M1687" t="s">
        <v>6286</v>
      </c>
    </row>
    <row r="1688" spans="9:13" x14ac:dyDescent="0.25">
      <c r="I1688" t="s">
        <v>2462</v>
      </c>
      <c r="J1688" t="s">
        <v>2463</v>
      </c>
      <c r="L1688" t="s">
        <v>267</v>
      </c>
      <c r="M1688" t="s">
        <v>4616</v>
      </c>
    </row>
    <row r="1689" spans="9:13" x14ac:dyDescent="0.25">
      <c r="I1689" t="s">
        <v>270</v>
      </c>
      <c r="J1689" t="s">
        <v>3517</v>
      </c>
      <c r="L1689" t="s">
        <v>25</v>
      </c>
      <c r="M1689" t="s">
        <v>5102</v>
      </c>
    </row>
    <row r="1690" spans="9:13" x14ac:dyDescent="0.25">
      <c r="I1690" t="s">
        <v>2605</v>
      </c>
      <c r="J1690" t="s">
        <v>2671</v>
      </c>
      <c r="L1690" t="s">
        <v>422</v>
      </c>
      <c r="M1690" t="s">
        <v>6453</v>
      </c>
    </row>
    <row r="1691" spans="9:13" x14ac:dyDescent="0.25">
      <c r="I1691" t="s">
        <v>321</v>
      </c>
      <c r="J1691" t="s">
        <v>3206</v>
      </c>
      <c r="L1691" t="s">
        <v>597</v>
      </c>
      <c r="M1691" t="s">
        <v>5529</v>
      </c>
    </row>
    <row r="1692" spans="9:13" x14ac:dyDescent="0.25">
      <c r="I1692" t="s">
        <v>330</v>
      </c>
      <c r="J1692" t="s">
        <v>2431</v>
      </c>
      <c r="L1692" t="s">
        <v>326</v>
      </c>
      <c r="M1692" t="s">
        <v>5462</v>
      </c>
    </row>
    <row r="1693" spans="9:13" x14ac:dyDescent="0.25">
      <c r="I1693" t="s">
        <v>267</v>
      </c>
      <c r="J1693" t="s">
        <v>2234</v>
      </c>
      <c r="L1693" t="s">
        <v>422</v>
      </c>
      <c r="M1693" t="s">
        <v>6172</v>
      </c>
    </row>
    <row r="1694" spans="9:13" x14ac:dyDescent="0.25">
      <c r="I1694" t="s">
        <v>414</v>
      </c>
      <c r="J1694" t="s">
        <v>4156</v>
      </c>
      <c r="L1694" t="s">
        <v>41</v>
      </c>
      <c r="M1694" t="s">
        <v>6596</v>
      </c>
    </row>
    <row r="1695" spans="9:13" x14ac:dyDescent="0.25">
      <c r="I1695" t="s">
        <v>330</v>
      </c>
      <c r="J1695" t="s">
        <v>4426</v>
      </c>
      <c r="L1695" t="s">
        <v>581</v>
      </c>
      <c r="M1695" t="s">
        <v>6388</v>
      </c>
    </row>
    <row r="1696" spans="9:13" x14ac:dyDescent="0.25">
      <c r="I1696" t="s">
        <v>2401</v>
      </c>
      <c r="J1696" t="s">
        <v>3351</v>
      </c>
      <c r="L1696" t="s">
        <v>291</v>
      </c>
      <c r="M1696" t="s">
        <v>4836</v>
      </c>
    </row>
    <row r="1697" spans="9:13" x14ac:dyDescent="0.25">
      <c r="I1697" t="s">
        <v>422</v>
      </c>
      <c r="J1697" t="s">
        <v>3180</v>
      </c>
      <c r="L1697" t="s">
        <v>50</v>
      </c>
      <c r="M1697" t="s">
        <v>5245</v>
      </c>
    </row>
    <row r="1698" spans="9:13" x14ac:dyDescent="0.25">
      <c r="I1698" t="s">
        <v>299</v>
      </c>
      <c r="J1698" t="s">
        <v>3862</v>
      </c>
      <c r="L1698" t="s">
        <v>422</v>
      </c>
      <c r="M1698" t="s">
        <v>5899</v>
      </c>
    </row>
    <row r="1699" spans="9:13" x14ac:dyDescent="0.25">
      <c r="I1699" t="s">
        <v>102</v>
      </c>
      <c r="J1699" t="s">
        <v>2059</v>
      </c>
      <c r="L1699" t="s">
        <v>541</v>
      </c>
      <c r="M1699" t="s">
        <v>5610</v>
      </c>
    </row>
    <row r="1700" spans="9:13" x14ac:dyDescent="0.25">
      <c r="I1700" t="s">
        <v>3915</v>
      </c>
      <c r="J1700" t="s">
        <v>3916</v>
      </c>
      <c r="L1700" t="s">
        <v>321</v>
      </c>
      <c r="M1700" t="s">
        <v>6551</v>
      </c>
    </row>
    <row r="1701" spans="9:13" x14ac:dyDescent="0.25">
      <c r="I1701" t="s">
        <v>373</v>
      </c>
      <c r="J1701" t="s">
        <v>3303</v>
      </c>
      <c r="L1701" t="s">
        <v>54</v>
      </c>
      <c r="M1701" t="s">
        <v>5546</v>
      </c>
    </row>
    <row r="1702" spans="9:13" x14ac:dyDescent="0.25">
      <c r="I1702" t="s">
        <v>3236</v>
      </c>
      <c r="J1702" t="s">
        <v>3237</v>
      </c>
      <c r="L1702" t="s">
        <v>266</v>
      </c>
      <c r="M1702" t="s">
        <v>6438</v>
      </c>
    </row>
    <row r="1703" spans="9:13" x14ac:dyDescent="0.25">
      <c r="I1703" t="s">
        <v>2101</v>
      </c>
      <c r="J1703" t="s">
        <v>2102</v>
      </c>
      <c r="L1703" t="s">
        <v>267</v>
      </c>
      <c r="M1703" t="s">
        <v>6276</v>
      </c>
    </row>
    <row r="1704" spans="9:13" x14ac:dyDescent="0.25">
      <c r="I1704" t="s">
        <v>3343</v>
      </c>
      <c r="J1704" t="s">
        <v>3344</v>
      </c>
      <c r="L1704" t="s">
        <v>6106</v>
      </c>
      <c r="M1704" t="s">
        <v>6107</v>
      </c>
    </row>
    <row r="1705" spans="9:13" x14ac:dyDescent="0.25">
      <c r="I1705" t="s">
        <v>321</v>
      </c>
      <c r="J1705" t="s">
        <v>4297</v>
      </c>
      <c r="L1705" t="s">
        <v>291</v>
      </c>
      <c r="M1705" t="s">
        <v>6303</v>
      </c>
    </row>
    <row r="1706" spans="9:13" x14ac:dyDescent="0.25">
      <c r="I1706" t="s">
        <v>289</v>
      </c>
      <c r="J1706" t="s">
        <v>3125</v>
      </c>
      <c r="L1706" t="s">
        <v>267</v>
      </c>
      <c r="M1706" t="s">
        <v>4619</v>
      </c>
    </row>
    <row r="1707" spans="9:13" x14ac:dyDescent="0.25">
      <c r="I1707" t="s">
        <v>267</v>
      </c>
      <c r="J1707" t="s">
        <v>6726</v>
      </c>
      <c r="L1707" t="s">
        <v>40</v>
      </c>
      <c r="M1707" t="s">
        <v>4634</v>
      </c>
    </row>
    <row r="1708" spans="9:13" x14ac:dyDescent="0.25">
      <c r="I1708" t="s">
        <v>130</v>
      </c>
      <c r="J1708" t="s">
        <v>3214</v>
      </c>
      <c r="L1708" t="s">
        <v>291</v>
      </c>
      <c r="M1708" t="s">
        <v>5903</v>
      </c>
    </row>
    <row r="1709" spans="9:13" x14ac:dyDescent="0.25">
      <c r="I1709" t="s">
        <v>102</v>
      </c>
      <c r="J1709" t="s">
        <v>3546</v>
      </c>
      <c r="L1709" t="s">
        <v>483</v>
      </c>
      <c r="M1709" t="s">
        <v>5251</v>
      </c>
    </row>
    <row r="1710" spans="9:13" x14ac:dyDescent="0.25">
      <c r="I1710" t="s">
        <v>26</v>
      </c>
      <c r="J1710" t="s">
        <v>3806</v>
      </c>
      <c r="L1710" t="s">
        <v>6081</v>
      </c>
      <c r="M1710" t="s">
        <v>6082</v>
      </c>
    </row>
    <row r="1711" spans="9:13" x14ac:dyDescent="0.25">
      <c r="I1711" t="s">
        <v>289</v>
      </c>
      <c r="J1711" t="s">
        <v>1936</v>
      </c>
      <c r="L1711" t="s">
        <v>486</v>
      </c>
      <c r="M1711" t="s">
        <v>4895</v>
      </c>
    </row>
    <row r="1712" spans="9:13" x14ac:dyDescent="0.25">
      <c r="I1712" t="s">
        <v>414</v>
      </c>
      <c r="J1712" t="s">
        <v>4500</v>
      </c>
      <c r="L1712" t="s">
        <v>483</v>
      </c>
      <c r="M1712" t="s">
        <v>5214</v>
      </c>
    </row>
    <row r="1713" spans="9:13" x14ac:dyDescent="0.25">
      <c r="I1713" t="s">
        <v>414</v>
      </c>
      <c r="J1713" t="s">
        <v>1687</v>
      </c>
      <c r="L1713" t="s">
        <v>317</v>
      </c>
      <c r="M1713" t="s">
        <v>7034</v>
      </c>
    </row>
    <row r="1714" spans="9:13" x14ac:dyDescent="0.25">
      <c r="I1714" t="s">
        <v>6733</v>
      </c>
      <c r="J1714" t="s">
        <v>3718</v>
      </c>
      <c r="L1714" t="s">
        <v>541</v>
      </c>
      <c r="M1714" t="s">
        <v>4915</v>
      </c>
    </row>
    <row r="1715" spans="9:13" x14ac:dyDescent="0.25">
      <c r="I1715" t="s">
        <v>2125</v>
      </c>
      <c r="J1715" t="s">
        <v>2126</v>
      </c>
      <c r="L1715" t="s">
        <v>40</v>
      </c>
      <c r="M1715" t="s">
        <v>4805</v>
      </c>
    </row>
    <row r="1716" spans="9:13" x14ac:dyDescent="0.25">
      <c r="I1716" t="s">
        <v>2859</v>
      </c>
      <c r="J1716" t="s">
        <v>6888</v>
      </c>
      <c r="L1716" t="s">
        <v>266</v>
      </c>
      <c r="M1716" t="s">
        <v>4777</v>
      </c>
    </row>
    <row r="1717" spans="9:13" x14ac:dyDescent="0.25">
      <c r="I1717" t="s">
        <v>414</v>
      </c>
      <c r="J1717" t="s">
        <v>3032</v>
      </c>
      <c r="L1717" t="s">
        <v>4975</v>
      </c>
      <c r="M1717" t="s">
        <v>4976</v>
      </c>
    </row>
    <row r="1718" spans="9:13" x14ac:dyDescent="0.25">
      <c r="I1718" t="s">
        <v>270</v>
      </c>
      <c r="J1718" t="s">
        <v>1739</v>
      </c>
      <c r="L1718" t="s">
        <v>4655</v>
      </c>
      <c r="M1718" t="s">
        <v>6628</v>
      </c>
    </row>
    <row r="1719" spans="9:13" x14ac:dyDescent="0.25">
      <c r="I1719" t="s">
        <v>266</v>
      </c>
      <c r="J1719" t="s">
        <v>2446</v>
      </c>
      <c r="L1719" t="s">
        <v>597</v>
      </c>
      <c r="M1719" t="s">
        <v>6253</v>
      </c>
    </row>
    <row r="1720" spans="9:13" x14ac:dyDescent="0.25">
      <c r="I1720" t="s">
        <v>102</v>
      </c>
      <c r="J1720" t="s">
        <v>2360</v>
      </c>
      <c r="L1720" t="s">
        <v>267</v>
      </c>
      <c r="M1720" t="s">
        <v>6381</v>
      </c>
    </row>
    <row r="1721" spans="9:13" x14ac:dyDescent="0.25">
      <c r="I1721" t="s">
        <v>2101</v>
      </c>
      <c r="J1721" t="s">
        <v>3653</v>
      </c>
      <c r="L1721" t="s">
        <v>4655</v>
      </c>
      <c r="M1721" t="s">
        <v>4682</v>
      </c>
    </row>
    <row r="1722" spans="9:13" x14ac:dyDescent="0.25">
      <c r="I1722" t="s">
        <v>2790</v>
      </c>
      <c r="J1722" t="s">
        <v>2791</v>
      </c>
      <c r="L1722" t="s">
        <v>4655</v>
      </c>
      <c r="M1722" t="s">
        <v>5347</v>
      </c>
    </row>
    <row r="1723" spans="9:13" x14ac:dyDescent="0.25">
      <c r="I1723" t="s">
        <v>581</v>
      </c>
      <c r="J1723" t="s">
        <v>4151</v>
      </c>
      <c r="L1723" t="s">
        <v>6016</v>
      </c>
      <c r="M1723" t="s">
        <v>7179</v>
      </c>
    </row>
    <row r="1724" spans="9:13" x14ac:dyDescent="0.25">
      <c r="I1724" t="s">
        <v>4533</v>
      </c>
      <c r="J1724" t="s">
        <v>4534</v>
      </c>
      <c r="L1724" t="s">
        <v>43</v>
      </c>
      <c r="M1724" t="s">
        <v>6089</v>
      </c>
    </row>
    <row r="1725" spans="9:13" x14ac:dyDescent="0.25">
      <c r="I1725" t="s">
        <v>730</v>
      </c>
      <c r="J1725" t="s">
        <v>3099</v>
      </c>
      <c r="L1725" t="s">
        <v>4655</v>
      </c>
      <c r="M1725" t="s">
        <v>6492</v>
      </c>
    </row>
    <row r="1726" spans="9:13" x14ac:dyDescent="0.25">
      <c r="I1726" t="s">
        <v>373</v>
      </c>
      <c r="J1726" t="s">
        <v>4419</v>
      </c>
      <c r="L1726" t="s">
        <v>597</v>
      </c>
      <c r="M1726" t="s">
        <v>5449</v>
      </c>
    </row>
    <row r="1727" spans="9:13" x14ac:dyDescent="0.25">
      <c r="I1727" t="s">
        <v>1903</v>
      </c>
      <c r="J1727" t="s">
        <v>3932</v>
      </c>
      <c r="L1727" t="s">
        <v>4655</v>
      </c>
      <c r="M1727" t="s">
        <v>5388</v>
      </c>
    </row>
    <row r="1728" spans="9:13" x14ac:dyDescent="0.25">
      <c r="I1728" t="s">
        <v>581</v>
      </c>
      <c r="J1728" t="s">
        <v>3293</v>
      </c>
      <c r="L1728" t="s">
        <v>4657</v>
      </c>
      <c r="M1728" t="s">
        <v>4658</v>
      </c>
    </row>
    <row r="1729" spans="9:13" x14ac:dyDescent="0.25">
      <c r="I1729" t="s">
        <v>26</v>
      </c>
      <c r="J1729" t="s">
        <v>2212</v>
      </c>
      <c r="L1729" t="s">
        <v>267</v>
      </c>
      <c r="M1729" t="s">
        <v>5952</v>
      </c>
    </row>
    <row r="1730" spans="9:13" x14ac:dyDescent="0.25">
      <c r="I1730" t="s">
        <v>289</v>
      </c>
      <c r="J1730" t="s">
        <v>2836</v>
      </c>
      <c r="L1730" t="s">
        <v>43</v>
      </c>
      <c r="M1730" t="s">
        <v>5196</v>
      </c>
    </row>
    <row r="1731" spans="9:13" x14ac:dyDescent="0.25">
      <c r="I1731" t="s">
        <v>2295</v>
      </c>
      <c r="J1731" t="s">
        <v>6955</v>
      </c>
      <c r="L1731" t="s">
        <v>597</v>
      </c>
      <c r="M1731" t="s">
        <v>6361</v>
      </c>
    </row>
    <row r="1732" spans="9:13" x14ac:dyDescent="0.25">
      <c r="I1732" t="s">
        <v>6733</v>
      </c>
      <c r="J1732" t="s">
        <v>2825</v>
      </c>
      <c r="L1732" t="s">
        <v>6626</v>
      </c>
      <c r="M1732" t="s">
        <v>5682</v>
      </c>
    </row>
    <row r="1733" spans="9:13" x14ac:dyDescent="0.25">
      <c r="I1733" t="s">
        <v>97</v>
      </c>
      <c r="J1733" t="s">
        <v>4392</v>
      </c>
      <c r="L1733" t="s">
        <v>597</v>
      </c>
      <c r="M1733" t="s">
        <v>5538</v>
      </c>
    </row>
    <row r="1734" spans="9:13" x14ac:dyDescent="0.25">
      <c r="I1734" t="s">
        <v>422</v>
      </c>
      <c r="J1734" t="s">
        <v>3326</v>
      </c>
      <c r="L1734" t="s">
        <v>4659</v>
      </c>
      <c r="M1734" t="s">
        <v>5953</v>
      </c>
    </row>
    <row r="1735" spans="9:13" x14ac:dyDescent="0.25">
      <c r="I1735" t="s">
        <v>2919</v>
      </c>
      <c r="J1735" t="s">
        <v>2920</v>
      </c>
      <c r="L1735" t="s">
        <v>51</v>
      </c>
      <c r="M1735" t="s">
        <v>5418</v>
      </c>
    </row>
    <row r="1736" spans="9:13" x14ac:dyDescent="0.25">
      <c r="I1736" t="s">
        <v>1</v>
      </c>
      <c r="J1736" t="s">
        <v>4018</v>
      </c>
      <c r="L1736" t="s">
        <v>486</v>
      </c>
      <c r="M1736" t="s">
        <v>6035</v>
      </c>
    </row>
    <row r="1737" spans="9:13" x14ac:dyDescent="0.25">
      <c r="I1737" t="s">
        <v>12</v>
      </c>
      <c r="J1737" t="s">
        <v>2705</v>
      </c>
      <c r="L1737" t="s">
        <v>483</v>
      </c>
      <c r="M1737" t="s">
        <v>5030</v>
      </c>
    </row>
    <row r="1738" spans="9:13" x14ac:dyDescent="0.25">
      <c r="I1738" t="s">
        <v>2841</v>
      </c>
      <c r="J1738" t="s">
        <v>3460</v>
      </c>
      <c r="L1738" t="s">
        <v>486</v>
      </c>
      <c r="M1738" t="s">
        <v>4754</v>
      </c>
    </row>
    <row r="1739" spans="9:13" x14ac:dyDescent="0.25">
      <c r="I1739" t="s">
        <v>302</v>
      </c>
      <c r="J1739" t="s">
        <v>1960</v>
      </c>
      <c r="L1739" t="s">
        <v>4975</v>
      </c>
      <c r="M1739" t="s">
        <v>6085</v>
      </c>
    </row>
    <row r="1740" spans="9:13" x14ac:dyDescent="0.25">
      <c r="I1740" t="s">
        <v>267</v>
      </c>
      <c r="J1740" t="s">
        <v>3365</v>
      </c>
      <c r="L1740" t="s">
        <v>575</v>
      </c>
      <c r="M1740" t="s">
        <v>6634</v>
      </c>
    </row>
    <row r="1741" spans="9:13" x14ac:dyDescent="0.25">
      <c r="I1741" t="s">
        <v>1993</v>
      </c>
      <c r="J1741" t="s">
        <v>1994</v>
      </c>
      <c r="L1741" t="s">
        <v>25</v>
      </c>
      <c r="M1741" t="s">
        <v>6268</v>
      </c>
    </row>
    <row r="1742" spans="9:13" x14ac:dyDescent="0.25">
      <c r="I1742" t="s">
        <v>597</v>
      </c>
      <c r="J1742" t="s">
        <v>2191</v>
      </c>
      <c r="L1742" t="s">
        <v>41</v>
      </c>
      <c r="M1742" t="s">
        <v>4781</v>
      </c>
    </row>
    <row r="1743" spans="9:13" x14ac:dyDescent="0.25">
      <c r="I1743" t="s">
        <v>730</v>
      </c>
      <c r="J1743" t="s">
        <v>2086</v>
      </c>
      <c r="L1743" t="s">
        <v>267</v>
      </c>
      <c r="M1743" t="s">
        <v>5138</v>
      </c>
    </row>
    <row r="1744" spans="9:13" x14ac:dyDescent="0.25">
      <c r="I1744" t="s">
        <v>373</v>
      </c>
      <c r="J1744" t="s">
        <v>3970</v>
      </c>
      <c r="L1744" t="s">
        <v>4996</v>
      </c>
      <c r="M1744" t="s">
        <v>4997</v>
      </c>
    </row>
    <row r="1745" spans="9:13" x14ac:dyDescent="0.25">
      <c r="I1745" t="s">
        <v>1712</v>
      </c>
      <c r="J1745" t="s">
        <v>4399</v>
      </c>
      <c r="L1745" t="s">
        <v>317</v>
      </c>
      <c r="M1745" t="s">
        <v>7131</v>
      </c>
    </row>
    <row r="1746" spans="9:13" x14ac:dyDescent="0.25">
      <c r="I1746" t="s">
        <v>267</v>
      </c>
      <c r="J1746" t="s">
        <v>3198</v>
      </c>
      <c r="L1746" t="s">
        <v>291</v>
      </c>
      <c r="M1746" t="s">
        <v>6326</v>
      </c>
    </row>
    <row r="1747" spans="9:13" x14ac:dyDescent="0.25">
      <c r="I1747" t="s">
        <v>2355</v>
      </c>
      <c r="J1747" t="s">
        <v>4117</v>
      </c>
      <c r="L1747" t="s">
        <v>597</v>
      </c>
      <c r="M1747" t="s">
        <v>6079</v>
      </c>
    </row>
    <row r="1748" spans="9:13" x14ac:dyDescent="0.25">
      <c r="I1748" t="s">
        <v>267</v>
      </c>
      <c r="J1748" t="s">
        <v>4375</v>
      </c>
      <c r="L1748" t="s">
        <v>267</v>
      </c>
      <c r="M1748" t="s">
        <v>5346</v>
      </c>
    </row>
    <row r="1749" spans="9:13" x14ac:dyDescent="0.25">
      <c r="I1749" t="s">
        <v>730</v>
      </c>
      <c r="J1749" t="s">
        <v>2466</v>
      </c>
      <c r="L1749" t="s">
        <v>328</v>
      </c>
      <c r="M1749" t="s">
        <v>5382</v>
      </c>
    </row>
    <row r="1750" spans="9:13" x14ac:dyDescent="0.25">
      <c r="I1750" t="s">
        <v>266</v>
      </c>
      <c r="J1750" t="s">
        <v>2852</v>
      </c>
      <c r="L1750" t="s">
        <v>486</v>
      </c>
      <c r="M1750" t="s">
        <v>6206</v>
      </c>
    </row>
    <row r="1751" spans="9:13" x14ac:dyDescent="0.25">
      <c r="I1751" t="s">
        <v>97</v>
      </c>
      <c r="J1751" t="s">
        <v>2781</v>
      </c>
      <c r="L1751" t="s">
        <v>508</v>
      </c>
      <c r="M1751" t="s">
        <v>6226</v>
      </c>
    </row>
    <row r="1752" spans="9:13" x14ac:dyDescent="0.25">
      <c r="I1752" t="s">
        <v>1859</v>
      </c>
      <c r="J1752" t="s">
        <v>1860</v>
      </c>
      <c r="L1752" t="s">
        <v>51</v>
      </c>
      <c r="M1752" t="s">
        <v>5361</v>
      </c>
    </row>
    <row r="1753" spans="9:13" x14ac:dyDescent="0.25">
      <c r="I1753" t="s">
        <v>302</v>
      </c>
      <c r="J1753" t="s">
        <v>1789</v>
      </c>
      <c r="L1753" t="s">
        <v>5508</v>
      </c>
      <c r="M1753" t="s">
        <v>5509</v>
      </c>
    </row>
    <row r="1754" spans="9:13" x14ac:dyDescent="0.25">
      <c r="I1754" t="s">
        <v>2538</v>
      </c>
      <c r="J1754" t="s">
        <v>2539</v>
      </c>
      <c r="L1754" t="s">
        <v>422</v>
      </c>
      <c r="M1754" t="s">
        <v>5816</v>
      </c>
    </row>
    <row r="1755" spans="9:13" x14ac:dyDescent="0.25">
      <c r="I1755" t="s">
        <v>102</v>
      </c>
      <c r="J1755" t="s">
        <v>3538</v>
      </c>
      <c r="L1755" t="s">
        <v>597</v>
      </c>
      <c r="M1755" t="s">
        <v>6322</v>
      </c>
    </row>
    <row r="1756" spans="9:13" x14ac:dyDescent="0.25">
      <c r="I1756" t="s">
        <v>293</v>
      </c>
      <c r="J1756" t="s">
        <v>3219</v>
      </c>
      <c r="L1756" t="s">
        <v>483</v>
      </c>
      <c r="M1756" t="s">
        <v>5808</v>
      </c>
    </row>
    <row r="1757" spans="9:13" x14ac:dyDescent="0.25">
      <c r="I1757" t="s">
        <v>357</v>
      </c>
      <c r="J1757" t="s">
        <v>6881</v>
      </c>
      <c r="L1757" t="s">
        <v>5585</v>
      </c>
      <c r="M1757" t="s">
        <v>6413</v>
      </c>
    </row>
    <row r="1758" spans="9:13" x14ac:dyDescent="0.25">
      <c r="I1758" t="s">
        <v>50</v>
      </c>
      <c r="J1758" t="s">
        <v>4351</v>
      </c>
      <c r="L1758" t="s">
        <v>289</v>
      </c>
      <c r="M1758" t="s">
        <v>6230</v>
      </c>
    </row>
    <row r="1759" spans="9:13" x14ac:dyDescent="0.25">
      <c r="I1759" t="s">
        <v>328</v>
      </c>
      <c r="J1759" t="s">
        <v>2967</v>
      </c>
      <c r="L1759" t="s">
        <v>321</v>
      </c>
      <c r="M1759" t="s">
        <v>5714</v>
      </c>
    </row>
    <row r="1760" spans="9:13" x14ac:dyDescent="0.25">
      <c r="I1760" t="s">
        <v>3533</v>
      </c>
      <c r="J1760" t="s">
        <v>3534</v>
      </c>
      <c r="L1760" t="s">
        <v>422</v>
      </c>
      <c r="M1760" t="s">
        <v>5848</v>
      </c>
    </row>
    <row r="1761" spans="9:13" x14ac:dyDescent="0.25">
      <c r="I1761" t="s">
        <v>545</v>
      </c>
      <c r="J1761" t="s">
        <v>2534</v>
      </c>
      <c r="L1761" t="s">
        <v>51</v>
      </c>
      <c r="M1761" t="s">
        <v>6557</v>
      </c>
    </row>
    <row r="1762" spans="9:13" x14ac:dyDescent="0.25">
      <c r="I1762" t="s">
        <v>266</v>
      </c>
      <c r="J1762" t="s">
        <v>2869</v>
      </c>
      <c r="L1762" t="s">
        <v>53</v>
      </c>
      <c r="M1762" t="s">
        <v>5913</v>
      </c>
    </row>
    <row r="1763" spans="9:13" x14ac:dyDescent="0.25">
      <c r="I1763" t="s">
        <v>266</v>
      </c>
      <c r="J1763" t="s">
        <v>4501</v>
      </c>
      <c r="L1763" t="s">
        <v>483</v>
      </c>
      <c r="M1763" t="s">
        <v>6005</v>
      </c>
    </row>
    <row r="1764" spans="9:13" x14ac:dyDescent="0.25">
      <c r="I1764" t="s">
        <v>4185</v>
      </c>
      <c r="J1764" t="s">
        <v>4186</v>
      </c>
      <c r="L1764" t="s">
        <v>541</v>
      </c>
      <c r="M1764" t="s">
        <v>6444</v>
      </c>
    </row>
    <row r="1765" spans="9:13" x14ac:dyDescent="0.25">
      <c r="I1765" t="s">
        <v>730</v>
      </c>
      <c r="J1765" t="s">
        <v>2378</v>
      </c>
      <c r="L1765" t="s">
        <v>6356</v>
      </c>
      <c r="M1765" t="s">
        <v>6357</v>
      </c>
    </row>
    <row r="1766" spans="9:13" x14ac:dyDescent="0.25">
      <c r="I1766" t="s">
        <v>12</v>
      </c>
      <c r="J1766" t="s">
        <v>4066</v>
      </c>
      <c r="L1766" t="s">
        <v>266</v>
      </c>
      <c r="M1766" t="s">
        <v>6371</v>
      </c>
    </row>
    <row r="1767" spans="9:13" x14ac:dyDescent="0.25">
      <c r="I1767" t="s">
        <v>3188</v>
      </c>
      <c r="J1767" t="s">
        <v>3189</v>
      </c>
      <c r="L1767" t="s">
        <v>508</v>
      </c>
      <c r="M1767" t="s">
        <v>6615</v>
      </c>
    </row>
    <row r="1768" spans="9:13" x14ac:dyDescent="0.25">
      <c r="I1768" t="s">
        <v>4121</v>
      </c>
      <c r="J1768" t="s">
        <v>4122</v>
      </c>
      <c r="L1768" t="s">
        <v>5277</v>
      </c>
      <c r="M1768" t="s">
        <v>6619</v>
      </c>
    </row>
    <row r="1769" spans="9:13" x14ac:dyDescent="0.25">
      <c r="I1769" t="s">
        <v>1678</v>
      </c>
      <c r="J1769" t="s">
        <v>3390</v>
      </c>
      <c r="L1769" t="s">
        <v>816</v>
      </c>
      <c r="M1769" t="s">
        <v>5364</v>
      </c>
    </row>
    <row r="1770" spans="9:13" x14ac:dyDescent="0.25">
      <c r="I1770" t="s">
        <v>1678</v>
      </c>
      <c r="J1770" t="s">
        <v>3749</v>
      </c>
      <c r="L1770" t="s">
        <v>5606</v>
      </c>
      <c r="M1770" t="s">
        <v>5607</v>
      </c>
    </row>
    <row r="1771" spans="9:13" x14ac:dyDescent="0.25">
      <c r="I1771" t="s">
        <v>566</v>
      </c>
      <c r="J1771" t="s">
        <v>3187</v>
      </c>
      <c r="L1771" t="s">
        <v>5619</v>
      </c>
      <c r="M1771" t="s">
        <v>5620</v>
      </c>
    </row>
    <row r="1772" spans="9:13" x14ac:dyDescent="0.25">
      <c r="I1772" t="s">
        <v>266</v>
      </c>
      <c r="J1772" t="s">
        <v>1736</v>
      </c>
      <c r="L1772" t="s">
        <v>418</v>
      </c>
      <c r="M1772" t="s">
        <v>5628</v>
      </c>
    </row>
    <row r="1773" spans="9:13" x14ac:dyDescent="0.25">
      <c r="I1773" t="s">
        <v>328</v>
      </c>
      <c r="J1773" t="s">
        <v>4378</v>
      </c>
      <c r="L1773" t="s">
        <v>289</v>
      </c>
      <c r="M1773" t="s">
        <v>6544</v>
      </c>
    </row>
    <row r="1774" spans="9:13" x14ac:dyDescent="0.25">
      <c r="I1774" t="s">
        <v>602</v>
      </c>
      <c r="J1774" t="s">
        <v>4283</v>
      </c>
      <c r="L1774" t="s">
        <v>50</v>
      </c>
      <c r="M1774" t="s">
        <v>6414</v>
      </c>
    </row>
    <row r="1775" spans="9:13" x14ac:dyDescent="0.25">
      <c r="I1775" t="s">
        <v>267</v>
      </c>
      <c r="J1775" t="s">
        <v>2528</v>
      </c>
      <c r="L1775" t="s">
        <v>418</v>
      </c>
      <c r="M1775" t="s">
        <v>5232</v>
      </c>
    </row>
    <row r="1776" spans="9:13" x14ac:dyDescent="0.25">
      <c r="I1776" t="s">
        <v>267</v>
      </c>
      <c r="J1776" t="s">
        <v>4305</v>
      </c>
      <c r="L1776" t="s">
        <v>267</v>
      </c>
      <c r="M1776" t="s">
        <v>6565</v>
      </c>
    </row>
    <row r="1777" spans="9:13" x14ac:dyDescent="0.25">
      <c r="I1777" t="s">
        <v>144</v>
      </c>
      <c r="J1777" t="s">
        <v>6721</v>
      </c>
      <c r="L1777" t="s">
        <v>508</v>
      </c>
      <c r="M1777" t="s">
        <v>6098</v>
      </c>
    </row>
    <row r="1778" spans="9:13" x14ac:dyDescent="0.25">
      <c r="I1778" t="s">
        <v>730</v>
      </c>
      <c r="J1778" t="s">
        <v>3820</v>
      </c>
      <c r="L1778" t="s">
        <v>12</v>
      </c>
      <c r="M1778" t="s">
        <v>7235</v>
      </c>
    </row>
    <row r="1779" spans="9:13" x14ac:dyDescent="0.25">
      <c r="I1779" t="s">
        <v>597</v>
      </c>
      <c r="J1779" t="s">
        <v>4167</v>
      </c>
      <c r="L1779" t="s">
        <v>597</v>
      </c>
      <c r="M1779" t="s">
        <v>4835</v>
      </c>
    </row>
    <row r="1780" spans="9:13" x14ac:dyDescent="0.25">
      <c r="I1780" t="s">
        <v>1969</v>
      </c>
      <c r="J1780" t="s">
        <v>1970</v>
      </c>
      <c r="L1780" t="s">
        <v>418</v>
      </c>
      <c r="M1780" t="s">
        <v>5099</v>
      </c>
    </row>
    <row r="1781" spans="9:13" x14ac:dyDescent="0.25">
      <c r="I1781" t="s">
        <v>3802</v>
      </c>
      <c r="J1781" t="s">
        <v>3803</v>
      </c>
      <c r="L1781" t="s">
        <v>4851</v>
      </c>
      <c r="M1781" t="s">
        <v>4852</v>
      </c>
    </row>
    <row r="1782" spans="9:13" x14ac:dyDescent="0.25">
      <c r="I1782" t="s">
        <v>373</v>
      </c>
      <c r="J1782" t="s">
        <v>3693</v>
      </c>
      <c r="L1782" t="s">
        <v>508</v>
      </c>
      <c r="M1782" t="s">
        <v>6033</v>
      </c>
    </row>
    <row r="1783" spans="9:13" x14ac:dyDescent="0.25">
      <c r="I1783" t="s">
        <v>6626</v>
      </c>
      <c r="J1783" t="s">
        <v>2215</v>
      </c>
      <c r="L1783" t="s">
        <v>508</v>
      </c>
      <c r="M1783" t="s">
        <v>6194</v>
      </c>
    </row>
    <row r="1784" spans="9:13" x14ac:dyDescent="0.25">
      <c r="I1784" t="s">
        <v>0</v>
      </c>
      <c r="J1784" t="s">
        <v>2109</v>
      </c>
      <c r="L1784" t="s">
        <v>597</v>
      </c>
      <c r="M1784" t="s">
        <v>5063</v>
      </c>
    </row>
    <row r="1785" spans="9:13" x14ac:dyDescent="0.25">
      <c r="I1785" t="s">
        <v>302</v>
      </c>
      <c r="J1785" t="s">
        <v>2291</v>
      </c>
      <c r="L1785" t="s">
        <v>266</v>
      </c>
      <c r="M1785" t="s">
        <v>6260</v>
      </c>
    </row>
    <row r="1786" spans="9:13" x14ac:dyDescent="0.25">
      <c r="I1786" t="s">
        <v>1763</v>
      </c>
      <c r="J1786" t="s">
        <v>4475</v>
      </c>
      <c r="L1786" t="s">
        <v>508</v>
      </c>
      <c r="M1786" t="s">
        <v>6527</v>
      </c>
    </row>
    <row r="1787" spans="9:13" x14ac:dyDescent="0.25">
      <c r="I1787" t="s">
        <v>41</v>
      </c>
      <c r="J1787" t="s">
        <v>3325</v>
      </c>
      <c r="L1787" t="s">
        <v>4716</v>
      </c>
      <c r="M1787" t="s">
        <v>4717</v>
      </c>
    </row>
    <row r="1788" spans="9:13" x14ac:dyDescent="0.25">
      <c r="I1788" t="s">
        <v>3183</v>
      </c>
      <c r="J1788" t="s">
        <v>3618</v>
      </c>
      <c r="L1788" t="s">
        <v>4848</v>
      </c>
      <c r="M1788" t="s">
        <v>6008</v>
      </c>
    </row>
    <row r="1789" spans="9:13" x14ac:dyDescent="0.25">
      <c r="I1789" t="s">
        <v>1678</v>
      </c>
      <c r="J1789" t="s">
        <v>3388</v>
      </c>
      <c r="L1789" t="s">
        <v>483</v>
      </c>
      <c r="M1789" t="s">
        <v>6204</v>
      </c>
    </row>
    <row r="1790" spans="9:13" x14ac:dyDescent="0.25">
      <c r="I1790" t="s">
        <v>267</v>
      </c>
      <c r="J1790" t="s">
        <v>1910</v>
      </c>
      <c r="L1790" t="s">
        <v>267</v>
      </c>
      <c r="M1790" t="s">
        <v>5409</v>
      </c>
    </row>
    <row r="1791" spans="9:13" x14ac:dyDescent="0.25">
      <c r="I1791" t="s">
        <v>414</v>
      </c>
      <c r="J1791" t="s">
        <v>3787</v>
      </c>
      <c r="L1791" t="s">
        <v>597</v>
      </c>
      <c r="M1791" t="s">
        <v>6355</v>
      </c>
    </row>
    <row r="1792" spans="9:13" x14ac:dyDescent="0.25">
      <c r="I1792" t="s">
        <v>414</v>
      </c>
      <c r="J1792" t="s">
        <v>3337</v>
      </c>
      <c r="L1792" t="s">
        <v>483</v>
      </c>
      <c r="M1792" t="s">
        <v>5118</v>
      </c>
    </row>
    <row r="1793" spans="9:13" x14ac:dyDescent="0.25">
      <c r="I1793" t="s">
        <v>414</v>
      </c>
      <c r="J1793" t="s">
        <v>4264</v>
      </c>
      <c r="L1793" t="s">
        <v>508</v>
      </c>
      <c r="M1793" t="s">
        <v>5339</v>
      </c>
    </row>
    <row r="1794" spans="9:13" x14ac:dyDescent="0.25">
      <c r="I1794" t="s">
        <v>373</v>
      </c>
      <c r="J1794" t="s">
        <v>4140</v>
      </c>
      <c r="L1794" t="s">
        <v>597</v>
      </c>
      <c r="M1794" t="s">
        <v>5935</v>
      </c>
    </row>
    <row r="1795" spans="9:13" x14ac:dyDescent="0.25">
      <c r="I1795" t="s">
        <v>2759</v>
      </c>
      <c r="J1795" t="s">
        <v>2760</v>
      </c>
      <c r="L1795" t="s">
        <v>508</v>
      </c>
      <c r="M1795" t="s">
        <v>5788</v>
      </c>
    </row>
    <row r="1796" spans="9:13" x14ac:dyDescent="0.25">
      <c r="I1796" t="s">
        <v>581</v>
      </c>
      <c r="J1796" t="s">
        <v>2758</v>
      </c>
      <c r="L1796" t="s">
        <v>2307</v>
      </c>
      <c r="M1796" t="s">
        <v>6631</v>
      </c>
    </row>
    <row r="1797" spans="9:13" x14ac:dyDescent="0.25">
      <c r="I1797" t="s">
        <v>302</v>
      </c>
      <c r="J1797" t="s">
        <v>4070</v>
      </c>
      <c r="L1797" t="s">
        <v>4851</v>
      </c>
      <c r="M1797" t="s">
        <v>5424</v>
      </c>
    </row>
    <row r="1798" spans="9:13" x14ac:dyDescent="0.25">
      <c r="I1798" t="s">
        <v>98</v>
      </c>
      <c r="J1798" t="s">
        <v>3404</v>
      </c>
      <c r="L1798" t="s">
        <v>4851</v>
      </c>
      <c r="M1798" t="s">
        <v>5080</v>
      </c>
    </row>
    <row r="1799" spans="9:13" x14ac:dyDescent="0.25">
      <c r="I1799" t="s">
        <v>414</v>
      </c>
      <c r="J1799" t="s">
        <v>2181</v>
      </c>
      <c r="L1799" t="s">
        <v>483</v>
      </c>
      <c r="M1799" t="s">
        <v>6019</v>
      </c>
    </row>
    <row r="1800" spans="9:13" x14ac:dyDescent="0.25">
      <c r="I1800" t="s">
        <v>328</v>
      </c>
      <c r="J1800" t="s">
        <v>3919</v>
      </c>
      <c r="L1800" t="s">
        <v>289</v>
      </c>
      <c r="M1800" t="s">
        <v>6144</v>
      </c>
    </row>
    <row r="1801" spans="9:13" x14ac:dyDescent="0.25">
      <c r="I1801" t="s">
        <v>0</v>
      </c>
      <c r="J1801" t="s">
        <v>3013</v>
      </c>
      <c r="L1801" t="s">
        <v>5493</v>
      </c>
      <c r="M1801" t="s">
        <v>5847</v>
      </c>
    </row>
    <row r="1802" spans="9:13" x14ac:dyDescent="0.25">
      <c r="I1802" t="s">
        <v>2031</v>
      </c>
      <c r="J1802" t="s">
        <v>2032</v>
      </c>
      <c r="L1802" t="s">
        <v>5332</v>
      </c>
      <c r="M1802" t="s">
        <v>5982</v>
      </c>
    </row>
    <row r="1803" spans="9:13" x14ac:dyDescent="0.25">
      <c r="I1803" t="s">
        <v>597</v>
      </c>
      <c r="J1803" t="s">
        <v>2834</v>
      </c>
      <c r="L1803" t="s">
        <v>425</v>
      </c>
      <c r="M1803" t="s">
        <v>7045</v>
      </c>
    </row>
    <row r="1804" spans="9:13" x14ac:dyDescent="0.25">
      <c r="I1804" t="s">
        <v>373</v>
      </c>
      <c r="J1804" t="s">
        <v>2736</v>
      </c>
      <c r="L1804" t="s">
        <v>267</v>
      </c>
      <c r="M1804" t="s">
        <v>5435</v>
      </c>
    </row>
    <row r="1805" spans="9:13" x14ac:dyDescent="0.25">
      <c r="I1805" t="s">
        <v>6626</v>
      </c>
      <c r="J1805" t="s">
        <v>2878</v>
      </c>
      <c r="L1805" t="s">
        <v>508</v>
      </c>
      <c r="M1805" t="s">
        <v>5687</v>
      </c>
    </row>
    <row r="1806" spans="9:13" x14ac:dyDescent="0.25">
      <c r="I1806" t="s">
        <v>25</v>
      </c>
      <c r="J1806" t="s">
        <v>2350</v>
      </c>
      <c r="L1806" t="s">
        <v>6096</v>
      </c>
      <c r="M1806" t="s">
        <v>7227</v>
      </c>
    </row>
    <row r="1807" spans="9:13" x14ac:dyDescent="0.25">
      <c r="I1807" t="s">
        <v>25</v>
      </c>
      <c r="J1807" t="s">
        <v>1861</v>
      </c>
      <c r="L1807" t="s">
        <v>6211</v>
      </c>
      <c r="M1807" t="s">
        <v>6212</v>
      </c>
    </row>
    <row r="1808" spans="9:13" x14ac:dyDescent="0.25">
      <c r="I1808" t="s">
        <v>270</v>
      </c>
      <c r="J1808" t="s">
        <v>3253</v>
      </c>
      <c r="L1808" t="s">
        <v>474</v>
      </c>
      <c r="M1808" t="s">
        <v>6180</v>
      </c>
    </row>
    <row r="1809" spans="9:13" x14ac:dyDescent="0.25">
      <c r="I1809" t="s">
        <v>348</v>
      </c>
      <c r="J1809" t="s">
        <v>3794</v>
      </c>
      <c r="L1809" t="s">
        <v>4851</v>
      </c>
      <c r="M1809" t="s">
        <v>6139</v>
      </c>
    </row>
    <row r="1810" spans="9:13" x14ac:dyDescent="0.25">
      <c r="I1810" t="s">
        <v>52</v>
      </c>
      <c r="J1810" t="s">
        <v>3461</v>
      </c>
      <c r="L1810" t="s">
        <v>267</v>
      </c>
      <c r="M1810" t="s">
        <v>6638</v>
      </c>
    </row>
    <row r="1811" spans="9:13" x14ac:dyDescent="0.25">
      <c r="I1811" t="s">
        <v>2295</v>
      </c>
      <c r="J1811" t="s">
        <v>2296</v>
      </c>
      <c r="L1811" t="s">
        <v>600</v>
      </c>
      <c r="M1811" t="s">
        <v>6579</v>
      </c>
    </row>
    <row r="1812" spans="9:13" x14ac:dyDescent="0.25">
      <c r="I1812" t="s">
        <v>1848</v>
      </c>
      <c r="J1812" t="s">
        <v>2754</v>
      </c>
      <c r="L1812" t="s">
        <v>291</v>
      </c>
      <c r="M1812" t="s">
        <v>5406</v>
      </c>
    </row>
    <row r="1813" spans="9:13" x14ac:dyDescent="0.25">
      <c r="I1813" t="s">
        <v>326</v>
      </c>
      <c r="J1813" t="s">
        <v>1963</v>
      </c>
      <c r="L1813" t="s">
        <v>597</v>
      </c>
      <c r="M1813" t="s">
        <v>5218</v>
      </c>
    </row>
    <row r="1814" spans="9:13" x14ac:dyDescent="0.25">
      <c r="I1814" t="s">
        <v>270</v>
      </c>
      <c r="J1814" t="s">
        <v>1874</v>
      </c>
      <c r="L1814" t="s">
        <v>483</v>
      </c>
      <c r="M1814" t="s">
        <v>5685</v>
      </c>
    </row>
    <row r="1815" spans="9:13" x14ac:dyDescent="0.25">
      <c r="I1815" t="s">
        <v>425</v>
      </c>
      <c r="J1815" t="s">
        <v>2097</v>
      </c>
      <c r="L1815" t="s">
        <v>40</v>
      </c>
      <c r="M1815" t="s">
        <v>4928</v>
      </c>
    </row>
    <row r="1816" spans="9:13" x14ac:dyDescent="0.25">
      <c r="I1816" t="s">
        <v>487</v>
      </c>
      <c r="J1816" t="s">
        <v>4490</v>
      </c>
      <c r="L1816" t="s">
        <v>5589</v>
      </c>
      <c r="M1816" t="s">
        <v>5590</v>
      </c>
    </row>
    <row r="1817" spans="9:13" x14ac:dyDescent="0.25">
      <c r="I1817" t="s">
        <v>3288</v>
      </c>
      <c r="J1817" t="s">
        <v>3289</v>
      </c>
      <c r="L1817" t="s">
        <v>4848</v>
      </c>
      <c r="M1817" t="s">
        <v>4849</v>
      </c>
    </row>
    <row r="1818" spans="9:13" x14ac:dyDescent="0.25">
      <c r="I1818" t="s">
        <v>50</v>
      </c>
      <c r="J1818" t="s">
        <v>2037</v>
      </c>
      <c r="L1818" t="s">
        <v>649</v>
      </c>
      <c r="M1818" t="s">
        <v>5638</v>
      </c>
    </row>
    <row r="1819" spans="9:13" x14ac:dyDescent="0.25">
      <c r="I1819" t="s">
        <v>6626</v>
      </c>
      <c r="J1819" t="s">
        <v>1968</v>
      </c>
      <c r="L1819" t="s">
        <v>597</v>
      </c>
      <c r="M1819" t="s">
        <v>4890</v>
      </c>
    </row>
    <row r="1820" spans="9:13" x14ac:dyDescent="0.25">
      <c r="I1820" t="s">
        <v>266</v>
      </c>
      <c r="J1820" t="s">
        <v>3850</v>
      </c>
      <c r="L1820" t="s">
        <v>508</v>
      </c>
      <c r="M1820" t="s">
        <v>5122</v>
      </c>
    </row>
    <row r="1821" spans="9:13" x14ac:dyDescent="0.25">
      <c r="I1821" t="s">
        <v>1842</v>
      </c>
      <c r="J1821" t="s">
        <v>1843</v>
      </c>
      <c r="L1821" t="s">
        <v>483</v>
      </c>
      <c r="M1821" t="s">
        <v>6032</v>
      </c>
    </row>
    <row r="1822" spans="9:13" x14ac:dyDescent="0.25">
      <c r="I1822" t="s">
        <v>2082</v>
      </c>
      <c r="J1822" t="s">
        <v>3838</v>
      </c>
      <c r="L1822" t="s">
        <v>4848</v>
      </c>
      <c r="M1822" t="s">
        <v>6449</v>
      </c>
    </row>
    <row r="1823" spans="9:13" x14ac:dyDescent="0.25">
      <c r="I1823" t="s">
        <v>4518</v>
      </c>
      <c r="J1823" t="s">
        <v>4519</v>
      </c>
      <c r="L1823" t="s">
        <v>418</v>
      </c>
      <c r="M1823" t="s">
        <v>7149</v>
      </c>
    </row>
    <row r="1824" spans="9:13" x14ac:dyDescent="0.25">
      <c r="I1824" t="s">
        <v>4302</v>
      </c>
      <c r="J1824" t="s">
        <v>4303</v>
      </c>
      <c r="L1824" t="s">
        <v>5493</v>
      </c>
      <c r="M1824" t="s">
        <v>5494</v>
      </c>
    </row>
    <row r="1825" spans="9:13" x14ac:dyDescent="0.25">
      <c r="I1825" t="s">
        <v>41</v>
      </c>
      <c r="J1825" t="s">
        <v>3247</v>
      </c>
      <c r="L1825" t="s">
        <v>4716</v>
      </c>
      <c r="M1825" t="s">
        <v>5653</v>
      </c>
    </row>
    <row r="1826" spans="9:13" x14ac:dyDescent="0.25">
      <c r="I1826" t="s">
        <v>428</v>
      </c>
      <c r="J1826" t="s">
        <v>3712</v>
      </c>
      <c r="L1826" t="s">
        <v>293</v>
      </c>
      <c r="M1826" t="s">
        <v>6570</v>
      </c>
    </row>
    <row r="1827" spans="9:13" x14ac:dyDescent="0.25">
      <c r="I1827" t="s">
        <v>328</v>
      </c>
      <c r="J1827" t="s">
        <v>3041</v>
      </c>
      <c r="L1827" t="s">
        <v>483</v>
      </c>
      <c r="M1827" t="s">
        <v>4967</v>
      </c>
    </row>
    <row r="1828" spans="9:13" x14ac:dyDescent="0.25">
      <c r="I1828" t="s">
        <v>363</v>
      </c>
      <c r="J1828" t="s">
        <v>4027</v>
      </c>
      <c r="L1828" t="s">
        <v>5275</v>
      </c>
      <c r="M1828" t="s">
        <v>6536</v>
      </c>
    </row>
    <row r="1829" spans="9:13" x14ac:dyDescent="0.25">
      <c r="I1829" t="s">
        <v>321</v>
      </c>
      <c r="J1829" t="s">
        <v>2514</v>
      </c>
      <c r="L1829" t="s">
        <v>418</v>
      </c>
      <c r="M1829" t="s">
        <v>7033</v>
      </c>
    </row>
    <row r="1830" spans="9:13" x14ac:dyDescent="0.25">
      <c r="I1830" t="s">
        <v>6626</v>
      </c>
      <c r="J1830" t="s">
        <v>3959</v>
      </c>
      <c r="L1830" t="s">
        <v>649</v>
      </c>
      <c r="M1830" t="s">
        <v>5450</v>
      </c>
    </row>
    <row r="1831" spans="9:13" x14ac:dyDescent="0.25">
      <c r="I1831" t="s">
        <v>414</v>
      </c>
      <c r="J1831" t="s">
        <v>3439</v>
      </c>
      <c r="L1831" t="s">
        <v>418</v>
      </c>
      <c r="M1831" t="s">
        <v>5252</v>
      </c>
    </row>
    <row r="1832" spans="9:13" x14ac:dyDescent="0.25">
      <c r="I1832" t="s">
        <v>414</v>
      </c>
      <c r="J1832" t="s">
        <v>2652</v>
      </c>
      <c r="L1832" t="s">
        <v>418</v>
      </c>
      <c r="M1832" t="s">
        <v>5479</v>
      </c>
    </row>
    <row r="1833" spans="9:13" x14ac:dyDescent="0.25">
      <c r="I1833" t="s">
        <v>102</v>
      </c>
      <c r="J1833" t="s">
        <v>3579</v>
      </c>
      <c r="L1833" t="s">
        <v>483</v>
      </c>
      <c r="M1833" t="s">
        <v>6558</v>
      </c>
    </row>
    <row r="1834" spans="9:13" x14ac:dyDescent="0.25">
      <c r="I1834" t="s">
        <v>6626</v>
      </c>
      <c r="J1834" t="s">
        <v>1720</v>
      </c>
      <c r="L1834" t="s">
        <v>49</v>
      </c>
      <c r="M1834" t="s">
        <v>4804</v>
      </c>
    </row>
    <row r="1835" spans="9:13" x14ac:dyDescent="0.25">
      <c r="I1835" t="s">
        <v>267</v>
      </c>
      <c r="J1835" t="s">
        <v>3531</v>
      </c>
      <c r="L1835" t="s">
        <v>291</v>
      </c>
      <c r="M1835" t="s">
        <v>5389</v>
      </c>
    </row>
    <row r="1836" spans="9:13" x14ac:dyDescent="0.25">
      <c r="I1836" t="s">
        <v>438</v>
      </c>
      <c r="J1836" t="s">
        <v>2988</v>
      </c>
      <c r="L1836" t="s">
        <v>50</v>
      </c>
      <c r="M1836" t="s">
        <v>4925</v>
      </c>
    </row>
    <row r="1837" spans="9:13" x14ac:dyDescent="0.25">
      <c r="I1837" t="s">
        <v>2926</v>
      </c>
      <c r="J1837" t="s">
        <v>2927</v>
      </c>
      <c r="L1837" t="s">
        <v>266</v>
      </c>
      <c r="M1837" t="s">
        <v>6645</v>
      </c>
    </row>
    <row r="1838" spans="9:13" x14ac:dyDescent="0.25">
      <c r="I1838" t="s">
        <v>418</v>
      </c>
      <c r="J1838" t="s">
        <v>4154</v>
      </c>
      <c r="L1838" t="s">
        <v>293</v>
      </c>
      <c r="M1838" t="s">
        <v>6337</v>
      </c>
    </row>
    <row r="1839" spans="9:13" x14ac:dyDescent="0.25">
      <c r="I1839" t="s">
        <v>2506</v>
      </c>
      <c r="J1839" t="s">
        <v>2507</v>
      </c>
      <c r="L1839" t="s">
        <v>418</v>
      </c>
      <c r="M1839" t="s">
        <v>5718</v>
      </c>
    </row>
    <row r="1840" spans="9:13" x14ac:dyDescent="0.25">
      <c r="I1840" t="s">
        <v>326</v>
      </c>
      <c r="J1840" t="s">
        <v>3917</v>
      </c>
      <c r="L1840" t="s">
        <v>418</v>
      </c>
      <c r="M1840" t="s">
        <v>7118</v>
      </c>
    </row>
    <row r="1841" spans="9:13" x14ac:dyDescent="0.25">
      <c r="I1841" t="s">
        <v>414</v>
      </c>
      <c r="J1841" t="s">
        <v>3132</v>
      </c>
      <c r="L1841" t="s">
        <v>418</v>
      </c>
      <c r="M1841" t="s">
        <v>6518</v>
      </c>
    </row>
    <row r="1842" spans="9:13" x14ac:dyDescent="0.25">
      <c r="I1842" t="s">
        <v>581</v>
      </c>
      <c r="J1842" t="s">
        <v>3612</v>
      </c>
      <c r="L1842" t="s">
        <v>418</v>
      </c>
      <c r="M1842" t="s">
        <v>7169</v>
      </c>
    </row>
    <row r="1843" spans="9:13" x14ac:dyDescent="0.25">
      <c r="I1843" t="s">
        <v>102</v>
      </c>
      <c r="J1843" t="s">
        <v>4449</v>
      </c>
      <c r="L1843" t="s">
        <v>418</v>
      </c>
      <c r="M1843" t="s">
        <v>7095</v>
      </c>
    </row>
    <row r="1844" spans="9:13" x14ac:dyDescent="0.25">
      <c r="I1844" t="s">
        <v>3011</v>
      </c>
      <c r="J1844" t="s">
        <v>3012</v>
      </c>
      <c r="L1844" t="s">
        <v>267</v>
      </c>
      <c r="M1844" t="s">
        <v>6643</v>
      </c>
    </row>
    <row r="1845" spans="9:13" x14ac:dyDescent="0.25">
      <c r="I1845" t="s">
        <v>328</v>
      </c>
      <c r="J1845" t="s">
        <v>2890</v>
      </c>
      <c r="L1845" t="s">
        <v>418</v>
      </c>
      <c r="M1845" t="s">
        <v>6013</v>
      </c>
    </row>
    <row r="1846" spans="9:13" x14ac:dyDescent="0.25">
      <c r="I1846" t="s">
        <v>299</v>
      </c>
      <c r="J1846" t="s">
        <v>2957</v>
      </c>
      <c r="L1846" t="s">
        <v>418</v>
      </c>
      <c r="M1846" t="s">
        <v>7158</v>
      </c>
    </row>
    <row r="1847" spans="9:13" x14ac:dyDescent="0.25">
      <c r="I1847" t="s">
        <v>3419</v>
      </c>
      <c r="J1847" t="s">
        <v>3420</v>
      </c>
      <c r="L1847" t="s">
        <v>49</v>
      </c>
      <c r="M1847" t="s">
        <v>4663</v>
      </c>
    </row>
    <row r="1848" spans="9:13" x14ac:dyDescent="0.25">
      <c r="I1848" t="s">
        <v>328</v>
      </c>
      <c r="J1848" t="s">
        <v>1759</v>
      </c>
      <c r="L1848" t="s">
        <v>291</v>
      </c>
      <c r="M1848" t="s">
        <v>6314</v>
      </c>
    </row>
    <row r="1849" spans="9:13" x14ac:dyDescent="0.25">
      <c r="I1849" t="s">
        <v>267</v>
      </c>
      <c r="J1849" t="s">
        <v>3882</v>
      </c>
      <c r="L1849" t="s">
        <v>50</v>
      </c>
      <c r="M1849" t="s">
        <v>6526</v>
      </c>
    </row>
    <row r="1850" spans="9:13" x14ac:dyDescent="0.25">
      <c r="I1850" t="s">
        <v>333</v>
      </c>
      <c r="J1850" t="s">
        <v>3551</v>
      </c>
      <c r="L1850" t="s">
        <v>708</v>
      </c>
      <c r="M1850" t="s">
        <v>6416</v>
      </c>
    </row>
    <row r="1851" spans="9:13" x14ac:dyDescent="0.25">
      <c r="I1851" t="s">
        <v>1885</v>
      </c>
      <c r="J1851" t="s">
        <v>1886</v>
      </c>
      <c r="L1851" t="s">
        <v>41</v>
      </c>
      <c r="M1851" t="s">
        <v>6487</v>
      </c>
    </row>
    <row r="1852" spans="9:13" x14ac:dyDescent="0.25">
      <c r="I1852" t="s">
        <v>40</v>
      </c>
      <c r="J1852" t="s">
        <v>3776</v>
      </c>
      <c r="L1852" t="s">
        <v>4851</v>
      </c>
      <c r="M1852" t="s">
        <v>5464</v>
      </c>
    </row>
    <row r="1853" spans="9:13" x14ac:dyDescent="0.25">
      <c r="I1853" t="s">
        <v>374</v>
      </c>
      <c r="J1853" t="s">
        <v>3894</v>
      </c>
      <c r="L1853" t="s">
        <v>266</v>
      </c>
      <c r="M1853" t="s">
        <v>6162</v>
      </c>
    </row>
    <row r="1854" spans="9:13" x14ac:dyDescent="0.25">
      <c r="I1854" t="s">
        <v>2355</v>
      </c>
      <c r="J1854" t="s">
        <v>2356</v>
      </c>
      <c r="L1854" t="s">
        <v>41</v>
      </c>
      <c r="M1854" t="s">
        <v>4567</v>
      </c>
    </row>
    <row r="1855" spans="9:13" x14ac:dyDescent="0.25">
      <c r="I1855" t="s">
        <v>266</v>
      </c>
      <c r="J1855" t="s">
        <v>4429</v>
      </c>
      <c r="L1855" t="s">
        <v>418</v>
      </c>
      <c r="M1855" t="s">
        <v>5994</v>
      </c>
    </row>
    <row r="1856" spans="9:13" x14ac:dyDescent="0.25">
      <c r="I1856" t="s">
        <v>326</v>
      </c>
      <c r="J1856" t="s">
        <v>4477</v>
      </c>
      <c r="L1856" t="s">
        <v>26</v>
      </c>
      <c r="M1856" t="s">
        <v>4799</v>
      </c>
    </row>
    <row r="1857" spans="9:13" x14ac:dyDescent="0.25">
      <c r="I1857" t="s">
        <v>2475</v>
      </c>
      <c r="J1857" t="s">
        <v>2476</v>
      </c>
      <c r="L1857" t="s">
        <v>418</v>
      </c>
      <c r="M1857" t="s">
        <v>5729</v>
      </c>
    </row>
    <row r="1858" spans="9:13" x14ac:dyDescent="0.25">
      <c r="I1858" t="s">
        <v>41</v>
      </c>
      <c r="J1858" t="s">
        <v>3708</v>
      </c>
      <c r="L1858" t="s">
        <v>418</v>
      </c>
      <c r="M1858" t="s">
        <v>7054</v>
      </c>
    </row>
    <row r="1859" spans="9:13" x14ac:dyDescent="0.25">
      <c r="I1859" t="s">
        <v>328</v>
      </c>
      <c r="J1859" t="s">
        <v>1920</v>
      </c>
      <c r="L1859" t="s">
        <v>6122</v>
      </c>
      <c r="M1859" t="s">
        <v>6123</v>
      </c>
    </row>
    <row r="1860" spans="9:13" x14ac:dyDescent="0.25">
      <c r="I1860" t="s">
        <v>3143</v>
      </c>
      <c r="J1860" t="s">
        <v>3144</v>
      </c>
      <c r="L1860" t="s">
        <v>40</v>
      </c>
      <c r="M1860" t="s">
        <v>5639</v>
      </c>
    </row>
    <row r="1861" spans="9:13" x14ac:dyDescent="0.25">
      <c r="I1861" t="s">
        <v>4521</v>
      </c>
      <c r="J1861" t="s">
        <v>6714</v>
      </c>
      <c r="L1861" t="s">
        <v>4570</v>
      </c>
      <c r="M1861" t="s">
        <v>4571</v>
      </c>
    </row>
    <row r="1862" spans="9:13" x14ac:dyDescent="0.25">
      <c r="I1862" t="s">
        <v>97</v>
      </c>
      <c r="J1862" t="s">
        <v>3352</v>
      </c>
      <c r="L1862" t="s">
        <v>41</v>
      </c>
      <c r="M1862" t="s">
        <v>4590</v>
      </c>
    </row>
    <row r="1863" spans="9:13" x14ac:dyDescent="0.25">
      <c r="I1863" t="s">
        <v>1678</v>
      </c>
      <c r="J1863" t="s">
        <v>3854</v>
      </c>
      <c r="L1863" t="s">
        <v>50</v>
      </c>
      <c r="M1863" t="s">
        <v>5390</v>
      </c>
    </row>
    <row r="1864" spans="9:13" x14ac:dyDescent="0.25">
      <c r="I1864" t="s">
        <v>414</v>
      </c>
      <c r="J1864" t="s">
        <v>3704</v>
      </c>
      <c r="L1864" t="s">
        <v>649</v>
      </c>
      <c r="M1864" t="s">
        <v>5086</v>
      </c>
    </row>
    <row r="1865" spans="9:13" x14ac:dyDescent="0.25">
      <c r="I1865" t="s">
        <v>267</v>
      </c>
      <c r="J1865" t="s">
        <v>2464</v>
      </c>
      <c r="L1865" t="s">
        <v>267</v>
      </c>
      <c r="M1865" t="s">
        <v>5002</v>
      </c>
    </row>
    <row r="1866" spans="9:13" x14ac:dyDescent="0.25">
      <c r="I1866" t="s">
        <v>2666</v>
      </c>
      <c r="J1866" t="s">
        <v>2667</v>
      </c>
      <c r="L1866" t="s">
        <v>597</v>
      </c>
      <c r="M1866" t="s">
        <v>6618</v>
      </c>
    </row>
    <row r="1867" spans="9:13" x14ac:dyDescent="0.25">
      <c r="I1867" t="s">
        <v>144</v>
      </c>
      <c r="J1867" t="s">
        <v>6728</v>
      </c>
      <c r="L1867" t="s">
        <v>267</v>
      </c>
      <c r="M1867" t="s">
        <v>6057</v>
      </c>
    </row>
    <row r="1868" spans="9:13" x14ac:dyDescent="0.25">
      <c r="I1868" t="s">
        <v>438</v>
      </c>
      <c r="J1868" t="s">
        <v>2315</v>
      </c>
      <c r="L1868" t="s">
        <v>420</v>
      </c>
      <c r="M1868" t="s">
        <v>5366</v>
      </c>
    </row>
    <row r="1869" spans="9:13" x14ac:dyDescent="0.25">
      <c r="I1869" t="s">
        <v>418</v>
      </c>
      <c r="J1869" t="s">
        <v>1913</v>
      </c>
      <c r="L1869" t="s">
        <v>41</v>
      </c>
      <c r="M1869" t="s">
        <v>4825</v>
      </c>
    </row>
    <row r="1870" spans="9:13" x14ac:dyDescent="0.25">
      <c r="I1870" t="s">
        <v>328</v>
      </c>
      <c r="J1870" t="s">
        <v>1897</v>
      </c>
      <c r="L1870" t="s">
        <v>299</v>
      </c>
      <c r="M1870" t="s">
        <v>4818</v>
      </c>
    </row>
    <row r="1871" spans="9:13" x14ac:dyDescent="0.25">
      <c r="I1871" t="s">
        <v>12</v>
      </c>
      <c r="J1871" t="s">
        <v>2479</v>
      </c>
      <c r="L1871" t="s">
        <v>483</v>
      </c>
      <c r="M1871" t="s">
        <v>5946</v>
      </c>
    </row>
    <row r="1872" spans="9:13" x14ac:dyDescent="0.25">
      <c r="I1872" t="s">
        <v>267</v>
      </c>
      <c r="J1872" t="s">
        <v>4072</v>
      </c>
      <c r="L1872" t="s">
        <v>483</v>
      </c>
      <c r="M1872" t="s">
        <v>6242</v>
      </c>
    </row>
    <row r="1873" spans="9:13" x14ac:dyDescent="0.25">
      <c r="I1873" t="s">
        <v>266</v>
      </c>
      <c r="J1873" t="s">
        <v>3017</v>
      </c>
      <c r="L1873" t="s">
        <v>4851</v>
      </c>
      <c r="M1873" t="s">
        <v>5561</v>
      </c>
    </row>
    <row r="1874" spans="9:13" x14ac:dyDescent="0.25">
      <c r="I1874" t="s">
        <v>6733</v>
      </c>
      <c r="J1874" t="s">
        <v>3833</v>
      </c>
      <c r="L1874" t="s">
        <v>267</v>
      </c>
      <c r="M1874" t="s">
        <v>6307</v>
      </c>
    </row>
    <row r="1875" spans="9:13" x14ac:dyDescent="0.25">
      <c r="I1875" t="s">
        <v>4383</v>
      </c>
      <c r="J1875" t="s">
        <v>6994</v>
      </c>
      <c r="L1875" t="s">
        <v>41</v>
      </c>
      <c r="M1875" t="s">
        <v>4547</v>
      </c>
    </row>
    <row r="1876" spans="9:13" x14ac:dyDescent="0.25">
      <c r="I1876" t="s">
        <v>326</v>
      </c>
      <c r="J1876" t="s">
        <v>1716</v>
      </c>
      <c r="L1876" t="s">
        <v>299</v>
      </c>
      <c r="M1876" t="s">
        <v>5078</v>
      </c>
    </row>
    <row r="1877" spans="9:13" x14ac:dyDescent="0.25">
      <c r="I1877" t="s">
        <v>266</v>
      </c>
      <c r="J1877" t="s">
        <v>2509</v>
      </c>
      <c r="L1877" t="s">
        <v>299</v>
      </c>
      <c r="M1877" t="s">
        <v>6406</v>
      </c>
    </row>
    <row r="1878" spans="9:13" x14ac:dyDescent="0.25">
      <c r="I1878" t="s">
        <v>414</v>
      </c>
      <c r="J1878" t="s">
        <v>2637</v>
      </c>
      <c r="L1878" t="s">
        <v>26</v>
      </c>
      <c r="M1878" t="s">
        <v>4635</v>
      </c>
    </row>
    <row r="1879" spans="9:13" x14ac:dyDescent="0.25">
      <c r="I1879" t="s">
        <v>1993</v>
      </c>
      <c r="J1879" t="s">
        <v>2290</v>
      </c>
      <c r="L1879" t="s">
        <v>41</v>
      </c>
      <c r="M1879" t="s">
        <v>4610</v>
      </c>
    </row>
    <row r="1880" spans="9:13" x14ac:dyDescent="0.25">
      <c r="I1880" t="s">
        <v>97</v>
      </c>
      <c r="J1880" t="s">
        <v>2275</v>
      </c>
      <c r="L1880" t="s">
        <v>26</v>
      </c>
      <c r="M1880" t="s">
        <v>6623</v>
      </c>
    </row>
    <row r="1881" spans="9:13" x14ac:dyDescent="0.25">
      <c r="I1881" t="s">
        <v>418</v>
      </c>
      <c r="J1881" t="s">
        <v>4148</v>
      </c>
      <c r="L1881" t="s">
        <v>26</v>
      </c>
      <c r="M1881" t="s">
        <v>5108</v>
      </c>
    </row>
    <row r="1882" spans="9:13" x14ac:dyDescent="0.25">
      <c r="I1882" t="s">
        <v>97</v>
      </c>
      <c r="J1882" t="s">
        <v>4044</v>
      </c>
      <c r="L1882" t="s">
        <v>299</v>
      </c>
      <c r="M1882" t="s">
        <v>5675</v>
      </c>
    </row>
    <row r="1883" spans="9:13" x14ac:dyDescent="0.25">
      <c r="I1883" t="s">
        <v>1678</v>
      </c>
      <c r="J1883" t="s">
        <v>4230</v>
      </c>
      <c r="L1883" t="s">
        <v>597</v>
      </c>
      <c r="M1883" t="s">
        <v>5165</v>
      </c>
    </row>
    <row r="1884" spans="9:13" x14ac:dyDescent="0.25">
      <c r="I1884" t="s">
        <v>302</v>
      </c>
      <c r="J1884" t="s">
        <v>2900</v>
      </c>
      <c r="L1884" t="s">
        <v>267</v>
      </c>
      <c r="M1884" t="s">
        <v>4712</v>
      </c>
    </row>
    <row r="1885" spans="9:13" x14ac:dyDescent="0.25">
      <c r="I1885" t="s">
        <v>3034</v>
      </c>
      <c r="J1885" t="s">
        <v>3035</v>
      </c>
      <c r="L1885" t="s">
        <v>267</v>
      </c>
      <c r="M1885" t="s">
        <v>4901</v>
      </c>
    </row>
    <row r="1886" spans="9:13" x14ac:dyDescent="0.25">
      <c r="I1886" t="s">
        <v>41</v>
      </c>
      <c r="J1886" t="s">
        <v>4041</v>
      </c>
      <c r="L1886" t="s">
        <v>418</v>
      </c>
      <c r="M1886" t="s">
        <v>5554</v>
      </c>
    </row>
    <row r="1887" spans="9:13" x14ac:dyDescent="0.25">
      <c r="I1887" t="s">
        <v>428</v>
      </c>
      <c r="J1887" t="s">
        <v>3241</v>
      </c>
      <c r="L1887" t="s">
        <v>418</v>
      </c>
      <c r="M1887" t="s">
        <v>7092</v>
      </c>
    </row>
    <row r="1888" spans="9:13" x14ac:dyDescent="0.25">
      <c r="I1888" t="s">
        <v>266</v>
      </c>
      <c r="J1888" t="s">
        <v>3329</v>
      </c>
      <c r="L1888" t="s">
        <v>708</v>
      </c>
      <c r="M1888" t="s">
        <v>7013</v>
      </c>
    </row>
    <row r="1889" spans="9:13" x14ac:dyDescent="0.25">
      <c r="I1889" t="s">
        <v>425</v>
      </c>
      <c r="J1889" t="s">
        <v>6981</v>
      </c>
      <c r="L1889" t="s">
        <v>418</v>
      </c>
      <c r="M1889" t="s">
        <v>6131</v>
      </c>
    </row>
    <row r="1890" spans="9:13" x14ac:dyDescent="0.25">
      <c r="I1890" t="s">
        <v>328</v>
      </c>
      <c r="J1890" t="s">
        <v>2067</v>
      </c>
      <c r="L1890" t="s">
        <v>597</v>
      </c>
      <c r="M1890" t="s">
        <v>5334</v>
      </c>
    </row>
    <row r="1891" spans="9:13" x14ac:dyDescent="0.25">
      <c r="I1891" t="s">
        <v>597</v>
      </c>
      <c r="J1891" t="s">
        <v>3884</v>
      </c>
      <c r="L1891" t="s">
        <v>597</v>
      </c>
      <c r="M1891" t="s">
        <v>6248</v>
      </c>
    </row>
    <row r="1892" spans="9:13" x14ac:dyDescent="0.25">
      <c r="I1892" t="s">
        <v>377</v>
      </c>
      <c r="J1892" t="s">
        <v>3377</v>
      </c>
      <c r="L1892" t="s">
        <v>418</v>
      </c>
      <c r="M1892" t="s">
        <v>4814</v>
      </c>
    </row>
    <row r="1893" spans="9:13" x14ac:dyDescent="0.25">
      <c r="I1893" t="s">
        <v>414</v>
      </c>
      <c r="J1893" t="s">
        <v>3482</v>
      </c>
      <c r="L1893" t="s">
        <v>267</v>
      </c>
      <c r="M1893" t="s">
        <v>4709</v>
      </c>
    </row>
    <row r="1894" spans="9:13" x14ac:dyDescent="0.25">
      <c r="I1894" t="s">
        <v>1678</v>
      </c>
      <c r="J1894" t="s">
        <v>6676</v>
      </c>
      <c r="L1894" t="s">
        <v>708</v>
      </c>
      <c r="M1894" t="s">
        <v>7233</v>
      </c>
    </row>
    <row r="1895" spans="9:13" x14ac:dyDescent="0.25">
      <c r="I1895" t="s">
        <v>414</v>
      </c>
      <c r="J1895" t="s">
        <v>3296</v>
      </c>
      <c r="L1895" t="s">
        <v>708</v>
      </c>
      <c r="M1895" t="s">
        <v>7253</v>
      </c>
    </row>
    <row r="1896" spans="9:13" x14ac:dyDescent="0.25">
      <c r="I1896" t="s">
        <v>98</v>
      </c>
      <c r="J1896" t="s">
        <v>2641</v>
      </c>
      <c r="L1896" t="s">
        <v>418</v>
      </c>
      <c r="M1896" t="s">
        <v>7200</v>
      </c>
    </row>
    <row r="1897" spans="9:13" x14ac:dyDescent="0.25">
      <c r="I1897" t="s">
        <v>2095</v>
      </c>
      <c r="J1897" t="s">
        <v>2763</v>
      </c>
      <c r="L1897" t="s">
        <v>41</v>
      </c>
      <c r="M1897" t="s">
        <v>6359</v>
      </c>
    </row>
    <row r="1898" spans="9:13" x14ac:dyDescent="0.25">
      <c r="I1898" t="s">
        <v>1678</v>
      </c>
      <c r="J1898" t="s">
        <v>2592</v>
      </c>
      <c r="L1898" t="s">
        <v>373</v>
      </c>
      <c r="M1898" t="s">
        <v>6451</v>
      </c>
    </row>
    <row r="1899" spans="9:13" x14ac:dyDescent="0.25">
      <c r="I1899" t="s">
        <v>328</v>
      </c>
      <c r="J1899" t="s">
        <v>2503</v>
      </c>
      <c r="L1899" t="s">
        <v>414</v>
      </c>
      <c r="M1899" t="s">
        <v>5160</v>
      </c>
    </row>
    <row r="1900" spans="9:13" x14ac:dyDescent="0.25">
      <c r="I1900" t="s">
        <v>2803</v>
      </c>
      <c r="J1900" t="s">
        <v>6884</v>
      </c>
      <c r="L1900" t="s">
        <v>6408</v>
      </c>
      <c r="M1900" t="s">
        <v>6409</v>
      </c>
    </row>
    <row r="1901" spans="9:13" x14ac:dyDescent="0.25">
      <c r="I1901" t="s">
        <v>418</v>
      </c>
      <c r="J1901" t="s">
        <v>3664</v>
      </c>
      <c r="L1901" t="s">
        <v>5275</v>
      </c>
      <c r="M1901" t="s">
        <v>5669</v>
      </c>
    </row>
    <row r="1902" spans="9:13" x14ac:dyDescent="0.25">
      <c r="I1902" t="s">
        <v>102</v>
      </c>
      <c r="J1902" t="s">
        <v>2480</v>
      </c>
      <c r="L1902" t="s">
        <v>483</v>
      </c>
      <c r="M1902" t="s">
        <v>4860</v>
      </c>
    </row>
    <row r="1903" spans="9:13" x14ac:dyDescent="0.25">
      <c r="I1903" t="s">
        <v>144</v>
      </c>
      <c r="J1903" t="s">
        <v>3870</v>
      </c>
      <c r="L1903" t="s">
        <v>597</v>
      </c>
      <c r="M1903" t="s">
        <v>4602</v>
      </c>
    </row>
    <row r="1904" spans="9:13" x14ac:dyDescent="0.25">
      <c r="I1904" t="s">
        <v>1678</v>
      </c>
      <c r="J1904" t="s">
        <v>4179</v>
      </c>
      <c r="L1904" t="s">
        <v>508</v>
      </c>
      <c r="M1904" t="s">
        <v>6328</v>
      </c>
    </row>
    <row r="1905" spans="9:13" x14ac:dyDescent="0.25">
      <c r="I1905" t="s">
        <v>414</v>
      </c>
      <c r="J1905" t="s">
        <v>4420</v>
      </c>
      <c r="L1905" t="s">
        <v>41</v>
      </c>
      <c r="M1905" t="s">
        <v>5179</v>
      </c>
    </row>
    <row r="1906" spans="9:13" x14ac:dyDescent="0.25">
      <c r="I1906" t="s">
        <v>793</v>
      </c>
      <c r="J1906" t="s">
        <v>2309</v>
      </c>
      <c r="L1906" t="s">
        <v>41</v>
      </c>
      <c r="M1906" t="s">
        <v>4736</v>
      </c>
    </row>
    <row r="1907" spans="9:13" x14ac:dyDescent="0.25">
      <c r="I1907" t="s">
        <v>2078</v>
      </c>
      <c r="J1907" t="s">
        <v>2458</v>
      </c>
      <c r="L1907" t="s">
        <v>597</v>
      </c>
      <c r="M1907" t="s">
        <v>5818</v>
      </c>
    </row>
    <row r="1908" spans="9:13" x14ac:dyDescent="0.25">
      <c r="I1908" t="s">
        <v>4464</v>
      </c>
      <c r="J1908" t="s">
        <v>4465</v>
      </c>
      <c r="L1908" t="s">
        <v>267</v>
      </c>
      <c r="M1908" t="s">
        <v>5205</v>
      </c>
    </row>
    <row r="1909" spans="9:13" x14ac:dyDescent="0.25">
      <c r="I1909" t="s">
        <v>414</v>
      </c>
      <c r="J1909" t="s">
        <v>3324</v>
      </c>
      <c r="L1909" t="s">
        <v>26</v>
      </c>
      <c r="M1909" t="s">
        <v>5859</v>
      </c>
    </row>
    <row r="1910" spans="9:13" x14ac:dyDescent="0.25">
      <c r="I1910" t="s">
        <v>2841</v>
      </c>
      <c r="J1910" t="s">
        <v>2842</v>
      </c>
      <c r="L1910" t="s">
        <v>267</v>
      </c>
      <c r="M1910" t="s">
        <v>6335</v>
      </c>
    </row>
    <row r="1911" spans="9:13" x14ac:dyDescent="0.25">
      <c r="I1911" t="s">
        <v>270</v>
      </c>
      <c r="J1911" t="s">
        <v>2959</v>
      </c>
      <c r="L1911" t="s">
        <v>483</v>
      </c>
      <c r="M1911" t="s">
        <v>6195</v>
      </c>
    </row>
    <row r="1912" spans="9:13" x14ac:dyDescent="0.25">
      <c r="I1912" t="s">
        <v>6843</v>
      </c>
      <c r="J1912" t="s">
        <v>2173</v>
      </c>
      <c r="L1912" t="s">
        <v>5275</v>
      </c>
      <c r="M1912" t="s">
        <v>5497</v>
      </c>
    </row>
    <row r="1913" spans="9:13" x14ac:dyDescent="0.25">
      <c r="I1913" t="s">
        <v>1678</v>
      </c>
      <c r="J1913" t="s">
        <v>3620</v>
      </c>
      <c r="L1913" t="s">
        <v>600</v>
      </c>
      <c r="M1913" t="s">
        <v>5966</v>
      </c>
    </row>
    <row r="1914" spans="9:13" x14ac:dyDescent="0.25">
      <c r="I1914" t="s">
        <v>2200</v>
      </c>
      <c r="J1914" t="s">
        <v>3953</v>
      </c>
      <c r="L1914" t="s">
        <v>597</v>
      </c>
      <c r="M1914" t="s">
        <v>4843</v>
      </c>
    </row>
    <row r="1915" spans="9:13" x14ac:dyDescent="0.25">
      <c r="I1915" t="s">
        <v>3499</v>
      </c>
      <c r="J1915" t="s">
        <v>3500</v>
      </c>
      <c r="L1915" t="s">
        <v>41</v>
      </c>
      <c r="M1915" t="s">
        <v>5803</v>
      </c>
    </row>
    <row r="1916" spans="9:13" x14ac:dyDescent="0.25">
      <c r="I1916" t="s">
        <v>4261</v>
      </c>
      <c r="J1916" t="s">
        <v>4262</v>
      </c>
      <c r="L1916" t="s">
        <v>649</v>
      </c>
      <c r="M1916" t="s">
        <v>6363</v>
      </c>
    </row>
    <row r="1917" spans="9:13" x14ac:dyDescent="0.25">
      <c r="I1917" t="s">
        <v>597</v>
      </c>
      <c r="J1917" t="s">
        <v>3621</v>
      </c>
      <c r="L1917" t="s">
        <v>649</v>
      </c>
      <c r="M1917" t="s">
        <v>5763</v>
      </c>
    </row>
    <row r="1918" spans="9:13" x14ac:dyDescent="0.25">
      <c r="I1918" t="s">
        <v>2095</v>
      </c>
      <c r="J1918" t="s">
        <v>2096</v>
      </c>
      <c r="L1918" t="s">
        <v>267</v>
      </c>
      <c r="M1918" t="s">
        <v>5999</v>
      </c>
    </row>
    <row r="1919" spans="9:13" x14ac:dyDescent="0.25">
      <c r="I1919" t="s">
        <v>2200</v>
      </c>
      <c r="J1919" t="s">
        <v>4492</v>
      </c>
      <c r="L1919" t="s">
        <v>422</v>
      </c>
      <c r="M1919" t="s">
        <v>5019</v>
      </c>
    </row>
    <row r="1920" spans="9:13" x14ac:dyDescent="0.25">
      <c r="I1920" t="s">
        <v>266</v>
      </c>
      <c r="J1920" t="s">
        <v>2353</v>
      </c>
      <c r="L1920" t="s">
        <v>508</v>
      </c>
      <c r="M1920" t="s">
        <v>4706</v>
      </c>
    </row>
    <row r="1921" spans="9:13" x14ac:dyDescent="0.25">
      <c r="I1921" t="s">
        <v>425</v>
      </c>
      <c r="J1921" t="s">
        <v>7004</v>
      </c>
      <c r="L1921" t="s">
        <v>26</v>
      </c>
      <c r="M1921" t="s">
        <v>6598</v>
      </c>
    </row>
    <row r="1922" spans="9:13" x14ac:dyDescent="0.25">
      <c r="I1922" t="s">
        <v>4165</v>
      </c>
      <c r="J1922" t="s">
        <v>4166</v>
      </c>
      <c r="L1922" t="s">
        <v>600</v>
      </c>
      <c r="M1922" t="s">
        <v>4970</v>
      </c>
    </row>
    <row r="1923" spans="9:13" x14ac:dyDescent="0.25">
      <c r="I1923" t="s">
        <v>414</v>
      </c>
      <c r="J1923" t="s">
        <v>2001</v>
      </c>
      <c r="L1923" t="s">
        <v>267</v>
      </c>
      <c r="M1923" t="s">
        <v>5027</v>
      </c>
    </row>
    <row r="1924" spans="9:13" x14ac:dyDescent="0.25">
      <c r="I1924" t="s">
        <v>326</v>
      </c>
      <c r="J1924" t="s">
        <v>2472</v>
      </c>
      <c r="L1924" t="s">
        <v>5444</v>
      </c>
      <c r="M1924" t="s">
        <v>5789</v>
      </c>
    </row>
    <row r="1925" spans="9:13" x14ac:dyDescent="0.25">
      <c r="I1925" t="s">
        <v>2200</v>
      </c>
      <c r="J1925" t="s">
        <v>2444</v>
      </c>
      <c r="L1925" t="s">
        <v>40</v>
      </c>
      <c r="M1925" t="s">
        <v>5555</v>
      </c>
    </row>
    <row r="1926" spans="9:13" x14ac:dyDescent="0.25">
      <c r="I1926" t="s">
        <v>321</v>
      </c>
      <c r="J1926" t="s">
        <v>3389</v>
      </c>
      <c r="L1926" t="s">
        <v>506</v>
      </c>
      <c r="M1926" t="s">
        <v>6228</v>
      </c>
    </row>
    <row r="1927" spans="9:13" x14ac:dyDescent="0.25">
      <c r="I1927" t="s">
        <v>2294</v>
      </c>
      <c r="J1927" t="s">
        <v>3009</v>
      </c>
      <c r="L1927" t="s">
        <v>597</v>
      </c>
      <c r="M1927" t="s">
        <v>6548</v>
      </c>
    </row>
    <row r="1928" spans="9:13" x14ac:dyDescent="0.25">
      <c r="I1928" t="s">
        <v>321</v>
      </c>
      <c r="J1928" t="s">
        <v>4386</v>
      </c>
      <c r="L1928" t="s">
        <v>597</v>
      </c>
      <c r="M1928" t="s">
        <v>5668</v>
      </c>
    </row>
    <row r="1929" spans="9:13" x14ac:dyDescent="0.25">
      <c r="I1929" t="s">
        <v>2280</v>
      </c>
      <c r="J1929" t="s">
        <v>6712</v>
      </c>
      <c r="L1929" t="s">
        <v>597</v>
      </c>
      <c r="M1929" t="s">
        <v>4677</v>
      </c>
    </row>
    <row r="1930" spans="9:13" x14ac:dyDescent="0.25">
      <c r="I1930" t="s">
        <v>1678</v>
      </c>
      <c r="J1930" t="s">
        <v>3630</v>
      </c>
      <c r="L1930" t="s">
        <v>40</v>
      </c>
      <c r="M1930" t="s">
        <v>5260</v>
      </c>
    </row>
    <row r="1931" spans="9:13" x14ac:dyDescent="0.25">
      <c r="I1931" t="s">
        <v>267</v>
      </c>
      <c r="J1931" t="s">
        <v>1921</v>
      </c>
      <c r="L1931" t="s">
        <v>40</v>
      </c>
      <c r="M1931" t="s">
        <v>5144</v>
      </c>
    </row>
    <row r="1932" spans="9:13" x14ac:dyDescent="0.25">
      <c r="I1932" t="s">
        <v>302</v>
      </c>
      <c r="J1932" t="s">
        <v>2419</v>
      </c>
      <c r="L1932" t="s">
        <v>5005</v>
      </c>
      <c r="M1932" t="s">
        <v>5778</v>
      </c>
    </row>
    <row r="1933" spans="9:13" x14ac:dyDescent="0.25">
      <c r="I1933" t="s">
        <v>2200</v>
      </c>
      <c r="J1933" t="s">
        <v>2201</v>
      </c>
      <c r="L1933" t="s">
        <v>26</v>
      </c>
      <c r="M1933" t="s">
        <v>4661</v>
      </c>
    </row>
    <row r="1934" spans="9:13" x14ac:dyDescent="0.25">
      <c r="I1934" t="s">
        <v>270</v>
      </c>
      <c r="J1934" t="s">
        <v>2966</v>
      </c>
      <c r="L1934" t="s">
        <v>508</v>
      </c>
      <c r="M1934" t="s">
        <v>4815</v>
      </c>
    </row>
    <row r="1935" spans="9:13" x14ac:dyDescent="0.25">
      <c r="I1935" t="s">
        <v>2280</v>
      </c>
      <c r="J1935" t="s">
        <v>2804</v>
      </c>
      <c r="L1935" t="s">
        <v>418</v>
      </c>
      <c r="M1935" t="s">
        <v>7197</v>
      </c>
    </row>
    <row r="1936" spans="9:13" x14ac:dyDescent="0.25">
      <c r="I1936" t="s">
        <v>1934</v>
      </c>
      <c r="J1936" t="s">
        <v>1935</v>
      </c>
      <c r="L1936" t="s">
        <v>508</v>
      </c>
      <c r="M1936" t="s">
        <v>5233</v>
      </c>
    </row>
    <row r="1937" spans="9:13" x14ac:dyDescent="0.25">
      <c r="I1937" t="s">
        <v>2280</v>
      </c>
      <c r="J1937" t="s">
        <v>2281</v>
      </c>
      <c r="L1937" t="s">
        <v>5154</v>
      </c>
      <c r="M1937" t="s">
        <v>5954</v>
      </c>
    </row>
    <row r="1938" spans="9:13" x14ac:dyDescent="0.25">
      <c r="I1938" t="s">
        <v>4157</v>
      </c>
      <c r="J1938" t="s">
        <v>4158</v>
      </c>
      <c r="L1938" t="s">
        <v>506</v>
      </c>
      <c r="M1938" t="s">
        <v>6214</v>
      </c>
    </row>
    <row r="1939" spans="9:13" x14ac:dyDescent="0.25">
      <c r="I1939" t="s">
        <v>97</v>
      </c>
      <c r="J1939" t="s">
        <v>3096</v>
      </c>
      <c r="L1939" t="s">
        <v>418</v>
      </c>
      <c r="M1939" t="s">
        <v>7250</v>
      </c>
    </row>
    <row r="1940" spans="9:13" x14ac:dyDescent="0.25">
      <c r="I1940" t="s">
        <v>422</v>
      </c>
      <c r="J1940" t="s">
        <v>2882</v>
      </c>
      <c r="L1940" t="s">
        <v>649</v>
      </c>
      <c r="M1940" t="s">
        <v>6609</v>
      </c>
    </row>
    <row r="1941" spans="9:13" x14ac:dyDescent="0.25">
      <c r="I1941" t="s">
        <v>2683</v>
      </c>
      <c r="J1941" t="s">
        <v>2684</v>
      </c>
      <c r="L1941" t="s">
        <v>708</v>
      </c>
      <c r="M1941" t="s">
        <v>4912</v>
      </c>
    </row>
    <row r="1942" spans="9:13" x14ac:dyDescent="0.25">
      <c r="I1942" t="s">
        <v>414</v>
      </c>
      <c r="J1942" t="s">
        <v>3566</v>
      </c>
      <c r="L1942" t="s">
        <v>418</v>
      </c>
      <c r="M1942" t="s">
        <v>6232</v>
      </c>
    </row>
    <row r="1943" spans="9:13" x14ac:dyDescent="0.25">
      <c r="I1943" t="s">
        <v>3315</v>
      </c>
      <c r="J1943" t="s">
        <v>3316</v>
      </c>
      <c r="L1943" t="s">
        <v>506</v>
      </c>
      <c r="M1943" t="s">
        <v>4998</v>
      </c>
    </row>
    <row r="1944" spans="9:13" x14ac:dyDescent="0.25">
      <c r="I1944" t="s">
        <v>1848</v>
      </c>
      <c r="J1944" t="s">
        <v>1849</v>
      </c>
      <c r="L1944" t="s">
        <v>708</v>
      </c>
      <c r="M1944" t="s">
        <v>7071</v>
      </c>
    </row>
    <row r="1945" spans="9:13" x14ac:dyDescent="0.25">
      <c r="I1945" t="s">
        <v>328</v>
      </c>
      <c r="J1945" t="s">
        <v>4095</v>
      </c>
      <c r="L1945" t="s">
        <v>5444</v>
      </c>
      <c r="M1945" t="s">
        <v>5445</v>
      </c>
    </row>
    <row r="1946" spans="9:13" x14ac:dyDescent="0.25">
      <c r="I1946" t="s">
        <v>266</v>
      </c>
      <c r="J1946" t="s">
        <v>3666</v>
      </c>
      <c r="L1946" t="s">
        <v>5677</v>
      </c>
      <c r="M1946" t="s">
        <v>5678</v>
      </c>
    </row>
    <row r="1947" spans="9:13" x14ac:dyDescent="0.25">
      <c r="I1947" t="s">
        <v>428</v>
      </c>
      <c r="J1947" t="s">
        <v>2632</v>
      </c>
      <c r="L1947" t="s">
        <v>708</v>
      </c>
      <c r="M1947" t="s">
        <v>6622</v>
      </c>
    </row>
    <row r="1948" spans="9:13" x14ac:dyDescent="0.25">
      <c r="I1948" t="s">
        <v>2280</v>
      </c>
      <c r="J1948" t="s">
        <v>3801</v>
      </c>
      <c r="L1948" t="s">
        <v>506</v>
      </c>
      <c r="M1948" t="s">
        <v>4732</v>
      </c>
    </row>
    <row r="1949" spans="9:13" x14ac:dyDescent="0.25">
      <c r="I1949" t="s">
        <v>373</v>
      </c>
      <c r="J1949" t="s">
        <v>3248</v>
      </c>
      <c r="L1949" t="s">
        <v>597</v>
      </c>
      <c r="M1949" t="s">
        <v>5766</v>
      </c>
    </row>
    <row r="1950" spans="9:13" x14ac:dyDescent="0.25">
      <c r="I1950" t="s">
        <v>2280</v>
      </c>
      <c r="J1950" t="s">
        <v>4048</v>
      </c>
      <c r="L1950" t="s">
        <v>649</v>
      </c>
      <c r="M1950" t="s">
        <v>4806</v>
      </c>
    </row>
    <row r="1951" spans="9:13" x14ac:dyDescent="0.25">
      <c r="I1951" t="s">
        <v>414</v>
      </c>
      <c r="J1951" t="s">
        <v>2386</v>
      </c>
      <c r="L1951" t="s">
        <v>5022</v>
      </c>
      <c r="M1951" t="s">
        <v>5448</v>
      </c>
    </row>
    <row r="1952" spans="9:13" x14ac:dyDescent="0.25">
      <c r="I1952" t="s">
        <v>289</v>
      </c>
      <c r="J1952" t="s">
        <v>3622</v>
      </c>
      <c r="L1952" t="s">
        <v>649</v>
      </c>
      <c r="M1952" t="s">
        <v>5000</v>
      </c>
    </row>
    <row r="1953" spans="9:13" x14ac:dyDescent="0.25">
      <c r="I1953" t="s">
        <v>3306</v>
      </c>
      <c r="J1953" t="s">
        <v>3307</v>
      </c>
      <c r="L1953" t="s">
        <v>6289</v>
      </c>
      <c r="M1953" t="s">
        <v>6290</v>
      </c>
    </row>
    <row r="1954" spans="9:13" x14ac:dyDescent="0.25">
      <c r="I1954" t="s">
        <v>422</v>
      </c>
      <c r="J1954" t="s">
        <v>6708</v>
      </c>
      <c r="L1954" t="s">
        <v>267</v>
      </c>
      <c r="M1954" t="s">
        <v>5804</v>
      </c>
    </row>
    <row r="1955" spans="9:13" x14ac:dyDescent="0.25">
      <c r="I1955" t="s">
        <v>2280</v>
      </c>
      <c r="J1955" t="s">
        <v>3250</v>
      </c>
      <c r="L1955" t="s">
        <v>41</v>
      </c>
      <c r="M1955" t="s">
        <v>5004</v>
      </c>
    </row>
    <row r="1956" spans="9:13" x14ac:dyDescent="0.25">
      <c r="I1956" t="s">
        <v>373</v>
      </c>
      <c r="J1956" t="s">
        <v>3856</v>
      </c>
      <c r="L1956" t="s">
        <v>508</v>
      </c>
      <c r="M1956" t="s">
        <v>6104</v>
      </c>
    </row>
    <row r="1957" spans="9:13" x14ac:dyDescent="0.25">
      <c r="I1957" t="s">
        <v>97</v>
      </c>
      <c r="J1957" t="s">
        <v>4460</v>
      </c>
      <c r="L1957" t="s">
        <v>508</v>
      </c>
      <c r="M1957" t="s">
        <v>4819</v>
      </c>
    </row>
    <row r="1958" spans="9:13" x14ac:dyDescent="0.25">
      <c r="I1958" t="s">
        <v>2082</v>
      </c>
      <c r="J1958" t="s">
        <v>2498</v>
      </c>
      <c r="L1958" t="s">
        <v>506</v>
      </c>
      <c r="M1958" t="s">
        <v>4763</v>
      </c>
    </row>
    <row r="1959" spans="9:13" x14ac:dyDescent="0.25">
      <c r="I1959" t="s">
        <v>1678</v>
      </c>
      <c r="J1959" t="s">
        <v>4281</v>
      </c>
      <c r="L1959" t="s">
        <v>50</v>
      </c>
      <c r="M1959" t="s">
        <v>6342</v>
      </c>
    </row>
    <row r="1960" spans="9:13" x14ac:dyDescent="0.25">
      <c r="I1960" t="s">
        <v>326</v>
      </c>
      <c r="J1960" t="s">
        <v>1893</v>
      </c>
      <c r="L1960" t="s">
        <v>506</v>
      </c>
      <c r="M1960" t="s">
        <v>5805</v>
      </c>
    </row>
    <row r="1961" spans="9:13" x14ac:dyDescent="0.25">
      <c r="I1961" t="s">
        <v>3823</v>
      </c>
      <c r="J1961" t="s">
        <v>3824</v>
      </c>
      <c r="L1961" t="s">
        <v>508</v>
      </c>
      <c r="M1961" t="s">
        <v>6020</v>
      </c>
    </row>
    <row r="1962" spans="9:13" x14ac:dyDescent="0.25">
      <c r="I1962" t="s">
        <v>1785</v>
      </c>
      <c r="J1962" t="s">
        <v>1786</v>
      </c>
      <c r="L1962" t="s">
        <v>649</v>
      </c>
      <c r="M1962" t="s">
        <v>6465</v>
      </c>
    </row>
    <row r="1963" spans="9:13" x14ac:dyDescent="0.25">
      <c r="I1963" t="s">
        <v>1806</v>
      </c>
      <c r="J1963" t="s">
        <v>2146</v>
      </c>
      <c r="L1963" t="s">
        <v>5005</v>
      </c>
      <c r="M1963" t="s">
        <v>5006</v>
      </c>
    </row>
    <row r="1964" spans="9:13" x14ac:dyDescent="0.25">
      <c r="I1964" t="s">
        <v>373</v>
      </c>
      <c r="J1964" t="s">
        <v>2577</v>
      </c>
      <c r="L1964" t="s">
        <v>41</v>
      </c>
      <c r="M1964" t="s">
        <v>6469</v>
      </c>
    </row>
    <row r="1965" spans="9:13" x14ac:dyDescent="0.25">
      <c r="I1965" t="s">
        <v>51</v>
      </c>
      <c r="J1965" t="s">
        <v>2963</v>
      </c>
      <c r="L1965" t="s">
        <v>4630</v>
      </c>
      <c r="M1965" t="s">
        <v>4631</v>
      </c>
    </row>
    <row r="1966" spans="9:13" x14ac:dyDescent="0.25">
      <c r="I1966" t="s">
        <v>267</v>
      </c>
      <c r="J1966" t="s">
        <v>3129</v>
      </c>
      <c r="L1966" t="s">
        <v>4640</v>
      </c>
      <c r="M1966" t="s">
        <v>5888</v>
      </c>
    </row>
    <row r="1967" spans="9:13" x14ac:dyDescent="0.25">
      <c r="I1967" t="s">
        <v>3502</v>
      </c>
      <c r="J1967" t="s">
        <v>3503</v>
      </c>
      <c r="L1967" t="s">
        <v>597</v>
      </c>
      <c r="M1967" t="s">
        <v>4680</v>
      </c>
    </row>
    <row r="1968" spans="9:13" x14ac:dyDescent="0.25">
      <c r="I1968" t="s">
        <v>97</v>
      </c>
      <c r="J1968" t="s">
        <v>2393</v>
      </c>
      <c r="L1968" t="s">
        <v>649</v>
      </c>
      <c r="M1968" t="s">
        <v>6512</v>
      </c>
    </row>
    <row r="1969" spans="9:13" x14ac:dyDescent="0.25">
      <c r="I1969" t="s">
        <v>2305</v>
      </c>
      <c r="J1969" t="s">
        <v>3938</v>
      </c>
      <c r="L1969" t="s">
        <v>506</v>
      </c>
      <c r="M1969" t="s">
        <v>4801</v>
      </c>
    </row>
    <row r="1970" spans="9:13" x14ac:dyDescent="0.25">
      <c r="I1970" t="s">
        <v>363</v>
      </c>
      <c r="J1970" t="s">
        <v>3973</v>
      </c>
      <c r="L1970" t="s">
        <v>418</v>
      </c>
      <c r="M1970" t="s">
        <v>7044</v>
      </c>
    </row>
    <row r="1971" spans="9:13" x14ac:dyDescent="0.25">
      <c r="I1971" t="s">
        <v>102</v>
      </c>
      <c r="J1971" t="s">
        <v>3229</v>
      </c>
      <c r="L1971" t="s">
        <v>649</v>
      </c>
      <c r="M1971" t="s">
        <v>4773</v>
      </c>
    </row>
    <row r="1972" spans="9:13" x14ac:dyDescent="0.25">
      <c r="I1972" t="s">
        <v>0</v>
      </c>
      <c r="J1972" t="s">
        <v>3663</v>
      </c>
      <c r="L1972" t="s">
        <v>321</v>
      </c>
      <c r="M1972" t="s">
        <v>6560</v>
      </c>
    </row>
    <row r="1973" spans="9:13" x14ac:dyDescent="0.25">
      <c r="I1973" t="s">
        <v>2075</v>
      </c>
      <c r="J1973" t="s">
        <v>2076</v>
      </c>
      <c r="L1973" t="s">
        <v>4838</v>
      </c>
      <c r="M1973" t="s">
        <v>7254</v>
      </c>
    </row>
    <row r="1974" spans="9:13" x14ac:dyDescent="0.25">
      <c r="I1974" t="s">
        <v>422</v>
      </c>
      <c r="J1974" t="s">
        <v>2165</v>
      </c>
      <c r="L1974" t="s">
        <v>41</v>
      </c>
      <c r="M1974" t="s">
        <v>6552</v>
      </c>
    </row>
    <row r="1975" spans="9:13" x14ac:dyDescent="0.25">
      <c r="I1975" t="s">
        <v>1810</v>
      </c>
      <c r="J1975" t="s">
        <v>1811</v>
      </c>
      <c r="L1975" t="s">
        <v>418</v>
      </c>
      <c r="M1975" t="s">
        <v>7228</v>
      </c>
    </row>
    <row r="1976" spans="9:13" x14ac:dyDescent="0.25">
      <c r="I1976" t="s">
        <v>2253</v>
      </c>
      <c r="J1976" t="s">
        <v>2254</v>
      </c>
      <c r="L1976" t="s">
        <v>508</v>
      </c>
      <c r="M1976" t="s">
        <v>5621</v>
      </c>
    </row>
    <row r="1977" spans="9:13" x14ac:dyDescent="0.25">
      <c r="I1977" t="s">
        <v>793</v>
      </c>
      <c r="J1977" t="s">
        <v>2594</v>
      </c>
      <c r="L1977" t="s">
        <v>418</v>
      </c>
      <c r="M1977" t="s">
        <v>7263</v>
      </c>
    </row>
    <row r="1978" spans="9:13" x14ac:dyDescent="0.25">
      <c r="I1978" t="s">
        <v>266</v>
      </c>
      <c r="J1978" t="s">
        <v>2218</v>
      </c>
      <c r="L1978" t="s">
        <v>4838</v>
      </c>
      <c r="M1978" t="s">
        <v>7120</v>
      </c>
    </row>
    <row r="1979" spans="9:13" x14ac:dyDescent="0.25">
      <c r="I1979" t="s">
        <v>1770</v>
      </c>
      <c r="J1979" t="s">
        <v>1771</v>
      </c>
      <c r="L1979" t="s">
        <v>40</v>
      </c>
      <c r="M1979" t="s">
        <v>5386</v>
      </c>
    </row>
    <row r="1980" spans="9:13" x14ac:dyDescent="0.25">
      <c r="I1980" t="s">
        <v>373</v>
      </c>
      <c r="J1980" t="s">
        <v>2122</v>
      </c>
      <c r="L1980" t="s">
        <v>418</v>
      </c>
      <c r="M1980" t="s">
        <v>7130</v>
      </c>
    </row>
    <row r="1981" spans="9:13" x14ac:dyDescent="0.25">
      <c r="I1981" t="s">
        <v>25</v>
      </c>
      <c r="J1981" t="s">
        <v>2055</v>
      </c>
      <c r="L1981" t="s">
        <v>649</v>
      </c>
      <c r="M1981" t="s">
        <v>6583</v>
      </c>
    </row>
    <row r="1982" spans="9:13" x14ac:dyDescent="0.25">
      <c r="I1982" t="s">
        <v>302</v>
      </c>
      <c r="J1982" t="s">
        <v>1989</v>
      </c>
      <c r="L1982" t="s">
        <v>418</v>
      </c>
      <c r="M1982" t="s">
        <v>7135</v>
      </c>
    </row>
    <row r="1983" spans="9:13" x14ac:dyDescent="0.25">
      <c r="I1983" t="s">
        <v>428</v>
      </c>
      <c r="J1983" t="s">
        <v>1701</v>
      </c>
      <c r="L1983" t="s">
        <v>5240</v>
      </c>
      <c r="M1983" t="s">
        <v>5241</v>
      </c>
    </row>
    <row r="1984" spans="9:13" x14ac:dyDescent="0.25">
      <c r="I1984" t="s">
        <v>414</v>
      </c>
      <c r="J1984" t="s">
        <v>3700</v>
      </c>
      <c r="L1984" t="s">
        <v>649</v>
      </c>
      <c r="M1984" t="s">
        <v>4645</v>
      </c>
    </row>
    <row r="1985" spans="9:13" x14ac:dyDescent="0.25">
      <c r="I1985" t="s">
        <v>302</v>
      </c>
      <c r="J1985" t="s">
        <v>3530</v>
      </c>
      <c r="L1985" t="s">
        <v>40</v>
      </c>
      <c r="M1985" t="s">
        <v>4592</v>
      </c>
    </row>
    <row r="1986" spans="9:13" x14ac:dyDescent="0.25">
      <c r="I1986" t="s">
        <v>333</v>
      </c>
      <c r="J1986" t="s">
        <v>4344</v>
      </c>
      <c r="L1986" t="s">
        <v>418</v>
      </c>
      <c r="M1986" t="s">
        <v>7029</v>
      </c>
    </row>
    <row r="1987" spans="9:13" x14ac:dyDescent="0.25">
      <c r="I1987" t="s">
        <v>328</v>
      </c>
      <c r="J1987" t="s">
        <v>2590</v>
      </c>
      <c r="L1987" t="s">
        <v>418</v>
      </c>
      <c r="M1987" t="s">
        <v>7151</v>
      </c>
    </row>
    <row r="1988" spans="9:13" x14ac:dyDescent="0.25">
      <c r="I1988" t="s">
        <v>277</v>
      </c>
      <c r="J1988" t="s">
        <v>6827</v>
      </c>
      <c r="L1988" t="s">
        <v>41</v>
      </c>
      <c r="M1988" t="s">
        <v>4644</v>
      </c>
    </row>
    <row r="1989" spans="9:13" x14ac:dyDescent="0.25">
      <c r="I1989" t="s">
        <v>97</v>
      </c>
      <c r="J1989" t="s">
        <v>4348</v>
      </c>
      <c r="L1989" t="s">
        <v>508</v>
      </c>
      <c r="M1989" t="s">
        <v>4926</v>
      </c>
    </row>
    <row r="1990" spans="9:13" x14ac:dyDescent="0.25">
      <c r="I1990" t="s">
        <v>597</v>
      </c>
      <c r="J1990" t="s">
        <v>1813</v>
      </c>
      <c r="L1990" t="s">
        <v>418</v>
      </c>
      <c r="M1990" t="s">
        <v>7212</v>
      </c>
    </row>
    <row r="1991" spans="9:13" x14ac:dyDescent="0.25">
      <c r="I1991" t="s">
        <v>97</v>
      </c>
      <c r="J1991" t="s">
        <v>3553</v>
      </c>
      <c r="L1991" t="s">
        <v>649</v>
      </c>
      <c r="M1991" t="s">
        <v>6281</v>
      </c>
    </row>
    <row r="1992" spans="9:13" x14ac:dyDescent="0.25">
      <c r="I1992" t="s">
        <v>6733</v>
      </c>
      <c r="J1992" t="s">
        <v>2820</v>
      </c>
      <c r="L1992" t="s">
        <v>41</v>
      </c>
      <c r="M1992" t="s">
        <v>6585</v>
      </c>
    </row>
    <row r="1993" spans="9:13" x14ac:dyDescent="0.25">
      <c r="I1993" t="s">
        <v>267</v>
      </c>
      <c r="J1993" t="s">
        <v>3861</v>
      </c>
      <c r="L1993" t="s">
        <v>40</v>
      </c>
      <c r="M1993" t="s">
        <v>4855</v>
      </c>
    </row>
    <row r="1994" spans="9:13" x14ac:dyDescent="0.25">
      <c r="I1994" t="s">
        <v>2014</v>
      </c>
      <c r="J1994" t="s">
        <v>3431</v>
      </c>
      <c r="L1994" t="s">
        <v>26</v>
      </c>
      <c r="M1994" t="s">
        <v>5626</v>
      </c>
    </row>
    <row r="1995" spans="9:13" x14ac:dyDescent="0.25">
      <c r="I1995" t="s">
        <v>49</v>
      </c>
      <c r="J1995" t="s">
        <v>3889</v>
      </c>
      <c r="L1995" t="s">
        <v>321</v>
      </c>
      <c r="M1995" t="s">
        <v>5212</v>
      </c>
    </row>
    <row r="1996" spans="9:13" x14ac:dyDescent="0.25">
      <c r="I1996" t="s">
        <v>420</v>
      </c>
      <c r="J1996" t="s">
        <v>3581</v>
      </c>
      <c r="L1996" t="s">
        <v>5643</v>
      </c>
      <c r="M1996" t="s">
        <v>5644</v>
      </c>
    </row>
    <row r="1997" spans="9:13" x14ac:dyDescent="0.25">
      <c r="I1997" t="s">
        <v>98</v>
      </c>
      <c r="J1997" t="s">
        <v>2371</v>
      </c>
      <c r="L1997" t="s">
        <v>5022</v>
      </c>
      <c r="M1997" t="s">
        <v>5684</v>
      </c>
    </row>
    <row r="1998" spans="9:13" x14ac:dyDescent="0.25">
      <c r="I1998" t="s">
        <v>302</v>
      </c>
      <c r="J1998" t="s">
        <v>3207</v>
      </c>
      <c r="L1998" t="s">
        <v>4929</v>
      </c>
      <c r="M1998" t="s">
        <v>4930</v>
      </c>
    </row>
    <row r="1999" spans="9:13" x14ac:dyDescent="0.25">
      <c r="I1999" t="s">
        <v>267</v>
      </c>
      <c r="J1999" t="s">
        <v>4145</v>
      </c>
      <c r="L1999" t="s">
        <v>26</v>
      </c>
      <c r="M1999" t="s">
        <v>5484</v>
      </c>
    </row>
    <row r="2000" spans="9:13" x14ac:dyDescent="0.25">
      <c r="I2000" t="s">
        <v>97</v>
      </c>
      <c r="J2000" t="s">
        <v>3211</v>
      </c>
      <c r="L2000" t="s">
        <v>508</v>
      </c>
      <c r="M2000" t="s">
        <v>4990</v>
      </c>
    </row>
    <row r="2001" spans="9:13" x14ac:dyDescent="0.25">
      <c r="I2001" t="s">
        <v>1714</v>
      </c>
      <c r="J2001" t="s">
        <v>1715</v>
      </c>
      <c r="L2001" t="s">
        <v>4743</v>
      </c>
      <c r="M2001" t="s">
        <v>4841</v>
      </c>
    </row>
    <row r="2002" spans="9:13" x14ac:dyDescent="0.25">
      <c r="I2002" t="s">
        <v>425</v>
      </c>
      <c r="J2002" t="s">
        <v>6950</v>
      </c>
      <c r="L2002" t="s">
        <v>649</v>
      </c>
      <c r="M2002" t="s">
        <v>5574</v>
      </c>
    </row>
    <row r="2003" spans="9:13" x14ac:dyDescent="0.25">
      <c r="I2003" t="s">
        <v>267</v>
      </c>
      <c r="J2003" t="s">
        <v>2151</v>
      </c>
      <c r="L2003" t="s">
        <v>5677</v>
      </c>
      <c r="M2003" t="s">
        <v>6075</v>
      </c>
    </row>
    <row r="2004" spans="9:13" x14ac:dyDescent="0.25">
      <c r="I2004" t="s">
        <v>328</v>
      </c>
      <c r="J2004" t="s">
        <v>1947</v>
      </c>
      <c r="L2004" t="s">
        <v>418</v>
      </c>
      <c r="M2004" t="s">
        <v>7195</v>
      </c>
    </row>
    <row r="2005" spans="9:13" x14ac:dyDescent="0.25">
      <c r="I2005" t="s">
        <v>414</v>
      </c>
      <c r="J2005" t="s">
        <v>2830</v>
      </c>
      <c r="L2005" t="s">
        <v>418</v>
      </c>
      <c r="M2005" t="s">
        <v>7157</v>
      </c>
    </row>
    <row r="2006" spans="9:13" x14ac:dyDescent="0.25">
      <c r="I2006" t="s">
        <v>302</v>
      </c>
      <c r="J2006" t="s">
        <v>4214</v>
      </c>
      <c r="L2006" t="s">
        <v>649</v>
      </c>
      <c r="M2006" t="s">
        <v>6571</v>
      </c>
    </row>
    <row r="2007" spans="9:13" x14ac:dyDescent="0.25">
      <c r="I2007" t="s">
        <v>4381</v>
      </c>
      <c r="J2007" t="s">
        <v>4382</v>
      </c>
      <c r="L2007" t="s">
        <v>649</v>
      </c>
      <c r="M2007" t="s">
        <v>5471</v>
      </c>
    </row>
    <row r="2008" spans="9:13" x14ac:dyDescent="0.25">
      <c r="I2008" t="s">
        <v>267</v>
      </c>
      <c r="J2008" t="s">
        <v>3811</v>
      </c>
      <c r="L2008" t="s">
        <v>418</v>
      </c>
      <c r="M2008" t="s">
        <v>7060</v>
      </c>
    </row>
    <row r="2009" spans="9:13" x14ac:dyDescent="0.25">
      <c r="I2009" t="s">
        <v>43</v>
      </c>
      <c r="J2009" t="s">
        <v>3140</v>
      </c>
      <c r="L2009" t="s">
        <v>422</v>
      </c>
      <c r="M2009" t="s">
        <v>5402</v>
      </c>
    </row>
    <row r="2010" spans="9:13" x14ac:dyDescent="0.25">
      <c r="I2010" t="s">
        <v>597</v>
      </c>
      <c r="J2010" t="s">
        <v>2838</v>
      </c>
      <c r="L2010" t="s">
        <v>418</v>
      </c>
      <c r="M2010" t="s">
        <v>7153</v>
      </c>
    </row>
    <row r="2011" spans="9:13" x14ac:dyDescent="0.25">
      <c r="I2011" t="s">
        <v>793</v>
      </c>
      <c r="J2011" t="s">
        <v>1661</v>
      </c>
      <c r="L2011" t="s">
        <v>649</v>
      </c>
      <c r="M2011" t="s">
        <v>4951</v>
      </c>
    </row>
    <row r="2012" spans="9:13" x14ac:dyDescent="0.25">
      <c r="I2012" t="s">
        <v>41</v>
      </c>
      <c r="J2012" t="s">
        <v>3055</v>
      </c>
      <c r="L2012" t="s">
        <v>752</v>
      </c>
      <c r="M2012" t="s">
        <v>5335</v>
      </c>
    </row>
    <row r="2013" spans="9:13" x14ac:dyDescent="0.25">
      <c r="I2013" t="s">
        <v>326</v>
      </c>
      <c r="J2013" t="s">
        <v>4479</v>
      </c>
      <c r="L2013" t="s">
        <v>41</v>
      </c>
      <c r="M2013" t="s">
        <v>5489</v>
      </c>
    </row>
    <row r="2014" spans="9:13" x14ac:dyDescent="0.25">
      <c r="I2014" t="s">
        <v>2171</v>
      </c>
      <c r="J2014" t="s">
        <v>2172</v>
      </c>
      <c r="L2014" t="s">
        <v>414</v>
      </c>
      <c r="M2014" t="s">
        <v>5340</v>
      </c>
    </row>
    <row r="2015" spans="9:13" x14ac:dyDescent="0.25">
      <c r="I2015" t="s">
        <v>2605</v>
      </c>
      <c r="J2015" t="s">
        <v>3646</v>
      </c>
      <c r="L2015" t="s">
        <v>5022</v>
      </c>
      <c r="M2015" t="s">
        <v>5594</v>
      </c>
    </row>
    <row r="2016" spans="9:13" x14ac:dyDescent="0.25">
      <c r="I2016" t="s">
        <v>50</v>
      </c>
      <c r="J2016" t="s">
        <v>3605</v>
      </c>
      <c r="L2016" t="s">
        <v>41</v>
      </c>
      <c r="M2016" t="s">
        <v>4809</v>
      </c>
    </row>
    <row r="2017" spans="9:13" x14ac:dyDescent="0.25">
      <c r="I2017" t="s">
        <v>52</v>
      </c>
      <c r="J2017" t="s">
        <v>3369</v>
      </c>
      <c r="L2017" t="s">
        <v>5677</v>
      </c>
      <c r="M2017" t="s">
        <v>5699</v>
      </c>
    </row>
    <row r="2018" spans="9:13" x14ac:dyDescent="0.25">
      <c r="I2018" t="s">
        <v>328</v>
      </c>
      <c r="J2018" t="s">
        <v>3865</v>
      </c>
      <c r="L2018" t="s">
        <v>40</v>
      </c>
      <c r="M2018" t="s">
        <v>6023</v>
      </c>
    </row>
    <row r="2019" spans="9:13" x14ac:dyDescent="0.25">
      <c r="I2019" t="s">
        <v>1826</v>
      </c>
      <c r="J2019" t="s">
        <v>2532</v>
      </c>
      <c r="L2019" t="s">
        <v>5022</v>
      </c>
      <c r="M2019" t="s">
        <v>5023</v>
      </c>
    </row>
    <row r="2020" spans="9:13" x14ac:dyDescent="0.25">
      <c r="I2020" t="s">
        <v>41</v>
      </c>
      <c r="J2020" t="s">
        <v>2862</v>
      </c>
      <c r="L2020" t="s">
        <v>5395</v>
      </c>
      <c r="M2020" t="s">
        <v>5396</v>
      </c>
    </row>
    <row r="2021" spans="9:13" x14ac:dyDescent="0.25">
      <c r="I2021" t="s">
        <v>1826</v>
      </c>
      <c r="J2021" t="s">
        <v>2727</v>
      </c>
      <c r="L2021" t="s">
        <v>649</v>
      </c>
      <c r="M2021" t="s">
        <v>5605</v>
      </c>
    </row>
    <row r="2022" spans="9:13" x14ac:dyDescent="0.25">
      <c r="I2022" t="s">
        <v>328</v>
      </c>
      <c r="J2022" t="s">
        <v>2531</v>
      </c>
      <c r="L2022" t="s">
        <v>4872</v>
      </c>
      <c r="M2022" t="s">
        <v>7133</v>
      </c>
    </row>
    <row r="2023" spans="9:13" x14ac:dyDescent="0.25">
      <c r="I2023" t="s">
        <v>50</v>
      </c>
      <c r="J2023" t="s">
        <v>2670</v>
      </c>
      <c r="L2023" t="s">
        <v>418</v>
      </c>
      <c r="M2023" t="s">
        <v>4820</v>
      </c>
    </row>
    <row r="2024" spans="9:13" x14ac:dyDescent="0.25">
      <c r="I2024" t="s">
        <v>3946</v>
      </c>
      <c r="J2024" t="s">
        <v>3947</v>
      </c>
      <c r="L2024" t="s">
        <v>4838</v>
      </c>
      <c r="M2024" t="s">
        <v>5178</v>
      </c>
    </row>
    <row r="2025" spans="9:13" x14ac:dyDescent="0.25">
      <c r="I2025" t="s">
        <v>144</v>
      </c>
      <c r="J2025" t="s">
        <v>3340</v>
      </c>
      <c r="L2025" t="s">
        <v>418</v>
      </c>
      <c r="M2025" t="s">
        <v>7236</v>
      </c>
    </row>
    <row r="2026" spans="9:13" x14ac:dyDescent="0.25">
      <c r="I2026" t="s">
        <v>302</v>
      </c>
      <c r="J2026" t="s">
        <v>2851</v>
      </c>
      <c r="L2026" t="s">
        <v>5314</v>
      </c>
      <c r="M2026" t="s">
        <v>5315</v>
      </c>
    </row>
    <row r="2027" spans="9:13" x14ac:dyDescent="0.25">
      <c r="I2027" t="s">
        <v>2045</v>
      </c>
      <c r="J2027" t="s">
        <v>2046</v>
      </c>
      <c r="L2027" t="s">
        <v>4872</v>
      </c>
      <c r="M2027" t="s">
        <v>7163</v>
      </c>
    </row>
    <row r="2028" spans="9:13" x14ac:dyDescent="0.25">
      <c r="I2028" t="s">
        <v>2427</v>
      </c>
      <c r="J2028" t="s">
        <v>4127</v>
      </c>
      <c r="L2028" t="s">
        <v>40</v>
      </c>
      <c r="M2028" t="s">
        <v>4979</v>
      </c>
    </row>
    <row r="2029" spans="9:13" x14ac:dyDescent="0.25">
      <c r="I2029" t="s">
        <v>1826</v>
      </c>
      <c r="J2029" t="s">
        <v>1827</v>
      </c>
      <c r="L2029" t="s">
        <v>4872</v>
      </c>
      <c r="M2029" t="s">
        <v>7046</v>
      </c>
    </row>
    <row r="2030" spans="9:13" x14ac:dyDescent="0.25">
      <c r="I2030" t="s">
        <v>266</v>
      </c>
      <c r="J2030" t="s">
        <v>3532</v>
      </c>
      <c r="L2030" t="s">
        <v>41</v>
      </c>
      <c r="M2030" t="s">
        <v>6324</v>
      </c>
    </row>
    <row r="2031" spans="9:13" x14ac:dyDescent="0.25">
      <c r="I2031" t="s">
        <v>6733</v>
      </c>
      <c r="J2031" t="s">
        <v>3659</v>
      </c>
      <c r="L2031" t="s">
        <v>5677</v>
      </c>
      <c r="M2031" t="s">
        <v>6612</v>
      </c>
    </row>
    <row r="2032" spans="9:13" x14ac:dyDescent="0.25">
      <c r="I2032" t="s">
        <v>328</v>
      </c>
      <c r="J2032" t="s">
        <v>1695</v>
      </c>
      <c r="L2032" t="s">
        <v>649</v>
      </c>
      <c r="M2032" t="s">
        <v>5327</v>
      </c>
    </row>
    <row r="2033" spans="9:13" x14ac:dyDescent="0.25">
      <c r="I2033" t="s">
        <v>26</v>
      </c>
      <c r="J2033" t="s">
        <v>2665</v>
      </c>
      <c r="L2033" t="s">
        <v>418</v>
      </c>
      <c r="M2033" t="s">
        <v>7066</v>
      </c>
    </row>
    <row r="2034" spans="9:13" x14ac:dyDescent="0.25">
      <c r="I2034" t="s">
        <v>2524</v>
      </c>
      <c r="J2034" t="s">
        <v>2525</v>
      </c>
      <c r="L2034" t="s">
        <v>41</v>
      </c>
      <c r="M2034" t="s">
        <v>5498</v>
      </c>
    </row>
    <row r="2035" spans="9:13" x14ac:dyDescent="0.25">
      <c r="I2035" t="s">
        <v>1844</v>
      </c>
      <c r="J2035" t="s">
        <v>1845</v>
      </c>
      <c r="L2035" t="s">
        <v>649</v>
      </c>
      <c r="M2035" t="s">
        <v>5841</v>
      </c>
    </row>
    <row r="2036" spans="9:13" x14ac:dyDescent="0.25">
      <c r="I2036" t="s">
        <v>1883</v>
      </c>
      <c r="J2036" t="s">
        <v>4258</v>
      </c>
      <c r="L2036" t="s">
        <v>4838</v>
      </c>
      <c r="M2036" t="s">
        <v>7041</v>
      </c>
    </row>
    <row r="2037" spans="9:13" x14ac:dyDescent="0.25">
      <c r="I2037" t="s">
        <v>43</v>
      </c>
      <c r="J2037" t="s">
        <v>3451</v>
      </c>
      <c r="L2037" t="s">
        <v>4838</v>
      </c>
      <c r="M2037" t="s">
        <v>7234</v>
      </c>
    </row>
    <row r="2038" spans="9:13" x14ac:dyDescent="0.25">
      <c r="I2038" t="s">
        <v>581</v>
      </c>
      <c r="J2038" t="s">
        <v>3616</v>
      </c>
      <c r="L2038" t="s">
        <v>50</v>
      </c>
      <c r="M2038" t="s">
        <v>7215</v>
      </c>
    </row>
    <row r="2039" spans="9:13" x14ac:dyDescent="0.25">
      <c r="I2039" t="s">
        <v>40</v>
      </c>
      <c r="J2039" t="s">
        <v>3227</v>
      </c>
      <c r="L2039" t="s">
        <v>508</v>
      </c>
      <c r="M2039" t="s">
        <v>6080</v>
      </c>
    </row>
    <row r="2040" spans="9:13" x14ac:dyDescent="0.25">
      <c r="I2040" t="s">
        <v>321</v>
      </c>
      <c r="J2040" t="s">
        <v>1718</v>
      </c>
      <c r="L2040" t="s">
        <v>418</v>
      </c>
      <c r="M2040" t="s">
        <v>7205</v>
      </c>
    </row>
    <row r="2041" spans="9:13" x14ac:dyDescent="0.25">
      <c r="I2041" t="s">
        <v>581</v>
      </c>
      <c r="J2041" t="s">
        <v>2948</v>
      </c>
      <c r="L2041" t="s">
        <v>422</v>
      </c>
      <c r="M2041" t="s">
        <v>6091</v>
      </c>
    </row>
    <row r="2042" spans="9:13" x14ac:dyDescent="0.25">
      <c r="I2042" t="s">
        <v>1883</v>
      </c>
      <c r="J2042" t="s">
        <v>3723</v>
      </c>
      <c r="L2042" t="s">
        <v>41</v>
      </c>
      <c r="M2042" t="s">
        <v>6189</v>
      </c>
    </row>
    <row r="2043" spans="9:13" x14ac:dyDescent="0.25">
      <c r="I2043" t="s">
        <v>2710</v>
      </c>
      <c r="J2043" t="s">
        <v>2711</v>
      </c>
      <c r="L2043" t="s">
        <v>508</v>
      </c>
      <c r="M2043" t="s">
        <v>6513</v>
      </c>
    </row>
    <row r="2044" spans="9:13" x14ac:dyDescent="0.25">
      <c r="I2044" t="s">
        <v>1883</v>
      </c>
      <c r="J2044" t="s">
        <v>3975</v>
      </c>
      <c r="L2044" t="s">
        <v>508</v>
      </c>
      <c r="M2044" t="s">
        <v>5810</v>
      </c>
    </row>
    <row r="2045" spans="9:13" x14ac:dyDescent="0.25">
      <c r="I2045" t="s">
        <v>373</v>
      </c>
      <c r="J2045" t="s">
        <v>3294</v>
      </c>
      <c r="L2045" t="s">
        <v>483</v>
      </c>
      <c r="M2045" t="s">
        <v>5906</v>
      </c>
    </row>
    <row r="2046" spans="9:13" x14ac:dyDescent="0.25">
      <c r="I2046" t="s">
        <v>266</v>
      </c>
      <c r="J2046" t="s">
        <v>2144</v>
      </c>
      <c r="L2046" t="s">
        <v>414</v>
      </c>
      <c r="M2046" t="s">
        <v>4900</v>
      </c>
    </row>
    <row r="2047" spans="9:13" x14ac:dyDescent="0.25">
      <c r="I2047" t="s">
        <v>2082</v>
      </c>
      <c r="J2047" t="s">
        <v>2083</v>
      </c>
      <c r="L2047" t="s">
        <v>26</v>
      </c>
      <c r="M2047" t="s">
        <v>5403</v>
      </c>
    </row>
    <row r="2048" spans="9:13" x14ac:dyDescent="0.25">
      <c r="I2048" t="s">
        <v>414</v>
      </c>
      <c r="J2048" t="s">
        <v>3448</v>
      </c>
      <c r="L2048" t="s">
        <v>649</v>
      </c>
      <c r="M2048" t="s">
        <v>5814</v>
      </c>
    </row>
    <row r="2049" spans="9:13" x14ac:dyDescent="0.25">
      <c r="I2049" t="s">
        <v>267</v>
      </c>
      <c r="J2049" t="s">
        <v>3840</v>
      </c>
      <c r="L2049" t="s">
        <v>649</v>
      </c>
      <c r="M2049" t="s">
        <v>6412</v>
      </c>
    </row>
    <row r="2050" spans="9:13" x14ac:dyDescent="0.25">
      <c r="I2050" t="s">
        <v>299</v>
      </c>
      <c r="J2050" t="s">
        <v>3541</v>
      </c>
      <c r="L2050" t="s">
        <v>649</v>
      </c>
      <c r="M2050" t="s">
        <v>5751</v>
      </c>
    </row>
    <row r="2051" spans="9:13" x14ac:dyDescent="0.25">
      <c r="I2051" t="s">
        <v>308</v>
      </c>
      <c r="J2051" t="s">
        <v>6666</v>
      </c>
      <c r="L2051" t="s">
        <v>649</v>
      </c>
      <c r="M2051" t="s">
        <v>6486</v>
      </c>
    </row>
    <row r="2052" spans="9:13" x14ac:dyDescent="0.25">
      <c r="I2052" t="s">
        <v>418</v>
      </c>
      <c r="J2052" t="s">
        <v>3867</v>
      </c>
      <c r="L2052" t="s">
        <v>414</v>
      </c>
      <c r="M2052" t="s">
        <v>5420</v>
      </c>
    </row>
    <row r="2053" spans="9:13" x14ac:dyDescent="0.25">
      <c r="I2053" t="s">
        <v>414</v>
      </c>
      <c r="J2053" t="s">
        <v>2387</v>
      </c>
      <c r="L2053" t="s">
        <v>41</v>
      </c>
      <c r="M2053" t="s">
        <v>5167</v>
      </c>
    </row>
    <row r="2054" spans="9:13" x14ac:dyDescent="0.25">
      <c r="I2054" t="s">
        <v>1883</v>
      </c>
      <c r="J2054" t="s">
        <v>1884</v>
      </c>
      <c r="L2054" t="s">
        <v>321</v>
      </c>
      <c r="M2054" t="s">
        <v>5061</v>
      </c>
    </row>
    <row r="2055" spans="9:13" x14ac:dyDescent="0.25">
      <c r="I2055" t="s">
        <v>321</v>
      </c>
      <c r="J2055" t="s">
        <v>6680</v>
      </c>
      <c r="L2055" t="s">
        <v>414</v>
      </c>
      <c r="M2055" t="s">
        <v>5974</v>
      </c>
    </row>
    <row r="2056" spans="9:13" x14ac:dyDescent="0.25">
      <c r="I2056" t="s">
        <v>97</v>
      </c>
      <c r="J2056" t="s">
        <v>1911</v>
      </c>
      <c r="L2056" t="s">
        <v>414</v>
      </c>
      <c r="M2056" t="s">
        <v>6520</v>
      </c>
    </row>
    <row r="2057" spans="9:13" x14ac:dyDescent="0.25">
      <c r="I2057" t="s">
        <v>1883</v>
      </c>
      <c r="J2057" t="s">
        <v>4102</v>
      </c>
      <c r="L2057" t="s">
        <v>6533</v>
      </c>
      <c r="M2057" t="s">
        <v>6534</v>
      </c>
    </row>
    <row r="2058" spans="9:13" x14ac:dyDescent="0.25">
      <c r="I2058" t="s">
        <v>418</v>
      </c>
      <c r="J2058" t="s">
        <v>2374</v>
      </c>
      <c r="L2058" t="s">
        <v>2095</v>
      </c>
      <c r="M2058" t="s">
        <v>6044</v>
      </c>
    </row>
    <row r="2059" spans="9:13" x14ac:dyDescent="0.25">
      <c r="I2059" t="s">
        <v>328</v>
      </c>
      <c r="J2059" t="s">
        <v>2036</v>
      </c>
      <c r="L2059" t="s">
        <v>2095</v>
      </c>
      <c r="M2059" t="s">
        <v>4710</v>
      </c>
    </row>
    <row r="2060" spans="9:13" x14ac:dyDescent="0.25">
      <c r="I2060" t="s">
        <v>324</v>
      </c>
      <c r="J2060" t="s">
        <v>3019</v>
      </c>
      <c r="L2060" t="s">
        <v>4964</v>
      </c>
      <c r="M2060" t="s">
        <v>5433</v>
      </c>
    </row>
    <row r="2061" spans="9:13" x14ac:dyDescent="0.25">
      <c r="I2061" t="s">
        <v>333</v>
      </c>
      <c r="J2061" t="s">
        <v>1857</v>
      </c>
      <c r="L2061" t="s">
        <v>2095</v>
      </c>
      <c r="M2061" t="s">
        <v>5601</v>
      </c>
    </row>
    <row r="2062" spans="9:13" x14ac:dyDescent="0.25">
      <c r="I2062" t="s">
        <v>418</v>
      </c>
      <c r="J2062" t="s">
        <v>2675</v>
      </c>
      <c r="L2062" t="s">
        <v>293</v>
      </c>
      <c r="M2062" t="s">
        <v>6383</v>
      </c>
    </row>
    <row r="2063" spans="9:13" x14ac:dyDescent="0.25">
      <c r="I2063" t="s">
        <v>1826</v>
      </c>
      <c r="J2063" t="s">
        <v>3725</v>
      </c>
      <c r="L2063" t="s">
        <v>293</v>
      </c>
      <c r="M2063" t="s">
        <v>7174</v>
      </c>
    </row>
    <row r="2064" spans="9:13" x14ac:dyDescent="0.25">
      <c r="I2064" t="s">
        <v>2375</v>
      </c>
      <c r="J2064" t="s">
        <v>2376</v>
      </c>
      <c r="L2064" t="s">
        <v>5782</v>
      </c>
      <c r="M2064" t="s">
        <v>5783</v>
      </c>
    </row>
    <row r="2065" spans="9:13" x14ac:dyDescent="0.25">
      <c r="I2065" t="s">
        <v>270</v>
      </c>
      <c r="J2065" t="s">
        <v>4068</v>
      </c>
      <c r="L2065" t="s">
        <v>483</v>
      </c>
      <c r="M2065" t="s">
        <v>4972</v>
      </c>
    </row>
    <row r="2066" spans="9:13" x14ac:dyDescent="0.25">
      <c r="I2066" t="s">
        <v>4402</v>
      </c>
      <c r="J2066" t="s">
        <v>4403</v>
      </c>
      <c r="L2066" t="s">
        <v>26</v>
      </c>
      <c r="M2066" t="s">
        <v>5295</v>
      </c>
    </row>
    <row r="2067" spans="9:13" x14ac:dyDescent="0.25">
      <c r="I2067" t="s">
        <v>1883</v>
      </c>
      <c r="J2067" t="s">
        <v>6691</v>
      </c>
      <c r="L2067" t="s">
        <v>485</v>
      </c>
      <c r="M2067" t="s">
        <v>5195</v>
      </c>
    </row>
    <row r="2068" spans="9:13" x14ac:dyDescent="0.25">
      <c r="I2068" t="s">
        <v>418</v>
      </c>
      <c r="J2068" t="s">
        <v>4390</v>
      </c>
      <c r="L2068" t="s">
        <v>6626</v>
      </c>
      <c r="M2068" t="s">
        <v>6376</v>
      </c>
    </row>
    <row r="2069" spans="9:13" x14ac:dyDescent="0.25">
      <c r="I2069" t="s">
        <v>363</v>
      </c>
      <c r="J2069" t="s">
        <v>3359</v>
      </c>
      <c r="L2069" t="s">
        <v>5319</v>
      </c>
      <c r="M2069" t="s">
        <v>5320</v>
      </c>
    </row>
    <row r="2070" spans="9:13" x14ac:dyDescent="0.25">
      <c r="I2070" t="s">
        <v>2584</v>
      </c>
      <c r="J2070" t="s">
        <v>2585</v>
      </c>
      <c r="L2070" t="s">
        <v>321</v>
      </c>
      <c r="M2070" t="s">
        <v>6588</v>
      </c>
    </row>
    <row r="2071" spans="9:13" x14ac:dyDescent="0.25">
      <c r="I2071" t="s">
        <v>328</v>
      </c>
      <c r="J2071" t="s">
        <v>3161</v>
      </c>
      <c r="L2071" t="s">
        <v>483</v>
      </c>
      <c r="M2071" t="s">
        <v>5466</v>
      </c>
    </row>
    <row r="2072" spans="9:13" x14ac:dyDescent="0.25">
      <c r="I2072" t="s">
        <v>373</v>
      </c>
      <c r="J2072" t="s">
        <v>4336</v>
      </c>
      <c r="L2072" t="s">
        <v>328</v>
      </c>
      <c r="M2072" t="s">
        <v>6215</v>
      </c>
    </row>
    <row r="2073" spans="9:13" x14ac:dyDescent="0.25">
      <c r="I2073" t="s">
        <v>1826</v>
      </c>
      <c r="J2073" t="s">
        <v>3733</v>
      </c>
      <c r="L2073" t="s">
        <v>5168</v>
      </c>
      <c r="M2073" t="s">
        <v>5169</v>
      </c>
    </row>
    <row r="2074" spans="9:13" x14ac:dyDescent="0.25">
      <c r="I2074" t="s">
        <v>368</v>
      </c>
      <c r="J2074" t="s">
        <v>3536</v>
      </c>
      <c r="L2074" t="s">
        <v>45</v>
      </c>
      <c r="M2074" t="s">
        <v>6505</v>
      </c>
    </row>
    <row r="2075" spans="9:13" x14ac:dyDescent="0.25">
      <c r="I2075" t="s">
        <v>4498</v>
      </c>
      <c r="J2075" t="s">
        <v>4499</v>
      </c>
      <c r="L2075" t="s">
        <v>5284</v>
      </c>
      <c r="M2075" t="s">
        <v>5285</v>
      </c>
    </row>
    <row r="2076" spans="9:13" x14ac:dyDescent="0.25">
      <c r="I2076" t="s">
        <v>328</v>
      </c>
      <c r="J2076" t="s">
        <v>2601</v>
      </c>
      <c r="L2076" t="s">
        <v>3209</v>
      </c>
      <c r="M2076" t="s">
        <v>6270</v>
      </c>
    </row>
    <row r="2077" spans="9:13" x14ac:dyDescent="0.25">
      <c r="I2077" t="s">
        <v>414</v>
      </c>
      <c r="J2077" t="s">
        <v>3892</v>
      </c>
      <c r="L2077" t="s">
        <v>41</v>
      </c>
      <c r="M2077" t="s">
        <v>5223</v>
      </c>
    </row>
    <row r="2078" spans="9:13" x14ac:dyDescent="0.25">
      <c r="I2078" t="s">
        <v>418</v>
      </c>
      <c r="J2078" t="s">
        <v>3849</v>
      </c>
      <c r="L2078" t="s">
        <v>682</v>
      </c>
      <c r="M2078" t="s">
        <v>5627</v>
      </c>
    </row>
    <row r="2079" spans="9:13" x14ac:dyDescent="0.25">
      <c r="I2079" t="s">
        <v>363</v>
      </c>
      <c r="J2079" t="s">
        <v>3378</v>
      </c>
      <c r="L2079" t="s">
        <v>4691</v>
      </c>
      <c r="M2079" t="s">
        <v>4692</v>
      </c>
    </row>
    <row r="2080" spans="9:13" x14ac:dyDescent="0.25">
      <c r="I2080" t="s">
        <v>267</v>
      </c>
      <c r="J2080" t="s">
        <v>3490</v>
      </c>
      <c r="L2080" t="s">
        <v>731</v>
      </c>
      <c r="M2080" t="s">
        <v>7155</v>
      </c>
    </row>
    <row r="2081" spans="9:13" x14ac:dyDescent="0.25">
      <c r="I2081" t="s">
        <v>267</v>
      </c>
      <c r="J2081" t="s">
        <v>3339</v>
      </c>
      <c r="L2081" t="s">
        <v>474</v>
      </c>
      <c r="M2081" t="s">
        <v>5129</v>
      </c>
    </row>
    <row r="2082" spans="9:13" x14ac:dyDescent="0.25">
      <c r="I2082" t="s">
        <v>3996</v>
      </c>
      <c r="J2082" t="s">
        <v>3997</v>
      </c>
      <c r="L2082" t="s">
        <v>4767</v>
      </c>
      <c r="M2082" t="s">
        <v>5542</v>
      </c>
    </row>
    <row r="2083" spans="9:13" x14ac:dyDescent="0.25">
      <c r="I2083" t="s">
        <v>3526</v>
      </c>
      <c r="J2083" t="s">
        <v>3527</v>
      </c>
      <c r="L2083" t="s">
        <v>293</v>
      </c>
      <c r="M2083" t="s">
        <v>7056</v>
      </c>
    </row>
    <row r="2084" spans="9:13" x14ac:dyDescent="0.25">
      <c r="I2084" t="s">
        <v>330</v>
      </c>
      <c r="J2084" t="s">
        <v>4457</v>
      </c>
      <c r="L2084" t="s">
        <v>293</v>
      </c>
      <c r="M2084" t="s">
        <v>6366</v>
      </c>
    </row>
    <row r="2085" spans="9:13" x14ac:dyDescent="0.25">
      <c r="I2085" t="s">
        <v>49</v>
      </c>
      <c r="J2085" t="s">
        <v>3379</v>
      </c>
      <c r="L2085" t="s">
        <v>328</v>
      </c>
      <c r="M2085" t="s">
        <v>6029</v>
      </c>
    </row>
    <row r="2086" spans="9:13" x14ac:dyDescent="0.25">
      <c r="I2086" t="s">
        <v>277</v>
      </c>
      <c r="J2086" t="s">
        <v>6921</v>
      </c>
      <c r="L2086" t="s">
        <v>486</v>
      </c>
      <c r="M2086" t="s">
        <v>5985</v>
      </c>
    </row>
    <row r="2087" spans="9:13" x14ac:dyDescent="0.25">
      <c r="I2087" t="s">
        <v>581</v>
      </c>
      <c r="J2087" t="s">
        <v>2826</v>
      </c>
    </row>
    <row r="2088" spans="9:13" x14ac:dyDescent="0.25">
      <c r="I2088" t="s">
        <v>267</v>
      </c>
      <c r="J2088" t="s">
        <v>2761</v>
      </c>
    </row>
    <row r="2089" spans="9:13" x14ac:dyDescent="0.25">
      <c r="I2089" t="s">
        <v>4524</v>
      </c>
      <c r="J2089" t="s">
        <v>4525</v>
      </c>
    </row>
    <row r="2090" spans="9:13" x14ac:dyDescent="0.25">
      <c r="I2090" t="s">
        <v>6830</v>
      </c>
      <c r="J2090" t="s">
        <v>4254</v>
      </c>
    </row>
    <row r="2091" spans="9:13" x14ac:dyDescent="0.25">
      <c r="I2091" t="s">
        <v>2194</v>
      </c>
      <c r="J2091" t="s">
        <v>2195</v>
      </c>
    </row>
    <row r="2092" spans="9:13" x14ac:dyDescent="0.25">
      <c r="I2092" t="s">
        <v>2182</v>
      </c>
      <c r="J2092" t="s">
        <v>2183</v>
      </c>
    </row>
    <row r="2093" spans="9:13" x14ac:dyDescent="0.25">
      <c r="I2093" t="s">
        <v>414</v>
      </c>
      <c r="J2093" t="s">
        <v>2238</v>
      </c>
    </row>
    <row r="2094" spans="9:13" x14ac:dyDescent="0.25">
      <c r="I2094" t="s">
        <v>2452</v>
      </c>
      <c r="J2094" t="s">
        <v>2453</v>
      </c>
    </row>
    <row r="2095" spans="9:13" x14ac:dyDescent="0.25">
      <c r="I2095" t="s">
        <v>267</v>
      </c>
      <c r="J2095" t="s">
        <v>2687</v>
      </c>
    </row>
    <row r="2096" spans="9:13" x14ac:dyDescent="0.25">
      <c r="I2096" t="s">
        <v>418</v>
      </c>
      <c r="J2096" t="s">
        <v>3585</v>
      </c>
    </row>
    <row r="2097" spans="9:10" x14ac:dyDescent="0.25">
      <c r="I2097" t="s">
        <v>3333</v>
      </c>
      <c r="J2097" t="s">
        <v>3334</v>
      </c>
    </row>
    <row r="2098" spans="9:10" x14ac:dyDescent="0.25">
      <c r="I2098" t="s">
        <v>3112</v>
      </c>
      <c r="J2098" t="s">
        <v>3655</v>
      </c>
    </row>
    <row r="2099" spans="9:10" x14ac:dyDescent="0.25">
      <c r="I2099" t="s">
        <v>267</v>
      </c>
      <c r="J2099" t="s">
        <v>6662</v>
      </c>
    </row>
    <row r="2100" spans="9:10" x14ac:dyDescent="0.25">
      <c r="I2100" t="s">
        <v>418</v>
      </c>
      <c r="J2100" t="s">
        <v>3410</v>
      </c>
    </row>
    <row r="2101" spans="9:10" x14ac:dyDescent="0.25">
      <c r="I2101" t="s">
        <v>129</v>
      </c>
      <c r="J2101" t="s">
        <v>2364</v>
      </c>
    </row>
    <row r="2102" spans="9:10" x14ac:dyDescent="0.25">
      <c r="I2102" t="s">
        <v>302</v>
      </c>
      <c r="J2102" t="s">
        <v>4315</v>
      </c>
    </row>
    <row r="2103" spans="9:10" x14ac:dyDescent="0.25">
      <c r="I2103" t="s">
        <v>328</v>
      </c>
      <c r="J2103" t="s">
        <v>3202</v>
      </c>
    </row>
    <row r="2104" spans="9:10" x14ac:dyDescent="0.25">
      <c r="I2104" t="s">
        <v>144</v>
      </c>
      <c r="J2104" t="s">
        <v>3264</v>
      </c>
    </row>
    <row r="2105" spans="9:10" x14ac:dyDescent="0.25">
      <c r="I2105" t="s">
        <v>1900</v>
      </c>
      <c r="J2105" t="s">
        <v>1901</v>
      </c>
    </row>
    <row r="2106" spans="9:10" x14ac:dyDescent="0.25">
      <c r="I2106" t="s">
        <v>418</v>
      </c>
      <c r="J2106" t="s">
        <v>4032</v>
      </c>
    </row>
    <row r="2107" spans="9:10" x14ac:dyDescent="0.25">
      <c r="I2107" t="s">
        <v>414</v>
      </c>
      <c r="J2107" t="s">
        <v>3908</v>
      </c>
    </row>
    <row r="2108" spans="9:10" x14ac:dyDescent="0.25">
      <c r="I2108" t="s">
        <v>267</v>
      </c>
      <c r="J2108" t="s">
        <v>2133</v>
      </c>
    </row>
    <row r="2109" spans="9:10" x14ac:dyDescent="0.25">
      <c r="I2109" t="s">
        <v>267</v>
      </c>
      <c r="J2109" t="s">
        <v>3078</v>
      </c>
    </row>
    <row r="2110" spans="9:10" x14ac:dyDescent="0.25">
      <c r="I2110" t="s">
        <v>2014</v>
      </c>
      <c r="J2110" t="s">
        <v>2668</v>
      </c>
    </row>
    <row r="2111" spans="9:10" x14ac:dyDescent="0.25">
      <c r="I2111" t="s">
        <v>414</v>
      </c>
      <c r="J2111" t="s">
        <v>4077</v>
      </c>
    </row>
    <row r="2112" spans="9:10" x14ac:dyDescent="0.25">
      <c r="I2112" t="s">
        <v>98</v>
      </c>
      <c r="J2112" t="s">
        <v>6961</v>
      </c>
    </row>
    <row r="2113" spans="9:10" x14ac:dyDescent="0.25">
      <c r="I2113" t="s">
        <v>97</v>
      </c>
      <c r="J2113" t="s">
        <v>3356</v>
      </c>
    </row>
    <row r="2114" spans="9:10" x14ac:dyDescent="0.25">
      <c r="I2114" t="s">
        <v>302</v>
      </c>
      <c r="J2114" t="s">
        <v>4343</v>
      </c>
    </row>
    <row r="2115" spans="9:10" x14ac:dyDescent="0.25">
      <c r="I2115" t="s">
        <v>328</v>
      </c>
      <c r="J2115" t="s">
        <v>4210</v>
      </c>
    </row>
    <row r="2116" spans="9:10" x14ac:dyDescent="0.25">
      <c r="I2116" t="s">
        <v>328</v>
      </c>
      <c r="J2116" t="s">
        <v>4235</v>
      </c>
    </row>
    <row r="2117" spans="9:10" x14ac:dyDescent="0.25">
      <c r="I2117" t="s">
        <v>2245</v>
      </c>
      <c r="J2117" t="s">
        <v>3243</v>
      </c>
    </row>
    <row r="2118" spans="9:10" x14ac:dyDescent="0.25">
      <c r="I2118" t="s">
        <v>364</v>
      </c>
      <c r="J2118" t="s">
        <v>4079</v>
      </c>
    </row>
    <row r="2119" spans="9:10" x14ac:dyDescent="0.25">
      <c r="I2119" t="s">
        <v>41</v>
      </c>
      <c r="J2119" t="s">
        <v>4441</v>
      </c>
    </row>
    <row r="2120" spans="9:10" x14ac:dyDescent="0.25">
      <c r="I2120" t="s">
        <v>267</v>
      </c>
      <c r="J2120" t="s">
        <v>2289</v>
      </c>
    </row>
    <row r="2121" spans="9:10" x14ac:dyDescent="0.25">
      <c r="I2121" t="s">
        <v>129</v>
      </c>
      <c r="J2121" t="s">
        <v>4282</v>
      </c>
    </row>
    <row r="2122" spans="9:10" x14ac:dyDescent="0.25">
      <c r="I2122" t="s">
        <v>302</v>
      </c>
      <c r="J2122" t="s">
        <v>3224</v>
      </c>
    </row>
    <row r="2123" spans="9:10" x14ac:dyDescent="0.25">
      <c r="I2123" t="s">
        <v>425</v>
      </c>
      <c r="J2123" t="s">
        <v>6899</v>
      </c>
    </row>
    <row r="2124" spans="9:10" x14ac:dyDescent="0.25">
      <c r="I2124" t="s">
        <v>414</v>
      </c>
      <c r="J2124" t="s">
        <v>3649</v>
      </c>
    </row>
    <row r="2125" spans="9:10" x14ac:dyDescent="0.25">
      <c r="I2125" t="s">
        <v>6733</v>
      </c>
      <c r="J2125" t="s">
        <v>2484</v>
      </c>
    </row>
    <row r="2126" spans="9:10" x14ac:dyDescent="0.25">
      <c r="I2126" t="s">
        <v>289</v>
      </c>
      <c r="J2126" t="s">
        <v>3873</v>
      </c>
    </row>
    <row r="2127" spans="9:10" x14ac:dyDescent="0.25">
      <c r="I2127" t="s">
        <v>3765</v>
      </c>
      <c r="J2127" t="s">
        <v>3766</v>
      </c>
    </row>
    <row r="2128" spans="9:10" x14ac:dyDescent="0.25">
      <c r="I2128" t="s">
        <v>102</v>
      </c>
      <c r="J2128" t="s">
        <v>4366</v>
      </c>
    </row>
    <row r="2129" spans="9:10" x14ac:dyDescent="0.25">
      <c r="I2129" t="s">
        <v>414</v>
      </c>
      <c r="J2129" t="s">
        <v>2288</v>
      </c>
    </row>
    <row r="2130" spans="9:10" x14ac:dyDescent="0.25">
      <c r="I2130" t="s">
        <v>97</v>
      </c>
      <c r="J2130" t="s">
        <v>2041</v>
      </c>
    </row>
    <row r="2131" spans="9:10" x14ac:dyDescent="0.25">
      <c r="I2131" t="s">
        <v>2294</v>
      </c>
      <c r="J2131" t="s">
        <v>3931</v>
      </c>
    </row>
    <row r="2132" spans="9:10" x14ac:dyDescent="0.25">
      <c r="I2132" t="s">
        <v>2560</v>
      </c>
      <c r="J2132" t="s">
        <v>3902</v>
      </c>
    </row>
    <row r="2133" spans="9:10" x14ac:dyDescent="0.25">
      <c r="I2133" t="s">
        <v>321</v>
      </c>
      <c r="J2133" t="s">
        <v>3257</v>
      </c>
    </row>
    <row r="2134" spans="9:10" x14ac:dyDescent="0.25">
      <c r="I2134" t="s">
        <v>50</v>
      </c>
      <c r="J2134" t="s">
        <v>3437</v>
      </c>
    </row>
    <row r="2135" spans="9:10" x14ac:dyDescent="0.25">
      <c r="I2135" t="s">
        <v>49</v>
      </c>
      <c r="J2135" t="s">
        <v>4208</v>
      </c>
    </row>
    <row r="2136" spans="9:10" x14ac:dyDescent="0.25">
      <c r="I2136" t="s">
        <v>326</v>
      </c>
      <c r="J2136" t="s">
        <v>3145</v>
      </c>
    </row>
    <row r="2137" spans="9:10" x14ac:dyDescent="0.25">
      <c r="I2137" t="s">
        <v>326</v>
      </c>
      <c r="J2137" t="s">
        <v>4511</v>
      </c>
    </row>
    <row r="2138" spans="9:10" x14ac:dyDescent="0.25">
      <c r="I2138" t="s">
        <v>2245</v>
      </c>
      <c r="J2138" t="s">
        <v>2823</v>
      </c>
    </row>
    <row r="2139" spans="9:10" x14ac:dyDescent="0.25">
      <c r="I2139" t="s">
        <v>2245</v>
      </c>
      <c r="J2139" t="s">
        <v>6668</v>
      </c>
    </row>
    <row r="2140" spans="9:10" x14ac:dyDescent="0.25">
      <c r="I2140" t="s">
        <v>351</v>
      </c>
      <c r="J2140" t="s">
        <v>3447</v>
      </c>
    </row>
    <row r="2141" spans="9:10" x14ac:dyDescent="0.25">
      <c r="I2141" t="s">
        <v>129</v>
      </c>
      <c r="J2141" t="s">
        <v>2774</v>
      </c>
    </row>
    <row r="2142" spans="9:10" x14ac:dyDescent="0.25">
      <c r="I2142" t="s">
        <v>26</v>
      </c>
      <c r="J2142" t="s">
        <v>1729</v>
      </c>
    </row>
    <row r="2143" spans="9:10" x14ac:dyDescent="0.25">
      <c r="I2143" t="s">
        <v>144</v>
      </c>
      <c r="J2143" t="s">
        <v>1930</v>
      </c>
    </row>
    <row r="2144" spans="9:10" x14ac:dyDescent="0.25">
      <c r="I2144" t="s">
        <v>41</v>
      </c>
      <c r="J2144" t="s">
        <v>3957</v>
      </c>
    </row>
    <row r="2145" spans="9:10" x14ac:dyDescent="0.25">
      <c r="I2145" t="s">
        <v>2855</v>
      </c>
      <c r="J2145" t="s">
        <v>4300</v>
      </c>
    </row>
    <row r="2146" spans="9:10" x14ac:dyDescent="0.25">
      <c r="I2146" t="s">
        <v>414</v>
      </c>
      <c r="J2146" t="s">
        <v>4160</v>
      </c>
    </row>
    <row r="2147" spans="9:10" x14ac:dyDescent="0.25">
      <c r="I2147" t="s">
        <v>326</v>
      </c>
      <c r="J2147" t="s">
        <v>3759</v>
      </c>
    </row>
    <row r="2148" spans="9:10" x14ac:dyDescent="0.25">
      <c r="I2148" t="s">
        <v>44</v>
      </c>
      <c r="J2148" t="s">
        <v>3521</v>
      </c>
    </row>
    <row r="2149" spans="9:10" x14ac:dyDescent="0.25">
      <c r="I2149" t="s">
        <v>3403</v>
      </c>
      <c r="J2149" t="s">
        <v>6924</v>
      </c>
    </row>
    <row r="2150" spans="9:10" x14ac:dyDescent="0.25">
      <c r="I2150" t="s">
        <v>44</v>
      </c>
      <c r="J2150" t="s">
        <v>2300</v>
      </c>
    </row>
    <row r="2151" spans="9:10" x14ac:dyDescent="0.25">
      <c r="I2151" t="s">
        <v>328</v>
      </c>
      <c r="J2151" t="s">
        <v>3122</v>
      </c>
    </row>
    <row r="2152" spans="9:10" x14ac:dyDescent="0.25">
      <c r="I2152" t="s">
        <v>3994</v>
      </c>
      <c r="J2152" t="s">
        <v>3995</v>
      </c>
    </row>
    <row r="2153" spans="9:10" x14ac:dyDescent="0.25">
      <c r="I2153" t="s">
        <v>267</v>
      </c>
      <c r="J2153" t="s">
        <v>3338</v>
      </c>
    </row>
    <row r="2154" spans="9:10" x14ac:dyDescent="0.25">
      <c r="I2154" t="s">
        <v>302</v>
      </c>
      <c r="J2154" t="s">
        <v>2949</v>
      </c>
    </row>
    <row r="2155" spans="9:10" x14ac:dyDescent="0.25">
      <c r="I2155" t="s">
        <v>414</v>
      </c>
      <c r="J2155" t="s">
        <v>3950</v>
      </c>
    </row>
    <row r="2156" spans="9:10" x14ac:dyDescent="0.25">
      <c r="I2156" t="s">
        <v>6733</v>
      </c>
      <c r="J2156" t="s">
        <v>3408</v>
      </c>
    </row>
    <row r="2157" spans="9:10" x14ac:dyDescent="0.25">
      <c r="I2157" t="s">
        <v>2545</v>
      </c>
      <c r="J2157" t="s">
        <v>2546</v>
      </c>
    </row>
    <row r="2158" spans="9:10" x14ac:dyDescent="0.25">
      <c r="I2158" t="s">
        <v>267</v>
      </c>
      <c r="J2158" t="s">
        <v>3690</v>
      </c>
    </row>
    <row r="2159" spans="9:10" x14ac:dyDescent="0.25">
      <c r="I2159" t="s">
        <v>266</v>
      </c>
      <c r="J2159" t="s">
        <v>4020</v>
      </c>
    </row>
    <row r="2160" spans="9:10" x14ac:dyDescent="0.25">
      <c r="I2160" t="s">
        <v>2231</v>
      </c>
      <c r="J2160" t="s">
        <v>2232</v>
      </c>
    </row>
    <row r="2161" spans="9:10" x14ac:dyDescent="0.25">
      <c r="I2161" t="s">
        <v>6843</v>
      </c>
      <c r="J2161" t="s">
        <v>2748</v>
      </c>
    </row>
    <row r="2162" spans="9:10" x14ac:dyDescent="0.25">
      <c r="I2162" t="s">
        <v>2560</v>
      </c>
      <c r="J2162" t="s">
        <v>2561</v>
      </c>
    </row>
    <row r="2163" spans="9:10" x14ac:dyDescent="0.25">
      <c r="I2163" t="s">
        <v>98</v>
      </c>
      <c r="J2163" t="s">
        <v>2346</v>
      </c>
    </row>
    <row r="2164" spans="9:10" x14ac:dyDescent="0.25">
      <c r="I2164" t="s">
        <v>2186</v>
      </c>
      <c r="J2164" t="s">
        <v>2187</v>
      </c>
    </row>
    <row r="2165" spans="9:10" x14ac:dyDescent="0.25">
      <c r="I2165" t="s">
        <v>328</v>
      </c>
      <c r="J2165" t="s">
        <v>3305</v>
      </c>
    </row>
    <row r="2166" spans="9:10" x14ac:dyDescent="0.25">
      <c r="I2166" t="s">
        <v>418</v>
      </c>
      <c r="J2166" t="s">
        <v>1878</v>
      </c>
    </row>
    <row r="2167" spans="9:10" x14ac:dyDescent="0.25">
      <c r="I2167" t="s">
        <v>414</v>
      </c>
      <c r="J2167" t="s">
        <v>2694</v>
      </c>
    </row>
    <row r="2168" spans="9:10" x14ac:dyDescent="0.25">
      <c r="I2168" t="s">
        <v>3043</v>
      </c>
      <c r="J2168" t="s">
        <v>3044</v>
      </c>
    </row>
    <row r="2169" spans="9:10" x14ac:dyDescent="0.25">
      <c r="I2169" t="s">
        <v>418</v>
      </c>
      <c r="J2169" t="s">
        <v>2905</v>
      </c>
    </row>
    <row r="2170" spans="9:10" x14ac:dyDescent="0.25">
      <c r="I2170" t="s">
        <v>328</v>
      </c>
      <c r="J2170" t="s">
        <v>3554</v>
      </c>
    </row>
    <row r="2171" spans="9:10" x14ac:dyDescent="0.25">
      <c r="I2171" t="s">
        <v>267</v>
      </c>
      <c r="J2171" t="s">
        <v>4021</v>
      </c>
    </row>
    <row r="2172" spans="9:10" x14ac:dyDescent="0.25">
      <c r="I2172" t="s">
        <v>289</v>
      </c>
      <c r="J2172" t="s">
        <v>2796</v>
      </c>
    </row>
    <row r="2173" spans="9:10" x14ac:dyDescent="0.25">
      <c r="I2173" t="s">
        <v>418</v>
      </c>
      <c r="J2173" t="s">
        <v>4274</v>
      </c>
    </row>
    <row r="2174" spans="9:10" x14ac:dyDescent="0.25">
      <c r="I2174" t="s">
        <v>326</v>
      </c>
      <c r="J2174" t="s">
        <v>4118</v>
      </c>
    </row>
    <row r="2175" spans="9:10" x14ac:dyDescent="0.25">
      <c r="I2175" t="s">
        <v>3183</v>
      </c>
      <c r="J2175" t="s">
        <v>3184</v>
      </c>
    </row>
    <row r="2176" spans="9:10" x14ac:dyDescent="0.25">
      <c r="I2176" t="s">
        <v>600</v>
      </c>
      <c r="J2176" t="s">
        <v>6856</v>
      </c>
    </row>
    <row r="2177" spans="9:10" x14ac:dyDescent="0.25">
      <c r="I2177" t="s">
        <v>266</v>
      </c>
      <c r="J2177" t="s">
        <v>4016</v>
      </c>
    </row>
    <row r="2178" spans="9:10" x14ac:dyDescent="0.25">
      <c r="I2178" t="s">
        <v>326</v>
      </c>
      <c r="J2178" t="s">
        <v>3434</v>
      </c>
    </row>
    <row r="2179" spans="9:10" x14ac:dyDescent="0.25">
      <c r="I2179" t="s">
        <v>266</v>
      </c>
      <c r="J2179" t="s">
        <v>4385</v>
      </c>
    </row>
    <row r="2180" spans="9:10" x14ac:dyDescent="0.25">
      <c r="I2180" t="s">
        <v>793</v>
      </c>
      <c r="J2180" t="s">
        <v>3483</v>
      </c>
    </row>
    <row r="2181" spans="9:10" x14ac:dyDescent="0.25">
      <c r="I2181" t="s">
        <v>302</v>
      </c>
      <c r="J2181" t="s">
        <v>4471</v>
      </c>
    </row>
    <row r="2182" spans="9:10" x14ac:dyDescent="0.25">
      <c r="I2182" t="s">
        <v>2695</v>
      </c>
      <c r="J2182" t="s">
        <v>3415</v>
      </c>
    </row>
    <row r="2183" spans="9:10" x14ac:dyDescent="0.25">
      <c r="I2183" t="s">
        <v>4132</v>
      </c>
      <c r="J2183" t="s">
        <v>4133</v>
      </c>
    </row>
    <row r="2184" spans="9:10" x14ac:dyDescent="0.25">
      <c r="I2184" t="s">
        <v>328</v>
      </c>
      <c r="J2184" t="s">
        <v>3190</v>
      </c>
    </row>
    <row r="2185" spans="9:10" x14ac:dyDescent="0.25">
      <c r="I2185" t="s">
        <v>44</v>
      </c>
      <c r="J2185" t="s">
        <v>1772</v>
      </c>
    </row>
    <row r="2186" spans="9:10" x14ac:dyDescent="0.25">
      <c r="I2186" t="s">
        <v>50</v>
      </c>
      <c r="J2186" t="s">
        <v>2276</v>
      </c>
    </row>
    <row r="2187" spans="9:10" x14ac:dyDescent="0.25">
      <c r="I2187" t="s">
        <v>2895</v>
      </c>
      <c r="J2187" t="s">
        <v>2896</v>
      </c>
    </row>
    <row r="2188" spans="9:10" x14ac:dyDescent="0.25">
      <c r="I2188" t="s">
        <v>373</v>
      </c>
      <c r="J2188" t="s">
        <v>3540</v>
      </c>
    </row>
    <row r="2189" spans="9:10" x14ac:dyDescent="0.25">
      <c r="I2189" t="s">
        <v>25</v>
      </c>
      <c r="J2189" t="s">
        <v>3992</v>
      </c>
    </row>
    <row r="2190" spans="9:10" x14ac:dyDescent="0.25">
      <c r="I2190" t="s">
        <v>330</v>
      </c>
      <c r="J2190" t="s">
        <v>3197</v>
      </c>
    </row>
    <row r="2191" spans="9:10" x14ac:dyDescent="0.25">
      <c r="I2191" t="s">
        <v>820</v>
      </c>
      <c r="J2191" t="s">
        <v>2849</v>
      </c>
    </row>
    <row r="2192" spans="9:10" x14ac:dyDescent="0.25">
      <c r="I2192" t="s">
        <v>414</v>
      </c>
      <c r="J2192" t="s">
        <v>2643</v>
      </c>
    </row>
    <row r="2193" spans="9:10" x14ac:dyDescent="0.25">
      <c r="I2193" t="s">
        <v>267</v>
      </c>
      <c r="J2193" t="s">
        <v>3805</v>
      </c>
    </row>
    <row r="2194" spans="9:10" x14ac:dyDescent="0.25">
      <c r="I2194" t="s">
        <v>2140</v>
      </c>
      <c r="J2194" t="s">
        <v>2141</v>
      </c>
    </row>
    <row r="2195" spans="9:10" x14ac:dyDescent="0.25">
      <c r="I2195" t="s">
        <v>363</v>
      </c>
      <c r="J2195" t="s">
        <v>1699</v>
      </c>
    </row>
    <row r="2196" spans="9:10" x14ac:dyDescent="0.25">
      <c r="I2196" t="s">
        <v>267</v>
      </c>
      <c r="J2196" t="s">
        <v>4152</v>
      </c>
    </row>
    <row r="2197" spans="9:10" x14ac:dyDescent="0.25">
      <c r="I2197" t="s">
        <v>414</v>
      </c>
      <c r="J2197" t="s">
        <v>6686</v>
      </c>
    </row>
    <row r="2198" spans="9:10" x14ac:dyDescent="0.25">
      <c r="I2198" t="s">
        <v>129</v>
      </c>
      <c r="J2198" t="s">
        <v>4223</v>
      </c>
    </row>
    <row r="2199" spans="9:10" x14ac:dyDescent="0.25">
      <c r="I2199" t="s">
        <v>1850</v>
      </c>
      <c r="J2199" t="s">
        <v>6688</v>
      </c>
    </row>
    <row r="2200" spans="9:10" x14ac:dyDescent="0.25">
      <c r="I2200" t="s">
        <v>351</v>
      </c>
      <c r="J2200" t="s">
        <v>3084</v>
      </c>
    </row>
    <row r="2201" spans="9:10" x14ac:dyDescent="0.25">
      <c r="I2201" t="s">
        <v>267</v>
      </c>
      <c r="J2201" t="s">
        <v>4260</v>
      </c>
    </row>
    <row r="2202" spans="9:10" x14ac:dyDescent="0.25">
      <c r="I2202" t="s">
        <v>3258</v>
      </c>
      <c r="J2202" t="s">
        <v>3259</v>
      </c>
    </row>
    <row r="2203" spans="9:10" x14ac:dyDescent="0.25">
      <c r="I2203" t="s">
        <v>2978</v>
      </c>
      <c r="J2203" t="s">
        <v>2979</v>
      </c>
    </row>
    <row r="2204" spans="9:10" x14ac:dyDescent="0.25">
      <c r="I2204" t="s">
        <v>293</v>
      </c>
      <c r="J2204" t="s">
        <v>2607</v>
      </c>
    </row>
    <row r="2205" spans="9:10" x14ac:dyDescent="0.25">
      <c r="I2205" t="s">
        <v>373</v>
      </c>
      <c r="J2205" t="s">
        <v>1909</v>
      </c>
    </row>
    <row r="2206" spans="9:10" x14ac:dyDescent="0.25">
      <c r="I2206" t="s">
        <v>49</v>
      </c>
      <c r="J2206" t="s">
        <v>6665</v>
      </c>
    </row>
    <row r="2207" spans="9:10" x14ac:dyDescent="0.25">
      <c r="I2207" t="s">
        <v>2855</v>
      </c>
      <c r="J2207" t="s">
        <v>2856</v>
      </c>
    </row>
    <row r="2208" spans="9:10" x14ac:dyDescent="0.25">
      <c r="I2208" t="s">
        <v>324</v>
      </c>
      <c r="J2208" t="s">
        <v>2407</v>
      </c>
    </row>
    <row r="2209" spans="9:10" x14ac:dyDescent="0.25">
      <c r="I2209" t="s">
        <v>97</v>
      </c>
      <c r="J2209" t="s">
        <v>4470</v>
      </c>
    </row>
    <row r="2210" spans="9:10" x14ac:dyDescent="0.25">
      <c r="I2210" t="s">
        <v>2200</v>
      </c>
      <c r="J2210" t="s">
        <v>2211</v>
      </c>
    </row>
    <row r="2211" spans="9:10" x14ac:dyDescent="0.25">
      <c r="I2211" t="s">
        <v>1710</v>
      </c>
      <c r="J2211" t="s">
        <v>1711</v>
      </c>
    </row>
    <row r="2212" spans="9:10" x14ac:dyDescent="0.25">
      <c r="I2212" t="s">
        <v>44</v>
      </c>
      <c r="J2212" t="s">
        <v>2176</v>
      </c>
    </row>
    <row r="2213" spans="9:10" x14ac:dyDescent="0.25">
      <c r="I2213" t="s">
        <v>2200</v>
      </c>
      <c r="J2213" t="s">
        <v>3244</v>
      </c>
    </row>
    <row r="2214" spans="9:10" x14ac:dyDescent="0.25">
      <c r="I2214" t="s">
        <v>302</v>
      </c>
      <c r="J2214" t="s">
        <v>3696</v>
      </c>
    </row>
    <row r="2215" spans="9:10" x14ac:dyDescent="0.25">
      <c r="I2215" t="s">
        <v>302</v>
      </c>
      <c r="J2215" t="s">
        <v>4219</v>
      </c>
    </row>
    <row r="2216" spans="9:10" x14ac:dyDescent="0.25">
      <c r="I2216" t="s">
        <v>414</v>
      </c>
      <c r="J2216" t="s">
        <v>1975</v>
      </c>
    </row>
    <row r="2217" spans="9:10" x14ac:dyDescent="0.25">
      <c r="I2217" t="s">
        <v>267</v>
      </c>
      <c r="J2217" t="s">
        <v>2328</v>
      </c>
    </row>
    <row r="2218" spans="9:10" x14ac:dyDescent="0.25">
      <c r="I2218" t="s">
        <v>6733</v>
      </c>
      <c r="J2218" t="s">
        <v>3226</v>
      </c>
    </row>
    <row r="2219" spans="9:10" x14ac:dyDescent="0.25">
      <c r="I2219" t="s">
        <v>597</v>
      </c>
      <c r="J2219" t="s">
        <v>3014</v>
      </c>
    </row>
    <row r="2220" spans="9:10" x14ac:dyDescent="0.25">
      <c r="I2220" t="s">
        <v>4484</v>
      </c>
      <c r="J2220" t="s">
        <v>4485</v>
      </c>
    </row>
    <row r="2221" spans="9:10" x14ac:dyDescent="0.25">
      <c r="I2221" t="s">
        <v>3743</v>
      </c>
      <c r="J2221" t="s">
        <v>3744</v>
      </c>
    </row>
    <row r="2222" spans="9:10" x14ac:dyDescent="0.25">
      <c r="I2222" t="s">
        <v>418</v>
      </c>
      <c r="J2222" t="s">
        <v>3746</v>
      </c>
    </row>
    <row r="2223" spans="9:10" x14ac:dyDescent="0.25">
      <c r="I2223" t="s">
        <v>418</v>
      </c>
      <c r="J2223" t="s">
        <v>2282</v>
      </c>
    </row>
    <row r="2224" spans="9:10" x14ac:dyDescent="0.25">
      <c r="I2224" t="s">
        <v>373</v>
      </c>
      <c r="J2224" t="s">
        <v>4321</v>
      </c>
    </row>
    <row r="2225" spans="9:10" x14ac:dyDescent="0.25">
      <c r="I2225" t="s">
        <v>1835</v>
      </c>
      <c r="J2225" t="s">
        <v>3181</v>
      </c>
    </row>
    <row r="2226" spans="9:10" x14ac:dyDescent="0.25">
      <c r="I2226" t="s">
        <v>302</v>
      </c>
      <c r="J2226" t="s">
        <v>2964</v>
      </c>
    </row>
    <row r="2227" spans="9:10" x14ac:dyDescent="0.25">
      <c r="I2227" t="s">
        <v>414</v>
      </c>
      <c r="J2227" t="s">
        <v>2451</v>
      </c>
    </row>
    <row r="2228" spans="9:10" x14ac:dyDescent="0.25">
      <c r="I2228" t="s">
        <v>98</v>
      </c>
      <c r="J2228" t="s">
        <v>4271</v>
      </c>
    </row>
    <row r="2229" spans="9:10" x14ac:dyDescent="0.25">
      <c r="I2229" t="s">
        <v>2200</v>
      </c>
      <c r="J2229" t="s">
        <v>3026</v>
      </c>
    </row>
    <row r="2230" spans="9:10" x14ac:dyDescent="0.25">
      <c r="I2230" t="s">
        <v>2105</v>
      </c>
      <c r="J2230" t="s">
        <v>3782</v>
      </c>
    </row>
    <row r="2231" spans="9:10" x14ac:dyDescent="0.25">
      <c r="I2231" t="s">
        <v>418</v>
      </c>
      <c r="J2231" t="s">
        <v>1837</v>
      </c>
    </row>
    <row r="2232" spans="9:10" x14ac:dyDescent="0.25">
      <c r="I2232" t="s">
        <v>1806</v>
      </c>
      <c r="J2232" t="s">
        <v>2522</v>
      </c>
    </row>
    <row r="2233" spans="9:10" x14ac:dyDescent="0.25">
      <c r="I2233" t="s">
        <v>1801</v>
      </c>
      <c r="J2233" t="s">
        <v>1802</v>
      </c>
    </row>
    <row r="2234" spans="9:10" x14ac:dyDescent="0.25">
      <c r="I2234" t="s">
        <v>321</v>
      </c>
      <c r="J2234" t="s">
        <v>2996</v>
      </c>
    </row>
    <row r="2235" spans="9:10" x14ac:dyDescent="0.25">
      <c r="I2235" t="s">
        <v>328</v>
      </c>
      <c r="J2235" t="s">
        <v>3382</v>
      </c>
    </row>
    <row r="2236" spans="9:10" x14ac:dyDescent="0.25">
      <c r="I2236" t="s">
        <v>418</v>
      </c>
      <c r="J2236" t="s">
        <v>2551</v>
      </c>
    </row>
    <row r="2237" spans="9:10" x14ac:dyDescent="0.25">
      <c r="I2237" t="s">
        <v>326</v>
      </c>
      <c r="J2237" t="s">
        <v>4488</v>
      </c>
    </row>
    <row r="2238" spans="9:10" x14ac:dyDescent="0.25">
      <c r="I2238" t="s">
        <v>2200</v>
      </c>
      <c r="J2238" t="s">
        <v>3127</v>
      </c>
    </row>
    <row r="2239" spans="9:10" x14ac:dyDescent="0.25">
      <c r="I2239" t="s">
        <v>3043</v>
      </c>
      <c r="J2239" t="s">
        <v>3767</v>
      </c>
    </row>
    <row r="2240" spans="9:10" x14ac:dyDescent="0.25">
      <c r="I2240" t="s">
        <v>2082</v>
      </c>
      <c r="J2240" t="s">
        <v>2572</v>
      </c>
    </row>
    <row r="2241" spans="9:10" x14ac:dyDescent="0.25">
      <c r="I2241" t="s">
        <v>3598</v>
      </c>
      <c r="J2241" t="s">
        <v>3599</v>
      </c>
    </row>
    <row r="2242" spans="9:10" x14ac:dyDescent="0.25">
      <c r="I2242" t="s">
        <v>418</v>
      </c>
      <c r="J2242" t="s">
        <v>4275</v>
      </c>
    </row>
    <row r="2243" spans="9:10" x14ac:dyDescent="0.25">
      <c r="I2243" t="s">
        <v>25</v>
      </c>
      <c r="J2243" t="s">
        <v>3556</v>
      </c>
    </row>
    <row r="2244" spans="9:10" x14ac:dyDescent="0.25">
      <c r="I2244" t="s">
        <v>1801</v>
      </c>
      <c r="J2244" t="s">
        <v>2192</v>
      </c>
    </row>
    <row r="2245" spans="9:10" x14ac:dyDescent="0.25">
      <c r="I2245" t="s">
        <v>267</v>
      </c>
      <c r="J2245" t="s">
        <v>3478</v>
      </c>
    </row>
    <row r="2246" spans="9:10" x14ac:dyDescent="0.25">
      <c r="I2246" t="s">
        <v>793</v>
      </c>
      <c r="J2246" t="s">
        <v>3518</v>
      </c>
    </row>
    <row r="2247" spans="9:10" x14ac:dyDescent="0.25">
      <c r="I2247" t="s">
        <v>2626</v>
      </c>
      <c r="J2247" t="s">
        <v>2627</v>
      </c>
    </row>
    <row r="2248" spans="9:10" x14ac:dyDescent="0.25">
      <c r="I2248" t="s">
        <v>746</v>
      </c>
      <c r="J2248" t="s">
        <v>3464</v>
      </c>
    </row>
    <row r="2249" spans="9:10" x14ac:dyDescent="0.25">
      <c r="I2249" t="s">
        <v>1733</v>
      </c>
      <c r="J2249" t="s">
        <v>1734</v>
      </c>
    </row>
    <row r="2250" spans="9:10" x14ac:dyDescent="0.25">
      <c r="I2250" t="s">
        <v>4157</v>
      </c>
      <c r="J2250" t="s">
        <v>4502</v>
      </c>
    </row>
    <row r="2251" spans="9:10" x14ac:dyDescent="0.25">
      <c r="I2251" t="s">
        <v>40</v>
      </c>
      <c r="J2251" t="s">
        <v>1919</v>
      </c>
    </row>
    <row r="2252" spans="9:10" x14ac:dyDescent="0.25">
      <c r="I2252" t="s">
        <v>267</v>
      </c>
      <c r="J2252" t="s">
        <v>3658</v>
      </c>
    </row>
    <row r="2253" spans="9:10" x14ac:dyDescent="0.25">
      <c r="I2253" t="s">
        <v>330</v>
      </c>
      <c r="J2253" t="s">
        <v>4104</v>
      </c>
    </row>
    <row r="2254" spans="9:10" x14ac:dyDescent="0.25">
      <c r="I2254" t="s">
        <v>418</v>
      </c>
      <c r="J2254" t="s">
        <v>2933</v>
      </c>
    </row>
    <row r="2255" spans="9:10" x14ac:dyDescent="0.25">
      <c r="I2255" t="s">
        <v>302</v>
      </c>
      <c r="J2255" t="s">
        <v>1961</v>
      </c>
    </row>
    <row r="2256" spans="9:10" x14ac:dyDescent="0.25">
      <c r="I2256" t="s">
        <v>418</v>
      </c>
      <c r="J2256" t="s">
        <v>2969</v>
      </c>
    </row>
    <row r="2257" spans="9:10" x14ac:dyDescent="0.25">
      <c r="I2257" t="s">
        <v>418</v>
      </c>
      <c r="J2257" t="s">
        <v>2899</v>
      </c>
    </row>
    <row r="2258" spans="9:10" x14ac:dyDescent="0.25">
      <c r="I2258" t="s">
        <v>324</v>
      </c>
      <c r="J2258" t="s">
        <v>4349</v>
      </c>
    </row>
    <row r="2259" spans="9:10" x14ac:dyDescent="0.25">
      <c r="I2259" t="s">
        <v>326</v>
      </c>
      <c r="J2259" t="s">
        <v>3557</v>
      </c>
    </row>
    <row r="2260" spans="9:10" x14ac:dyDescent="0.25">
      <c r="I2260" t="s">
        <v>302</v>
      </c>
      <c r="J2260" t="s">
        <v>4136</v>
      </c>
    </row>
    <row r="2261" spans="9:10" x14ac:dyDescent="0.25">
      <c r="I2261" t="s">
        <v>566</v>
      </c>
      <c r="J2261" t="s">
        <v>2554</v>
      </c>
    </row>
    <row r="2262" spans="9:10" x14ac:dyDescent="0.25">
      <c r="I2262" t="s">
        <v>418</v>
      </c>
      <c r="J2262" t="s">
        <v>4172</v>
      </c>
    </row>
    <row r="2263" spans="9:10" x14ac:dyDescent="0.25">
      <c r="I2263" t="s">
        <v>414</v>
      </c>
      <c r="J2263" t="s">
        <v>3768</v>
      </c>
    </row>
    <row r="2264" spans="9:10" x14ac:dyDescent="0.25">
      <c r="I2264" t="s">
        <v>302</v>
      </c>
      <c r="J2264" t="s">
        <v>1664</v>
      </c>
    </row>
    <row r="2265" spans="9:10" x14ac:dyDescent="0.25">
      <c r="I2265" t="s">
        <v>267</v>
      </c>
      <c r="J2265" t="s">
        <v>2062</v>
      </c>
    </row>
    <row r="2266" spans="9:10" x14ac:dyDescent="0.25">
      <c r="I2266" t="s">
        <v>328</v>
      </c>
      <c r="J2266" t="s">
        <v>2730</v>
      </c>
    </row>
    <row r="2267" spans="9:10" x14ac:dyDescent="0.25">
      <c r="I2267" t="s">
        <v>6733</v>
      </c>
      <c r="J2267" t="s">
        <v>3626</v>
      </c>
    </row>
    <row r="2268" spans="9:10" x14ac:dyDescent="0.25">
      <c r="I2268" t="s">
        <v>2395</v>
      </c>
      <c r="J2268" t="s">
        <v>2396</v>
      </c>
    </row>
    <row r="2269" spans="9:10" x14ac:dyDescent="0.25">
      <c r="I2269" t="s">
        <v>6626</v>
      </c>
      <c r="J2269" t="s">
        <v>6959</v>
      </c>
    </row>
    <row r="2270" spans="9:10" x14ac:dyDescent="0.25">
      <c r="I2270" t="s">
        <v>3112</v>
      </c>
      <c r="J2270" t="s">
        <v>6696</v>
      </c>
    </row>
    <row r="2271" spans="9:10" x14ac:dyDescent="0.25">
      <c r="I2271" t="s">
        <v>330</v>
      </c>
      <c r="J2271" t="s">
        <v>2400</v>
      </c>
    </row>
    <row r="2272" spans="9:10" x14ac:dyDescent="0.25">
      <c r="I2272" t="s">
        <v>2629</v>
      </c>
      <c r="J2272" t="s">
        <v>2630</v>
      </c>
    </row>
    <row r="2273" spans="9:10" x14ac:dyDescent="0.25">
      <c r="I2273" t="s">
        <v>328</v>
      </c>
      <c r="J2273" t="s">
        <v>3391</v>
      </c>
    </row>
    <row r="2274" spans="9:10" x14ac:dyDescent="0.25">
      <c r="I2274" t="s">
        <v>1810</v>
      </c>
      <c r="J2274" t="s">
        <v>2068</v>
      </c>
    </row>
    <row r="2275" spans="9:10" x14ac:dyDescent="0.25">
      <c r="I2275" t="s">
        <v>820</v>
      </c>
      <c r="J2275" t="s">
        <v>3242</v>
      </c>
    </row>
    <row r="2276" spans="9:10" x14ac:dyDescent="0.25">
      <c r="I2276" t="s">
        <v>49</v>
      </c>
      <c r="J2276" t="s">
        <v>2829</v>
      </c>
    </row>
    <row r="2277" spans="9:10" x14ac:dyDescent="0.25">
      <c r="I2277" t="s">
        <v>793</v>
      </c>
      <c r="J2277" t="s">
        <v>2702</v>
      </c>
    </row>
    <row r="2278" spans="9:10" x14ac:dyDescent="0.25">
      <c r="I2278" t="s">
        <v>41</v>
      </c>
      <c r="J2278" t="s">
        <v>3888</v>
      </c>
    </row>
    <row r="2279" spans="9:10" x14ac:dyDescent="0.25">
      <c r="I2279" t="s">
        <v>2599</v>
      </c>
      <c r="J2279" t="s">
        <v>2600</v>
      </c>
    </row>
    <row r="2280" spans="9:10" x14ac:dyDescent="0.25">
      <c r="I2280" t="s">
        <v>1731</v>
      </c>
      <c r="J2280" t="s">
        <v>3863</v>
      </c>
    </row>
    <row r="2281" spans="9:10" x14ac:dyDescent="0.25">
      <c r="I2281" t="s">
        <v>2934</v>
      </c>
      <c r="J2281" t="s">
        <v>2935</v>
      </c>
    </row>
    <row r="2282" spans="9:10" x14ac:dyDescent="0.25">
      <c r="I2282" t="s">
        <v>4176</v>
      </c>
      <c r="J2282" t="s">
        <v>4177</v>
      </c>
    </row>
    <row r="2283" spans="9:10" x14ac:dyDescent="0.25">
      <c r="I2283" t="s">
        <v>597</v>
      </c>
      <c r="J2283" t="s">
        <v>2469</v>
      </c>
    </row>
    <row r="2284" spans="9:10" x14ac:dyDescent="0.25">
      <c r="I2284" t="s">
        <v>267</v>
      </c>
      <c r="J2284" t="s">
        <v>3392</v>
      </c>
    </row>
    <row r="2285" spans="9:10" x14ac:dyDescent="0.25">
      <c r="I2285" t="s">
        <v>328</v>
      </c>
      <c r="J2285" t="s">
        <v>2731</v>
      </c>
    </row>
    <row r="2286" spans="9:10" x14ac:dyDescent="0.25">
      <c r="I2286" t="s">
        <v>267</v>
      </c>
      <c r="J2286" t="s">
        <v>3736</v>
      </c>
    </row>
    <row r="2287" spans="9:10" x14ac:dyDescent="0.25">
      <c r="I2287" t="s">
        <v>2700</v>
      </c>
      <c r="J2287" t="s">
        <v>2701</v>
      </c>
    </row>
    <row r="2288" spans="9:10" x14ac:dyDescent="0.25">
      <c r="I2288" t="s">
        <v>581</v>
      </c>
      <c r="J2288" t="s">
        <v>2161</v>
      </c>
    </row>
    <row r="2289" spans="9:10" x14ac:dyDescent="0.25">
      <c r="I2289" t="s">
        <v>266</v>
      </c>
      <c r="J2289" t="s">
        <v>2623</v>
      </c>
    </row>
    <row r="2290" spans="9:10" x14ac:dyDescent="0.25">
      <c r="I2290" t="s">
        <v>266</v>
      </c>
      <c r="J2290" t="s">
        <v>3687</v>
      </c>
    </row>
    <row r="2291" spans="9:10" x14ac:dyDescent="0.25">
      <c r="I2291" t="s">
        <v>267</v>
      </c>
      <c r="J2291" t="s">
        <v>2633</v>
      </c>
    </row>
    <row r="2292" spans="9:10" x14ac:dyDescent="0.25">
      <c r="I2292" t="s">
        <v>373</v>
      </c>
      <c r="J2292" t="s">
        <v>3287</v>
      </c>
    </row>
    <row r="2293" spans="9:10" x14ac:dyDescent="0.25">
      <c r="I2293" t="s">
        <v>302</v>
      </c>
      <c r="J2293" t="s">
        <v>2677</v>
      </c>
    </row>
    <row r="2294" spans="9:10" x14ac:dyDescent="0.25">
      <c r="I2294" t="s">
        <v>1801</v>
      </c>
      <c r="J2294" t="s">
        <v>2504</v>
      </c>
    </row>
    <row r="2295" spans="9:10" x14ac:dyDescent="0.25">
      <c r="I2295" t="s">
        <v>3056</v>
      </c>
      <c r="J2295" t="s">
        <v>3057</v>
      </c>
    </row>
    <row r="2296" spans="9:10" x14ac:dyDescent="0.25">
      <c r="I2296" t="s">
        <v>597</v>
      </c>
      <c r="J2296" t="s">
        <v>1815</v>
      </c>
    </row>
    <row r="2297" spans="9:10" x14ac:dyDescent="0.25">
      <c r="I2297" t="s">
        <v>1801</v>
      </c>
      <c r="J2297" t="s">
        <v>1950</v>
      </c>
    </row>
    <row r="2298" spans="9:10" x14ac:dyDescent="0.25">
      <c r="I2298" t="s">
        <v>326</v>
      </c>
      <c r="J2298" t="s">
        <v>3295</v>
      </c>
    </row>
    <row r="2299" spans="9:10" x14ac:dyDescent="0.25">
      <c r="I2299" t="s">
        <v>3112</v>
      </c>
      <c r="J2299" t="s">
        <v>4075</v>
      </c>
    </row>
    <row r="2300" spans="9:10" x14ac:dyDescent="0.25">
      <c r="I2300" t="s">
        <v>3112</v>
      </c>
      <c r="J2300" t="s">
        <v>3601</v>
      </c>
    </row>
    <row r="2301" spans="9:10" x14ac:dyDescent="0.25">
      <c r="I2301" t="s">
        <v>1731</v>
      </c>
      <c r="J2301" t="s">
        <v>2345</v>
      </c>
    </row>
    <row r="2302" spans="9:10" x14ac:dyDescent="0.25">
      <c r="I2302" t="s">
        <v>49</v>
      </c>
      <c r="J2302" t="s">
        <v>4035</v>
      </c>
    </row>
    <row r="2303" spans="9:10" x14ac:dyDescent="0.25">
      <c r="I2303" t="s">
        <v>324</v>
      </c>
      <c r="J2303" t="s">
        <v>2968</v>
      </c>
    </row>
    <row r="2304" spans="9:10" x14ac:dyDescent="0.25">
      <c r="I2304" t="s">
        <v>328</v>
      </c>
      <c r="J2304" t="s">
        <v>3123</v>
      </c>
    </row>
    <row r="2305" spans="9:10" x14ac:dyDescent="0.25">
      <c r="I2305" t="s">
        <v>1945</v>
      </c>
      <c r="J2305" t="s">
        <v>4111</v>
      </c>
    </row>
    <row r="2306" spans="9:10" x14ac:dyDescent="0.25">
      <c r="I2306" t="s">
        <v>3056</v>
      </c>
      <c r="J2306" t="s">
        <v>3609</v>
      </c>
    </row>
    <row r="2307" spans="9:10" x14ac:dyDescent="0.25">
      <c r="I2307" t="s">
        <v>267</v>
      </c>
      <c r="J2307" t="s">
        <v>2797</v>
      </c>
    </row>
    <row r="2308" spans="9:10" x14ac:dyDescent="0.25">
      <c r="I2308" t="s">
        <v>302</v>
      </c>
      <c r="J2308" t="s">
        <v>4054</v>
      </c>
    </row>
    <row r="2309" spans="9:10" x14ac:dyDescent="0.25">
      <c r="I2309" t="s">
        <v>1742</v>
      </c>
      <c r="J2309" t="s">
        <v>1743</v>
      </c>
    </row>
    <row r="2310" spans="9:10" x14ac:dyDescent="0.25">
      <c r="I2310" t="s">
        <v>3771</v>
      </c>
      <c r="J2310" t="s">
        <v>3772</v>
      </c>
    </row>
    <row r="2311" spans="9:10" x14ac:dyDescent="0.25">
      <c r="I2311" t="s">
        <v>1667</v>
      </c>
      <c r="J2311" t="s">
        <v>3297</v>
      </c>
    </row>
    <row r="2312" spans="9:10" x14ac:dyDescent="0.25">
      <c r="I2312" t="s">
        <v>1973</v>
      </c>
      <c r="J2312" t="s">
        <v>3720</v>
      </c>
    </row>
    <row r="2313" spans="9:10" x14ac:dyDescent="0.25">
      <c r="I2313" t="s">
        <v>267</v>
      </c>
      <c r="J2313" t="s">
        <v>2843</v>
      </c>
    </row>
    <row r="2314" spans="9:10" x14ac:dyDescent="0.25">
      <c r="I2314" t="s">
        <v>2278</v>
      </c>
      <c r="J2314" t="s">
        <v>2279</v>
      </c>
    </row>
    <row r="2315" spans="9:10" x14ac:dyDescent="0.25">
      <c r="I2315" t="s">
        <v>4206</v>
      </c>
      <c r="J2315" t="s">
        <v>4207</v>
      </c>
    </row>
    <row r="2316" spans="9:10" x14ac:dyDescent="0.25">
      <c r="I2316" t="s">
        <v>46</v>
      </c>
      <c r="J2316" t="s">
        <v>4207</v>
      </c>
    </row>
    <row r="2317" spans="9:10" x14ac:dyDescent="0.25">
      <c r="I2317" t="s">
        <v>4130</v>
      </c>
      <c r="J2317" t="s">
        <v>4131</v>
      </c>
    </row>
    <row r="2318" spans="9:10" x14ac:dyDescent="0.25">
      <c r="I2318" t="s">
        <v>267</v>
      </c>
      <c r="J2318" t="s">
        <v>3119</v>
      </c>
    </row>
    <row r="2319" spans="9:10" x14ac:dyDescent="0.25">
      <c r="I2319" t="s">
        <v>3112</v>
      </c>
      <c r="J2319" t="s">
        <v>3139</v>
      </c>
    </row>
    <row r="2320" spans="9:10" x14ac:dyDescent="0.25">
      <c r="I2320" t="s">
        <v>289</v>
      </c>
      <c r="J2320" t="s">
        <v>2942</v>
      </c>
    </row>
    <row r="2321" spans="9:10" x14ac:dyDescent="0.25">
      <c r="I2321" t="s">
        <v>330</v>
      </c>
      <c r="J2321" t="s">
        <v>1998</v>
      </c>
    </row>
    <row r="2322" spans="9:10" x14ac:dyDescent="0.25">
      <c r="I2322" t="s">
        <v>2229</v>
      </c>
      <c r="J2322" t="s">
        <v>2230</v>
      </c>
    </row>
    <row r="2323" spans="9:10" x14ac:dyDescent="0.25">
      <c r="I2323" t="s">
        <v>1987</v>
      </c>
      <c r="J2323" t="s">
        <v>1988</v>
      </c>
    </row>
    <row r="2324" spans="9:10" x14ac:dyDescent="0.25">
      <c r="I2324" t="s">
        <v>3112</v>
      </c>
      <c r="J2324" t="s">
        <v>3228</v>
      </c>
    </row>
    <row r="2325" spans="9:10" x14ac:dyDescent="0.25">
      <c r="I2325" t="s">
        <v>324</v>
      </c>
      <c r="J2325" t="s">
        <v>1740</v>
      </c>
    </row>
    <row r="2326" spans="9:10" x14ac:dyDescent="0.25">
      <c r="I2326" t="s">
        <v>270</v>
      </c>
      <c r="J2326" t="s">
        <v>3741</v>
      </c>
    </row>
    <row r="2327" spans="9:10" x14ac:dyDescent="0.25">
      <c r="I2327" t="s">
        <v>266</v>
      </c>
      <c r="J2327" t="s">
        <v>2085</v>
      </c>
    </row>
    <row r="2328" spans="9:10" x14ac:dyDescent="0.25">
      <c r="I2328" t="s">
        <v>597</v>
      </c>
      <c r="J2328" t="s">
        <v>2249</v>
      </c>
    </row>
    <row r="2329" spans="9:10" x14ac:dyDescent="0.25">
      <c r="I2329" t="s">
        <v>425</v>
      </c>
      <c r="J2329" t="s">
        <v>2540</v>
      </c>
    </row>
    <row r="2330" spans="9:10" x14ac:dyDescent="0.25">
      <c r="I2330" t="s">
        <v>6733</v>
      </c>
      <c r="J2330" t="s">
        <v>2720</v>
      </c>
    </row>
    <row r="2331" spans="9:10" x14ac:dyDescent="0.25">
      <c r="I2331" t="s">
        <v>373</v>
      </c>
      <c r="J2331" t="s">
        <v>4494</v>
      </c>
    </row>
    <row r="2332" spans="9:10" x14ac:dyDescent="0.25">
      <c r="I2332" t="s">
        <v>1973</v>
      </c>
      <c r="J2332" t="s">
        <v>2881</v>
      </c>
    </row>
    <row r="2333" spans="9:10" x14ac:dyDescent="0.25">
      <c r="I2333" t="s">
        <v>1753</v>
      </c>
      <c r="J2333" t="s">
        <v>1754</v>
      </c>
    </row>
    <row r="2334" spans="9:10" x14ac:dyDescent="0.25">
      <c r="I2334" t="s">
        <v>266</v>
      </c>
      <c r="J2334" t="s">
        <v>2840</v>
      </c>
    </row>
    <row r="2335" spans="9:10" x14ac:dyDescent="0.25">
      <c r="I2335" t="s">
        <v>302</v>
      </c>
      <c r="J2335" t="s">
        <v>4369</v>
      </c>
    </row>
    <row r="2336" spans="9:10" x14ac:dyDescent="0.25">
      <c r="I2336" t="s">
        <v>581</v>
      </c>
      <c r="J2336" t="s">
        <v>2242</v>
      </c>
    </row>
    <row r="2337" spans="9:10" x14ac:dyDescent="0.25">
      <c r="I2337" t="s">
        <v>267</v>
      </c>
      <c r="J2337" t="s">
        <v>2359</v>
      </c>
    </row>
    <row r="2338" spans="9:10" x14ac:dyDescent="0.25">
      <c r="I2338" t="s">
        <v>266</v>
      </c>
      <c r="J2338" t="s">
        <v>4055</v>
      </c>
    </row>
    <row r="2339" spans="9:10" x14ac:dyDescent="0.25">
      <c r="I2339" t="s">
        <v>328</v>
      </c>
      <c r="J2339" t="s">
        <v>3589</v>
      </c>
    </row>
    <row r="2340" spans="9:10" x14ac:dyDescent="0.25">
      <c r="I2340" t="s">
        <v>267</v>
      </c>
      <c r="J2340" t="s">
        <v>2053</v>
      </c>
    </row>
    <row r="2341" spans="9:10" x14ac:dyDescent="0.25">
      <c r="I2341" t="s">
        <v>2922</v>
      </c>
      <c r="J2341" t="s">
        <v>4009</v>
      </c>
    </row>
    <row r="2342" spans="9:10" x14ac:dyDescent="0.25">
      <c r="I2342" t="s">
        <v>330</v>
      </c>
      <c r="J2342" t="s">
        <v>6704</v>
      </c>
    </row>
    <row r="2343" spans="9:10" x14ac:dyDescent="0.25">
      <c r="I2343" t="s">
        <v>330</v>
      </c>
      <c r="J2343" t="s">
        <v>4288</v>
      </c>
    </row>
    <row r="2344" spans="9:10" x14ac:dyDescent="0.25">
      <c r="I2344" t="s">
        <v>270</v>
      </c>
      <c r="J2344" t="s">
        <v>2682</v>
      </c>
    </row>
    <row r="2345" spans="9:10" x14ac:dyDescent="0.25">
      <c r="I2345" t="s">
        <v>597</v>
      </c>
      <c r="J2345" t="s">
        <v>3814</v>
      </c>
    </row>
    <row r="2346" spans="9:10" x14ac:dyDescent="0.25">
      <c r="I2346" t="s">
        <v>2427</v>
      </c>
      <c r="J2346" t="s">
        <v>4189</v>
      </c>
    </row>
    <row r="2347" spans="9:10" x14ac:dyDescent="0.25">
      <c r="I2347" t="s">
        <v>597</v>
      </c>
      <c r="J2347" t="s">
        <v>2252</v>
      </c>
    </row>
    <row r="2348" spans="9:10" x14ac:dyDescent="0.25">
      <c r="I2348" t="s">
        <v>3112</v>
      </c>
      <c r="J2348" t="s">
        <v>4523</v>
      </c>
    </row>
    <row r="2349" spans="9:10" x14ac:dyDescent="0.25">
      <c r="I2349" t="s">
        <v>3311</v>
      </c>
      <c r="J2349" t="s">
        <v>3312</v>
      </c>
    </row>
    <row r="2350" spans="9:10" x14ac:dyDescent="0.25">
      <c r="I2350" t="s">
        <v>289</v>
      </c>
      <c r="J2350" t="s">
        <v>4459</v>
      </c>
    </row>
    <row r="2351" spans="9:10" x14ac:dyDescent="0.25">
      <c r="I2351" t="s">
        <v>2412</v>
      </c>
      <c r="J2351" t="s">
        <v>2413</v>
      </c>
    </row>
    <row r="2352" spans="9:10" x14ac:dyDescent="0.25">
      <c r="I2352" t="s">
        <v>266</v>
      </c>
      <c r="J2352" t="s">
        <v>3304</v>
      </c>
    </row>
    <row r="2353" spans="9:10" x14ac:dyDescent="0.25">
      <c r="I2353" t="s">
        <v>40</v>
      </c>
      <c r="J2353" t="s">
        <v>1776</v>
      </c>
    </row>
    <row r="2354" spans="9:10" x14ac:dyDescent="0.25">
      <c r="I2354" t="s">
        <v>1667</v>
      </c>
      <c r="J2354" t="s">
        <v>2329</v>
      </c>
    </row>
    <row r="2355" spans="9:10" x14ac:dyDescent="0.25">
      <c r="I2355" t="s">
        <v>3348</v>
      </c>
      <c r="J2355" t="s">
        <v>4478</v>
      </c>
    </row>
    <row r="2356" spans="9:10" x14ac:dyDescent="0.25">
      <c r="I2356" t="s">
        <v>267</v>
      </c>
      <c r="J2356" t="s">
        <v>2149</v>
      </c>
    </row>
    <row r="2357" spans="9:10" x14ac:dyDescent="0.25">
      <c r="I2357" t="s">
        <v>581</v>
      </c>
      <c r="J2357" t="s">
        <v>3722</v>
      </c>
    </row>
    <row r="2358" spans="9:10" x14ac:dyDescent="0.25">
      <c r="I2358" t="s">
        <v>289</v>
      </c>
      <c r="J2358" t="s">
        <v>4015</v>
      </c>
    </row>
    <row r="2359" spans="9:10" x14ac:dyDescent="0.25">
      <c r="I2359" t="s">
        <v>6733</v>
      </c>
      <c r="J2359" t="s">
        <v>4008</v>
      </c>
    </row>
    <row r="2360" spans="9:10" x14ac:dyDescent="0.25">
      <c r="I2360" t="s">
        <v>434</v>
      </c>
      <c r="J2360" t="s">
        <v>3090</v>
      </c>
    </row>
    <row r="2361" spans="9:10" x14ac:dyDescent="0.25">
      <c r="I2361" t="s">
        <v>266</v>
      </c>
      <c r="J2361" t="s">
        <v>4201</v>
      </c>
    </row>
    <row r="2362" spans="9:10" x14ac:dyDescent="0.25">
      <c r="I2362" t="s">
        <v>3903</v>
      </c>
      <c r="J2362" t="s">
        <v>3904</v>
      </c>
    </row>
    <row r="2363" spans="9:10" x14ac:dyDescent="0.25">
      <c r="I2363" t="s">
        <v>1667</v>
      </c>
      <c r="J2363" t="s">
        <v>1804</v>
      </c>
    </row>
    <row r="2364" spans="9:10" x14ac:dyDescent="0.25">
      <c r="I2364" t="s">
        <v>6733</v>
      </c>
      <c r="J2364" t="s">
        <v>2142</v>
      </c>
    </row>
    <row r="2365" spans="9:10" x14ac:dyDescent="0.25">
      <c r="I2365" t="s">
        <v>328</v>
      </c>
      <c r="J2365" t="s">
        <v>4255</v>
      </c>
    </row>
    <row r="2366" spans="9:10" x14ac:dyDescent="0.25">
      <c r="I2366" t="s">
        <v>1835</v>
      </c>
      <c r="J2366" t="s">
        <v>4370</v>
      </c>
    </row>
    <row r="2367" spans="9:10" x14ac:dyDescent="0.25">
      <c r="I2367" t="s">
        <v>267</v>
      </c>
      <c r="J2367" t="s">
        <v>2636</v>
      </c>
    </row>
    <row r="2368" spans="9:10" x14ac:dyDescent="0.25">
      <c r="I2368" t="s">
        <v>3335</v>
      </c>
      <c r="J2368" t="s">
        <v>3336</v>
      </c>
    </row>
    <row r="2369" spans="9:10" x14ac:dyDescent="0.25">
      <c r="I2369" t="s">
        <v>4028</v>
      </c>
      <c r="J2369" t="s">
        <v>4029</v>
      </c>
    </row>
    <row r="2370" spans="9:10" x14ac:dyDescent="0.25">
      <c r="I2370" t="s">
        <v>269</v>
      </c>
      <c r="J2370" t="s">
        <v>3396</v>
      </c>
    </row>
    <row r="2371" spans="9:10" x14ac:dyDescent="0.25">
      <c r="I2371" t="s">
        <v>328</v>
      </c>
      <c r="J2371" t="s">
        <v>2047</v>
      </c>
    </row>
    <row r="2372" spans="9:10" x14ac:dyDescent="0.25">
      <c r="I2372" t="s">
        <v>597</v>
      </c>
      <c r="J2372" t="s">
        <v>3007</v>
      </c>
    </row>
    <row r="2373" spans="9:10" x14ac:dyDescent="0.25">
      <c r="I2373" t="s">
        <v>326</v>
      </c>
      <c r="J2373" t="s">
        <v>4196</v>
      </c>
    </row>
    <row r="2374" spans="9:10" x14ac:dyDescent="0.25">
      <c r="I2374" t="s">
        <v>6733</v>
      </c>
      <c r="J2374" t="s">
        <v>1933</v>
      </c>
    </row>
    <row r="2375" spans="9:10" x14ac:dyDescent="0.25">
      <c r="I2375" t="s">
        <v>51</v>
      </c>
      <c r="J2375" t="s">
        <v>4090</v>
      </c>
    </row>
    <row r="2376" spans="9:10" x14ac:dyDescent="0.25">
      <c r="I2376" t="s">
        <v>597</v>
      </c>
      <c r="J2376" t="s">
        <v>2559</v>
      </c>
    </row>
    <row r="2377" spans="9:10" x14ac:dyDescent="0.25">
      <c r="I2377" t="s">
        <v>302</v>
      </c>
      <c r="J2377" t="s">
        <v>3583</v>
      </c>
    </row>
    <row r="2378" spans="9:10" x14ac:dyDescent="0.25">
      <c r="I2378" t="s">
        <v>267</v>
      </c>
      <c r="J2378" t="s">
        <v>2960</v>
      </c>
    </row>
    <row r="2379" spans="9:10" x14ac:dyDescent="0.25">
      <c r="I2379" t="s">
        <v>328</v>
      </c>
      <c r="J2379" t="s">
        <v>3347</v>
      </c>
    </row>
    <row r="2380" spans="9:10" x14ac:dyDescent="0.25">
      <c r="I2380" t="s">
        <v>2902</v>
      </c>
      <c r="J2380" t="s">
        <v>2903</v>
      </c>
    </row>
    <row r="2381" spans="9:10" x14ac:dyDescent="0.25">
      <c r="I2381" t="s">
        <v>266</v>
      </c>
      <c r="J2381" t="s">
        <v>3157</v>
      </c>
    </row>
    <row r="2382" spans="9:10" x14ac:dyDescent="0.25">
      <c r="I2382" t="s">
        <v>26</v>
      </c>
      <c r="J2382" t="s">
        <v>3424</v>
      </c>
    </row>
    <row r="2383" spans="9:10" x14ac:dyDescent="0.25">
      <c r="I2383" t="s">
        <v>1667</v>
      </c>
      <c r="J2383" t="s">
        <v>3769</v>
      </c>
    </row>
    <row r="2384" spans="9:10" x14ac:dyDescent="0.25">
      <c r="I2384" t="s">
        <v>328</v>
      </c>
      <c r="J2384" t="s">
        <v>4174</v>
      </c>
    </row>
    <row r="2385" spans="9:10" x14ac:dyDescent="0.25">
      <c r="I2385" t="s">
        <v>6733</v>
      </c>
      <c r="J2385" t="s">
        <v>2863</v>
      </c>
    </row>
    <row r="2386" spans="9:10" x14ac:dyDescent="0.25">
      <c r="I2386" t="s">
        <v>6733</v>
      </c>
      <c r="J2386" t="s">
        <v>6685</v>
      </c>
    </row>
    <row r="2387" spans="9:10" x14ac:dyDescent="0.25">
      <c r="I2387" t="s">
        <v>2910</v>
      </c>
      <c r="J2387" t="s">
        <v>3495</v>
      </c>
    </row>
    <row r="2388" spans="9:10" x14ac:dyDescent="0.25">
      <c r="I2388" t="s">
        <v>328</v>
      </c>
      <c r="J2388" t="s">
        <v>3694</v>
      </c>
    </row>
    <row r="2389" spans="9:10" x14ac:dyDescent="0.25">
      <c r="I2389" t="s">
        <v>746</v>
      </c>
      <c r="J2389" t="s">
        <v>3441</v>
      </c>
    </row>
    <row r="2390" spans="9:10" x14ac:dyDescent="0.25">
      <c r="I2390" t="s">
        <v>41</v>
      </c>
      <c r="J2390" t="s">
        <v>4059</v>
      </c>
    </row>
    <row r="2391" spans="9:10" x14ac:dyDescent="0.25">
      <c r="I2391" t="s">
        <v>1819</v>
      </c>
      <c r="J2391" t="s">
        <v>1820</v>
      </c>
    </row>
    <row r="2392" spans="9:10" x14ac:dyDescent="0.25">
      <c r="I2392" t="s">
        <v>302</v>
      </c>
      <c r="J2392" t="s">
        <v>2440</v>
      </c>
    </row>
    <row r="2393" spans="9:10" x14ac:dyDescent="0.25">
      <c r="I2393" t="s">
        <v>1731</v>
      </c>
      <c r="J2393" t="s">
        <v>6682</v>
      </c>
    </row>
    <row r="2394" spans="9:10" x14ac:dyDescent="0.25">
      <c r="I2394" t="s">
        <v>418</v>
      </c>
      <c r="J2394" t="s">
        <v>2555</v>
      </c>
    </row>
    <row r="2395" spans="9:10" x14ac:dyDescent="0.25">
      <c r="I2395" t="s">
        <v>6733</v>
      </c>
      <c r="J2395" t="s">
        <v>3596</v>
      </c>
    </row>
    <row r="2396" spans="9:10" x14ac:dyDescent="0.25">
      <c r="I2396" t="s">
        <v>54</v>
      </c>
      <c r="J2396" t="s">
        <v>2158</v>
      </c>
    </row>
    <row r="2397" spans="9:10" x14ac:dyDescent="0.25">
      <c r="I2397" t="s">
        <v>328</v>
      </c>
      <c r="J2397" t="s">
        <v>6660</v>
      </c>
    </row>
    <row r="2398" spans="9:10" x14ac:dyDescent="0.25">
      <c r="I2398" t="s">
        <v>418</v>
      </c>
      <c r="J2398" t="s">
        <v>2989</v>
      </c>
    </row>
    <row r="2399" spans="9:10" x14ac:dyDescent="0.25">
      <c r="I2399" t="s">
        <v>326</v>
      </c>
      <c r="J2399" t="s">
        <v>1980</v>
      </c>
    </row>
    <row r="2400" spans="9:10" x14ac:dyDescent="0.25">
      <c r="I2400" t="s">
        <v>2725</v>
      </c>
      <c r="J2400" t="s">
        <v>6875</v>
      </c>
    </row>
    <row r="2401" spans="9:10" x14ac:dyDescent="0.25">
      <c r="I2401" t="s">
        <v>267</v>
      </c>
      <c r="J2401" t="s">
        <v>4291</v>
      </c>
    </row>
    <row r="2402" spans="9:10" x14ac:dyDescent="0.25">
      <c r="I2402" t="s">
        <v>328</v>
      </c>
      <c r="J2402" t="s">
        <v>2904</v>
      </c>
    </row>
    <row r="2403" spans="9:10" x14ac:dyDescent="0.25">
      <c r="I2403" t="s">
        <v>418</v>
      </c>
      <c r="J2403" t="s">
        <v>2811</v>
      </c>
    </row>
    <row r="2404" spans="9:10" x14ac:dyDescent="0.25">
      <c r="I2404" t="s">
        <v>267</v>
      </c>
      <c r="J2404" t="s">
        <v>4081</v>
      </c>
    </row>
    <row r="2405" spans="9:10" x14ac:dyDescent="0.25">
      <c r="I2405" t="s">
        <v>418</v>
      </c>
      <c r="J2405" t="s">
        <v>2872</v>
      </c>
    </row>
    <row r="2406" spans="9:10" x14ac:dyDescent="0.25">
      <c r="I2406" t="s">
        <v>302</v>
      </c>
      <c r="J2406" t="s">
        <v>3972</v>
      </c>
    </row>
    <row r="2407" spans="9:10" x14ac:dyDescent="0.25">
      <c r="I2407" t="s">
        <v>4360</v>
      </c>
      <c r="J2407" t="s">
        <v>4361</v>
      </c>
    </row>
    <row r="2408" spans="9:10" x14ac:dyDescent="0.25">
      <c r="I2408" t="s">
        <v>566</v>
      </c>
      <c r="J2408" t="s">
        <v>4085</v>
      </c>
    </row>
    <row r="2409" spans="9:10" x14ac:dyDescent="0.25">
      <c r="I2409" t="s">
        <v>2014</v>
      </c>
      <c r="J2409" t="s">
        <v>2015</v>
      </c>
    </row>
    <row r="2410" spans="9:10" x14ac:dyDescent="0.25">
      <c r="I2410" t="s">
        <v>3004</v>
      </c>
      <c r="J2410" t="s">
        <v>3005</v>
      </c>
    </row>
    <row r="2411" spans="9:10" x14ac:dyDescent="0.25">
      <c r="I2411" t="s">
        <v>418</v>
      </c>
      <c r="J2411" t="s">
        <v>6699</v>
      </c>
    </row>
    <row r="2412" spans="9:10" x14ac:dyDescent="0.25">
      <c r="I2412" t="s">
        <v>302</v>
      </c>
      <c r="J2412" t="s">
        <v>4265</v>
      </c>
    </row>
    <row r="2413" spans="9:10" x14ac:dyDescent="0.25">
      <c r="I2413" t="s">
        <v>3110</v>
      </c>
      <c r="J2413" t="s">
        <v>3111</v>
      </c>
    </row>
    <row r="2414" spans="9:10" x14ac:dyDescent="0.25">
      <c r="I2414" t="s">
        <v>1667</v>
      </c>
      <c r="J2414" t="s">
        <v>3842</v>
      </c>
    </row>
    <row r="2415" spans="9:10" x14ac:dyDescent="0.25">
      <c r="I2415" t="s">
        <v>267</v>
      </c>
      <c r="J2415" t="s">
        <v>2827</v>
      </c>
    </row>
    <row r="2416" spans="9:10" x14ac:dyDescent="0.25">
      <c r="I2416" t="s">
        <v>44</v>
      </c>
      <c r="J2416" t="s">
        <v>3042</v>
      </c>
    </row>
    <row r="2417" spans="9:10" x14ac:dyDescent="0.25">
      <c r="I2417" t="s">
        <v>43</v>
      </c>
      <c r="J2417" t="s">
        <v>6673</v>
      </c>
    </row>
    <row r="2418" spans="9:10" x14ac:dyDescent="0.25">
      <c r="I2418" t="s">
        <v>789</v>
      </c>
      <c r="J2418" t="s">
        <v>4045</v>
      </c>
    </row>
    <row r="2419" spans="9:10" x14ac:dyDescent="0.25">
      <c r="I2419" t="s">
        <v>44</v>
      </c>
      <c r="J2419" t="s">
        <v>2519</v>
      </c>
    </row>
    <row r="2420" spans="9:10" x14ac:dyDescent="0.25">
      <c r="I2420" t="s">
        <v>302</v>
      </c>
      <c r="J2420" t="s">
        <v>4350</v>
      </c>
    </row>
    <row r="2421" spans="9:10" x14ac:dyDescent="0.25">
      <c r="I2421" t="s">
        <v>266</v>
      </c>
      <c r="J2421" t="s">
        <v>1717</v>
      </c>
    </row>
    <row r="2422" spans="9:10" x14ac:dyDescent="0.25">
      <c r="I2422" t="s">
        <v>326</v>
      </c>
      <c r="J2422" t="s">
        <v>2817</v>
      </c>
    </row>
    <row r="2423" spans="9:10" x14ac:dyDescent="0.25">
      <c r="I2423" t="s">
        <v>289</v>
      </c>
      <c r="J2423" t="s">
        <v>1872</v>
      </c>
    </row>
    <row r="2424" spans="9:10" x14ac:dyDescent="0.25">
      <c r="I2424" t="s">
        <v>3547</v>
      </c>
      <c r="J2424" t="s">
        <v>3548</v>
      </c>
    </row>
    <row r="2425" spans="9:10" x14ac:dyDescent="0.25">
      <c r="I2425" t="s">
        <v>6830</v>
      </c>
      <c r="J2425" t="s">
        <v>3006</v>
      </c>
    </row>
    <row r="2426" spans="9:10" x14ac:dyDescent="0.25">
      <c r="I2426" t="s">
        <v>326</v>
      </c>
      <c r="J2426" t="s">
        <v>4071</v>
      </c>
    </row>
    <row r="2427" spans="9:10" x14ac:dyDescent="0.25">
      <c r="I2427" t="s">
        <v>266</v>
      </c>
      <c r="J2427" t="s">
        <v>1769</v>
      </c>
    </row>
    <row r="2428" spans="9:10" x14ac:dyDescent="0.25">
      <c r="I2428" t="s">
        <v>44</v>
      </c>
      <c r="J2428" t="s">
        <v>3615</v>
      </c>
    </row>
    <row r="2429" spans="9:10" x14ac:dyDescent="0.25">
      <c r="I2429" t="s">
        <v>266</v>
      </c>
      <c r="J2429" t="s">
        <v>4417</v>
      </c>
    </row>
    <row r="2430" spans="9:10" x14ac:dyDescent="0.25">
      <c r="I2430" t="s">
        <v>43</v>
      </c>
      <c r="J2430" t="s">
        <v>4320</v>
      </c>
    </row>
    <row r="2431" spans="9:10" x14ac:dyDescent="0.25">
      <c r="I2431" t="s">
        <v>789</v>
      </c>
      <c r="J2431" t="s">
        <v>2874</v>
      </c>
    </row>
    <row r="2432" spans="9:10" x14ac:dyDescent="0.25">
      <c r="I2432" t="s">
        <v>3112</v>
      </c>
      <c r="J2432" t="s">
        <v>3496</v>
      </c>
    </row>
    <row r="2433" spans="9:10" x14ac:dyDescent="0.25">
      <c r="I2433" t="s">
        <v>2116</v>
      </c>
      <c r="J2433" t="s">
        <v>2117</v>
      </c>
    </row>
    <row r="2434" spans="9:10" x14ac:dyDescent="0.25">
      <c r="I2434" t="s">
        <v>2408</v>
      </c>
      <c r="J2434" t="s">
        <v>2424</v>
      </c>
    </row>
    <row r="2435" spans="9:10" x14ac:dyDescent="0.25">
      <c r="I2435" t="s">
        <v>41</v>
      </c>
      <c r="J2435" t="s">
        <v>2132</v>
      </c>
    </row>
    <row r="2436" spans="9:10" x14ac:dyDescent="0.25">
      <c r="I2436" t="s">
        <v>43</v>
      </c>
      <c r="J2436" t="s">
        <v>3277</v>
      </c>
    </row>
    <row r="2437" spans="9:10" x14ac:dyDescent="0.25">
      <c r="I2437" t="s">
        <v>44</v>
      </c>
      <c r="J2437" t="s">
        <v>2342</v>
      </c>
    </row>
    <row r="2438" spans="9:10" x14ac:dyDescent="0.25">
      <c r="I2438" t="s">
        <v>286</v>
      </c>
      <c r="J2438" t="s">
        <v>3314</v>
      </c>
    </row>
    <row r="2439" spans="9:10" x14ac:dyDescent="0.25">
      <c r="I2439" t="s">
        <v>266</v>
      </c>
      <c r="J2439" t="s">
        <v>2886</v>
      </c>
    </row>
    <row r="2440" spans="9:10" x14ac:dyDescent="0.25">
      <c r="I2440" t="s">
        <v>2997</v>
      </c>
      <c r="J2440" t="s">
        <v>2998</v>
      </c>
    </row>
    <row r="2441" spans="9:10" x14ac:dyDescent="0.25">
      <c r="I2441" t="s">
        <v>1731</v>
      </c>
      <c r="J2441" t="s">
        <v>3635</v>
      </c>
    </row>
    <row r="2442" spans="9:10" x14ac:dyDescent="0.25">
      <c r="I2442" t="s">
        <v>326</v>
      </c>
      <c r="J2442" t="s">
        <v>2137</v>
      </c>
    </row>
    <row r="2443" spans="9:10" x14ac:dyDescent="0.25">
      <c r="I2443" t="s">
        <v>267</v>
      </c>
      <c r="J2443" t="s">
        <v>1922</v>
      </c>
    </row>
    <row r="2444" spans="9:10" x14ac:dyDescent="0.25">
      <c r="I2444" t="s">
        <v>43</v>
      </c>
      <c r="J2444" t="s">
        <v>3116</v>
      </c>
    </row>
    <row r="2445" spans="9:10" x14ac:dyDescent="0.25">
      <c r="I2445" t="s">
        <v>2832</v>
      </c>
      <c r="J2445" t="s">
        <v>2833</v>
      </c>
    </row>
    <row r="2446" spans="9:10" x14ac:dyDescent="0.25">
      <c r="I2446" t="s">
        <v>2404</v>
      </c>
      <c r="J2446" t="s">
        <v>2405</v>
      </c>
    </row>
    <row r="2447" spans="9:10" x14ac:dyDescent="0.25">
      <c r="I2447" t="s">
        <v>41</v>
      </c>
      <c r="J2447" t="s">
        <v>4428</v>
      </c>
    </row>
    <row r="2448" spans="9:10" x14ac:dyDescent="0.25">
      <c r="I2448" t="s">
        <v>266</v>
      </c>
      <c r="J2448" t="s">
        <v>2136</v>
      </c>
    </row>
    <row r="2449" spans="9:10" x14ac:dyDescent="0.25">
      <c r="I2449" t="s">
        <v>414</v>
      </c>
      <c r="J2449" t="s">
        <v>3449</v>
      </c>
    </row>
    <row r="2450" spans="9:10" x14ac:dyDescent="0.25">
      <c r="I2450" t="s">
        <v>600</v>
      </c>
      <c r="J2450" t="s">
        <v>3793</v>
      </c>
    </row>
    <row r="2451" spans="9:10" x14ac:dyDescent="0.25">
      <c r="I2451" t="s">
        <v>414</v>
      </c>
      <c r="J2451" t="s">
        <v>2461</v>
      </c>
    </row>
    <row r="2452" spans="9:10" x14ac:dyDescent="0.25">
      <c r="I2452" t="s">
        <v>789</v>
      </c>
      <c r="J2452" t="s">
        <v>3570</v>
      </c>
    </row>
    <row r="2453" spans="9:10" x14ac:dyDescent="0.25">
      <c r="I2453" t="s">
        <v>308</v>
      </c>
      <c r="J2453" t="s">
        <v>3702</v>
      </c>
    </row>
    <row r="2454" spans="9:10" x14ac:dyDescent="0.25">
      <c r="I2454" t="s">
        <v>2231</v>
      </c>
      <c r="J2454" t="s">
        <v>2250</v>
      </c>
    </row>
    <row r="2455" spans="9:10" x14ac:dyDescent="0.25">
      <c r="I2455" t="s">
        <v>49</v>
      </c>
      <c r="J2455" t="s">
        <v>2454</v>
      </c>
    </row>
    <row r="2456" spans="9:10" x14ac:dyDescent="0.25">
      <c r="I2456" t="s">
        <v>414</v>
      </c>
      <c r="J2456" t="s">
        <v>2499</v>
      </c>
    </row>
    <row r="2457" spans="9:10" x14ac:dyDescent="0.25">
      <c r="I2457" t="s">
        <v>414</v>
      </c>
      <c r="J2457" t="s">
        <v>2373</v>
      </c>
    </row>
    <row r="2458" spans="9:10" x14ac:dyDescent="0.25">
      <c r="I2458" t="s">
        <v>41</v>
      </c>
      <c r="J2458" t="s">
        <v>4406</v>
      </c>
    </row>
    <row r="2459" spans="9:10" x14ac:dyDescent="0.25">
      <c r="I2459" t="s">
        <v>328</v>
      </c>
      <c r="J2459" t="s">
        <v>3309</v>
      </c>
    </row>
    <row r="2460" spans="9:10" x14ac:dyDescent="0.25">
      <c r="I2460" t="s">
        <v>293</v>
      </c>
      <c r="J2460" t="s">
        <v>3452</v>
      </c>
    </row>
    <row r="2461" spans="9:10" x14ac:dyDescent="0.25">
      <c r="I2461" t="s">
        <v>422</v>
      </c>
      <c r="J2461" t="s">
        <v>3699</v>
      </c>
    </row>
    <row r="2462" spans="9:10" x14ac:dyDescent="0.25">
      <c r="I2462" t="s">
        <v>2082</v>
      </c>
      <c r="J2462" t="s">
        <v>3049</v>
      </c>
    </row>
    <row r="2463" spans="9:10" x14ac:dyDescent="0.25">
      <c r="I2463" t="s">
        <v>321</v>
      </c>
      <c r="J2463" t="s">
        <v>2608</v>
      </c>
    </row>
    <row r="2464" spans="9:10" x14ac:dyDescent="0.25">
      <c r="I2464" t="s">
        <v>2050</v>
      </c>
      <c r="J2464" t="s">
        <v>2051</v>
      </c>
    </row>
    <row r="2465" spans="9:10" x14ac:dyDescent="0.25">
      <c r="I2465" t="s">
        <v>98</v>
      </c>
      <c r="J2465" t="s">
        <v>4170</v>
      </c>
    </row>
    <row r="2466" spans="9:10" x14ac:dyDescent="0.25">
      <c r="I2466" t="s">
        <v>266</v>
      </c>
      <c r="J2466" t="s">
        <v>4356</v>
      </c>
    </row>
    <row r="2467" spans="9:10" x14ac:dyDescent="0.25">
      <c r="I2467" t="s">
        <v>267</v>
      </c>
      <c r="J2467" t="s">
        <v>3162</v>
      </c>
    </row>
    <row r="2468" spans="9:10" x14ac:dyDescent="0.25">
      <c r="I2468" t="s">
        <v>40</v>
      </c>
      <c r="J2468" t="s">
        <v>3160</v>
      </c>
    </row>
    <row r="2469" spans="9:10" x14ac:dyDescent="0.25">
      <c r="I2469" t="s">
        <v>293</v>
      </c>
      <c r="J2469" t="s">
        <v>1923</v>
      </c>
    </row>
    <row r="2470" spans="9:10" x14ac:dyDescent="0.25">
      <c r="I2470" t="s">
        <v>267</v>
      </c>
      <c r="J2470" t="s">
        <v>4076</v>
      </c>
    </row>
    <row r="2471" spans="9:10" x14ac:dyDescent="0.25">
      <c r="I2471" t="s">
        <v>267</v>
      </c>
      <c r="J2471" t="s">
        <v>1828</v>
      </c>
    </row>
    <row r="2472" spans="9:10" x14ac:dyDescent="0.25">
      <c r="I2472" t="s">
        <v>266</v>
      </c>
      <c r="J2472" t="s">
        <v>2940</v>
      </c>
    </row>
    <row r="2473" spans="9:10" x14ac:dyDescent="0.25">
      <c r="I2473" t="s">
        <v>291</v>
      </c>
      <c r="J2473" t="s">
        <v>4043</v>
      </c>
    </row>
    <row r="2474" spans="9:10" x14ac:dyDescent="0.25">
      <c r="I2474" t="s">
        <v>6733</v>
      </c>
      <c r="J2474" t="s">
        <v>6710</v>
      </c>
    </row>
    <row r="2475" spans="9:10" x14ac:dyDescent="0.25">
      <c r="I2475" t="s">
        <v>6832</v>
      </c>
      <c r="J2475" t="s">
        <v>2974</v>
      </c>
    </row>
    <row r="2476" spans="9:10" x14ac:dyDescent="0.25">
      <c r="I2476" t="s">
        <v>286</v>
      </c>
      <c r="J2476" t="s">
        <v>4168</v>
      </c>
    </row>
    <row r="2477" spans="9:10" x14ac:dyDescent="0.25">
      <c r="I2477" t="s">
        <v>364</v>
      </c>
      <c r="J2477" t="s">
        <v>2120</v>
      </c>
    </row>
    <row r="2478" spans="9:10" x14ac:dyDescent="0.25">
      <c r="I2478" t="s">
        <v>40</v>
      </c>
      <c r="J2478" t="s">
        <v>6871</v>
      </c>
    </row>
    <row r="2479" spans="9:10" x14ac:dyDescent="0.25">
      <c r="I2479" t="s">
        <v>3927</v>
      </c>
      <c r="J2479" t="s">
        <v>3928</v>
      </c>
    </row>
    <row r="2480" spans="9:10" x14ac:dyDescent="0.25">
      <c r="I2480" t="s">
        <v>6814</v>
      </c>
      <c r="J2480" t="s">
        <v>2410</v>
      </c>
    </row>
    <row r="2481" spans="9:10" x14ac:dyDescent="0.25">
      <c r="I2481" t="s">
        <v>414</v>
      </c>
      <c r="J2481" t="s">
        <v>6937</v>
      </c>
    </row>
    <row r="2482" spans="9:10" x14ac:dyDescent="0.25">
      <c r="I2482" t="s">
        <v>326</v>
      </c>
      <c r="J2482" t="s">
        <v>2022</v>
      </c>
    </row>
    <row r="2483" spans="9:10" x14ac:dyDescent="0.25">
      <c r="I2483" t="s">
        <v>1806</v>
      </c>
      <c r="J2483" t="s">
        <v>2965</v>
      </c>
    </row>
    <row r="2484" spans="9:10" x14ac:dyDescent="0.25">
      <c r="I2484" t="s">
        <v>6814</v>
      </c>
      <c r="J2484" t="s">
        <v>4440</v>
      </c>
    </row>
    <row r="2485" spans="9:10" x14ac:dyDescent="0.25">
      <c r="I2485" t="s">
        <v>293</v>
      </c>
      <c r="J2485" t="s">
        <v>1972</v>
      </c>
    </row>
    <row r="2486" spans="9:10" x14ac:dyDescent="0.25">
      <c r="I2486" t="s">
        <v>6814</v>
      </c>
      <c r="J2486" t="s">
        <v>4190</v>
      </c>
    </row>
    <row r="2487" spans="9:10" x14ac:dyDescent="0.25">
      <c r="I2487" t="s">
        <v>43</v>
      </c>
      <c r="J2487" t="s">
        <v>2714</v>
      </c>
    </row>
    <row r="2488" spans="9:10" x14ac:dyDescent="0.25">
      <c r="I2488" t="s">
        <v>6814</v>
      </c>
      <c r="J2488" t="s">
        <v>1787</v>
      </c>
    </row>
    <row r="2489" spans="9:10" x14ac:dyDescent="0.25">
      <c r="I2489" t="s">
        <v>1943</v>
      </c>
      <c r="J2489" t="s">
        <v>1944</v>
      </c>
    </row>
    <row r="2490" spans="9:10" x14ac:dyDescent="0.25">
      <c r="I2490" t="s">
        <v>600</v>
      </c>
      <c r="J2490" t="s">
        <v>2813</v>
      </c>
    </row>
    <row r="2491" spans="9:10" x14ac:dyDescent="0.25">
      <c r="I2491" t="s">
        <v>43</v>
      </c>
      <c r="J2491" t="s">
        <v>2010</v>
      </c>
    </row>
    <row r="2492" spans="9:10" x14ac:dyDescent="0.25">
      <c r="I2492" t="s">
        <v>302</v>
      </c>
      <c r="J2492" t="s">
        <v>4458</v>
      </c>
    </row>
    <row r="2493" spans="9:10" x14ac:dyDescent="0.25">
      <c r="I2493" t="s">
        <v>2556</v>
      </c>
      <c r="J2493" t="s">
        <v>3835</v>
      </c>
    </row>
    <row r="2494" spans="9:10" x14ac:dyDescent="0.25">
      <c r="I2494" t="s">
        <v>373</v>
      </c>
      <c r="J2494" t="s">
        <v>2145</v>
      </c>
    </row>
    <row r="2495" spans="9:10" x14ac:dyDescent="0.25">
      <c r="I2495" t="s">
        <v>98</v>
      </c>
      <c r="J2495" t="s">
        <v>2938</v>
      </c>
    </row>
    <row r="2496" spans="9:10" x14ac:dyDescent="0.25">
      <c r="I2496" t="s">
        <v>1657</v>
      </c>
      <c r="J2496" t="s">
        <v>2875</v>
      </c>
    </row>
    <row r="2497" spans="9:10" x14ac:dyDescent="0.25">
      <c r="I2497" t="s">
        <v>266</v>
      </c>
      <c r="J2497" t="s">
        <v>3872</v>
      </c>
    </row>
    <row r="2498" spans="9:10" x14ac:dyDescent="0.25">
      <c r="I2498" t="s">
        <v>378</v>
      </c>
      <c r="J2498" t="s">
        <v>2860</v>
      </c>
    </row>
    <row r="2499" spans="9:10" x14ac:dyDescent="0.25">
      <c r="I2499" t="s">
        <v>6830</v>
      </c>
      <c r="J2499" t="s">
        <v>4225</v>
      </c>
    </row>
    <row r="2500" spans="9:10" x14ac:dyDescent="0.25">
      <c r="I2500" t="s">
        <v>6733</v>
      </c>
      <c r="J2500" t="s">
        <v>3330</v>
      </c>
    </row>
    <row r="2501" spans="9:10" x14ac:dyDescent="0.25">
      <c r="I2501" t="s">
        <v>328</v>
      </c>
      <c r="J2501" t="s">
        <v>2115</v>
      </c>
    </row>
    <row r="2502" spans="9:10" x14ac:dyDescent="0.25">
      <c r="I2502" t="s">
        <v>286</v>
      </c>
      <c r="J2502" t="s">
        <v>3487</v>
      </c>
    </row>
    <row r="2503" spans="9:10" x14ac:dyDescent="0.25">
      <c r="I2503" t="s">
        <v>44</v>
      </c>
      <c r="J2503" t="s">
        <v>3909</v>
      </c>
    </row>
    <row r="2504" spans="9:10" x14ac:dyDescent="0.25">
      <c r="I2504" t="s">
        <v>267</v>
      </c>
      <c r="J2504" t="s">
        <v>3841</v>
      </c>
    </row>
    <row r="2505" spans="9:10" x14ac:dyDescent="0.25">
      <c r="I2505" t="s">
        <v>267</v>
      </c>
      <c r="J2505" t="s">
        <v>3711</v>
      </c>
    </row>
    <row r="2506" spans="9:10" x14ac:dyDescent="0.25">
      <c r="I2506" t="s">
        <v>414</v>
      </c>
      <c r="J2506" t="s">
        <v>2747</v>
      </c>
    </row>
    <row r="2507" spans="9:10" x14ac:dyDescent="0.25">
      <c r="I2507" t="s">
        <v>820</v>
      </c>
      <c r="J2507" t="s">
        <v>2824</v>
      </c>
    </row>
    <row r="2508" spans="9:10" x14ac:dyDescent="0.25">
      <c r="I2508" t="s">
        <v>6830</v>
      </c>
      <c r="J2508" t="s">
        <v>2907</v>
      </c>
    </row>
    <row r="2509" spans="9:10" x14ac:dyDescent="0.25">
      <c r="I2509" t="s">
        <v>40</v>
      </c>
      <c r="J2509" t="s">
        <v>3485</v>
      </c>
    </row>
    <row r="2510" spans="9:10" x14ac:dyDescent="0.25">
      <c r="I2510" t="s">
        <v>40</v>
      </c>
      <c r="J2510" t="s">
        <v>2311</v>
      </c>
    </row>
    <row r="2511" spans="9:10" x14ac:dyDescent="0.25">
      <c r="I2511" t="s">
        <v>293</v>
      </c>
      <c r="J2511" t="s">
        <v>6838</v>
      </c>
    </row>
    <row r="2512" spans="9:10" x14ac:dyDescent="0.25">
      <c r="I2512" t="s">
        <v>364</v>
      </c>
      <c r="J2512" t="s">
        <v>3619</v>
      </c>
    </row>
    <row r="2513" spans="9:10" x14ac:dyDescent="0.25">
      <c r="I2513" t="s">
        <v>289</v>
      </c>
      <c r="J2513" t="s">
        <v>2681</v>
      </c>
    </row>
    <row r="2514" spans="9:10" x14ac:dyDescent="0.25">
      <c r="I2514" t="s">
        <v>50</v>
      </c>
      <c r="J2514" t="s">
        <v>6860</v>
      </c>
    </row>
    <row r="2515" spans="9:10" x14ac:dyDescent="0.25">
      <c r="I2515" t="s">
        <v>102</v>
      </c>
      <c r="J2515" t="s">
        <v>3755</v>
      </c>
    </row>
    <row r="2516" spans="9:10" x14ac:dyDescent="0.25">
      <c r="I2516" t="s">
        <v>289</v>
      </c>
      <c r="J2516" t="s">
        <v>2562</v>
      </c>
    </row>
    <row r="2517" spans="9:10" x14ac:dyDescent="0.25">
      <c r="I2517" t="s">
        <v>1806</v>
      </c>
      <c r="J2517" t="s">
        <v>2222</v>
      </c>
    </row>
    <row r="2518" spans="9:10" x14ac:dyDescent="0.25">
      <c r="I2518" t="s">
        <v>328</v>
      </c>
      <c r="J2518" t="s">
        <v>2134</v>
      </c>
    </row>
    <row r="2519" spans="9:10" x14ac:dyDescent="0.25">
      <c r="I2519" t="s">
        <v>414</v>
      </c>
      <c r="J2519" t="s">
        <v>2432</v>
      </c>
    </row>
    <row r="2520" spans="9:10" x14ac:dyDescent="0.25">
      <c r="I2520" t="s">
        <v>328</v>
      </c>
      <c r="J2520" t="s">
        <v>3559</v>
      </c>
    </row>
    <row r="2521" spans="9:10" x14ac:dyDescent="0.25">
      <c r="I2521" t="s">
        <v>293</v>
      </c>
      <c r="J2521" t="s">
        <v>1656</v>
      </c>
    </row>
    <row r="2522" spans="9:10" x14ac:dyDescent="0.25">
      <c r="I2522" t="s">
        <v>373</v>
      </c>
      <c r="J2522" t="s">
        <v>1702</v>
      </c>
    </row>
    <row r="2523" spans="9:10" x14ac:dyDescent="0.25">
      <c r="I2523" t="s">
        <v>326</v>
      </c>
      <c r="J2523" t="s">
        <v>2871</v>
      </c>
    </row>
    <row r="2524" spans="9:10" x14ac:dyDescent="0.25">
      <c r="I2524" t="s">
        <v>770</v>
      </c>
      <c r="J2524" t="s">
        <v>1846</v>
      </c>
    </row>
    <row r="2525" spans="9:10" x14ac:dyDescent="0.25">
      <c r="I2525" t="s">
        <v>328</v>
      </c>
      <c r="J2525" t="s">
        <v>3930</v>
      </c>
    </row>
    <row r="2526" spans="9:10" x14ac:dyDescent="0.25">
      <c r="I2526" t="s">
        <v>328</v>
      </c>
      <c r="J2526" t="s">
        <v>3558</v>
      </c>
    </row>
    <row r="2527" spans="9:10" x14ac:dyDescent="0.25">
      <c r="I2527" t="s">
        <v>328</v>
      </c>
      <c r="J2527" t="s">
        <v>3095</v>
      </c>
    </row>
    <row r="2528" spans="9:10" x14ac:dyDescent="0.25">
      <c r="I2528" t="s">
        <v>267</v>
      </c>
      <c r="J2528" t="s">
        <v>3010</v>
      </c>
    </row>
    <row r="2529" spans="9:10" x14ac:dyDescent="0.25">
      <c r="I2529" t="s">
        <v>3673</v>
      </c>
      <c r="J2529" t="s">
        <v>3674</v>
      </c>
    </row>
    <row r="2530" spans="9:10" x14ac:dyDescent="0.25">
      <c r="I2530" t="s">
        <v>2087</v>
      </c>
      <c r="J2530" t="s">
        <v>6694</v>
      </c>
    </row>
    <row r="2531" spans="9:10" x14ac:dyDescent="0.25">
      <c r="I2531" t="s">
        <v>3164</v>
      </c>
      <c r="J2531" t="s">
        <v>3165</v>
      </c>
    </row>
    <row r="2532" spans="9:10" x14ac:dyDescent="0.25">
      <c r="I2532" t="s">
        <v>1927</v>
      </c>
      <c r="J2532" t="s">
        <v>1928</v>
      </c>
    </row>
    <row r="2533" spans="9:10" x14ac:dyDescent="0.25">
      <c r="I2533" t="s">
        <v>302</v>
      </c>
      <c r="J2533" t="s">
        <v>4529</v>
      </c>
    </row>
    <row r="2534" spans="9:10" x14ac:dyDescent="0.25">
      <c r="I2534" t="s">
        <v>40</v>
      </c>
      <c r="J2534" t="s">
        <v>2004</v>
      </c>
    </row>
    <row r="2535" spans="9:10" x14ac:dyDescent="0.25">
      <c r="I2535" t="s">
        <v>102</v>
      </c>
      <c r="J2535" t="s">
        <v>3469</v>
      </c>
    </row>
    <row r="2536" spans="9:10" x14ac:dyDescent="0.25">
      <c r="I2536" t="s">
        <v>40</v>
      </c>
      <c r="J2536" t="s">
        <v>2744</v>
      </c>
    </row>
    <row r="2537" spans="9:10" x14ac:dyDescent="0.25">
      <c r="I2537" t="s">
        <v>2297</v>
      </c>
      <c r="J2537" t="s">
        <v>2768</v>
      </c>
    </row>
    <row r="2538" spans="9:10" x14ac:dyDescent="0.25">
      <c r="I2538" t="s">
        <v>2297</v>
      </c>
      <c r="J2538" t="s">
        <v>2467</v>
      </c>
    </row>
    <row r="2539" spans="9:10" x14ac:dyDescent="0.25">
      <c r="I2539" t="s">
        <v>2297</v>
      </c>
      <c r="J2539" t="s">
        <v>3231</v>
      </c>
    </row>
    <row r="2540" spans="9:10" x14ac:dyDescent="0.25">
      <c r="I2540" t="s">
        <v>40</v>
      </c>
      <c r="J2540" t="s">
        <v>6997</v>
      </c>
    </row>
    <row r="2541" spans="9:10" x14ac:dyDescent="0.25">
      <c r="I2541" t="s">
        <v>2297</v>
      </c>
      <c r="J2541" t="s">
        <v>3156</v>
      </c>
    </row>
    <row r="2542" spans="9:10" x14ac:dyDescent="0.25">
      <c r="I2542" t="s">
        <v>1943</v>
      </c>
      <c r="J2542" t="s">
        <v>3734</v>
      </c>
    </row>
    <row r="2543" spans="9:10" x14ac:dyDescent="0.25">
      <c r="I2543" t="s">
        <v>2297</v>
      </c>
      <c r="J2543" t="s">
        <v>2379</v>
      </c>
    </row>
    <row r="2544" spans="9:10" x14ac:dyDescent="0.25">
      <c r="I2544" t="s">
        <v>2297</v>
      </c>
      <c r="J2544" t="s">
        <v>3476</v>
      </c>
    </row>
    <row r="2545" spans="9:10" x14ac:dyDescent="0.25">
      <c r="I2545" t="s">
        <v>267</v>
      </c>
      <c r="J2545" t="s">
        <v>3255</v>
      </c>
    </row>
    <row r="2546" spans="9:10" x14ac:dyDescent="0.25">
      <c r="I2546" t="s">
        <v>2297</v>
      </c>
      <c r="J2546" t="s">
        <v>2298</v>
      </c>
    </row>
    <row r="2547" spans="9:10" x14ac:dyDescent="0.25">
      <c r="I2547" t="s">
        <v>43</v>
      </c>
      <c r="J2547" t="s">
        <v>6670</v>
      </c>
    </row>
    <row r="2548" spans="9:10" x14ac:dyDescent="0.25">
      <c r="I2548" t="s">
        <v>293</v>
      </c>
      <c r="J2548" t="s">
        <v>6882</v>
      </c>
    </row>
    <row r="2549" spans="9:10" x14ac:dyDescent="0.25">
      <c r="I2549" t="s">
        <v>2297</v>
      </c>
      <c r="J2549" t="s">
        <v>3290</v>
      </c>
    </row>
    <row r="2550" spans="9:10" x14ac:dyDescent="0.25">
      <c r="I2550" t="s">
        <v>2297</v>
      </c>
      <c r="J2550" t="s">
        <v>2991</v>
      </c>
    </row>
    <row r="2551" spans="9:10" x14ac:dyDescent="0.25">
      <c r="I2551" t="s">
        <v>1806</v>
      </c>
      <c r="J2551" t="s">
        <v>6885</v>
      </c>
    </row>
    <row r="2552" spans="9:10" x14ac:dyDescent="0.25">
      <c r="I2552" t="s">
        <v>302</v>
      </c>
      <c r="J2552" t="s">
        <v>4244</v>
      </c>
    </row>
    <row r="2553" spans="9:10" x14ac:dyDescent="0.25">
      <c r="I2553" t="s">
        <v>2297</v>
      </c>
      <c r="J2553" t="s">
        <v>3934</v>
      </c>
    </row>
    <row r="2554" spans="9:10" x14ac:dyDescent="0.25">
      <c r="I2554" t="s">
        <v>3730</v>
      </c>
      <c r="J2554" t="s">
        <v>3731</v>
      </c>
    </row>
    <row r="2555" spans="9:10" x14ac:dyDescent="0.25">
      <c r="I2555" t="s">
        <v>3857</v>
      </c>
      <c r="J2555" t="s">
        <v>3858</v>
      </c>
    </row>
    <row r="2556" spans="9:10" x14ac:dyDescent="0.25">
      <c r="I2556" t="s">
        <v>793</v>
      </c>
      <c r="J2556" t="s">
        <v>3077</v>
      </c>
    </row>
    <row r="2557" spans="9:10" x14ac:dyDescent="0.25">
      <c r="I2557" t="s">
        <v>6814</v>
      </c>
      <c r="J2557" t="s">
        <v>4180</v>
      </c>
    </row>
    <row r="2558" spans="9:10" x14ac:dyDescent="0.25">
      <c r="I2558" t="s">
        <v>422</v>
      </c>
      <c r="J2558" t="s">
        <v>3193</v>
      </c>
    </row>
    <row r="2559" spans="9:10" x14ac:dyDescent="0.25">
      <c r="I2559" t="s">
        <v>6814</v>
      </c>
      <c r="J2559" t="s">
        <v>3602</v>
      </c>
    </row>
    <row r="2560" spans="9:10" x14ac:dyDescent="0.25">
      <c r="I2560" t="s">
        <v>1806</v>
      </c>
      <c r="J2560" t="s">
        <v>6979</v>
      </c>
    </row>
    <row r="2561" spans="9:10" x14ac:dyDescent="0.25">
      <c r="I2561" t="s">
        <v>40</v>
      </c>
      <c r="J2561" t="s">
        <v>3322</v>
      </c>
    </row>
    <row r="2562" spans="9:10" x14ac:dyDescent="0.25">
      <c r="I2562" t="s">
        <v>2297</v>
      </c>
      <c r="J2562" t="s">
        <v>2883</v>
      </c>
    </row>
    <row r="2563" spans="9:10" x14ac:dyDescent="0.25">
      <c r="I2563" t="s">
        <v>6814</v>
      </c>
      <c r="J2563" t="s">
        <v>3176</v>
      </c>
    </row>
    <row r="2564" spans="9:10" x14ac:dyDescent="0.25">
      <c r="I2564" t="s">
        <v>581</v>
      </c>
      <c r="J2564" t="s">
        <v>4497</v>
      </c>
    </row>
    <row r="2565" spans="9:10" x14ac:dyDescent="0.25">
      <c r="I2565" t="s">
        <v>2297</v>
      </c>
      <c r="J2565" t="s">
        <v>3586</v>
      </c>
    </row>
    <row r="2566" spans="9:10" x14ac:dyDescent="0.25">
      <c r="I2566" t="s">
        <v>422</v>
      </c>
      <c r="J2566" t="s">
        <v>1750</v>
      </c>
    </row>
    <row r="2567" spans="9:10" x14ac:dyDescent="0.25">
      <c r="I2567" t="s">
        <v>289</v>
      </c>
      <c r="J2567" t="s">
        <v>2339</v>
      </c>
    </row>
    <row r="2568" spans="9:10" x14ac:dyDescent="0.25">
      <c r="I2568" t="s">
        <v>289</v>
      </c>
      <c r="J2568" t="s">
        <v>2850</v>
      </c>
    </row>
    <row r="2569" spans="9:10" x14ac:dyDescent="0.25">
      <c r="I2569" t="s">
        <v>1806</v>
      </c>
      <c r="J2569" t="s">
        <v>6920</v>
      </c>
    </row>
    <row r="2570" spans="9:10" x14ac:dyDescent="0.25">
      <c r="I2570" t="s">
        <v>6814</v>
      </c>
      <c r="J2570" t="s">
        <v>2986</v>
      </c>
    </row>
    <row r="2571" spans="9:10" x14ac:dyDescent="0.25">
      <c r="I2571" t="s">
        <v>40</v>
      </c>
      <c r="J2571" t="s">
        <v>2921</v>
      </c>
    </row>
    <row r="2572" spans="9:10" x14ac:dyDescent="0.25">
      <c r="I2572" t="s">
        <v>328</v>
      </c>
      <c r="J2572" t="s">
        <v>2518</v>
      </c>
    </row>
    <row r="2573" spans="9:10" x14ac:dyDescent="0.25">
      <c r="I2573" t="s">
        <v>820</v>
      </c>
      <c r="J2573" t="s">
        <v>6893</v>
      </c>
    </row>
    <row r="2574" spans="9:10" x14ac:dyDescent="0.25">
      <c r="I2574" t="s">
        <v>581</v>
      </c>
      <c r="J2574" t="s">
        <v>2567</v>
      </c>
    </row>
    <row r="2575" spans="9:10" x14ac:dyDescent="0.25">
      <c r="I2575" t="s">
        <v>1835</v>
      </c>
      <c r="J2575" t="s">
        <v>1836</v>
      </c>
    </row>
    <row r="2576" spans="9:10" x14ac:dyDescent="0.25">
      <c r="I2576" t="s">
        <v>308</v>
      </c>
      <c r="J2576" t="s">
        <v>3893</v>
      </c>
    </row>
    <row r="2577" spans="9:10" x14ac:dyDescent="0.25">
      <c r="I2577" t="s">
        <v>302</v>
      </c>
      <c r="J2577" t="s">
        <v>4263</v>
      </c>
    </row>
    <row r="2578" spans="9:10" x14ac:dyDescent="0.25">
      <c r="I2578" t="s">
        <v>299</v>
      </c>
      <c r="J2578" t="s">
        <v>1741</v>
      </c>
    </row>
    <row r="2579" spans="9:10" x14ac:dyDescent="0.25">
      <c r="I2579" t="s">
        <v>299</v>
      </c>
      <c r="J2579" t="s">
        <v>3047</v>
      </c>
    </row>
    <row r="2580" spans="9:10" x14ac:dyDescent="0.25">
      <c r="I2580" t="s">
        <v>302</v>
      </c>
      <c r="J2580" t="s">
        <v>4284</v>
      </c>
    </row>
    <row r="2581" spans="9:10" x14ac:dyDescent="0.25">
      <c r="I2581" t="s">
        <v>299</v>
      </c>
      <c r="J2581" t="s">
        <v>2612</v>
      </c>
    </row>
    <row r="2582" spans="9:10" x14ac:dyDescent="0.25">
      <c r="I2582" t="s">
        <v>40</v>
      </c>
      <c r="J2582" t="s">
        <v>4493</v>
      </c>
    </row>
    <row r="2583" spans="9:10" x14ac:dyDescent="0.25">
      <c r="I2583" t="s">
        <v>1806</v>
      </c>
      <c r="J2583" t="s">
        <v>2635</v>
      </c>
    </row>
    <row r="2584" spans="9:10" x14ac:dyDescent="0.25">
      <c r="I2584" t="s">
        <v>2101</v>
      </c>
      <c r="J2584" t="s">
        <v>4528</v>
      </c>
    </row>
    <row r="2585" spans="9:10" x14ac:dyDescent="0.25">
      <c r="I2585" t="s">
        <v>328</v>
      </c>
      <c r="J2585" t="s">
        <v>3124</v>
      </c>
    </row>
    <row r="2586" spans="9:10" x14ac:dyDescent="0.25">
      <c r="I2586" t="s">
        <v>1883</v>
      </c>
      <c r="J2586" t="s">
        <v>3450</v>
      </c>
    </row>
    <row r="2587" spans="9:10" x14ac:dyDescent="0.25">
      <c r="I2587" t="s">
        <v>2333</v>
      </c>
      <c r="J2587" t="s">
        <v>6853</v>
      </c>
    </row>
    <row r="2588" spans="9:10" x14ac:dyDescent="0.25">
      <c r="I2588" t="s">
        <v>1883</v>
      </c>
      <c r="J2588" t="s">
        <v>2767</v>
      </c>
    </row>
    <row r="2589" spans="9:10" x14ac:dyDescent="0.25">
      <c r="I2589" t="s">
        <v>299</v>
      </c>
      <c r="J2589" t="s">
        <v>3029</v>
      </c>
    </row>
    <row r="2590" spans="9:10" x14ac:dyDescent="0.25">
      <c r="I2590" t="s">
        <v>43</v>
      </c>
      <c r="J2590" t="s">
        <v>2950</v>
      </c>
    </row>
    <row r="2591" spans="9:10" x14ac:dyDescent="0.25">
      <c r="I2591" t="s">
        <v>1883</v>
      </c>
      <c r="J2591" t="s">
        <v>2858</v>
      </c>
    </row>
    <row r="2592" spans="9:10" x14ac:dyDescent="0.25">
      <c r="I2592" t="s">
        <v>1883</v>
      </c>
      <c r="J2592" t="s">
        <v>4159</v>
      </c>
    </row>
    <row r="2593" spans="9:10" x14ac:dyDescent="0.25">
      <c r="I2593" t="s">
        <v>43</v>
      </c>
      <c r="J2593" t="s">
        <v>2474</v>
      </c>
    </row>
    <row r="2594" spans="9:10" x14ac:dyDescent="0.25">
      <c r="I2594" t="s">
        <v>40</v>
      </c>
      <c r="J2594" t="s">
        <v>2243</v>
      </c>
    </row>
    <row r="2595" spans="9:10" x14ac:dyDescent="0.25">
      <c r="I2595" t="s">
        <v>581</v>
      </c>
      <c r="J2595" t="s">
        <v>3753</v>
      </c>
    </row>
    <row r="2596" spans="9:10" x14ac:dyDescent="0.25">
      <c r="I2596" t="s">
        <v>289</v>
      </c>
      <c r="J2596" t="s">
        <v>4393</v>
      </c>
    </row>
    <row r="2597" spans="9:10" x14ac:dyDescent="0.25">
      <c r="I2597" t="s">
        <v>289</v>
      </c>
      <c r="J2597" t="s">
        <v>4238</v>
      </c>
    </row>
    <row r="2598" spans="9:10" x14ac:dyDescent="0.25">
      <c r="I2598" t="s">
        <v>2603</v>
      </c>
      <c r="J2598" t="s">
        <v>2604</v>
      </c>
    </row>
    <row r="2599" spans="9:10" x14ac:dyDescent="0.25">
      <c r="I2599" t="s">
        <v>2214</v>
      </c>
      <c r="J2599" t="s">
        <v>6667</v>
      </c>
    </row>
    <row r="2600" spans="9:10" x14ac:dyDescent="0.25">
      <c r="I2600" t="s">
        <v>3879</v>
      </c>
      <c r="J2600" t="s">
        <v>3880</v>
      </c>
    </row>
    <row r="2601" spans="9:10" x14ac:dyDescent="0.25">
      <c r="I2601" t="s">
        <v>328</v>
      </c>
      <c r="J2601" t="s">
        <v>2865</v>
      </c>
    </row>
    <row r="2602" spans="9:10" x14ac:dyDescent="0.25">
      <c r="I2602" t="s">
        <v>351</v>
      </c>
      <c r="J2602" t="s">
        <v>3138</v>
      </c>
    </row>
    <row r="2603" spans="9:10" x14ac:dyDescent="0.25">
      <c r="I2603" t="s">
        <v>41</v>
      </c>
      <c r="J2603" t="s">
        <v>6809</v>
      </c>
    </row>
    <row r="2604" spans="9:10" x14ac:dyDescent="0.25">
      <c r="I2604" t="s">
        <v>600</v>
      </c>
      <c r="J2604" t="s">
        <v>3624</v>
      </c>
    </row>
    <row r="2605" spans="9:10" x14ac:dyDescent="0.25">
      <c r="I2605" t="s">
        <v>40</v>
      </c>
      <c r="J2605" t="s">
        <v>3832</v>
      </c>
    </row>
    <row r="2606" spans="9:10" x14ac:dyDescent="0.25">
      <c r="I2606" t="s">
        <v>40</v>
      </c>
      <c r="J2606" t="s">
        <v>1768</v>
      </c>
    </row>
    <row r="2607" spans="9:10" x14ac:dyDescent="0.25">
      <c r="I2607" t="s">
        <v>46</v>
      </c>
      <c r="J2607" t="s">
        <v>2945</v>
      </c>
    </row>
    <row r="2608" spans="9:10" x14ac:dyDescent="0.25">
      <c r="I2608" t="s">
        <v>43</v>
      </c>
      <c r="J2608" t="s">
        <v>4060</v>
      </c>
    </row>
    <row r="2609" spans="9:10" x14ac:dyDescent="0.25">
      <c r="I2609" t="s">
        <v>2943</v>
      </c>
      <c r="J2609" t="s">
        <v>2944</v>
      </c>
    </row>
    <row r="2610" spans="9:10" x14ac:dyDescent="0.25">
      <c r="I2610" t="s">
        <v>328</v>
      </c>
      <c r="J2610" t="s">
        <v>6993</v>
      </c>
    </row>
    <row r="2611" spans="9:10" x14ac:dyDescent="0.25">
      <c r="I2611" t="s">
        <v>43</v>
      </c>
      <c r="J2611" t="s">
        <v>2925</v>
      </c>
    </row>
    <row r="2612" spans="9:10" x14ac:dyDescent="0.25">
      <c r="I2612" t="s">
        <v>43</v>
      </c>
      <c r="J2612" t="s">
        <v>4347</v>
      </c>
    </row>
    <row r="2613" spans="9:10" x14ac:dyDescent="0.25">
      <c r="I2613" t="s">
        <v>43</v>
      </c>
      <c r="J2613" t="s">
        <v>2975</v>
      </c>
    </row>
    <row r="2614" spans="9:10" x14ac:dyDescent="0.25">
      <c r="I2614" t="s">
        <v>43</v>
      </c>
      <c r="J2614" t="s">
        <v>1737</v>
      </c>
    </row>
    <row r="2615" spans="9:10" x14ac:dyDescent="0.25">
      <c r="I2615" t="s">
        <v>328</v>
      </c>
      <c r="J2615" t="s">
        <v>3665</v>
      </c>
    </row>
    <row r="2616" spans="9:10" x14ac:dyDescent="0.25">
      <c r="I2616" t="s">
        <v>328</v>
      </c>
      <c r="J2616" t="s">
        <v>2016</v>
      </c>
    </row>
    <row r="2617" spans="9:10" x14ac:dyDescent="0.25">
      <c r="I2617" t="s">
        <v>291</v>
      </c>
      <c r="J2617" t="s">
        <v>2578</v>
      </c>
    </row>
    <row r="2618" spans="9:10" x14ac:dyDescent="0.25">
      <c r="I2618" t="s">
        <v>326</v>
      </c>
      <c r="J2618" t="s">
        <v>4312</v>
      </c>
    </row>
    <row r="2619" spans="9:10" x14ac:dyDescent="0.25">
      <c r="I2619" t="s">
        <v>266</v>
      </c>
      <c r="J2619" t="s">
        <v>4209</v>
      </c>
    </row>
    <row r="2620" spans="9:10" x14ac:dyDescent="0.25">
      <c r="I2620" t="s">
        <v>267</v>
      </c>
      <c r="J2620" t="s">
        <v>3964</v>
      </c>
    </row>
    <row r="2621" spans="9:10" x14ac:dyDescent="0.25">
      <c r="I2621" t="s">
        <v>2323</v>
      </c>
      <c r="J2621" t="s">
        <v>2835</v>
      </c>
    </row>
    <row r="2622" spans="9:10" x14ac:dyDescent="0.25">
      <c r="I2622" t="s">
        <v>267</v>
      </c>
      <c r="J2622" t="s">
        <v>6709</v>
      </c>
    </row>
    <row r="2623" spans="9:10" x14ac:dyDescent="0.25">
      <c r="I2623" t="s">
        <v>326</v>
      </c>
      <c r="J2623" t="s">
        <v>3511</v>
      </c>
    </row>
    <row r="2624" spans="9:10" x14ac:dyDescent="0.25">
      <c r="I2624" t="s">
        <v>326</v>
      </c>
      <c r="J2624" t="s">
        <v>3866</v>
      </c>
    </row>
    <row r="2625" spans="9:10" x14ac:dyDescent="0.25">
      <c r="I2625" t="s">
        <v>1831</v>
      </c>
      <c r="J2625" t="s">
        <v>3433</v>
      </c>
    </row>
    <row r="2626" spans="9:10" x14ac:dyDescent="0.25">
      <c r="I2626" t="s">
        <v>1835</v>
      </c>
      <c r="J2626" t="s">
        <v>2054</v>
      </c>
    </row>
    <row r="2627" spans="9:10" x14ac:dyDescent="0.25">
      <c r="I2627" t="s">
        <v>266</v>
      </c>
      <c r="J2627" t="s">
        <v>3987</v>
      </c>
    </row>
    <row r="2628" spans="9:10" x14ac:dyDescent="0.25">
      <c r="I2628" t="s">
        <v>302</v>
      </c>
      <c r="J2628" t="s">
        <v>6917</v>
      </c>
    </row>
    <row r="2629" spans="9:10" x14ac:dyDescent="0.25">
      <c r="I2629" t="s">
        <v>269</v>
      </c>
      <c r="J2629" t="s">
        <v>3537</v>
      </c>
    </row>
    <row r="2630" spans="9:10" x14ac:dyDescent="0.25">
      <c r="I2630" t="s">
        <v>328</v>
      </c>
      <c r="J2630" t="s">
        <v>3459</v>
      </c>
    </row>
    <row r="2631" spans="9:10" x14ac:dyDescent="0.25">
      <c r="I2631" t="s">
        <v>328</v>
      </c>
      <c r="J2631" t="s">
        <v>3799</v>
      </c>
    </row>
    <row r="2632" spans="9:10" x14ac:dyDescent="0.25">
      <c r="I2632" t="s">
        <v>267</v>
      </c>
      <c r="J2632" t="s">
        <v>4231</v>
      </c>
    </row>
    <row r="2633" spans="9:10" x14ac:dyDescent="0.25">
      <c r="I2633" t="s">
        <v>50</v>
      </c>
      <c r="J2633" t="s">
        <v>3901</v>
      </c>
    </row>
    <row r="2634" spans="9:10" x14ac:dyDescent="0.25">
      <c r="I2634" t="s">
        <v>3185</v>
      </c>
      <c r="J2634" t="s">
        <v>3186</v>
      </c>
    </row>
    <row r="2635" spans="9:10" x14ac:dyDescent="0.25">
      <c r="I2635" t="s">
        <v>266</v>
      </c>
      <c r="J2635" t="s">
        <v>2617</v>
      </c>
    </row>
    <row r="2636" spans="9:10" x14ac:dyDescent="0.25">
      <c r="I2636" t="s">
        <v>328</v>
      </c>
      <c r="J2636" t="s">
        <v>3956</v>
      </c>
    </row>
    <row r="2637" spans="9:10" x14ac:dyDescent="0.25">
      <c r="I2637" t="s">
        <v>1840</v>
      </c>
      <c r="J2637" t="s">
        <v>1841</v>
      </c>
    </row>
    <row r="2638" spans="9:10" x14ac:dyDescent="0.25">
      <c r="I2638" t="s">
        <v>2922</v>
      </c>
      <c r="J2638" t="s">
        <v>2923</v>
      </c>
    </row>
    <row r="2639" spans="9:10" x14ac:dyDescent="0.25">
      <c r="I2639" t="s">
        <v>422</v>
      </c>
      <c r="J2639" t="s">
        <v>3196</v>
      </c>
    </row>
    <row r="2640" spans="9:10" x14ac:dyDescent="0.25">
      <c r="I2640" t="s">
        <v>267</v>
      </c>
      <c r="J2640" t="s">
        <v>1941</v>
      </c>
    </row>
    <row r="2641" spans="9:10" x14ac:dyDescent="0.25">
      <c r="I2641" t="s">
        <v>3941</v>
      </c>
      <c r="J2641" t="s">
        <v>3942</v>
      </c>
    </row>
    <row r="2642" spans="9:10" x14ac:dyDescent="0.25">
      <c r="I2642" t="s">
        <v>266</v>
      </c>
      <c r="J2642" t="s">
        <v>4036</v>
      </c>
    </row>
    <row r="2643" spans="9:10" x14ac:dyDescent="0.25">
      <c r="I2643" t="s">
        <v>266</v>
      </c>
      <c r="J2643" t="s">
        <v>2511</v>
      </c>
    </row>
    <row r="2644" spans="9:10" x14ac:dyDescent="0.25">
      <c r="I2644" t="s">
        <v>267</v>
      </c>
      <c r="J2644" t="s">
        <v>2235</v>
      </c>
    </row>
    <row r="2645" spans="9:10" x14ac:dyDescent="0.25">
      <c r="I2645" t="s">
        <v>267</v>
      </c>
      <c r="J2645" t="s">
        <v>2205</v>
      </c>
    </row>
    <row r="2646" spans="9:10" x14ac:dyDescent="0.25">
      <c r="I2646" t="s">
        <v>425</v>
      </c>
      <c r="J2646" t="s">
        <v>1833</v>
      </c>
    </row>
    <row r="2647" spans="9:10" x14ac:dyDescent="0.25">
      <c r="I2647" t="s">
        <v>266</v>
      </c>
      <c r="J2647" t="s">
        <v>6732</v>
      </c>
    </row>
    <row r="2648" spans="9:10" x14ac:dyDescent="0.25">
      <c r="I2648" t="s">
        <v>326</v>
      </c>
      <c r="J2648" t="s">
        <v>2873</v>
      </c>
    </row>
    <row r="2649" spans="9:10" x14ac:dyDescent="0.25">
      <c r="I2649" t="s">
        <v>266</v>
      </c>
      <c r="J2649" t="s">
        <v>2131</v>
      </c>
    </row>
    <row r="2650" spans="9:10" x14ac:dyDescent="0.25">
      <c r="I2650" t="s">
        <v>4514</v>
      </c>
      <c r="J2650" t="s">
        <v>4515</v>
      </c>
    </row>
    <row r="2651" spans="9:10" x14ac:dyDescent="0.25">
      <c r="I2651" t="s">
        <v>428</v>
      </c>
      <c r="J2651" t="s">
        <v>4328</v>
      </c>
    </row>
    <row r="2652" spans="9:10" x14ac:dyDescent="0.25">
      <c r="I2652" t="s">
        <v>130</v>
      </c>
      <c r="J2652" t="s">
        <v>1708</v>
      </c>
    </row>
    <row r="2653" spans="9:10" x14ac:dyDescent="0.25">
      <c r="I2653" t="s">
        <v>97</v>
      </c>
      <c r="J2653" t="s">
        <v>2523</v>
      </c>
    </row>
    <row r="2654" spans="9:10" x14ac:dyDescent="0.25">
      <c r="I2654" t="s">
        <v>6830</v>
      </c>
      <c r="J2654" t="s">
        <v>3328</v>
      </c>
    </row>
    <row r="2655" spans="9:10" x14ac:dyDescent="0.25">
      <c r="I2655" t="s">
        <v>333</v>
      </c>
      <c r="J2655" t="s">
        <v>4293</v>
      </c>
    </row>
    <row r="2656" spans="9:10" x14ac:dyDescent="0.25">
      <c r="I2656" t="s">
        <v>328</v>
      </c>
      <c r="J2656" t="s">
        <v>3153</v>
      </c>
    </row>
    <row r="2657" spans="9:10" x14ac:dyDescent="0.25">
      <c r="I2657" t="s">
        <v>6813</v>
      </c>
      <c r="J2657" t="s">
        <v>1784</v>
      </c>
    </row>
    <row r="2658" spans="9:10" x14ac:dyDescent="0.25">
      <c r="I2658" t="s">
        <v>328</v>
      </c>
      <c r="J2658" t="s">
        <v>3745</v>
      </c>
    </row>
    <row r="2659" spans="9:10" x14ac:dyDescent="0.25">
      <c r="I2659" t="s">
        <v>2313</v>
      </c>
      <c r="J2659" t="s">
        <v>2876</v>
      </c>
    </row>
    <row r="2660" spans="9:10" x14ac:dyDescent="0.25">
      <c r="I2660" t="s">
        <v>302</v>
      </c>
      <c r="J2660" t="s">
        <v>6883</v>
      </c>
    </row>
    <row r="2661" spans="9:10" x14ac:dyDescent="0.25">
      <c r="I2661" t="s">
        <v>2060</v>
      </c>
      <c r="J2661" t="s">
        <v>3864</v>
      </c>
    </row>
    <row r="2662" spans="9:10" x14ac:dyDescent="0.25">
      <c r="I2662" t="s">
        <v>6733</v>
      </c>
      <c r="J2662" t="s">
        <v>3543</v>
      </c>
    </row>
    <row r="2663" spans="9:10" x14ac:dyDescent="0.25">
      <c r="I2663" t="s">
        <v>2168</v>
      </c>
      <c r="J2663" t="s">
        <v>2169</v>
      </c>
    </row>
    <row r="2664" spans="9:10" x14ac:dyDescent="0.25">
      <c r="I2664" t="s">
        <v>2732</v>
      </c>
      <c r="J2664" t="s">
        <v>2733</v>
      </c>
    </row>
    <row r="2665" spans="9:10" x14ac:dyDescent="0.25">
      <c r="I2665" t="s">
        <v>267</v>
      </c>
      <c r="J2665" t="s">
        <v>3416</v>
      </c>
    </row>
    <row r="2666" spans="9:10" x14ac:dyDescent="0.25">
      <c r="I2666" t="s">
        <v>6733</v>
      </c>
      <c r="J2666" t="s">
        <v>1707</v>
      </c>
    </row>
    <row r="2667" spans="9:10" x14ac:dyDescent="0.25">
      <c r="I2667" t="s">
        <v>267</v>
      </c>
      <c r="J2667" t="s">
        <v>3701</v>
      </c>
    </row>
    <row r="2668" spans="9:10" x14ac:dyDescent="0.25">
      <c r="I2668" t="s">
        <v>566</v>
      </c>
      <c r="J2668" t="s">
        <v>2738</v>
      </c>
    </row>
    <row r="2669" spans="9:10" x14ac:dyDescent="0.25">
      <c r="I2669" t="s">
        <v>4272</v>
      </c>
      <c r="J2669" t="s">
        <v>4273</v>
      </c>
    </row>
    <row r="2670" spans="9:10" x14ac:dyDescent="0.25">
      <c r="I2670" t="s">
        <v>266</v>
      </c>
      <c r="J2670" t="s">
        <v>1824</v>
      </c>
    </row>
    <row r="2671" spans="9:10" x14ac:dyDescent="0.25">
      <c r="I2671" t="s">
        <v>328</v>
      </c>
      <c r="J2671" t="s">
        <v>3301</v>
      </c>
    </row>
    <row r="2672" spans="9:10" x14ac:dyDescent="0.25">
      <c r="I2672" t="s">
        <v>41</v>
      </c>
      <c r="J2672" t="s">
        <v>6808</v>
      </c>
    </row>
    <row r="2673" spans="9:10" x14ac:dyDescent="0.25">
      <c r="I2673" t="s">
        <v>266</v>
      </c>
      <c r="J2673" t="s">
        <v>2517</v>
      </c>
    </row>
    <row r="2674" spans="9:10" x14ac:dyDescent="0.25">
      <c r="I2674" t="s">
        <v>414</v>
      </c>
      <c r="J2674" t="s">
        <v>4100</v>
      </c>
    </row>
    <row r="2675" spans="9:10" x14ac:dyDescent="0.25">
      <c r="I2675" t="s">
        <v>293</v>
      </c>
      <c r="J2675" t="s">
        <v>6857</v>
      </c>
    </row>
    <row r="2676" spans="9:10" x14ac:dyDescent="0.25">
      <c r="I2676" t="s">
        <v>6813</v>
      </c>
      <c r="J2676" t="s">
        <v>2814</v>
      </c>
    </row>
    <row r="2677" spans="9:10" x14ac:dyDescent="0.25">
      <c r="I2677" t="s">
        <v>326</v>
      </c>
      <c r="J2677" t="s">
        <v>3643</v>
      </c>
    </row>
    <row r="2678" spans="9:10" x14ac:dyDescent="0.25">
      <c r="I2678" t="s">
        <v>6731</v>
      </c>
      <c r="J2678" t="s">
        <v>2061</v>
      </c>
    </row>
    <row r="2679" spans="9:10" x14ac:dyDescent="0.25">
      <c r="I2679" t="s">
        <v>2128</v>
      </c>
      <c r="J2679" t="s">
        <v>2061</v>
      </c>
    </row>
    <row r="2680" spans="9:10" x14ac:dyDescent="0.25">
      <c r="I2680" t="s">
        <v>11</v>
      </c>
      <c r="J2680" t="s">
        <v>1762</v>
      </c>
    </row>
    <row r="2681" spans="9:10" x14ac:dyDescent="0.25">
      <c r="I2681" t="s">
        <v>3166</v>
      </c>
      <c r="J2681" t="s">
        <v>3167</v>
      </c>
    </row>
    <row r="2682" spans="9:10" x14ac:dyDescent="0.25">
      <c r="I2682" t="s">
        <v>3036</v>
      </c>
      <c r="J2682" t="s">
        <v>3037</v>
      </c>
    </row>
    <row r="2683" spans="9:10" x14ac:dyDescent="0.25">
      <c r="I2683" t="s">
        <v>267</v>
      </c>
      <c r="J2683" t="s">
        <v>2909</v>
      </c>
    </row>
    <row r="2684" spans="9:10" x14ac:dyDescent="0.25">
      <c r="I2684" t="s">
        <v>2177</v>
      </c>
      <c r="J2684" t="s">
        <v>2178</v>
      </c>
    </row>
    <row r="2685" spans="9:10" x14ac:dyDescent="0.25">
      <c r="I2685" t="s">
        <v>1682</v>
      </c>
      <c r="J2685" t="s">
        <v>4298</v>
      </c>
    </row>
    <row r="2686" spans="9:10" x14ac:dyDescent="0.25">
      <c r="I2686" t="s">
        <v>267</v>
      </c>
      <c r="J2686" t="s">
        <v>3990</v>
      </c>
    </row>
    <row r="2687" spans="9:10" x14ac:dyDescent="0.25">
      <c r="I2687" t="s">
        <v>267</v>
      </c>
      <c r="J2687" t="s">
        <v>3737</v>
      </c>
    </row>
    <row r="2688" spans="9:10" x14ac:dyDescent="0.25">
      <c r="I2688" t="s">
        <v>289</v>
      </c>
      <c r="J2688" t="s">
        <v>2609</v>
      </c>
    </row>
    <row r="2689" spans="9:10" x14ac:dyDescent="0.25">
      <c r="I2689" t="s">
        <v>328</v>
      </c>
      <c r="J2689" t="s">
        <v>2846</v>
      </c>
    </row>
    <row r="2690" spans="9:10" x14ac:dyDescent="0.25">
      <c r="I2690" t="s">
        <v>6813</v>
      </c>
      <c r="J2690" t="s">
        <v>3792</v>
      </c>
    </row>
    <row r="2691" spans="9:10" x14ac:dyDescent="0.25">
      <c r="I2691" t="s">
        <v>1781</v>
      </c>
      <c r="J2691" t="s">
        <v>1782</v>
      </c>
    </row>
    <row r="2692" spans="9:10" x14ac:dyDescent="0.25">
      <c r="I2692" t="s">
        <v>425</v>
      </c>
      <c r="J2692" t="s">
        <v>2286</v>
      </c>
    </row>
    <row r="2693" spans="9:10" x14ac:dyDescent="0.25">
      <c r="I2693" t="s">
        <v>291</v>
      </c>
      <c r="J2693" t="s">
        <v>2602</v>
      </c>
    </row>
    <row r="2694" spans="9:10" x14ac:dyDescent="0.25">
      <c r="I2694" t="s">
        <v>1731</v>
      </c>
      <c r="J2694" t="s">
        <v>3397</v>
      </c>
    </row>
    <row r="2695" spans="9:10" x14ac:dyDescent="0.25">
      <c r="I2695" t="s">
        <v>266</v>
      </c>
      <c r="J2695" t="s">
        <v>1674</v>
      </c>
    </row>
    <row r="2696" spans="9:10" x14ac:dyDescent="0.25">
      <c r="I2696" t="s">
        <v>289</v>
      </c>
      <c r="J2696" t="s">
        <v>1805</v>
      </c>
    </row>
    <row r="2697" spans="9:10" x14ac:dyDescent="0.25">
      <c r="I2697" t="s">
        <v>333</v>
      </c>
      <c r="J2697" t="s">
        <v>3788</v>
      </c>
    </row>
    <row r="2698" spans="9:10" x14ac:dyDescent="0.25">
      <c r="I2698" t="s">
        <v>4242</v>
      </c>
      <c r="J2698" t="s">
        <v>4243</v>
      </c>
    </row>
    <row r="2699" spans="9:10" x14ac:dyDescent="0.25">
      <c r="I2699" t="s">
        <v>267</v>
      </c>
      <c r="J2699" t="s">
        <v>1655</v>
      </c>
    </row>
    <row r="2700" spans="9:10" x14ac:dyDescent="0.25">
      <c r="I2700" t="s">
        <v>333</v>
      </c>
      <c r="J2700" t="s">
        <v>1932</v>
      </c>
    </row>
    <row r="2701" spans="9:10" x14ac:dyDescent="0.25">
      <c r="I2701" t="s">
        <v>291</v>
      </c>
      <c r="J2701" t="s">
        <v>2634</v>
      </c>
    </row>
    <row r="2702" spans="9:10" x14ac:dyDescent="0.25">
      <c r="I2702" t="s">
        <v>6930</v>
      </c>
      <c r="J2702" t="s">
        <v>3501</v>
      </c>
    </row>
    <row r="2703" spans="9:10" x14ac:dyDescent="0.25">
      <c r="I2703" t="s">
        <v>6733</v>
      </c>
      <c r="J2703" t="s">
        <v>1867</v>
      </c>
    </row>
    <row r="2704" spans="9:10" x14ac:dyDescent="0.25">
      <c r="I2704" t="s">
        <v>3291</v>
      </c>
      <c r="J2704" t="s">
        <v>3292</v>
      </c>
    </row>
    <row r="2705" spans="9:10" x14ac:dyDescent="0.25">
      <c r="I2705" t="s">
        <v>2271</v>
      </c>
      <c r="J2705" t="s">
        <v>4061</v>
      </c>
    </row>
    <row r="2706" spans="9:10" x14ac:dyDescent="0.25">
      <c r="I2706" t="s">
        <v>291</v>
      </c>
      <c r="J2706" t="s">
        <v>3282</v>
      </c>
    </row>
    <row r="2707" spans="9:10" x14ac:dyDescent="0.25">
      <c r="I2707" t="s">
        <v>3425</v>
      </c>
      <c r="J2707" t="s">
        <v>3426</v>
      </c>
    </row>
    <row r="2708" spans="9:10" x14ac:dyDescent="0.25">
      <c r="I2708" t="s">
        <v>293</v>
      </c>
      <c r="J2708" t="s">
        <v>6936</v>
      </c>
    </row>
    <row r="2709" spans="9:10" x14ac:dyDescent="0.25">
      <c r="I2709" t="s">
        <v>1682</v>
      </c>
      <c r="J2709" t="s">
        <v>1683</v>
      </c>
    </row>
    <row r="2710" spans="9:10" x14ac:dyDescent="0.25">
      <c r="I2710" t="s">
        <v>1816</v>
      </c>
      <c r="J2710" t="s">
        <v>3955</v>
      </c>
    </row>
    <row r="2711" spans="9:10" x14ac:dyDescent="0.25">
      <c r="I2711" t="s">
        <v>414</v>
      </c>
      <c r="J2711" t="s">
        <v>2391</v>
      </c>
    </row>
    <row r="2712" spans="9:10" x14ac:dyDescent="0.25">
      <c r="I2712" t="s">
        <v>2357</v>
      </c>
      <c r="J2712" t="s">
        <v>2358</v>
      </c>
    </row>
    <row r="2713" spans="9:10" x14ac:dyDescent="0.25">
      <c r="I2713" t="s">
        <v>291</v>
      </c>
      <c r="J2713" t="s">
        <v>3298</v>
      </c>
    </row>
    <row r="2714" spans="9:10" x14ac:dyDescent="0.25">
      <c r="I2714" t="s">
        <v>291</v>
      </c>
      <c r="J2714" t="s">
        <v>3920</v>
      </c>
    </row>
    <row r="2715" spans="9:10" x14ac:dyDescent="0.25">
      <c r="I2715" t="s">
        <v>2080</v>
      </c>
      <c r="J2715" t="s">
        <v>2081</v>
      </c>
    </row>
    <row r="2716" spans="9:10" x14ac:dyDescent="0.25">
      <c r="I2716" t="s">
        <v>299</v>
      </c>
      <c r="J2716" t="s">
        <v>3952</v>
      </c>
    </row>
    <row r="2717" spans="9:10" x14ac:dyDescent="0.25">
      <c r="I2717" t="s">
        <v>4251</v>
      </c>
      <c r="J2717" t="s">
        <v>4252</v>
      </c>
    </row>
    <row r="2718" spans="9:10" x14ac:dyDescent="0.25">
      <c r="I2718" t="s">
        <v>4437</v>
      </c>
      <c r="J2718" t="s">
        <v>4438</v>
      </c>
    </row>
    <row r="2719" spans="9:10" x14ac:dyDescent="0.25">
      <c r="I2719" t="s">
        <v>267</v>
      </c>
      <c r="J2719" t="s">
        <v>3565</v>
      </c>
    </row>
  </sheetData>
  <conditionalFormatting sqref="J7:J2719">
    <cfRule type="expression" dxfId="2" priority="53">
      <formula>J7=J8</formula>
    </cfRule>
  </conditionalFormatting>
  <conditionalFormatting sqref="M7:M2086">
    <cfRule type="expression" dxfId="1" priority="54">
      <formula>M7=M8</formula>
    </cfRule>
  </conditionalFormatting>
  <conditionalFormatting sqref="G7:G841">
    <cfRule type="expression" dxfId="0" priority="55">
      <formula>G7=G8</formula>
    </cfRule>
  </conditionalFormatting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C3:T51"/>
  <sheetViews>
    <sheetView workbookViewId="0">
      <selection activeCell="P22" sqref="P22"/>
    </sheetView>
  </sheetViews>
  <sheetFormatPr defaultRowHeight="15" x14ac:dyDescent="0.25"/>
  <cols>
    <col min="3" max="3" width="13.5703125" customWidth="1"/>
    <col min="8" max="8" width="17.28515625" customWidth="1"/>
    <col min="9" max="9" width="6.42578125" customWidth="1"/>
    <col min="10" max="10" width="5.28515625" customWidth="1"/>
    <col min="11" max="11" width="6.42578125" customWidth="1"/>
    <col min="13" max="13" width="15" customWidth="1"/>
    <col min="16" max="16" width="13.42578125" customWidth="1"/>
    <col min="17" max="17" width="20.5703125" customWidth="1"/>
    <col min="18" max="18" width="10.140625" customWidth="1"/>
    <col min="19" max="19" width="19.28515625" customWidth="1"/>
    <col min="20" max="20" width="29.42578125" customWidth="1"/>
  </cols>
  <sheetData>
    <row r="3" spans="3:20" x14ac:dyDescent="0.25">
      <c r="P3" t="s">
        <v>217</v>
      </c>
      <c r="R3" t="s">
        <v>209</v>
      </c>
      <c r="S3" t="s">
        <v>210</v>
      </c>
    </row>
    <row r="4" spans="3:20" x14ac:dyDescent="0.25">
      <c r="M4" s="65" t="s">
        <v>196</v>
      </c>
      <c r="N4" s="66" t="s">
        <v>194</v>
      </c>
      <c r="O4" s="66" t="s">
        <v>195</v>
      </c>
      <c r="P4" s="67" t="s">
        <v>198</v>
      </c>
      <c r="R4" s="34" t="s">
        <v>204</v>
      </c>
      <c r="S4" s="17" t="s">
        <v>207</v>
      </c>
      <c r="T4" s="17" t="s">
        <v>206</v>
      </c>
    </row>
    <row r="5" spans="3:20" x14ac:dyDescent="0.25">
      <c r="C5" s="41" t="s">
        <v>216</v>
      </c>
      <c r="D5" s="69">
        <v>20</v>
      </c>
      <c r="M5" s="45" t="s">
        <v>199</v>
      </c>
      <c r="N5" s="46">
        <f>MIN(I13:I17)</f>
        <v>35</v>
      </c>
      <c r="O5" s="46">
        <f>D5</f>
        <v>20</v>
      </c>
      <c r="P5" s="47">
        <f>ROUND(O5/N5,2)</f>
        <v>0.56999999999999995</v>
      </c>
      <c r="R5" s="60">
        <v>10</v>
      </c>
      <c r="S5">
        <v>10</v>
      </c>
      <c r="T5">
        <f>(R5+S5)*K13</f>
        <v>51.428571428571431</v>
      </c>
    </row>
    <row r="6" spans="3:20" x14ac:dyDescent="0.25">
      <c r="M6" s="48" t="s">
        <v>200</v>
      </c>
      <c r="N6" s="49">
        <f>MIN(I18:I23)</f>
        <v>50</v>
      </c>
      <c r="O6" s="49">
        <f>D5</f>
        <v>20</v>
      </c>
      <c r="P6" s="50">
        <f>ROUND(O6/N6,2)</f>
        <v>0.4</v>
      </c>
      <c r="R6" s="60">
        <v>0</v>
      </c>
      <c r="S6">
        <v>0</v>
      </c>
      <c r="T6">
        <f>(R6+S6)*K18</f>
        <v>0</v>
      </c>
    </row>
    <row r="7" spans="3:20" x14ac:dyDescent="0.25">
      <c r="M7" s="51" t="s">
        <v>201</v>
      </c>
      <c r="N7" s="52">
        <f>MIN(I24:I31)</f>
        <v>60</v>
      </c>
      <c r="O7" s="52">
        <f>D5</f>
        <v>20</v>
      </c>
      <c r="P7" s="53">
        <f>ROUND(O7/N7,2)</f>
        <v>0.33</v>
      </c>
      <c r="R7" s="60">
        <v>10</v>
      </c>
      <c r="S7">
        <v>0</v>
      </c>
      <c r="T7">
        <f>(R7+S7)*K24</f>
        <v>15</v>
      </c>
    </row>
    <row r="8" spans="3:20" x14ac:dyDescent="0.25">
      <c r="M8" s="54" t="s">
        <v>202</v>
      </c>
      <c r="N8" s="55">
        <f>MIN(I32:I40)</f>
        <v>70</v>
      </c>
      <c r="O8" s="55">
        <f>D5</f>
        <v>20</v>
      </c>
      <c r="P8" s="56">
        <f>ROUND(O8/N8,2)</f>
        <v>0.28999999999999998</v>
      </c>
      <c r="R8" s="60">
        <v>5</v>
      </c>
      <c r="S8">
        <v>0</v>
      </c>
      <c r="T8">
        <f>(R8+S8)*K32</f>
        <v>6.4285714285714288</v>
      </c>
    </row>
    <row r="9" spans="3:20" x14ac:dyDescent="0.25">
      <c r="M9" s="57" t="s">
        <v>203</v>
      </c>
      <c r="N9" s="58">
        <f>MIN(I41:I51)</f>
        <v>90</v>
      </c>
      <c r="O9" s="58">
        <f>D5</f>
        <v>20</v>
      </c>
      <c r="P9" s="59">
        <f>ROUND(O9/N9,2)</f>
        <v>0.22</v>
      </c>
      <c r="R9" s="61">
        <v>15</v>
      </c>
      <c r="S9">
        <v>0</v>
      </c>
      <c r="T9">
        <f>(R9+S9)*K41</f>
        <v>15</v>
      </c>
    </row>
    <row r="10" spans="3:20" x14ac:dyDescent="0.25">
      <c r="T10">
        <f>SUM(T5:T9)</f>
        <v>87.857142857142861</v>
      </c>
    </row>
    <row r="12" spans="3:20" ht="21" x14ac:dyDescent="0.35">
      <c r="H12" s="65" t="s">
        <v>205</v>
      </c>
      <c r="I12" s="66" t="s">
        <v>194</v>
      </c>
      <c r="J12" s="67" t="s">
        <v>195</v>
      </c>
      <c r="K12" s="67" t="s">
        <v>208</v>
      </c>
      <c r="Q12" s="41" t="s">
        <v>211</v>
      </c>
      <c r="R12" s="68">
        <f>(R5*P5)+(R6*P6)+(R7*P7)+(R8*P8)+(R9*P9)+(S9*P9)+(S8*P8)+(S7*P7)+(S6*P6)+(S5*P5)</f>
        <v>19.45</v>
      </c>
      <c r="T12" s="70">
        <f>(90*20)/T10</f>
        <v>20.487804878048781</v>
      </c>
    </row>
    <row r="13" spans="3:20" x14ac:dyDescent="0.25">
      <c r="H13" s="45" t="s">
        <v>70</v>
      </c>
      <c r="I13" s="46">
        <v>35</v>
      </c>
      <c r="J13" s="47">
        <f t="shared" ref="J13:J24" si="0">$D$5</f>
        <v>20</v>
      </c>
      <c r="K13" s="47">
        <f>$I$41/$I$13</f>
        <v>2.5714285714285716</v>
      </c>
      <c r="L13" t="s">
        <v>212</v>
      </c>
    </row>
    <row r="14" spans="3:20" x14ac:dyDescent="0.25">
      <c r="H14" s="45" t="s">
        <v>70</v>
      </c>
      <c r="I14" s="46">
        <v>35</v>
      </c>
      <c r="J14" s="47">
        <f t="shared" si="0"/>
        <v>20</v>
      </c>
      <c r="K14" s="47">
        <f>$I$41/$I$13</f>
        <v>2.5714285714285716</v>
      </c>
    </row>
    <row r="15" spans="3:20" x14ac:dyDescent="0.25">
      <c r="H15" s="45" t="s">
        <v>71</v>
      </c>
      <c r="I15" s="46">
        <v>35</v>
      </c>
      <c r="J15" s="47">
        <f t="shared" si="0"/>
        <v>20</v>
      </c>
      <c r="K15" s="47">
        <f>$I$41/$I$13</f>
        <v>2.5714285714285716</v>
      </c>
    </row>
    <row r="16" spans="3:20" x14ac:dyDescent="0.25">
      <c r="H16" s="45" t="s">
        <v>71</v>
      </c>
      <c r="I16" s="46">
        <v>35</v>
      </c>
      <c r="J16" s="47">
        <f t="shared" si="0"/>
        <v>20</v>
      </c>
      <c r="K16" s="47">
        <f>$I$41/$I$13</f>
        <v>2.5714285714285716</v>
      </c>
    </row>
    <row r="17" spans="8:12" x14ac:dyDescent="0.25">
      <c r="H17" s="45" t="s">
        <v>124</v>
      </c>
      <c r="I17" s="46">
        <v>40</v>
      </c>
      <c r="J17" s="47">
        <f t="shared" si="0"/>
        <v>20</v>
      </c>
      <c r="K17" s="47">
        <f>$I$41/$I$13</f>
        <v>2.5714285714285716</v>
      </c>
    </row>
    <row r="18" spans="8:12" x14ac:dyDescent="0.25">
      <c r="H18" s="48" t="s">
        <v>78</v>
      </c>
      <c r="I18" s="49">
        <v>50</v>
      </c>
      <c r="J18" s="50">
        <f t="shared" si="0"/>
        <v>20</v>
      </c>
      <c r="K18" s="50">
        <f t="shared" ref="K18:K23" si="1">$I$41/$I$18</f>
        <v>1.8</v>
      </c>
      <c r="L18" t="s">
        <v>213</v>
      </c>
    </row>
    <row r="19" spans="8:12" x14ac:dyDescent="0.25">
      <c r="H19" s="48" t="s">
        <v>78</v>
      </c>
      <c r="I19" s="49">
        <v>50</v>
      </c>
      <c r="J19" s="50">
        <f t="shared" si="0"/>
        <v>20</v>
      </c>
      <c r="K19" s="50">
        <f t="shared" si="1"/>
        <v>1.8</v>
      </c>
    </row>
    <row r="20" spans="8:12" x14ac:dyDescent="0.25">
      <c r="H20" s="48" t="s">
        <v>83</v>
      </c>
      <c r="I20" s="49">
        <v>50</v>
      </c>
      <c r="J20" s="50">
        <f t="shared" si="0"/>
        <v>20</v>
      </c>
      <c r="K20" s="50">
        <f t="shared" si="1"/>
        <v>1.8</v>
      </c>
    </row>
    <row r="21" spans="8:12" x14ac:dyDescent="0.25">
      <c r="H21" s="48" t="s">
        <v>83</v>
      </c>
      <c r="I21" s="49">
        <v>50</v>
      </c>
      <c r="J21" s="50">
        <f t="shared" si="0"/>
        <v>20</v>
      </c>
      <c r="K21" s="50">
        <f t="shared" si="1"/>
        <v>1.8</v>
      </c>
    </row>
    <row r="22" spans="8:12" x14ac:dyDescent="0.25">
      <c r="H22" s="48" t="s">
        <v>84</v>
      </c>
      <c r="I22" s="49">
        <v>50</v>
      </c>
      <c r="J22" s="50">
        <f t="shared" si="0"/>
        <v>20</v>
      </c>
      <c r="K22" s="50">
        <f t="shared" si="1"/>
        <v>1.8</v>
      </c>
    </row>
    <row r="23" spans="8:12" x14ac:dyDescent="0.25">
      <c r="H23" s="48" t="s">
        <v>84</v>
      </c>
      <c r="I23" s="49">
        <v>50</v>
      </c>
      <c r="J23" s="50">
        <f t="shared" si="0"/>
        <v>20</v>
      </c>
      <c r="K23" s="50">
        <f t="shared" si="1"/>
        <v>1.8</v>
      </c>
    </row>
    <row r="24" spans="8:12" x14ac:dyDescent="0.25">
      <c r="H24" s="51" t="s">
        <v>76</v>
      </c>
      <c r="I24" s="52">
        <v>60</v>
      </c>
      <c r="J24" s="53">
        <f t="shared" si="0"/>
        <v>20</v>
      </c>
      <c r="K24" s="53">
        <f>$I$41/$I$24</f>
        <v>1.5</v>
      </c>
      <c r="L24" t="s">
        <v>214</v>
      </c>
    </row>
    <row r="25" spans="8:12" x14ac:dyDescent="0.25">
      <c r="H25" s="51" t="s">
        <v>89</v>
      </c>
      <c r="I25" s="52">
        <v>60</v>
      </c>
      <c r="J25" s="53">
        <f t="shared" ref="J25:J31" si="2">$D$5</f>
        <v>20</v>
      </c>
      <c r="K25" s="53">
        <f t="shared" ref="K25:K31" si="3">$I$41/$I$24</f>
        <v>1.5</v>
      </c>
    </row>
    <row r="26" spans="8:12" x14ac:dyDescent="0.25">
      <c r="H26" s="51" t="s">
        <v>90</v>
      </c>
      <c r="I26" s="52">
        <v>60</v>
      </c>
      <c r="J26" s="53">
        <f t="shared" si="2"/>
        <v>20</v>
      </c>
      <c r="K26" s="53">
        <f t="shared" si="3"/>
        <v>1.5</v>
      </c>
    </row>
    <row r="27" spans="8:12" x14ac:dyDescent="0.25">
      <c r="H27" s="51" t="s">
        <v>90</v>
      </c>
      <c r="I27" s="52">
        <v>60</v>
      </c>
      <c r="J27" s="53">
        <f t="shared" si="2"/>
        <v>20</v>
      </c>
      <c r="K27" s="53">
        <f t="shared" si="3"/>
        <v>1.5</v>
      </c>
    </row>
    <row r="28" spans="8:12" x14ac:dyDescent="0.25">
      <c r="H28" s="51" t="s">
        <v>90</v>
      </c>
      <c r="I28" s="52">
        <v>60</v>
      </c>
      <c r="J28" s="53">
        <f t="shared" si="2"/>
        <v>20</v>
      </c>
      <c r="K28" s="53">
        <f t="shared" si="3"/>
        <v>1.5</v>
      </c>
    </row>
    <row r="29" spans="8:12" x14ac:dyDescent="0.25">
      <c r="H29" s="51" t="s">
        <v>80</v>
      </c>
      <c r="I29" s="52">
        <v>60</v>
      </c>
      <c r="J29" s="53">
        <f t="shared" si="2"/>
        <v>20</v>
      </c>
      <c r="K29" s="53">
        <f t="shared" si="3"/>
        <v>1.5</v>
      </c>
    </row>
    <row r="30" spans="8:12" x14ac:dyDescent="0.25">
      <c r="H30" s="51" t="s">
        <v>80</v>
      </c>
      <c r="I30" s="52">
        <v>60</v>
      </c>
      <c r="J30" s="53">
        <f t="shared" si="2"/>
        <v>20</v>
      </c>
      <c r="K30" s="53">
        <f t="shared" si="3"/>
        <v>1.5</v>
      </c>
    </row>
    <row r="31" spans="8:12" x14ac:dyDescent="0.25">
      <c r="H31" s="51" t="s">
        <v>80</v>
      </c>
      <c r="I31" s="52">
        <v>60</v>
      </c>
      <c r="J31" s="53">
        <f t="shared" si="2"/>
        <v>20</v>
      </c>
      <c r="K31" s="53">
        <f t="shared" si="3"/>
        <v>1.5</v>
      </c>
    </row>
    <row r="32" spans="8:12" x14ac:dyDescent="0.25">
      <c r="H32" s="54" t="s">
        <v>81</v>
      </c>
      <c r="I32" s="55">
        <v>70</v>
      </c>
      <c r="J32" s="56">
        <f>$D$5</f>
        <v>20</v>
      </c>
      <c r="K32" s="56">
        <f>$I$41/$I$32</f>
        <v>1.2857142857142858</v>
      </c>
      <c r="L32" t="s">
        <v>215</v>
      </c>
    </row>
    <row r="33" spans="8:11" x14ac:dyDescent="0.25">
      <c r="H33" s="54" t="s">
        <v>117</v>
      </c>
      <c r="I33" s="55">
        <v>70</v>
      </c>
      <c r="J33" s="56">
        <f t="shared" ref="J33:J40" si="4">$D$5</f>
        <v>20</v>
      </c>
      <c r="K33" s="56">
        <f t="shared" ref="K33:K40" si="5">$I$41/$I$32</f>
        <v>1.2857142857142858</v>
      </c>
    </row>
    <row r="34" spans="8:11" x14ac:dyDescent="0.25">
      <c r="H34" s="54" t="s">
        <v>116</v>
      </c>
      <c r="I34" s="55">
        <v>75</v>
      </c>
      <c r="J34" s="56">
        <f t="shared" si="4"/>
        <v>20</v>
      </c>
      <c r="K34" s="56">
        <f t="shared" si="5"/>
        <v>1.2857142857142858</v>
      </c>
    </row>
    <row r="35" spans="8:11" x14ac:dyDescent="0.25">
      <c r="H35" s="54" t="s">
        <v>115</v>
      </c>
      <c r="I35" s="55">
        <v>75</v>
      </c>
      <c r="J35" s="56">
        <f t="shared" si="4"/>
        <v>20</v>
      </c>
      <c r="K35" s="56">
        <f t="shared" si="5"/>
        <v>1.2857142857142858</v>
      </c>
    </row>
    <row r="36" spans="8:11" x14ac:dyDescent="0.25">
      <c r="H36" s="54" t="s">
        <v>114</v>
      </c>
      <c r="I36" s="55">
        <v>75</v>
      </c>
      <c r="J36" s="56">
        <f t="shared" si="4"/>
        <v>20</v>
      </c>
      <c r="K36" s="56">
        <f t="shared" si="5"/>
        <v>1.2857142857142858</v>
      </c>
    </row>
    <row r="37" spans="8:11" x14ac:dyDescent="0.25">
      <c r="H37" s="54" t="s">
        <v>113</v>
      </c>
      <c r="I37" s="55">
        <v>80</v>
      </c>
      <c r="J37" s="56">
        <f t="shared" si="4"/>
        <v>20</v>
      </c>
      <c r="K37" s="56">
        <f t="shared" si="5"/>
        <v>1.2857142857142858</v>
      </c>
    </row>
    <row r="38" spans="8:11" x14ac:dyDescent="0.25">
      <c r="H38" s="54" t="s">
        <v>74</v>
      </c>
      <c r="I38" s="55">
        <v>80</v>
      </c>
      <c r="J38" s="56">
        <f t="shared" si="4"/>
        <v>20</v>
      </c>
      <c r="K38" s="56">
        <f t="shared" si="5"/>
        <v>1.2857142857142858</v>
      </c>
    </row>
    <row r="39" spans="8:11" x14ac:dyDescent="0.25">
      <c r="H39" s="54" t="s">
        <v>91</v>
      </c>
      <c r="I39" s="55">
        <v>80</v>
      </c>
      <c r="J39" s="56">
        <f t="shared" si="4"/>
        <v>20</v>
      </c>
      <c r="K39" s="56">
        <f t="shared" si="5"/>
        <v>1.2857142857142858</v>
      </c>
    </row>
    <row r="40" spans="8:11" x14ac:dyDescent="0.25">
      <c r="H40" s="54" t="s">
        <v>79</v>
      </c>
      <c r="I40" s="55">
        <v>85</v>
      </c>
      <c r="J40" s="56">
        <f t="shared" si="4"/>
        <v>20</v>
      </c>
      <c r="K40" s="56">
        <f t="shared" si="5"/>
        <v>1.2857142857142858</v>
      </c>
    </row>
    <row r="41" spans="8:11" x14ac:dyDescent="0.25">
      <c r="H41" s="62" t="s">
        <v>107</v>
      </c>
      <c r="I41" s="63">
        <v>90</v>
      </c>
      <c r="J41" s="64">
        <f>$D$5</f>
        <v>20</v>
      </c>
      <c r="K41" s="64">
        <v>1</v>
      </c>
    </row>
    <row r="42" spans="8:11" x14ac:dyDescent="0.25">
      <c r="H42" s="62" t="s">
        <v>123</v>
      </c>
      <c r="I42" s="63">
        <v>90</v>
      </c>
      <c r="J42" s="64">
        <f t="shared" ref="J42:J51" si="6">$D$5</f>
        <v>20</v>
      </c>
      <c r="K42" s="64">
        <v>1</v>
      </c>
    </row>
    <row r="43" spans="8:11" x14ac:dyDescent="0.25">
      <c r="H43" s="62" t="s">
        <v>197</v>
      </c>
      <c r="I43" s="63">
        <v>90</v>
      </c>
      <c r="J43" s="64">
        <f t="shared" si="6"/>
        <v>20</v>
      </c>
      <c r="K43" s="64">
        <v>1</v>
      </c>
    </row>
    <row r="44" spans="8:11" x14ac:dyDescent="0.25">
      <c r="H44" s="62" t="s">
        <v>92</v>
      </c>
      <c r="I44" s="63">
        <v>90</v>
      </c>
      <c r="J44" s="64">
        <f t="shared" si="6"/>
        <v>20</v>
      </c>
      <c r="K44" s="64">
        <v>1</v>
      </c>
    </row>
    <row r="45" spans="8:11" x14ac:dyDescent="0.25">
      <c r="H45" s="62" t="s">
        <v>103</v>
      </c>
      <c r="I45" s="63">
        <v>90</v>
      </c>
      <c r="J45" s="64">
        <f t="shared" si="6"/>
        <v>20</v>
      </c>
      <c r="K45" s="64">
        <v>1</v>
      </c>
    </row>
    <row r="46" spans="8:11" x14ac:dyDescent="0.25">
      <c r="H46" s="62" t="s">
        <v>104</v>
      </c>
      <c r="I46" s="63">
        <v>90</v>
      </c>
      <c r="J46" s="64">
        <f t="shared" si="6"/>
        <v>20</v>
      </c>
      <c r="K46" s="64">
        <v>1</v>
      </c>
    </row>
    <row r="47" spans="8:11" x14ac:dyDescent="0.25">
      <c r="H47" s="62" t="s">
        <v>105</v>
      </c>
      <c r="I47" s="63">
        <v>90</v>
      </c>
      <c r="J47" s="64">
        <f t="shared" si="6"/>
        <v>20</v>
      </c>
      <c r="K47" s="64">
        <v>1</v>
      </c>
    </row>
    <row r="48" spans="8:11" x14ac:dyDescent="0.25">
      <c r="H48" s="62" t="s">
        <v>106</v>
      </c>
      <c r="I48" s="63">
        <v>90</v>
      </c>
      <c r="J48" s="64">
        <f t="shared" si="6"/>
        <v>20</v>
      </c>
      <c r="K48" s="64">
        <v>1</v>
      </c>
    </row>
    <row r="49" spans="8:11" x14ac:dyDescent="0.25">
      <c r="H49" s="62" t="s">
        <v>82</v>
      </c>
      <c r="I49" s="63">
        <v>90</v>
      </c>
      <c r="J49" s="64">
        <f t="shared" si="6"/>
        <v>20</v>
      </c>
      <c r="K49" s="64">
        <v>1</v>
      </c>
    </row>
    <row r="50" spans="8:11" x14ac:dyDescent="0.25">
      <c r="H50" s="62" t="s">
        <v>122</v>
      </c>
      <c r="I50" s="63">
        <v>100</v>
      </c>
      <c r="J50" s="64">
        <f t="shared" si="6"/>
        <v>20</v>
      </c>
      <c r="K50" s="64">
        <v>1</v>
      </c>
    </row>
    <row r="51" spans="8:11" x14ac:dyDescent="0.25">
      <c r="H51" s="57" t="s">
        <v>121</v>
      </c>
      <c r="I51" s="58">
        <v>100</v>
      </c>
      <c r="J51" s="59">
        <f t="shared" si="6"/>
        <v>20</v>
      </c>
      <c r="K51" s="59">
        <v>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B1:W270"/>
  <sheetViews>
    <sheetView tabSelected="1" topLeftCell="A118" workbookViewId="0">
      <selection activeCell="J184" sqref="J184"/>
    </sheetView>
  </sheetViews>
  <sheetFormatPr defaultRowHeight="15" x14ac:dyDescent="0.25"/>
  <cols>
    <col min="2" max="2" width="30.5703125" customWidth="1"/>
    <col min="3" max="3" width="16.28515625" customWidth="1"/>
    <col min="4" max="4" width="10.42578125" customWidth="1"/>
    <col min="5" max="5" width="11" customWidth="1"/>
    <col min="6" max="6" width="9.7109375" customWidth="1"/>
    <col min="7" max="7" width="12.7109375" customWidth="1"/>
    <col min="8" max="8" width="10.5703125" customWidth="1"/>
    <col min="9" max="9" width="8.7109375" customWidth="1"/>
    <col min="11" max="11" width="19.7109375" customWidth="1"/>
    <col min="12" max="12" width="12.85546875" customWidth="1"/>
    <col min="13" max="13" width="11.140625" customWidth="1"/>
    <col min="14" max="14" width="10.140625" customWidth="1"/>
    <col min="16" max="16" width="12.42578125" customWidth="1"/>
  </cols>
  <sheetData>
    <row r="1" spans="2:11" ht="15.75" thickBot="1" x14ac:dyDescent="0.3"/>
    <row r="2" spans="2:11" ht="16.5" thickTop="1" thickBot="1" x14ac:dyDescent="0.3">
      <c r="C2" s="33" t="s">
        <v>161</v>
      </c>
      <c r="K2" s="33" t="s">
        <v>159</v>
      </c>
    </row>
    <row r="3" spans="2:11" ht="16.5" thickTop="1" thickBot="1" x14ac:dyDescent="0.3">
      <c r="I3" s="28"/>
    </row>
    <row r="4" spans="2:11" ht="15.75" thickTop="1" x14ac:dyDescent="0.25">
      <c r="C4" s="26"/>
      <c r="D4" s="25"/>
      <c r="E4" s="25"/>
      <c r="F4" s="25"/>
      <c r="G4" s="27"/>
      <c r="I4" s="28"/>
    </row>
    <row r="5" spans="2:11" x14ac:dyDescent="0.25">
      <c r="C5" s="28"/>
      <c r="D5" s="23"/>
      <c r="E5" s="19">
        <f>(COUNTIF(G23:G270,"&gt;0"))+1</f>
        <v>83</v>
      </c>
      <c r="F5" s="23">
        <f>MOD(E5,60)</f>
        <v>23</v>
      </c>
      <c r="G5" s="29"/>
      <c r="I5" s="28"/>
    </row>
    <row r="6" spans="2:11" x14ac:dyDescent="0.25">
      <c r="C6" s="28"/>
      <c r="D6" s="23"/>
      <c r="E6" s="23"/>
      <c r="F6" s="23">
        <f>ROUNDDOWN(E5/60,0)</f>
        <v>1</v>
      </c>
      <c r="G6" s="29"/>
      <c r="I6" s="28"/>
    </row>
    <row r="7" spans="2:11" ht="19.5" customHeight="1" x14ac:dyDescent="0.35">
      <c r="C7" s="28"/>
      <c r="D7" s="24" t="s">
        <v>152</v>
      </c>
      <c r="E7" s="23"/>
      <c r="F7" s="21" t="str">
        <f>IF(F5&gt;9,CONCATENATE(F6,":",F5),CONCATENATE(F6,":0",F5))</f>
        <v>1:23</v>
      </c>
      <c r="G7" s="29"/>
      <c r="I7" s="28"/>
    </row>
    <row r="8" spans="2:11" ht="18" customHeight="1" x14ac:dyDescent="0.35">
      <c r="C8" s="28"/>
      <c r="D8" s="23"/>
      <c r="E8" s="23"/>
      <c r="F8" s="22"/>
      <c r="G8" s="29"/>
      <c r="I8" s="28"/>
    </row>
    <row r="9" spans="2:11" x14ac:dyDescent="0.25">
      <c r="C9" s="28"/>
      <c r="D9" s="23"/>
      <c r="E9" s="19">
        <f>E5+C14</f>
        <v>83</v>
      </c>
      <c r="F9" s="23">
        <f>MOD(E9,60)</f>
        <v>23</v>
      </c>
      <c r="G9" s="29"/>
      <c r="I9" s="28"/>
    </row>
    <row r="10" spans="2:11" x14ac:dyDescent="0.25">
      <c r="C10" s="28"/>
      <c r="D10" s="23"/>
      <c r="E10" s="23"/>
      <c r="F10" s="23">
        <f>ROUNDDOWN(E9/60,0)</f>
        <v>1</v>
      </c>
      <c r="G10" s="29"/>
      <c r="I10" s="28"/>
    </row>
    <row r="11" spans="2:11" ht="23.25" x14ac:dyDescent="0.35">
      <c r="C11" s="28"/>
      <c r="D11" s="24" t="s">
        <v>153</v>
      </c>
      <c r="E11" s="23"/>
      <c r="F11" s="21" t="str">
        <f>IF(F9&gt;9,CONCATENATE(F10,":",F9),CONCATENATE(F10,":0",F9))</f>
        <v>1:23</v>
      </c>
      <c r="G11" s="29"/>
      <c r="I11" s="28"/>
    </row>
    <row r="12" spans="2:11" ht="15.75" thickBot="1" x14ac:dyDescent="0.3">
      <c r="C12" s="30"/>
      <c r="D12" s="31"/>
      <c r="E12" s="31"/>
      <c r="F12" s="31"/>
      <c r="G12" s="32"/>
      <c r="I12" s="28"/>
    </row>
    <row r="13" spans="2:11" ht="15.75" thickTop="1" x14ac:dyDescent="0.25">
      <c r="I13" s="28"/>
    </row>
    <row r="14" spans="2:11" x14ac:dyDescent="0.25">
      <c r="B14" t="s">
        <v>154</v>
      </c>
      <c r="C14" s="42">
        <v>0</v>
      </c>
      <c r="E14" t="s">
        <v>145</v>
      </c>
      <c r="F14" s="42">
        <v>425</v>
      </c>
      <c r="I14" s="28"/>
    </row>
    <row r="15" spans="2:11" x14ac:dyDescent="0.25">
      <c r="B15" t="s">
        <v>145</v>
      </c>
      <c r="C15" s="44">
        <v>95</v>
      </c>
      <c r="E15" t="s">
        <v>184</v>
      </c>
      <c r="F15" s="43">
        <v>0.05</v>
      </c>
      <c r="I15" s="28"/>
    </row>
    <row r="16" spans="2:11" x14ac:dyDescent="0.25">
      <c r="B16" t="s">
        <v>146</v>
      </c>
      <c r="C16" s="44">
        <v>1.05</v>
      </c>
      <c r="E16" t="s">
        <v>185</v>
      </c>
      <c r="F16">
        <f>ROUND(F14*F15,2)</f>
        <v>21.25</v>
      </c>
      <c r="I16" s="28"/>
    </row>
    <row r="17" spans="2:21" x14ac:dyDescent="0.25">
      <c r="B17" t="s">
        <v>147</v>
      </c>
      <c r="C17" s="44">
        <v>7.4999999999999997E-3</v>
      </c>
      <c r="I17" s="28"/>
    </row>
    <row r="18" spans="2:21" x14ac:dyDescent="0.25">
      <c r="B18" t="s">
        <v>155</v>
      </c>
      <c r="C18" s="44">
        <v>30</v>
      </c>
      <c r="E18" t="s">
        <v>186</v>
      </c>
      <c r="F18" s="42">
        <v>10</v>
      </c>
      <c r="I18" s="28"/>
    </row>
    <row r="19" spans="2:21" x14ac:dyDescent="0.25">
      <c r="B19" t="s">
        <v>156</v>
      </c>
      <c r="C19" s="43">
        <v>0.5</v>
      </c>
      <c r="E19" t="s">
        <v>187</v>
      </c>
      <c r="F19" s="43">
        <v>0.4</v>
      </c>
      <c r="I19" s="28"/>
    </row>
    <row r="20" spans="2:21" x14ac:dyDescent="0.25">
      <c r="E20" t="s">
        <v>188</v>
      </c>
      <c r="F20">
        <f>F18*F19</f>
        <v>4</v>
      </c>
      <c r="I20" s="28"/>
    </row>
    <row r="21" spans="2:21" x14ac:dyDescent="0.25">
      <c r="I21" s="28"/>
    </row>
    <row r="22" spans="2:21" x14ac:dyDescent="0.25">
      <c r="C22" s="1" t="s">
        <v>157</v>
      </c>
      <c r="E22" s="1" t="s">
        <v>131</v>
      </c>
      <c r="G22" s="20" t="s">
        <v>145</v>
      </c>
      <c r="I22" s="28"/>
    </row>
    <row r="23" spans="2:21" x14ac:dyDescent="0.25">
      <c r="B23" t="s">
        <v>149</v>
      </c>
      <c r="C23">
        <f>C14</f>
        <v>0</v>
      </c>
      <c r="E23">
        <f>C17*C23</f>
        <v>0</v>
      </c>
      <c r="G23">
        <f>C15</f>
        <v>95</v>
      </c>
      <c r="I23" s="28"/>
    </row>
    <row r="24" spans="2:21" x14ac:dyDescent="0.25">
      <c r="B24" s="1" t="s">
        <v>148</v>
      </c>
      <c r="C24">
        <f>C23+1</f>
        <v>1</v>
      </c>
      <c r="E24">
        <f>IF(C24&gt;$C$18,$C$16+(C24*$C$17),(($C$16)*$C$19)+(C24*$C$17))</f>
        <v>0.53249999999999997</v>
      </c>
      <c r="G24">
        <f>G23-E24</f>
        <v>94.467500000000001</v>
      </c>
      <c r="I24" s="28"/>
    </row>
    <row r="25" spans="2:21" x14ac:dyDescent="0.25">
      <c r="B25" s="1" t="s">
        <v>150</v>
      </c>
      <c r="C25">
        <f>C24+1</f>
        <v>2</v>
      </c>
      <c r="E25">
        <f t="shared" ref="E25:E88" si="0">IF(C25&gt;$C$18,$C$16+(C25*$C$17),(($C$16)*$C$19)+(C25*$C$17))</f>
        <v>0.54</v>
      </c>
      <c r="G25">
        <f>G24-E25</f>
        <v>93.927499999999995</v>
      </c>
      <c r="I25" s="28"/>
    </row>
    <row r="26" spans="2:21" x14ac:dyDescent="0.25">
      <c r="B26" s="1" t="s">
        <v>151</v>
      </c>
      <c r="C26">
        <f t="shared" ref="C26:C73" si="1">C25+1</f>
        <v>3</v>
      </c>
      <c r="E26">
        <f t="shared" si="0"/>
        <v>0.54749999999999999</v>
      </c>
      <c r="G26">
        <f t="shared" ref="G26:G89" si="2">G25-E26</f>
        <v>93.38</v>
      </c>
      <c r="I26" s="28"/>
    </row>
    <row r="27" spans="2:21" x14ac:dyDescent="0.25">
      <c r="C27">
        <f t="shared" si="1"/>
        <v>4</v>
      </c>
      <c r="E27">
        <f t="shared" si="0"/>
        <v>0.55500000000000005</v>
      </c>
      <c r="G27">
        <f t="shared" si="2"/>
        <v>92.824999999999989</v>
      </c>
      <c r="I27" s="28"/>
    </row>
    <row r="28" spans="2:21" x14ac:dyDescent="0.25">
      <c r="C28">
        <f t="shared" si="1"/>
        <v>5</v>
      </c>
      <c r="E28">
        <f t="shared" si="0"/>
        <v>0.5625</v>
      </c>
      <c r="G28">
        <f t="shared" si="2"/>
        <v>92.262499999999989</v>
      </c>
      <c r="I28" s="28"/>
    </row>
    <row r="29" spans="2:21" x14ac:dyDescent="0.25">
      <c r="C29">
        <f t="shared" si="1"/>
        <v>6</v>
      </c>
      <c r="E29">
        <f t="shared" si="0"/>
        <v>0.57000000000000006</v>
      </c>
      <c r="G29">
        <f t="shared" si="2"/>
        <v>91.692499999999995</v>
      </c>
      <c r="I29" s="28"/>
    </row>
    <row r="30" spans="2:21" x14ac:dyDescent="0.25">
      <c r="C30">
        <f t="shared" si="1"/>
        <v>7</v>
      </c>
      <c r="E30">
        <f t="shared" si="0"/>
        <v>0.57750000000000001</v>
      </c>
      <c r="G30">
        <f t="shared" si="2"/>
        <v>91.114999999999995</v>
      </c>
      <c r="I30" s="28"/>
    </row>
    <row r="31" spans="2:21" x14ac:dyDescent="0.25">
      <c r="C31">
        <f t="shared" si="1"/>
        <v>8</v>
      </c>
      <c r="E31">
        <f t="shared" si="0"/>
        <v>0.58499999999999996</v>
      </c>
      <c r="G31">
        <f t="shared" si="2"/>
        <v>90.53</v>
      </c>
      <c r="I31" s="28"/>
      <c r="L31" s="2" t="s">
        <v>6771</v>
      </c>
      <c r="M31" s="2" t="s">
        <v>6772</v>
      </c>
      <c r="N31" t="s">
        <v>158</v>
      </c>
      <c r="O31" s="123" t="s">
        <v>6776</v>
      </c>
      <c r="P31" t="s">
        <v>165</v>
      </c>
      <c r="Q31" t="s">
        <v>160</v>
      </c>
      <c r="S31" s="1" t="s">
        <v>168</v>
      </c>
    </row>
    <row r="32" spans="2:21" x14ac:dyDescent="0.25">
      <c r="C32">
        <f t="shared" si="1"/>
        <v>9</v>
      </c>
      <c r="E32">
        <f t="shared" si="0"/>
        <v>0.59250000000000003</v>
      </c>
      <c r="G32">
        <f t="shared" si="2"/>
        <v>89.9375</v>
      </c>
      <c r="I32" s="28"/>
      <c r="K32" s="3" t="s">
        <v>132</v>
      </c>
      <c r="L32" s="10">
        <f>DATA_DRAGONS_CONTENT!H5</f>
        <v>75</v>
      </c>
      <c r="M32" s="10">
        <f>DATA_DRAGONS_CONTENT!I5</f>
        <v>105</v>
      </c>
      <c r="N32">
        <f>M32-L32</f>
        <v>30</v>
      </c>
      <c r="O32" s="124">
        <f>DATA_DRAGONS_CONTENT!T5</f>
        <v>8</v>
      </c>
      <c r="P32">
        <f>N32/O32</f>
        <v>3.75</v>
      </c>
      <c r="Q32">
        <f>(L32+M32)/2</f>
        <v>90</v>
      </c>
      <c r="S32" s="34">
        <v>0</v>
      </c>
      <c r="U32" t="s">
        <v>6792</v>
      </c>
    </row>
    <row r="33" spans="3:21" x14ac:dyDescent="0.25">
      <c r="C33">
        <f t="shared" si="1"/>
        <v>10</v>
      </c>
      <c r="E33">
        <f t="shared" si="0"/>
        <v>0.6</v>
      </c>
      <c r="G33">
        <f t="shared" si="2"/>
        <v>89.337500000000006</v>
      </c>
      <c r="I33" s="28"/>
      <c r="K33" s="5" t="s">
        <v>133</v>
      </c>
      <c r="L33" s="11">
        <f>DATA_DRAGONS_CONTENT!H6</f>
        <v>95</v>
      </c>
      <c r="M33" s="11">
        <f>DATA_DRAGONS_CONTENT!I6</f>
        <v>145</v>
      </c>
      <c r="N33">
        <f t="shared" ref="N33:N39" si="3">M33-L33</f>
        <v>50</v>
      </c>
      <c r="O33" s="125">
        <f>DATA_DRAGONS_CONTENT!T6</f>
        <v>10</v>
      </c>
      <c r="P33">
        <f t="shared" ref="P33:P39" si="4">N33/O33</f>
        <v>5</v>
      </c>
      <c r="Q33">
        <f t="shared" ref="Q33:Q39" si="5">(L33+M33)/2</f>
        <v>120</v>
      </c>
      <c r="S33" s="35">
        <f>L33-M32</f>
        <v>-10</v>
      </c>
      <c r="U33" t="s">
        <v>6793</v>
      </c>
    </row>
    <row r="34" spans="3:21" x14ac:dyDescent="0.25">
      <c r="C34">
        <f t="shared" si="1"/>
        <v>11</v>
      </c>
      <c r="E34">
        <f t="shared" si="0"/>
        <v>0.60750000000000004</v>
      </c>
      <c r="G34">
        <f t="shared" si="2"/>
        <v>88.73</v>
      </c>
      <c r="I34" s="28"/>
      <c r="K34" s="6" t="s">
        <v>135</v>
      </c>
      <c r="L34" s="12">
        <f>DATA_DRAGONS_CONTENT!H7</f>
        <v>140</v>
      </c>
      <c r="M34" s="12">
        <f>DATA_DRAGONS_CONTENT!I7</f>
        <v>200</v>
      </c>
      <c r="N34">
        <f t="shared" si="3"/>
        <v>60</v>
      </c>
      <c r="O34" s="126">
        <f>DATA_DRAGONS_CONTENT!T7</f>
        <v>10</v>
      </c>
      <c r="P34">
        <f t="shared" si="4"/>
        <v>6</v>
      </c>
      <c r="Q34">
        <f t="shared" si="5"/>
        <v>170</v>
      </c>
      <c r="S34" s="35">
        <f t="shared" ref="S34:S39" si="6">L34-M33</f>
        <v>-5</v>
      </c>
      <c r="U34" t="s">
        <v>6794</v>
      </c>
    </row>
    <row r="35" spans="3:21" x14ac:dyDescent="0.25">
      <c r="C35">
        <f t="shared" si="1"/>
        <v>12</v>
      </c>
      <c r="E35">
        <f t="shared" si="0"/>
        <v>0.61499999999999999</v>
      </c>
      <c r="G35">
        <f t="shared" si="2"/>
        <v>88.115000000000009</v>
      </c>
      <c r="I35" s="28"/>
      <c r="K35" s="6" t="s">
        <v>134</v>
      </c>
      <c r="L35" s="12">
        <f>DATA_DRAGONS_CONTENT!H8</f>
        <v>190</v>
      </c>
      <c r="M35" s="12">
        <f>DATA_DRAGONS_CONTENT!I8</f>
        <v>240</v>
      </c>
      <c r="N35">
        <f t="shared" si="3"/>
        <v>50</v>
      </c>
      <c r="O35" s="126">
        <f>DATA_DRAGONS_CONTENT!T8</f>
        <v>10</v>
      </c>
      <c r="P35">
        <f t="shared" si="4"/>
        <v>5</v>
      </c>
      <c r="Q35">
        <f t="shared" si="5"/>
        <v>215</v>
      </c>
      <c r="S35" s="35">
        <f t="shared" si="6"/>
        <v>-10</v>
      </c>
      <c r="U35" t="s">
        <v>6795</v>
      </c>
    </row>
    <row r="36" spans="3:21" x14ac:dyDescent="0.25">
      <c r="C36">
        <f t="shared" si="1"/>
        <v>13</v>
      </c>
      <c r="E36">
        <f t="shared" si="0"/>
        <v>0.62250000000000005</v>
      </c>
      <c r="G36">
        <f t="shared" si="2"/>
        <v>87.492500000000007</v>
      </c>
      <c r="I36" s="28"/>
      <c r="K36" s="7" t="s">
        <v>137</v>
      </c>
      <c r="L36" s="13">
        <f>DATA_DRAGONS_CONTENT!H9</f>
        <v>210</v>
      </c>
      <c r="M36" s="13">
        <f>DATA_DRAGONS_CONTENT!I9</f>
        <v>270</v>
      </c>
      <c r="N36">
        <f>M36-L36</f>
        <v>60</v>
      </c>
      <c r="O36" s="127">
        <f>DATA_DRAGONS_CONTENT!T9</f>
        <v>15</v>
      </c>
      <c r="P36">
        <f>N36/O36</f>
        <v>4</v>
      </c>
      <c r="Q36">
        <f t="shared" si="5"/>
        <v>240</v>
      </c>
      <c r="S36" s="35">
        <f t="shared" si="6"/>
        <v>-30</v>
      </c>
      <c r="U36" t="s">
        <v>6796</v>
      </c>
    </row>
    <row r="37" spans="3:21" x14ac:dyDescent="0.25">
      <c r="C37">
        <f t="shared" si="1"/>
        <v>14</v>
      </c>
      <c r="E37">
        <f t="shared" si="0"/>
        <v>0.63</v>
      </c>
      <c r="G37">
        <f t="shared" si="2"/>
        <v>86.862500000000011</v>
      </c>
      <c r="I37" s="28"/>
      <c r="K37" s="7" t="s">
        <v>136</v>
      </c>
      <c r="L37" s="13">
        <f>DATA_DRAGONS_CONTENT!H10</f>
        <v>250</v>
      </c>
      <c r="M37" s="13">
        <f>DATA_DRAGONS_CONTENT!I10</f>
        <v>310</v>
      </c>
      <c r="N37">
        <f t="shared" si="3"/>
        <v>60</v>
      </c>
      <c r="O37" s="127">
        <f>DATA_DRAGONS_CONTENT!T10</f>
        <v>15</v>
      </c>
      <c r="P37">
        <f t="shared" si="4"/>
        <v>4</v>
      </c>
      <c r="Q37">
        <f t="shared" si="5"/>
        <v>280</v>
      </c>
      <c r="S37" s="35">
        <f t="shared" si="6"/>
        <v>-20</v>
      </c>
      <c r="U37" t="s">
        <v>6797</v>
      </c>
    </row>
    <row r="38" spans="3:21" x14ac:dyDescent="0.25">
      <c r="C38">
        <f t="shared" si="1"/>
        <v>15</v>
      </c>
      <c r="E38">
        <f t="shared" si="0"/>
        <v>0.63749999999999996</v>
      </c>
      <c r="G38">
        <f t="shared" si="2"/>
        <v>86.225000000000009</v>
      </c>
      <c r="I38" s="28"/>
      <c r="K38" s="8" t="s">
        <v>138</v>
      </c>
      <c r="L38" s="14">
        <f>DATA_DRAGONS_CONTENT!H11</f>
        <v>290</v>
      </c>
      <c r="M38" s="14">
        <f>DATA_DRAGONS_CONTENT!I11</f>
        <v>350</v>
      </c>
      <c r="N38">
        <f t="shared" si="3"/>
        <v>60</v>
      </c>
      <c r="O38" s="128">
        <f>DATA_DRAGONS_CONTENT!T11</f>
        <v>15</v>
      </c>
      <c r="P38">
        <f t="shared" si="4"/>
        <v>4</v>
      </c>
      <c r="Q38">
        <f t="shared" si="5"/>
        <v>320</v>
      </c>
      <c r="S38" s="35">
        <f t="shared" si="6"/>
        <v>-20</v>
      </c>
      <c r="U38" t="s">
        <v>6798</v>
      </c>
    </row>
    <row r="39" spans="3:21" x14ac:dyDescent="0.25">
      <c r="C39">
        <f t="shared" si="1"/>
        <v>16</v>
      </c>
      <c r="E39">
        <f t="shared" si="0"/>
        <v>0.64500000000000002</v>
      </c>
      <c r="G39">
        <f t="shared" si="2"/>
        <v>85.580000000000013</v>
      </c>
      <c r="I39" s="28"/>
      <c r="K39" s="9" t="s">
        <v>140</v>
      </c>
      <c r="L39" s="15">
        <f>DATA_DRAGONS_CONTENT!H12</f>
        <v>330</v>
      </c>
      <c r="M39" s="15">
        <f>DATA_DRAGONS_CONTENT!I12</f>
        <v>400</v>
      </c>
      <c r="N39">
        <f t="shared" si="3"/>
        <v>70</v>
      </c>
      <c r="O39" s="129">
        <f>DATA_DRAGONS_CONTENT!T12</f>
        <v>20</v>
      </c>
      <c r="P39">
        <f t="shared" si="4"/>
        <v>3.5</v>
      </c>
      <c r="Q39">
        <f t="shared" si="5"/>
        <v>365</v>
      </c>
      <c r="S39" s="35">
        <f t="shared" si="6"/>
        <v>-20</v>
      </c>
      <c r="U39" t="s">
        <v>6799</v>
      </c>
    </row>
    <row r="40" spans="3:21" x14ac:dyDescent="0.25">
      <c r="C40">
        <f t="shared" si="1"/>
        <v>17</v>
      </c>
      <c r="E40">
        <f t="shared" si="0"/>
        <v>0.65250000000000008</v>
      </c>
      <c r="G40">
        <f t="shared" si="2"/>
        <v>84.927500000000009</v>
      </c>
      <c r="I40" s="28"/>
      <c r="K40" s="9" t="s">
        <v>6791</v>
      </c>
      <c r="L40" s="15">
        <f>DATA_DRAGONS_CONTENT!H13</f>
        <v>360</v>
      </c>
      <c r="M40" s="15">
        <f>DATA_DRAGONS_CONTENT!I13</f>
        <v>430</v>
      </c>
      <c r="N40">
        <f t="shared" ref="N40" si="7">M40-L40</f>
        <v>70</v>
      </c>
      <c r="O40" s="129">
        <f>DATA_DRAGONS_CONTENT!T13</f>
        <v>20</v>
      </c>
      <c r="P40">
        <f t="shared" ref="P40" si="8">N40/O40</f>
        <v>3.5</v>
      </c>
      <c r="Q40">
        <f t="shared" ref="Q40" si="9">(L40+M40)/2</f>
        <v>395</v>
      </c>
      <c r="S40" s="35">
        <f t="shared" ref="S40" si="10">L40-M39</f>
        <v>-40</v>
      </c>
      <c r="U40" t="s">
        <v>6800</v>
      </c>
    </row>
    <row r="41" spans="3:21" x14ac:dyDescent="0.25">
      <c r="C41">
        <f t="shared" si="1"/>
        <v>18</v>
      </c>
      <c r="E41">
        <f t="shared" si="0"/>
        <v>0.66</v>
      </c>
      <c r="G41">
        <f t="shared" si="2"/>
        <v>84.267500000000013</v>
      </c>
      <c r="I41" s="28"/>
      <c r="K41" s="9" t="s">
        <v>139</v>
      </c>
      <c r="L41" s="15">
        <f>DATA_DRAGONS_CONTENT!H14</f>
        <v>375</v>
      </c>
      <c r="M41" s="15">
        <f>DATA_DRAGONS_CONTENT!I14</f>
        <v>445</v>
      </c>
      <c r="N41">
        <f>M41-L41</f>
        <v>70</v>
      </c>
      <c r="O41" s="129">
        <f>DATA_DRAGONS_CONTENT!T14</f>
        <v>20</v>
      </c>
      <c r="P41">
        <f>N41/O41</f>
        <v>3.5</v>
      </c>
      <c r="Q41">
        <f>(L41+M41)/2</f>
        <v>410</v>
      </c>
      <c r="S41" s="35">
        <f>L41-M39</f>
        <v>-25</v>
      </c>
      <c r="U41" t="s">
        <v>6801</v>
      </c>
    </row>
    <row r="42" spans="3:21" x14ac:dyDescent="0.25">
      <c r="C42">
        <f t="shared" si="1"/>
        <v>19</v>
      </c>
      <c r="E42">
        <f t="shared" si="0"/>
        <v>0.66749999999999998</v>
      </c>
      <c r="G42">
        <f t="shared" si="2"/>
        <v>83.600000000000009</v>
      </c>
      <c r="I42" s="28"/>
      <c r="K42" s="4" t="s">
        <v>141</v>
      </c>
      <c r="L42" s="16">
        <f>DATA_DRAGONS_CONTENT!H15</f>
        <v>425</v>
      </c>
      <c r="M42" s="16">
        <f>DATA_DRAGONS_CONTENT!I15</f>
        <v>500</v>
      </c>
      <c r="N42">
        <f>M42-L42</f>
        <v>75</v>
      </c>
      <c r="O42" s="130">
        <f>DATA_DRAGONS_CONTENT!T15</f>
        <v>20</v>
      </c>
      <c r="P42">
        <f>N42/O42</f>
        <v>3.75</v>
      </c>
      <c r="Q42">
        <f>(L42+M42)/2</f>
        <v>462.5</v>
      </c>
      <c r="S42" s="18">
        <f>L42-M41</f>
        <v>-20</v>
      </c>
      <c r="U42" t="s">
        <v>6802</v>
      </c>
    </row>
    <row r="43" spans="3:21" x14ac:dyDescent="0.25">
      <c r="C43">
        <f t="shared" si="1"/>
        <v>20</v>
      </c>
      <c r="E43">
        <f t="shared" si="0"/>
        <v>0.67500000000000004</v>
      </c>
      <c r="G43">
        <f t="shared" si="2"/>
        <v>82.925000000000011</v>
      </c>
      <c r="I43" s="28"/>
    </row>
    <row r="44" spans="3:21" ht="15.75" thickBot="1" x14ac:dyDescent="0.3">
      <c r="C44">
        <f t="shared" si="1"/>
        <v>21</v>
      </c>
      <c r="E44">
        <f t="shared" si="0"/>
        <v>0.6825</v>
      </c>
      <c r="G44">
        <f t="shared" si="2"/>
        <v>82.242500000000007</v>
      </c>
      <c r="I44" s="28"/>
    </row>
    <row r="45" spans="3:21" ht="16.5" thickTop="1" thickBot="1" x14ac:dyDescent="0.3">
      <c r="C45">
        <f t="shared" si="1"/>
        <v>22</v>
      </c>
      <c r="E45">
        <f t="shared" si="0"/>
        <v>0.69</v>
      </c>
      <c r="G45">
        <f t="shared" si="2"/>
        <v>81.552500000000009</v>
      </c>
      <c r="I45" s="28"/>
      <c r="K45" s="33" t="s">
        <v>162</v>
      </c>
    </row>
    <row r="46" spans="3:21" ht="15.75" thickTop="1" x14ac:dyDescent="0.25">
      <c r="C46">
        <f t="shared" si="1"/>
        <v>23</v>
      </c>
      <c r="E46">
        <f t="shared" si="0"/>
        <v>0.69750000000000001</v>
      </c>
      <c r="G46">
        <f t="shared" si="2"/>
        <v>80.855000000000004</v>
      </c>
      <c r="I46" s="28"/>
    </row>
    <row r="47" spans="3:21" x14ac:dyDescent="0.25">
      <c r="C47">
        <f t="shared" si="1"/>
        <v>24</v>
      </c>
      <c r="E47">
        <f t="shared" si="0"/>
        <v>0.70500000000000007</v>
      </c>
      <c r="G47">
        <f t="shared" si="2"/>
        <v>80.150000000000006</v>
      </c>
      <c r="I47" s="28"/>
      <c r="L47" s="2" t="s">
        <v>167</v>
      </c>
      <c r="N47" s="1" t="s">
        <v>168</v>
      </c>
      <c r="P47" s="19"/>
    </row>
    <row r="48" spans="3:21" x14ac:dyDescent="0.25">
      <c r="C48">
        <f t="shared" si="1"/>
        <v>25</v>
      </c>
      <c r="E48">
        <f t="shared" si="0"/>
        <v>0.71250000000000002</v>
      </c>
      <c r="G48">
        <f t="shared" si="2"/>
        <v>79.4375</v>
      </c>
      <c r="I48" s="28"/>
      <c r="K48" s="3" t="s">
        <v>132</v>
      </c>
      <c r="L48" s="10">
        <f>ROUND((DATA_DRAGONS_CONTENT!J5/DATA_DRAGONS_CONTENT!L5)/DATA_DRAGONS_CONTENT!K5,1)</f>
        <v>9.1999999999999993</v>
      </c>
      <c r="N48" s="34">
        <v>0</v>
      </c>
    </row>
    <row r="49" spans="3:21" x14ac:dyDescent="0.25">
      <c r="C49">
        <f t="shared" si="1"/>
        <v>26</v>
      </c>
      <c r="E49">
        <f t="shared" si="0"/>
        <v>0.72</v>
      </c>
      <c r="G49">
        <f t="shared" si="2"/>
        <v>78.717500000000001</v>
      </c>
      <c r="I49" s="28"/>
      <c r="K49" s="5" t="s">
        <v>133</v>
      </c>
      <c r="L49" s="11">
        <f>ROUND((DATA_DRAGONS_CONTENT!J6/DATA_DRAGONS_CONTENT!L6)/DATA_DRAGONS_CONTENT!K6,1)</f>
        <v>10.5</v>
      </c>
      <c r="N49" s="35">
        <f>L49-L48</f>
        <v>1.3000000000000007</v>
      </c>
    </row>
    <row r="50" spans="3:21" x14ac:dyDescent="0.25">
      <c r="C50">
        <f t="shared" si="1"/>
        <v>27</v>
      </c>
      <c r="E50">
        <f t="shared" si="0"/>
        <v>0.72750000000000004</v>
      </c>
      <c r="G50">
        <f t="shared" si="2"/>
        <v>77.989999999999995</v>
      </c>
      <c r="I50" s="28"/>
      <c r="K50" s="6" t="s">
        <v>135</v>
      </c>
      <c r="L50" s="12">
        <f>ROUND((DATA_DRAGONS_CONTENT!J7/DATA_DRAGONS_CONTENT!L7)/DATA_DRAGONS_CONTENT!K7,1)</f>
        <v>11.5</v>
      </c>
      <c r="N50" s="35">
        <f t="shared" ref="N50:N55" si="11">L50-L49</f>
        <v>1</v>
      </c>
    </row>
    <row r="51" spans="3:21" x14ac:dyDescent="0.25">
      <c r="C51">
        <f t="shared" si="1"/>
        <v>28</v>
      </c>
      <c r="E51">
        <f t="shared" si="0"/>
        <v>0.73499999999999999</v>
      </c>
      <c r="G51">
        <f t="shared" si="2"/>
        <v>77.254999999999995</v>
      </c>
      <c r="I51" s="28"/>
      <c r="K51" s="6" t="s">
        <v>134</v>
      </c>
      <c r="L51" s="12">
        <f>ROUND((DATA_DRAGONS_CONTENT!J8/DATA_DRAGONS_CONTENT!L8)/DATA_DRAGONS_CONTENT!K8,1)</f>
        <v>12.7</v>
      </c>
      <c r="N51" s="35">
        <f t="shared" si="11"/>
        <v>1.1999999999999993</v>
      </c>
    </row>
    <row r="52" spans="3:21" x14ac:dyDescent="0.25">
      <c r="C52">
        <f t="shared" si="1"/>
        <v>29</v>
      </c>
      <c r="E52">
        <f t="shared" si="0"/>
        <v>0.74250000000000005</v>
      </c>
      <c r="G52">
        <f t="shared" si="2"/>
        <v>76.512499999999989</v>
      </c>
      <c r="I52" s="28"/>
      <c r="K52" s="7" t="s">
        <v>137</v>
      </c>
      <c r="L52" s="13">
        <f>ROUND((DATA_DRAGONS_CONTENT!J9/DATA_DRAGONS_CONTENT!L9)/DATA_DRAGONS_CONTENT!K9,1)</f>
        <v>13.2</v>
      </c>
      <c r="N52" s="35">
        <f t="shared" si="11"/>
        <v>0.5</v>
      </c>
    </row>
    <row r="53" spans="3:21" x14ac:dyDescent="0.25">
      <c r="C53">
        <f t="shared" si="1"/>
        <v>30</v>
      </c>
      <c r="E53">
        <f t="shared" si="0"/>
        <v>0.75</v>
      </c>
      <c r="G53">
        <f t="shared" si="2"/>
        <v>75.762499999999989</v>
      </c>
      <c r="I53" s="28"/>
      <c r="K53" s="7" t="s">
        <v>136</v>
      </c>
      <c r="L53" s="13">
        <f>ROUND((DATA_DRAGONS_CONTENT!J10/DATA_DRAGONS_CONTENT!L10)/DATA_DRAGONS_CONTENT!K10,1)</f>
        <v>13.6</v>
      </c>
      <c r="N53" s="35">
        <f t="shared" si="11"/>
        <v>0.40000000000000036</v>
      </c>
    </row>
    <row r="54" spans="3:21" x14ac:dyDescent="0.25">
      <c r="C54">
        <f t="shared" si="1"/>
        <v>31</v>
      </c>
      <c r="E54">
        <f t="shared" si="0"/>
        <v>1.2825</v>
      </c>
      <c r="G54">
        <f t="shared" si="2"/>
        <v>74.47999999999999</v>
      </c>
      <c r="I54" s="28"/>
      <c r="K54" s="8" t="s">
        <v>138</v>
      </c>
      <c r="L54" s="14">
        <f>ROUND((DATA_DRAGONS_CONTENT!J11/DATA_DRAGONS_CONTENT!L11)/DATA_DRAGONS_CONTENT!K11,1)</f>
        <v>13.9</v>
      </c>
      <c r="N54" s="35">
        <f t="shared" si="11"/>
        <v>0.30000000000000071</v>
      </c>
    </row>
    <row r="55" spans="3:21" x14ac:dyDescent="0.25">
      <c r="C55">
        <f t="shared" si="1"/>
        <v>32</v>
      </c>
      <c r="E55">
        <f t="shared" si="0"/>
        <v>1.29</v>
      </c>
      <c r="G55">
        <f t="shared" si="2"/>
        <v>73.189999999999984</v>
      </c>
      <c r="I55" s="28"/>
      <c r="K55" s="9" t="s">
        <v>140</v>
      </c>
      <c r="L55" s="15">
        <f>ROUND((DATA_DRAGONS_CONTENT!J12/DATA_DRAGONS_CONTENT!L12)/DATA_DRAGONS_CONTENT!K12,1)</f>
        <v>14</v>
      </c>
      <c r="N55" s="35">
        <f t="shared" si="11"/>
        <v>9.9999999999999645E-2</v>
      </c>
    </row>
    <row r="56" spans="3:21" x14ac:dyDescent="0.25">
      <c r="C56">
        <f t="shared" si="1"/>
        <v>33</v>
      </c>
      <c r="E56">
        <f t="shared" si="0"/>
        <v>1.2975000000000001</v>
      </c>
      <c r="G56">
        <f t="shared" si="2"/>
        <v>71.892499999999984</v>
      </c>
      <c r="I56" s="28"/>
      <c r="K56" s="9" t="s">
        <v>6791</v>
      </c>
      <c r="L56" s="15">
        <f>ROUND((DATA_DRAGONS_CONTENT!J13/DATA_DRAGONS_CONTENT!L13)/DATA_DRAGONS_CONTENT!K13,1)</f>
        <v>13.6</v>
      </c>
      <c r="N56" s="35">
        <f t="shared" ref="N56" si="12">L56-L55</f>
        <v>-0.40000000000000036</v>
      </c>
    </row>
    <row r="57" spans="3:21" x14ac:dyDescent="0.25">
      <c r="C57">
        <f t="shared" si="1"/>
        <v>34</v>
      </c>
      <c r="E57">
        <f t="shared" si="0"/>
        <v>1.3050000000000002</v>
      </c>
      <c r="G57">
        <f t="shared" si="2"/>
        <v>70.587499999999977</v>
      </c>
      <c r="I57" s="28"/>
      <c r="K57" s="9" t="s">
        <v>139</v>
      </c>
      <c r="L57" s="15">
        <f>ROUND((DATA_DRAGONS_CONTENT!J14/DATA_DRAGONS_CONTENT!L14)/DATA_DRAGONS_CONTENT!K14,1)</f>
        <v>14.6</v>
      </c>
      <c r="N57" s="35">
        <f>L57-L55</f>
        <v>0.59999999999999964</v>
      </c>
    </row>
    <row r="58" spans="3:21" x14ac:dyDescent="0.25">
      <c r="C58">
        <f t="shared" si="1"/>
        <v>35</v>
      </c>
      <c r="E58">
        <f t="shared" si="0"/>
        <v>1.3125</v>
      </c>
      <c r="G58">
        <f t="shared" si="2"/>
        <v>69.274999999999977</v>
      </c>
      <c r="I58" s="28"/>
      <c r="K58" s="4" t="s">
        <v>141</v>
      </c>
      <c r="L58" s="16">
        <f>ROUND((DATA_DRAGONS_CONTENT!J15/DATA_DRAGONS_CONTENT!L15)/DATA_DRAGONS_CONTENT!K15,1)</f>
        <v>15.2</v>
      </c>
      <c r="N58" s="18">
        <f>L58-L57</f>
        <v>0.59999999999999964</v>
      </c>
    </row>
    <row r="59" spans="3:21" x14ac:dyDescent="0.25">
      <c r="C59">
        <f t="shared" si="1"/>
        <v>36</v>
      </c>
      <c r="E59">
        <f t="shared" si="0"/>
        <v>1.32</v>
      </c>
      <c r="G59">
        <f t="shared" si="2"/>
        <v>67.954999999999984</v>
      </c>
      <c r="I59" s="28"/>
    </row>
    <row r="60" spans="3:21" x14ac:dyDescent="0.25">
      <c r="C60">
        <f t="shared" si="1"/>
        <v>37</v>
      </c>
      <c r="E60">
        <f t="shared" si="0"/>
        <v>1.3275000000000001</v>
      </c>
      <c r="G60">
        <f t="shared" si="2"/>
        <v>66.627499999999984</v>
      </c>
      <c r="I60" s="28"/>
    </row>
    <row r="61" spans="3:21" ht="15.75" thickBot="1" x14ac:dyDescent="0.3">
      <c r="C61">
        <f t="shared" si="1"/>
        <v>38</v>
      </c>
      <c r="E61">
        <f t="shared" si="0"/>
        <v>1.335</v>
      </c>
      <c r="G61">
        <f t="shared" si="2"/>
        <v>65.29249999999999</v>
      </c>
      <c r="I61" s="28"/>
    </row>
    <row r="62" spans="3:21" ht="16.5" thickTop="1" thickBot="1" x14ac:dyDescent="0.3">
      <c r="C62">
        <f t="shared" si="1"/>
        <v>39</v>
      </c>
      <c r="E62">
        <f t="shared" si="0"/>
        <v>1.3425</v>
      </c>
      <c r="G62">
        <f t="shared" si="2"/>
        <v>63.949999999999989</v>
      </c>
      <c r="I62" s="28"/>
      <c r="K62" s="33" t="s">
        <v>169</v>
      </c>
    </row>
    <row r="63" spans="3:21" ht="15.75" thickTop="1" x14ac:dyDescent="0.25">
      <c r="C63">
        <f t="shared" si="1"/>
        <v>40</v>
      </c>
      <c r="E63">
        <f t="shared" si="0"/>
        <v>1.35</v>
      </c>
      <c r="G63">
        <f t="shared" si="2"/>
        <v>62.599999999999987</v>
      </c>
      <c r="I63" s="28"/>
      <c r="N63" s="1" t="s">
        <v>6777</v>
      </c>
    </row>
    <row r="64" spans="3:21" x14ac:dyDescent="0.25">
      <c r="C64">
        <f t="shared" si="1"/>
        <v>41</v>
      </c>
      <c r="E64">
        <f t="shared" si="0"/>
        <v>1.3574999999999999</v>
      </c>
      <c r="G64">
        <f t="shared" si="2"/>
        <v>61.242499999999986</v>
      </c>
      <c r="I64" s="28"/>
      <c r="L64" s="2" t="s">
        <v>6756</v>
      </c>
      <c r="M64" s="2" t="s">
        <v>174</v>
      </c>
      <c r="N64" s="2" t="s">
        <v>190</v>
      </c>
      <c r="O64" s="2" t="s">
        <v>176</v>
      </c>
      <c r="P64" s="2" t="s">
        <v>6755</v>
      </c>
      <c r="R64" s="17" t="s">
        <v>189</v>
      </c>
      <c r="U64" s="1" t="s">
        <v>175</v>
      </c>
    </row>
    <row r="65" spans="3:23" x14ac:dyDescent="0.25">
      <c r="C65">
        <f t="shared" si="1"/>
        <v>42</v>
      </c>
      <c r="E65">
        <f t="shared" si="0"/>
        <v>1.365</v>
      </c>
      <c r="G65">
        <f t="shared" si="2"/>
        <v>59.877499999999984</v>
      </c>
      <c r="I65" s="28"/>
      <c r="K65" s="3" t="s">
        <v>132</v>
      </c>
      <c r="L65" s="10">
        <f>DATA_DRAGONS_CONTENT!M5</f>
        <v>2</v>
      </c>
      <c r="M65" s="10">
        <f>ROUND(((DATA_DRAGONS_CONTENT!J5*L65)/DATA_DRAGONS_CONTENT!L5)/DATA_DRAGONS_CONTENT!K5,1)</f>
        <v>18.399999999999999</v>
      </c>
      <c r="N65" s="132">
        <v>2.5</v>
      </c>
      <c r="O65" s="132">
        <v>3.6</v>
      </c>
      <c r="P65" s="10">
        <f>DATA_DRAGONS_CONTENT!N5</f>
        <v>100</v>
      </c>
      <c r="R65" s="34">
        <f>ROUND(N65/O65,1)</f>
        <v>0.7</v>
      </c>
      <c r="U65" s="34">
        <v>0</v>
      </c>
    </row>
    <row r="66" spans="3:23" x14ac:dyDescent="0.25">
      <c r="C66">
        <f t="shared" si="1"/>
        <v>43</v>
      </c>
      <c r="E66">
        <f t="shared" si="0"/>
        <v>1.3725000000000001</v>
      </c>
      <c r="G66">
        <f t="shared" si="2"/>
        <v>58.504999999999981</v>
      </c>
      <c r="I66" s="28"/>
      <c r="K66" s="5" t="s">
        <v>133</v>
      </c>
      <c r="L66" s="11">
        <f>DATA_DRAGONS_CONTENT!M6</f>
        <v>1.7</v>
      </c>
      <c r="M66" s="11">
        <f>ROUND(((DATA_DRAGONS_CONTENT!J6*L66)/DATA_DRAGONS_CONTENT!L6)/DATA_DRAGONS_CONTENT!K6,1)</f>
        <v>17.899999999999999</v>
      </c>
      <c r="N66" s="133">
        <v>5</v>
      </c>
      <c r="O66" s="133">
        <v>10</v>
      </c>
      <c r="P66" s="11">
        <f>DATA_DRAGONS_CONTENT!N6</f>
        <v>100</v>
      </c>
      <c r="R66" s="35">
        <f t="shared" ref="R66:R67" si="13">ROUND(N66/O66,1)</f>
        <v>0.5</v>
      </c>
      <c r="U66" s="35">
        <f t="shared" ref="U66:U72" si="14">M66-M65</f>
        <v>-0.5</v>
      </c>
    </row>
    <row r="67" spans="3:23" x14ac:dyDescent="0.25">
      <c r="C67">
        <f t="shared" si="1"/>
        <v>44</v>
      </c>
      <c r="E67">
        <f t="shared" si="0"/>
        <v>1.38</v>
      </c>
      <c r="G67">
        <f t="shared" si="2"/>
        <v>57.124999999999979</v>
      </c>
      <c r="I67" s="28"/>
      <c r="K67" s="6" t="s">
        <v>135</v>
      </c>
      <c r="L67" s="12">
        <f>DATA_DRAGONS_CONTENT!M7</f>
        <v>2.1</v>
      </c>
      <c r="M67" s="12">
        <f>ROUND(((DATA_DRAGONS_CONTENT!J7*L67)/DATA_DRAGONS_CONTENT!L7)/DATA_DRAGONS_CONTENT!K7,1)</f>
        <v>24.1</v>
      </c>
      <c r="N67" s="132">
        <v>2.5</v>
      </c>
      <c r="O67" s="132">
        <v>7.1</v>
      </c>
      <c r="P67" s="12">
        <f>DATA_DRAGONS_CONTENT!N7</f>
        <v>100</v>
      </c>
      <c r="R67" s="35">
        <f t="shared" si="13"/>
        <v>0.4</v>
      </c>
      <c r="U67" s="35">
        <f t="shared" si="14"/>
        <v>6.2000000000000028</v>
      </c>
    </row>
    <row r="68" spans="3:23" x14ac:dyDescent="0.25">
      <c r="C68">
        <f t="shared" si="1"/>
        <v>45</v>
      </c>
      <c r="E68">
        <f t="shared" si="0"/>
        <v>1.3875</v>
      </c>
      <c r="G68">
        <f t="shared" si="2"/>
        <v>55.737499999999976</v>
      </c>
      <c r="I68" s="28"/>
      <c r="K68" s="6" t="s">
        <v>134</v>
      </c>
      <c r="L68" s="12">
        <v>1.3</v>
      </c>
      <c r="M68" s="12">
        <f>ROUND(((DATA_DRAGONS_CONTENT!J8*L68)/DATA_DRAGONS_CONTENT!L8)/DATA_DRAGONS_CONTENT!K8,1)</f>
        <v>16.5</v>
      </c>
      <c r="N68" s="132">
        <v>5.6</v>
      </c>
      <c r="O68" s="132">
        <v>4.5</v>
      </c>
      <c r="P68" s="12">
        <f>DATA_DRAGONS_CONTENT!N8</f>
        <v>100</v>
      </c>
      <c r="R68" s="35">
        <f>ROUND(N68/O68,1)</f>
        <v>1.2</v>
      </c>
      <c r="U68" s="35">
        <f t="shared" si="14"/>
        <v>-7.6000000000000014</v>
      </c>
    </row>
    <row r="69" spans="3:23" x14ac:dyDescent="0.25">
      <c r="C69">
        <f t="shared" si="1"/>
        <v>46</v>
      </c>
      <c r="E69">
        <f t="shared" si="0"/>
        <v>1.395</v>
      </c>
      <c r="G69">
        <f t="shared" si="2"/>
        <v>54.342499999999973</v>
      </c>
      <c r="I69" s="28"/>
      <c r="K69" s="7" t="s">
        <v>137</v>
      </c>
      <c r="L69" s="13">
        <f>DATA_DRAGONS_CONTENT!M9</f>
        <v>1.4</v>
      </c>
      <c r="M69" s="13">
        <f>ROUND(((DATA_DRAGONS_CONTENT!J9*L69)/DATA_DRAGONS_CONTENT!L9)/DATA_DRAGONS_CONTENT!K9,1)</f>
        <v>18.399999999999999</v>
      </c>
      <c r="N69" s="132">
        <v>3.2</v>
      </c>
      <c r="O69" s="132">
        <v>2.9</v>
      </c>
      <c r="P69" s="13">
        <f>DATA_DRAGONS_CONTENT!N9</f>
        <v>100</v>
      </c>
      <c r="R69" s="35">
        <f t="shared" ref="R69:R70" si="15">ROUND(N69/O69,1)</f>
        <v>1.1000000000000001</v>
      </c>
      <c r="U69" s="35">
        <f t="shared" si="14"/>
        <v>1.8999999999999986</v>
      </c>
    </row>
    <row r="70" spans="3:23" x14ac:dyDescent="0.25">
      <c r="C70">
        <f t="shared" si="1"/>
        <v>47</v>
      </c>
      <c r="E70">
        <f t="shared" si="0"/>
        <v>1.4025000000000001</v>
      </c>
      <c r="G70">
        <f t="shared" si="2"/>
        <v>52.939999999999969</v>
      </c>
      <c r="I70" s="28"/>
      <c r="K70" s="7" t="s">
        <v>136</v>
      </c>
      <c r="L70" s="13">
        <f>DATA_DRAGONS_CONTENT!M10</f>
        <v>2.1</v>
      </c>
      <c r="M70" s="13">
        <f>ROUND(((DATA_DRAGONS_CONTENT!J10*L70)/DATA_DRAGONS_CONTENT!L10)/DATA_DRAGONS_CONTENT!K10,1)</f>
        <v>28.5</v>
      </c>
      <c r="N70" s="132">
        <v>2</v>
      </c>
      <c r="O70" s="132">
        <v>7.1</v>
      </c>
      <c r="P70" s="13">
        <f>DATA_DRAGONS_CONTENT!N10</f>
        <v>100</v>
      </c>
      <c r="R70" s="35">
        <f t="shared" si="15"/>
        <v>0.3</v>
      </c>
      <c r="U70" s="35">
        <f t="shared" si="14"/>
        <v>10.100000000000001</v>
      </c>
    </row>
    <row r="71" spans="3:23" x14ac:dyDescent="0.25">
      <c r="C71">
        <f t="shared" si="1"/>
        <v>48</v>
      </c>
      <c r="E71">
        <f t="shared" si="0"/>
        <v>1.4100000000000001</v>
      </c>
      <c r="G71">
        <f t="shared" si="2"/>
        <v>51.529999999999973</v>
      </c>
      <c r="I71" s="28"/>
      <c r="K71" s="8" t="s">
        <v>138</v>
      </c>
      <c r="L71" s="14">
        <f>DATA_DRAGONS_CONTENT!M11</f>
        <v>1.6</v>
      </c>
      <c r="M71" s="14">
        <f>ROUND(((DATA_DRAGONS_CONTENT!J11*L71)/DATA_DRAGONS_CONTENT!L11)/DATA_DRAGONS_CONTENT!K11,1)</f>
        <v>22.2</v>
      </c>
      <c r="N71" s="133">
        <v>3.4</v>
      </c>
      <c r="O71" s="133">
        <v>5.9</v>
      </c>
      <c r="P71" s="14">
        <f>DATA_DRAGONS_CONTENT!N11</f>
        <v>100</v>
      </c>
      <c r="R71" s="35">
        <f>ROUND(N71/O71,1)</f>
        <v>0.6</v>
      </c>
      <c r="U71" s="35">
        <f t="shared" si="14"/>
        <v>-6.3000000000000007</v>
      </c>
    </row>
    <row r="72" spans="3:23" x14ac:dyDescent="0.25">
      <c r="C72">
        <f t="shared" si="1"/>
        <v>49</v>
      </c>
      <c r="E72">
        <f t="shared" si="0"/>
        <v>1.4175</v>
      </c>
      <c r="G72">
        <f t="shared" si="2"/>
        <v>50.112499999999976</v>
      </c>
      <c r="I72" s="28"/>
      <c r="K72" s="9" t="s">
        <v>140</v>
      </c>
      <c r="L72" s="15">
        <f>DATA_DRAGONS_CONTENT!M12</f>
        <v>1.4</v>
      </c>
      <c r="M72" s="15">
        <f>ROUND(((DATA_DRAGONS_CONTENT!J12*L72)/DATA_DRAGONS_CONTENT!L12)/DATA_DRAGONS_CONTENT!K12,1)</f>
        <v>19.600000000000001</v>
      </c>
      <c r="N72" s="133">
        <v>5</v>
      </c>
      <c r="O72" s="133">
        <v>5.6</v>
      </c>
      <c r="P72" s="15">
        <f>DATA_DRAGONS_CONTENT!N12</f>
        <v>100</v>
      </c>
      <c r="R72" s="35">
        <f t="shared" ref="R72" si="16">ROUND(N72/O72,1)</f>
        <v>0.9</v>
      </c>
      <c r="U72" s="35">
        <f t="shared" si="14"/>
        <v>-2.5999999999999979</v>
      </c>
    </row>
    <row r="73" spans="3:23" x14ac:dyDescent="0.25">
      <c r="C73">
        <f t="shared" si="1"/>
        <v>50</v>
      </c>
      <c r="E73">
        <f t="shared" si="0"/>
        <v>1.425</v>
      </c>
      <c r="G73">
        <f t="shared" si="2"/>
        <v>48.687499999999979</v>
      </c>
      <c r="I73" s="28"/>
      <c r="K73" s="9" t="s">
        <v>6791</v>
      </c>
      <c r="L73" s="15">
        <f>DATA_DRAGONS_CONTENT!M13</f>
        <v>1.8</v>
      </c>
      <c r="M73" s="15">
        <f>ROUND(((DATA_DRAGONS_CONTENT!J13*L73)/DATA_DRAGONS_CONTENT!L13)/DATA_DRAGONS_CONTENT!K13,1)</f>
        <v>24.5</v>
      </c>
      <c r="N73" s="133">
        <v>2.5</v>
      </c>
      <c r="O73" s="133">
        <v>7.1</v>
      </c>
      <c r="P73" s="15">
        <f>DATA_DRAGONS_CONTENT!N13</f>
        <v>100</v>
      </c>
      <c r="R73" s="35">
        <f t="shared" ref="R73" si="17">ROUND(N73/O73,1)</f>
        <v>0.4</v>
      </c>
      <c r="U73" s="35">
        <f t="shared" ref="U73" si="18">M73-M72</f>
        <v>4.8999999999999986</v>
      </c>
    </row>
    <row r="74" spans="3:23" x14ac:dyDescent="0.25">
      <c r="C74">
        <f>C73+1</f>
        <v>51</v>
      </c>
      <c r="E74">
        <f t="shared" si="0"/>
        <v>1.4325000000000001</v>
      </c>
      <c r="G74">
        <f t="shared" si="2"/>
        <v>47.254999999999981</v>
      </c>
      <c r="I74" s="28"/>
      <c r="K74" s="9" t="s">
        <v>139</v>
      </c>
      <c r="L74" s="15">
        <f>DATA_DRAGONS_CONTENT!M14</f>
        <v>1.6</v>
      </c>
      <c r="M74" s="15">
        <f>ROUND(((DATA_DRAGONS_CONTENT!J14*L74)/DATA_DRAGONS_CONTENT!L14)/DATA_DRAGONS_CONTENT!K14,1)</f>
        <v>23.3</v>
      </c>
      <c r="N74" s="133">
        <v>2</v>
      </c>
      <c r="O74" s="133">
        <v>2.9</v>
      </c>
      <c r="P74" s="15">
        <f>DATA_DRAGONS_CONTENT!N14</f>
        <v>100</v>
      </c>
      <c r="R74" s="35">
        <f>ROUND(N74/O74,1)</f>
        <v>0.7</v>
      </c>
      <c r="U74" s="35">
        <f>M74-M72</f>
        <v>3.6999999999999993</v>
      </c>
    </row>
    <row r="75" spans="3:23" x14ac:dyDescent="0.25">
      <c r="C75">
        <f>C74+1</f>
        <v>52</v>
      </c>
      <c r="E75">
        <f t="shared" si="0"/>
        <v>1.44</v>
      </c>
      <c r="G75">
        <f t="shared" si="2"/>
        <v>45.814999999999984</v>
      </c>
      <c r="I75" s="28"/>
      <c r="K75" s="4" t="s">
        <v>141</v>
      </c>
      <c r="L75" s="16">
        <f>DATA_DRAGONS_CONTENT!M15</f>
        <v>1.4</v>
      </c>
      <c r="M75" s="16">
        <f>ROUND(((DATA_DRAGONS_CONTENT!J15*L75)/DATA_DRAGONS_CONTENT!L15)/DATA_DRAGONS_CONTENT!K15,1)</f>
        <v>21.3</v>
      </c>
      <c r="N75" s="132">
        <v>3</v>
      </c>
      <c r="O75" s="132">
        <v>2.9</v>
      </c>
      <c r="P75" s="16">
        <f>DATA_DRAGONS_CONTENT!N15</f>
        <v>100</v>
      </c>
      <c r="R75" s="18">
        <f>ROUND(N75/O75,1)</f>
        <v>1</v>
      </c>
      <c r="U75" s="18">
        <f>M75-M74</f>
        <v>-2</v>
      </c>
    </row>
    <row r="76" spans="3:23" x14ac:dyDescent="0.25">
      <c r="C76">
        <f t="shared" ref="C76:C101" si="19">C75+1</f>
        <v>53</v>
      </c>
      <c r="E76">
        <f t="shared" si="0"/>
        <v>1.4475</v>
      </c>
      <c r="G76">
        <f t="shared" si="2"/>
        <v>44.367499999999986</v>
      </c>
      <c r="I76" s="28"/>
    </row>
    <row r="77" spans="3:23" x14ac:dyDescent="0.25">
      <c r="C77">
        <f t="shared" si="19"/>
        <v>54</v>
      </c>
      <c r="E77">
        <f t="shared" si="0"/>
        <v>1.4550000000000001</v>
      </c>
      <c r="G77">
        <f t="shared" si="2"/>
        <v>42.912499999999987</v>
      </c>
      <c r="I77" s="28"/>
      <c r="L77" s="1" t="s">
        <v>6736</v>
      </c>
      <c r="N77" s="1" t="s">
        <v>6746</v>
      </c>
      <c r="O77" s="1" t="s">
        <v>6749</v>
      </c>
      <c r="Q77" s="1" t="s">
        <v>6753</v>
      </c>
      <c r="S77" s="1" t="s">
        <v>6754</v>
      </c>
    </row>
    <row r="78" spans="3:23" x14ac:dyDescent="0.25">
      <c r="C78">
        <f t="shared" si="19"/>
        <v>55</v>
      </c>
      <c r="E78">
        <f t="shared" si="0"/>
        <v>1.4624999999999999</v>
      </c>
      <c r="G78">
        <f t="shared" si="2"/>
        <v>41.449999999999989</v>
      </c>
      <c r="I78" s="28"/>
      <c r="K78" s="3" t="s">
        <v>132</v>
      </c>
      <c r="L78" t="s">
        <v>6738</v>
      </c>
      <c r="N78" t="s">
        <v>6738</v>
      </c>
      <c r="O78" t="s">
        <v>6738</v>
      </c>
      <c r="Q78" s="10">
        <f t="shared" ref="Q78:Q88" si="20">ROUND(P65/N65,0)</f>
        <v>40</v>
      </c>
      <c r="S78" s="10">
        <f t="shared" ref="S78:S88" si="21">ROUND(P65/O65,0)</f>
        <v>28</v>
      </c>
      <c r="U78" s="65" t="s">
        <v>6739</v>
      </c>
      <c r="V78" s="84"/>
      <c r="W78" s="85"/>
    </row>
    <row r="79" spans="3:23" x14ac:dyDescent="0.25">
      <c r="C79">
        <f t="shared" si="19"/>
        <v>56</v>
      </c>
      <c r="E79">
        <f t="shared" si="0"/>
        <v>1.47</v>
      </c>
      <c r="G79">
        <f t="shared" si="2"/>
        <v>39.97999999999999</v>
      </c>
      <c r="I79" s="28"/>
      <c r="K79" s="5" t="s">
        <v>133</v>
      </c>
      <c r="L79" t="s">
        <v>6738</v>
      </c>
      <c r="N79" t="s">
        <v>6737</v>
      </c>
      <c r="O79" s="112" t="s">
        <v>644</v>
      </c>
      <c r="Q79" s="11">
        <f t="shared" si="20"/>
        <v>20</v>
      </c>
      <c r="S79" s="11">
        <f t="shared" si="21"/>
        <v>10</v>
      </c>
      <c r="U79" s="113"/>
      <c r="V79" s="23" t="s">
        <v>6742</v>
      </c>
      <c r="W79" s="87"/>
    </row>
    <row r="80" spans="3:23" x14ac:dyDescent="0.25">
      <c r="C80">
        <f t="shared" si="19"/>
        <v>57</v>
      </c>
      <c r="E80">
        <f t="shared" si="0"/>
        <v>1.4775</v>
      </c>
      <c r="G80">
        <f t="shared" si="2"/>
        <v>38.502499999999991</v>
      </c>
      <c r="I80" s="28"/>
      <c r="K80" s="6" t="s">
        <v>135</v>
      </c>
      <c r="L80" t="s">
        <v>6737</v>
      </c>
      <c r="N80" t="s">
        <v>6738</v>
      </c>
      <c r="O80" s="112" t="s">
        <v>644</v>
      </c>
      <c r="Q80" s="12">
        <f t="shared" si="20"/>
        <v>40</v>
      </c>
      <c r="S80" s="12">
        <f t="shared" si="21"/>
        <v>14</v>
      </c>
      <c r="T80" s="1"/>
      <c r="U80" s="86"/>
      <c r="V80" s="23" t="s">
        <v>6741</v>
      </c>
      <c r="W80" s="87"/>
    </row>
    <row r="81" spans="3:23" x14ac:dyDescent="0.25">
      <c r="C81">
        <f t="shared" si="19"/>
        <v>58</v>
      </c>
      <c r="E81">
        <f t="shared" si="0"/>
        <v>1.4850000000000001</v>
      </c>
      <c r="G81">
        <f t="shared" si="2"/>
        <v>37.017499999999991</v>
      </c>
      <c r="I81" s="28"/>
      <c r="K81" s="6" t="s">
        <v>134</v>
      </c>
      <c r="L81" t="s">
        <v>644</v>
      </c>
      <c r="N81" t="s">
        <v>7268</v>
      </c>
      <c r="O81" s="112" t="s">
        <v>6738</v>
      </c>
      <c r="Q81" s="12">
        <f t="shared" si="20"/>
        <v>18</v>
      </c>
      <c r="S81" s="12">
        <f t="shared" si="21"/>
        <v>22</v>
      </c>
      <c r="U81" s="86"/>
      <c r="V81" s="23" t="s">
        <v>6740</v>
      </c>
      <c r="W81" s="87"/>
    </row>
    <row r="82" spans="3:23" x14ac:dyDescent="0.25">
      <c r="C82">
        <f t="shared" si="19"/>
        <v>59</v>
      </c>
      <c r="E82">
        <f t="shared" si="0"/>
        <v>1.4925000000000002</v>
      </c>
      <c r="G82">
        <f t="shared" si="2"/>
        <v>35.524999999999991</v>
      </c>
      <c r="I82" s="28"/>
      <c r="K82" s="7" t="s">
        <v>137</v>
      </c>
      <c r="L82" t="s">
        <v>644</v>
      </c>
      <c r="N82" t="s">
        <v>6738</v>
      </c>
      <c r="O82" s="112" t="s">
        <v>6737</v>
      </c>
      <c r="Q82" s="13">
        <f t="shared" si="20"/>
        <v>31</v>
      </c>
      <c r="S82" s="13">
        <f t="shared" si="21"/>
        <v>34</v>
      </c>
      <c r="U82" s="86"/>
      <c r="V82" s="23"/>
      <c r="W82" s="87"/>
    </row>
    <row r="83" spans="3:23" x14ac:dyDescent="0.25">
      <c r="C83">
        <f t="shared" si="19"/>
        <v>60</v>
      </c>
      <c r="E83">
        <f t="shared" si="0"/>
        <v>1.5</v>
      </c>
      <c r="G83">
        <f t="shared" si="2"/>
        <v>34.024999999999991</v>
      </c>
      <c r="I83" s="28"/>
      <c r="K83" s="7" t="s">
        <v>136</v>
      </c>
      <c r="L83" t="s">
        <v>6737</v>
      </c>
      <c r="N83" t="s">
        <v>644</v>
      </c>
      <c r="O83" s="112" t="s">
        <v>6738</v>
      </c>
      <c r="Q83" s="13">
        <f t="shared" si="20"/>
        <v>50</v>
      </c>
      <c r="S83" s="13">
        <f t="shared" si="21"/>
        <v>14</v>
      </c>
      <c r="U83" s="113" t="s">
        <v>6748</v>
      </c>
      <c r="V83" s="23"/>
      <c r="W83" s="87"/>
    </row>
    <row r="84" spans="3:23" x14ac:dyDescent="0.25">
      <c r="C84">
        <f t="shared" si="19"/>
        <v>61</v>
      </c>
      <c r="E84">
        <f t="shared" si="0"/>
        <v>1.5075000000000001</v>
      </c>
      <c r="G84">
        <f t="shared" si="2"/>
        <v>32.517499999999991</v>
      </c>
      <c r="I84" s="28"/>
      <c r="K84" s="8" t="s">
        <v>138</v>
      </c>
      <c r="L84" t="s">
        <v>6738</v>
      </c>
      <c r="N84" t="s">
        <v>6738</v>
      </c>
      <c r="O84" s="112" t="s">
        <v>6738</v>
      </c>
      <c r="Q84" s="14">
        <f t="shared" si="20"/>
        <v>29</v>
      </c>
      <c r="S84" s="14">
        <f t="shared" si="21"/>
        <v>17</v>
      </c>
      <c r="U84" s="86"/>
      <c r="V84" s="23" t="s">
        <v>6743</v>
      </c>
      <c r="W84" s="87"/>
    </row>
    <row r="85" spans="3:23" x14ac:dyDescent="0.25">
      <c r="C85">
        <f t="shared" si="19"/>
        <v>62</v>
      </c>
      <c r="E85">
        <f t="shared" si="0"/>
        <v>1.5150000000000001</v>
      </c>
      <c r="G85">
        <f t="shared" si="2"/>
        <v>31.002499999999991</v>
      </c>
      <c r="I85" s="28"/>
      <c r="K85" s="9" t="s">
        <v>140</v>
      </c>
      <c r="L85" t="s">
        <v>644</v>
      </c>
      <c r="N85" t="s">
        <v>6737</v>
      </c>
      <c r="O85" s="112" t="s">
        <v>6738</v>
      </c>
      <c r="Q85" s="15">
        <f t="shared" si="20"/>
        <v>20</v>
      </c>
      <c r="S85" s="15">
        <f t="shared" si="21"/>
        <v>18</v>
      </c>
      <c r="U85" s="86"/>
      <c r="V85" s="23" t="s">
        <v>6744</v>
      </c>
      <c r="W85" s="87"/>
    </row>
    <row r="86" spans="3:23" x14ac:dyDescent="0.25">
      <c r="C86">
        <f t="shared" si="19"/>
        <v>63</v>
      </c>
      <c r="E86">
        <f t="shared" si="0"/>
        <v>1.5225</v>
      </c>
      <c r="G86">
        <f t="shared" si="2"/>
        <v>29.47999999999999</v>
      </c>
      <c r="I86" s="28"/>
      <c r="K86" s="9" t="s">
        <v>6791</v>
      </c>
      <c r="L86" t="s">
        <v>6738</v>
      </c>
      <c r="N86" t="s">
        <v>6738</v>
      </c>
      <c r="O86" s="112" t="s">
        <v>644</v>
      </c>
      <c r="Q86" s="15">
        <f t="shared" si="20"/>
        <v>40</v>
      </c>
      <c r="S86" s="15">
        <f t="shared" si="21"/>
        <v>14</v>
      </c>
      <c r="U86" s="86"/>
      <c r="V86" s="23" t="s">
        <v>6745</v>
      </c>
      <c r="W86" s="87"/>
    </row>
    <row r="87" spans="3:23" x14ac:dyDescent="0.25">
      <c r="C87">
        <f t="shared" si="19"/>
        <v>64</v>
      </c>
      <c r="E87">
        <f t="shared" si="0"/>
        <v>1.53</v>
      </c>
      <c r="G87">
        <f t="shared" si="2"/>
        <v>27.949999999999989</v>
      </c>
      <c r="I87" s="28"/>
      <c r="K87" s="9" t="s">
        <v>139</v>
      </c>
      <c r="L87" t="s">
        <v>6738</v>
      </c>
      <c r="N87" t="s">
        <v>644</v>
      </c>
      <c r="O87" s="112" t="s">
        <v>6737</v>
      </c>
      <c r="Q87" s="15">
        <f t="shared" si="20"/>
        <v>50</v>
      </c>
      <c r="S87" s="15">
        <f t="shared" si="21"/>
        <v>34</v>
      </c>
      <c r="U87" s="86"/>
      <c r="V87" s="23"/>
      <c r="W87" s="87"/>
    </row>
    <row r="88" spans="3:23" x14ac:dyDescent="0.25">
      <c r="C88">
        <f t="shared" si="19"/>
        <v>65</v>
      </c>
      <c r="E88">
        <f t="shared" si="0"/>
        <v>1.5375000000000001</v>
      </c>
      <c r="G88">
        <f t="shared" si="2"/>
        <v>26.412499999999987</v>
      </c>
      <c r="I88" s="28"/>
      <c r="K88" s="4" t="s">
        <v>141</v>
      </c>
      <c r="L88" t="s">
        <v>644</v>
      </c>
      <c r="N88" t="s">
        <v>6738</v>
      </c>
      <c r="O88" s="112" t="s">
        <v>6737</v>
      </c>
      <c r="Q88" s="16">
        <f t="shared" si="20"/>
        <v>33</v>
      </c>
      <c r="S88" s="16">
        <f t="shared" si="21"/>
        <v>34</v>
      </c>
      <c r="U88" s="113" t="s">
        <v>6747</v>
      </c>
      <c r="V88" s="23"/>
      <c r="W88" s="87"/>
    </row>
    <row r="89" spans="3:23" x14ac:dyDescent="0.25">
      <c r="C89">
        <f t="shared" si="19"/>
        <v>66</v>
      </c>
      <c r="E89">
        <f t="shared" ref="E89:E152" si="22">IF(C89&gt;$C$18,$C$16+(C89*$C$17),(($C$16)*$C$19)+(C89*$C$17))</f>
        <v>1.5449999999999999</v>
      </c>
      <c r="G89">
        <f t="shared" si="2"/>
        <v>24.867499999999986</v>
      </c>
      <c r="I89" s="28"/>
      <c r="U89" s="86"/>
      <c r="V89" s="23" t="s">
        <v>6750</v>
      </c>
      <c r="W89" s="87"/>
    </row>
    <row r="90" spans="3:23" x14ac:dyDescent="0.25">
      <c r="C90">
        <f t="shared" si="19"/>
        <v>67</v>
      </c>
      <c r="E90">
        <f t="shared" si="22"/>
        <v>1.5525</v>
      </c>
      <c r="G90">
        <f t="shared" ref="G90:G153" si="23">G89-E90</f>
        <v>23.314999999999987</v>
      </c>
      <c r="I90" s="28"/>
      <c r="U90" s="86"/>
      <c r="V90" s="23" t="s">
        <v>6751</v>
      </c>
      <c r="W90" s="87"/>
    </row>
    <row r="91" spans="3:23" x14ac:dyDescent="0.25">
      <c r="C91">
        <f t="shared" si="19"/>
        <v>68</v>
      </c>
      <c r="E91">
        <f t="shared" si="22"/>
        <v>1.56</v>
      </c>
      <c r="G91">
        <f t="shared" si="23"/>
        <v>21.754999999999988</v>
      </c>
      <c r="I91" s="28"/>
      <c r="U91" s="88"/>
      <c r="V91" s="89" t="s">
        <v>6752</v>
      </c>
      <c r="W91" s="90"/>
    </row>
    <row r="92" spans="3:23" x14ac:dyDescent="0.25">
      <c r="C92">
        <f t="shared" si="19"/>
        <v>69</v>
      </c>
      <c r="E92">
        <f t="shared" si="22"/>
        <v>1.5674999999999999</v>
      </c>
      <c r="G92">
        <f t="shared" si="23"/>
        <v>20.187499999999989</v>
      </c>
      <c r="I92" s="28"/>
      <c r="K92" s="1"/>
    </row>
    <row r="93" spans="3:23" ht="15.75" thickBot="1" x14ac:dyDescent="0.3">
      <c r="C93">
        <f t="shared" si="19"/>
        <v>70</v>
      </c>
      <c r="E93">
        <f t="shared" si="22"/>
        <v>1.5750000000000002</v>
      </c>
      <c r="G93">
        <f t="shared" si="23"/>
        <v>18.61249999999999</v>
      </c>
      <c r="I93" s="28"/>
      <c r="K93" s="1"/>
      <c r="M93" s="1"/>
    </row>
    <row r="94" spans="3:23" ht="16.5" thickTop="1" thickBot="1" x14ac:dyDescent="0.3">
      <c r="C94">
        <f t="shared" si="19"/>
        <v>71</v>
      </c>
      <c r="E94">
        <f t="shared" si="22"/>
        <v>1.5825</v>
      </c>
      <c r="G94">
        <f t="shared" si="23"/>
        <v>17.02999999999999</v>
      </c>
      <c r="I94" s="28"/>
      <c r="K94" s="33" t="s">
        <v>7366</v>
      </c>
    </row>
    <row r="95" spans="3:23" ht="15.75" thickTop="1" x14ac:dyDescent="0.25">
      <c r="C95">
        <f t="shared" si="19"/>
        <v>72</v>
      </c>
      <c r="E95">
        <f t="shared" si="22"/>
        <v>1.59</v>
      </c>
      <c r="G95">
        <f t="shared" si="23"/>
        <v>15.439999999999991</v>
      </c>
      <c r="I95" s="28"/>
    </row>
    <row r="96" spans="3:23" x14ac:dyDescent="0.25">
      <c r="C96">
        <f t="shared" si="19"/>
        <v>73</v>
      </c>
      <c r="E96">
        <f t="shared" si="22"/>
        <v>1.5975000000000001</v>
      </c>
      <c r="G96">
        <f t="shared" si="23"/>
        <v>13.84249999999999</v>
      </c>
      <c r="I96" s="28"/>
      <c r="L96" s="1" t="s">
        <v>7367</v>
      </c>
      <c r="M96" s="1" t="s">
        <v>7368</v>
      </c>
    </row>
    <row r="97" spans="3:13" x14ac:dyDescent="0.25">
      <c r="C97">
        <f t="shared" si="19"/>
        <v>74</v>
      </c>
      <c r="E97">
        <f t="shared" si="22"/>
        <v>1.605</v>
      </c>
      <c r="G97">
        <f t="shared" si="23"/>
        <v>12.23749999999999</v>
      </c>
      <c r="I97" s="28"/>
      <c r="K97" s="3" t="s">
        <v>132</v>
      </c>
      <c r="L97" s="10">
        <v>6.5</v>
      </c>
      <c r="M97" s="10">
        <v>12.8</v>
      </c>
    </row>
    <row r="98" spans="3:13" x14ac:dyDescent="0.25">
      <c r="C98">
        <f t="shared" si="19"/>
        <v>75</v>
      </c>
      <c r="E98">
        <f t="shared" si="22"/>
        <v>1.6125</v>
      </c>
      <c r="G98">
        <f t="shared" si="23"/>
        <v>10.624999999999989</v>
      </c>
      <c r="I98" s="28"/>
      <c r="K98" s="5" t="s">
        <v>133</v>
      </c>
      <c r="L98" s="11">
        <v>7.8</v>
      </c>
      <c r="M98" s="11">
        <v>16.3</v>
      </c>
    </row>
    <row r="99" spans="3:13" x14ac:dyDescent="0.25">
      <c r="C99">
        <f t="shared" si="19"/>
        <v>76</v>
      </c>
      <c r="E99">
        <f t="shared" si="22"/>
        <v>1.62</v>
      </c>
      <c r="G99">
        <f t="shared" si="23"/>
        <v>9.0049999999999883</v>
      </c>
      <c r="I99" s="28"/>
      <c r="K99" s="6" t="s">
        <v>135</v>
      </c>
      <c r="L99" s="12">
        <v>7.8</v>
      </c>
      <c r="M99" s="12">
        <v>16.5</v>
      </c>
    </row>
    <row r="100" spans="3:13" x14ac:dyDescent="0.25">
      <c r="C100">
        <f t="shared" si="19"/>
        <v>77</v>
      </c>
      <c r="E100">
        <f t="shared" si="22"/>
        <v>1.6274999999999999</v>
      </c>
      <c r="G100">
        <f t="shared" si="23"/>
        <v>7.3774999999999888</v>
      </c>
      <c r="I100" s="28"/>
      <c r="K100" s="6" t="s">
        <v>134</v>
      </c>
      <c r="L100" s="12">
        <v>12.7</v>
      </c>
      <c r="M100" s="12">
        <v>17.3</v>
      </c>
    </row>
    <row r="101" spans="3:13" x14ac:dyDescent="0.25">
      <c r="C101">
        <f t="shared" si="19"/>
        <v>78</v>
      </c>
      <c r="E101">
        <f t="shared" si="22"/>
        <v>1.635</v>
      </c>
      <c r="G101">
        <f t="shared" si="23"/>
        <v>5.7424999999999891</v>
      </c>
      <c r="I101" s="28"/>
      <c r="K101" s="7" t="s">
        <v>137</v>
      </c>
      <c r="L101" s="13">
        <v>16.5</v>
      </c>
      <c r="M101" s="13">
        <v>20.5</v>
      </c>
    </row>
    <row r="102" spans="3:13" x14ac:dyDescent="0.25">
      <c r="C102">
        <f>C101+1</f>
        <v>79</v>
      </c>
      <c r="E102">
        <f t="shared" si="22"/>
        <v>1.6425000000000001</v>
      </c>
      <c r="G102">
        <f t="shared" si="23"/>
        <v>4.099999999999989</v>
      </c>
      <c r="I102" s="28"/>
      <c r="K102" s="7" t="s">
        <v>136</v>
      </c>
      <c r="L102" s="13">
        <v>16.5</v>
      </c>
      <c r="M102" s="13">
        <v>22</v>
      </c>
    </row>
    <row r="103" spans="3:13" x14ac:dyDescent="0.25">
      <c r="C103">
        <f>C102+1</f>
        <v>80</v>
      </c>
      <c r="E103">
        <f t="shared" si="22"/>
        <v>1.65</v>
      </c>
      <c r="G103">
        <f t="shared" si="23"/>
        <v>2.4499999999999891</v>
      </c>
      <c r="I103" s="28"/>
      <c r="K103" s="8" t="s">
        <v>138</v>
      </c>
      <c r="L103" s="14">
        <v>14.8</v>
      </c>
      <c r="M103" s="14">
        <v>22.3</v>
      </c>
    </row>
    <row r="104" spans="3:13" x14ac:dyDescent="0.25">
      <c r="C104">
        <f t="shared" ref="C104:C134" si="24">C103+1</f>
        <v>81</v>
      </c>
      <c r="E104">
        <f t="shared" si="22"/>
        <v>1.6575</v>
      </c>
      <c r="G104">
        <f t="shared" si="23"/>
        <v>0.7924999999999891</v>
      </c>
      <c r="I104" s="28"/>
      <c r="K104" s="9" t="s">
        <v>140</v>
      </c>
      <c r="L104" s="15">
        <v>23.5</v>
      </c>
      <c r="M104" s="15">
        <v>32</v>
      </c>
    </row>
    <row r="105" spans="3:13" x14ac:dyDescent="0.25">
      <c r="C105">
        <f t="shared" si="24"/>
        <v>82</v>
      </c>
      <c r="E105">
        <f t="shared" si="22"/>
        <v>1.665</v>
      </c>
      <c r="G105">
        <f t="shared" si="23"/>
        <v>-0.87250000000001093</v>
      </c>
      <c r="I105" s="28"/>
      <c r="K105" s="9" t="s">
        <v>6791</v>
      </c>
      <c r="L105" s="15">
        <v>23.2</v>
      </c>
      <c r="M105" s="15">
        <v>31.5</v>
      </c>
    </row>
    <row r="106" spans="3:13" x14ac:dyDescent="0.25">
      <c r="C106">
        <f t="shared" si="24"/>
        <v>83</v>
      </c>
      <c r="E106">
        <f t="shared" si="22"/>
        <v>1.6724999999999999</v>
      </c>
      <c r="G106">
        <f t="shared" si="23"/>
        <v>-2.5450000000000106</v>
      </c>
      <c r="I106" s="28"/>
      <c r="K106" s="9" t="s">
        <v>139</v>
      </c>
      <c r="L106" s="15">
        <v>28</v>
      </c>
      <c r="M106" s="15">
        <v>35</v>
      </c>
    </row>
    <row r="107" spans="3:13" x14ac:dyDescent="0.25">
      <c r="C107">
        <f t="shared" si="24"/>
        <v>84</v>
      </c>
      <c r="E107">
        <f t="shared" si="22"/>
        <v>1.6800000000000002</v>
      </c>
      <c r="G107">
        <f t="shared" si="23"/>
        <v>-4.2250000000000103</v>
      </c>
      <c r="I107" s="28"/>
      <c r="K107" s="4" t="s">
        <v>141</v>
      </c>
      <c r="L107" s="16">
        <v>44.2</v>
      </c>
      <c r="M107" s="16">
        <v>50.7</v>
      </c>
    </row>
    <row r="108" spans="3:13" x14ac:dyDescent="0.25">
      <c r="C108">
        <f t="shared" si="24"/>
        <v>85</v>
      </c>
      <c r="E108">
        <f t="shared" si="22"/>
        <v>1.6875</v>
      </c>
      <c r="G108">
        <f t="shared" si="23"/>
        <v>-5.9125000000000103</v>
      </c>
      <c r="I108" s="28"/>
    </row>
    <row r="109" spans="3:13" x14ac:dyDescent="0.25">
      <c r="C109">
        <f t="shared" si="24"/>
        <v>86</v>
      </c>
      <c r="E109">
        <f t="shared" si="22"/>
        <v>1.6950000000000001</v>
      </c>
      <c r="G109">
        <f t="shared" si="23"/>
        <v>-7.6075000000000106</v>
      </c>
      <c r="I109" s="28"/>
    </row>
    <row r="110" spans="3:13" x14ac:dyDescent="0.25">
      <c r="C110">
        <f t="shared" si="24"/>
        <v>87</v>
      </c>
      <c r="E110">
        <f t="shared" si="22"/>
        <v>1.7025000000000001</v>
      </c>
      <c r="G110">
        <f t="shared" si="23"/>
        <v>-9.3100000000000112</v>
      </c>
      <c r="I110" s="28"/>
    </row>
    <row r="111" spans="3:13" x14ac:dyDescent="0.25">
      <c r="C111">
        <f t="shared" si="24"/>
        <v>88</v>
      </c>
      <c r="E111">
        <f t="shared" si="22"/>
        <v>1.71</v>
      </c>
      <c r="G111">
        <f t="shared" si="23"/>
        <v>-11.02000000000001</v>
      </c>
      <c r="I111" s="28"/>
    </row>
    <row r="112" spans="3:13" x14ac:dyDescent="0.25">
      <c r="C112">
        <f t="shared" si="24"/>
        <v>89</v>
      </c>
      <c r="E112">
        <f t="shared" si="22"/>
        <v>1.7175</v>
      </c>
      <c r="G112">
        <f t="shared" si="23"/>
        <v>-12.73750000000001</v>
      </c>
      <c r="I112" s="28"/>
    </row>
    <row r="113" spans="3:13" x14ac:dyDescent="0.25">
      <c r="C113">
        <f t="shared" si="24"/>
        <v>90</v>
      </c>
      <c r="E113">
        <f t="shared" si="22"/>
        <v>1.7250000000000001</v>
      </c>
      <c r="G113">
        <f t="shared" si="23"/>
        <v>-14.462500000000009</v>
      </c>
      <c r="I113" s="28"/>
    </row>
    <row r="114" spans="3:13" x14ac:dyDescent="0.25">
      <c r="C114">
        <f t="shared" si="24"/>
        <v>91</v>
      </c>
      <c r="E114">
        <f t="shared" si="22"/>
        <v>1.7324999999999999</v>
      </c>
      <c r="G114">
        <f t="shared" si="23"/>
        <v>-16.195000000000007</v>
      </c>
      <c r="I114" s="28"/>
    </row>
    <row r="115" spans="3:13" x14ac:dyDescent="0.25">
      <c r="C115">
        <f t="shared" si="24"/>
        <v>92</v>
      </c>
      <c r="E115">
        <f t="shared" si="22"/>
        <v>1.74</v>
      </c>
      <c r="G115">
        <f t="shared" si="23"/>
        <v>-17.935000000000006</v>
      </c>
      <c r="I115" s="28"/>
    </row>
    <row r="116" spans="3:13" x14ac:dyDescent="0.25">
      <c r="C116">
        <f t="shared" si="24"/>
        <v>93</v>
      </c>
      <c r="E116">
        <f t="shared" si="22"/>
        <v>1.7475000000000001</v>
      </c>
      <c r="G116">
        <f t="shared" si="23"/>
        <v>-19.682500000000005</v>
      </c>
      <c r="I116" s="28"/>
    </row>
    <row r="117" spans="3:13" x14ac:dyDescent="0.25">
      <c r="C117">
        <f t="shared" si="24"/>
        <v>94</v>
      </c>
      <c r="E117">
        <f t="shared" si="22"/>
        <v>1.7549999999999999</v>
      </c>
      <c r="G117">
        <f t="shared" si="23"/>
        <v>-21.437500000000004</v>
      </c>
      <c r="I117" s="28"/>
    </row>
    <row r="118" spans="3:13" x14ac:dyDescent="0.25">
      <c r="C118">
        <f t="shared" si="24"/>
        <v>95</v>
      </c>
      <c r="E118">
        <f t="shared" si="22"/>
        <v>1.7625000000000002</v>
      </c>
      <c r="G118">
        <f t="shared" si="23"/>
        <v>-23.200000000000003</v>
      </c>
      <c r="I118" s="28"/>
    </row>
    <row r="119" spans="3:13" x14ac:dyDescent="0.25">
      <c r="C119">
        <f t="shared" si="24"/>
        <v>96</v>
      </c>
      <c r="E119">
        <f t="shared" si="22"/>
        <v>1.77</v>
      </c>
      <c r="G119">
        <f t="shared" si="23"/>
        <v>-24.970000000000002</v>
      </c>
      <c r="I119" s="28"/>
    </row>
    <row r="120" spans="3:13" x14ac:dyDescent="0.25">
      <c r="C120">
        <f t="shared" si="24"/>
        <v>97</v>
      </c>
      <c r="E120">
        <f t="shared" si="22"/>
        <v>1.7774999999999999</v>
      </c>
      <c r="G120">
        <f t="shared" si="23"/>
        <v>-26.747500000000002</v>
      </c>
      <c r="I120" s="28"/>
    </row>
    <row r="121" spans="3:13" x14ac:dyDescent="0.25">
      <c r="C121">
        <f t="shared" si="24"/>
        <v>98</v>
      </c>
      <c r="E121">
        <f t="shared" si="22"/>
        <v>1.7850000000000001</v>
      </c>
      <c r="G121">
        <f t="shared" si="23"/>
        <v>-28.532500000000002</v>
      </c>
      <c r="I121" s="28"/>
    </row>
    <row r="122" spans="3:13" x14ac:dyDescent="0.25">
      <c r="C122">
        <f t="shared" si="24"/>
        <v>99</v>
      </c>
      <c r="E122">
        <f t="shared" si="22"/>
        <v>1.7925</v>
      </c>
      <c r="G122">
        <f t="shared" si="23"/>
        <v>-30.325000000000003</v>
      </c>
      <c r="I122" s="28"/>
    </row>
    <row r="123" spans="3:13" x14ac:dyDescent="0.25">
      <c r="C123">
        <f t="shared" si="24"/>
        <v>100</v>
      </c>
      <c r="E123">
        <f t="shared" si="22"/>
        <v>1.8</v>
      </c>
      <c r="G123">
        <f t="shared" si="23"/>
        <v>-32.125</v>
      </c>
      <c r="I123" s="28"/>
    </row>
    <row r="124" spans="3:13" x14ac:dyDescent="0.25">
      <c r="C124">
        <f t="shared" si="24"/>
        <v>101</v>
      </c>
      <c r="E124">
        <f t="shared" si="22"/>
        <v>1.8075000000000001</v>
      </c>
      <c r="G124">
        <f t="shared" si="23"/>
        <v>-33.932499999999997</v>
      </c>
      <c r="I124" s="28"/>
    </row>
    <row r="125" spans="3:13" ht="15.75" thickBot="1" x14ac:dyDescent="0.3">
      <c r="C125">
        <f t="shared" si="24"/>
        <v>102</v>
      </c>
      <c r="E125">
        <f t="shared" si="22"/>
        <v>1.8149999999999999</v>
      </c>
      <c r="G125">
        <f t="shared" si="23"/>
        <v>-35.747499999999995</v>
      </c>
      <c r="I125" s="28"/>
    </row>
    <row r="126" spans="3:13" ht="16.5" thickTop="1" thickBot="1" x14ac:dyDescent="0.3">
      <c r="C126">
        <f t="shared" si="24"/>
        <v>103</v>
      </c>
      <c r="E126">
        <f t="shared" si="22"/>
        <v>1.8225</v>
      </c>
      <c r="G126">
        <f t="shared" si="23"/>
        <v>-37.569999999999993</v>
      </c>
      <c r="I126" s="28"/>
      <c r="K126" s="33" t="s">
        <v>7369</v>
      </c>
    </row>
    <row r="127" spans="3:13" ht="15.75" thickTop="1" x14ac:dyDescent="0.25">
      <c r="C127">
        <f t="shared" si="24"/>
        <v>104</v>
      </c>
      <c r="E127">
        <f t="shared" si="22"/>
        <v>1.83</v>
      </c>
      <c r="G127">
        <f t="shared" si="23"/>
        <v>-39.399999999999991</v>
      </c>
      <c r="I127" s="28"/>
    </row>
    <row r="128" spans="3:13" x14ac:dyDescent="0.25">
      <c r="C128">
        <f t="shared" si="24"/>
        <v>105</v>
      </c>
      <c r="E128">
        <f t="shared" si="22"/>
        <v>1.8374999999999999</v>
      </c>
      <c r="G128">
        <f t="shared" si="23"/>
        <v>-41.23749999999999</v>
      </c>
      <c r="I128" s="28"/>
      <c r="L128" s="1" t="s">
        <v>7367</v>
      </c>
      <c r="M128" s="1" t="s">
        <v>7368</v>
      </c>
    </row>
    <row r="129" spans="3:13" x14ac:dyDescent="0.25">
      <c r="C129">
        <f t="shared" si="24"/>
        <v>106</v>
      </c>
      <c r="E129">
        <f t="shared" si="22"/>
        <v>1.845</v>
      </c>
      <c r="G129">
        <f t="shared" si="23"/>
        <v>-43.082499999999989</v>
      </c>
      <c r="I129" s="28"/>
      <c r="K129" s="3" t="s">
        <v>132</v>
      </c>
      <c r="L129" s="10">
        <v>15</v>
      </c>
      <c r="M129" s="10">
        <v>28</v>
      </c>
    </row>
    <row r="130" spans="3:13" x14ac:dyDescent="0.25">
      <c r="C130">
        <f t="shared" si="24"/>
        <v>107</v>
      </c>
      <c r="E130">
        <f t="shared" si="22"/>
        <v>1.8525</v>
      </c>
      <c r="G130">
        <f t="shared" si="23"/>
        <v>-44.934999999999988</v>
      </c>
      <c r="I130" s="28"/>
      <c r="K130" s="5" t="s">
        <v>133</v>
      </c>
      <c r="L130" s="11">
        <v>16</v>
      </c>
      <c r="M130" s="11">
        <v>55</v>
      </c>
    </row>
    <row r="131" spans="3:13" x14ac:dyDescent="0.25">
      <c r="C131">
        <f t="shared" si="24"/>
        <v>108</v>
      </c>
      <c r="E131">
        <f t="shared" si="22"/>
        <v>1.8599999999999999</v>
      </c>
      <c r="G131">
        <f t="shared" si="23"/>
        <v>-46.794999999999987</v>
      </c>
      <c r="I131" s="28"/>
      <c r="K131" s="6" t="s">
        <v>135</v>
      </c>
      <c r="L131" s="12">
        <v>23</v>
      </c>
      <c r="M131" s="12">
        <v>100</v>
      </c>
    </row>
    <row r="132" spans="3:13" x14ac:dyDescent="0.25">
      <c r="C132">
        <f t="shared" si="24"/>
        <v>109</v>
      </c>
      <c r="E132">
        <f t="shared" si="22"/>
        <v>1.8675000000000002</v>
      </c>
      <c r="G132">
        <f t="shared" si="23"/>
        <v>-48.662499999999987</v>
      </c>
      <c r="I132" s="28"/>
      <c r="K132" s="6" t="s">
        <v>134</v>
      </c>
      <c r="L132" s="12">
        <v>24</v>
      </c>
      <c r="M132" s="12">
        <v>62</v>
      </c>
    </row>
    <row r="133" spans="3:13" x14ac:dyDescent="0.25">
      <c r="C133">
        <f t="shared" si="24"/>
        <v>110</v>
      </c>
      <c r="E133">
        <f t="shared" si="22"/>
        <v>1.875</v>
      </c>
      <c r="G133">
        <f t="shared" si="23"/>
        <v>-50.537499999999987</v>
      </c>
      <c r="I133" s="28"/>
      <c r="K133" s="7" t="s">
        <v>137</v>
      </c>
      <c r="L133" s="13">
        <v>27</v>
      </c>
      <c r="M133" s="13">
        <v>71</v>
      </c>
    </row>
    <row r="134" spans="3:13" x14ac:dyDescent="0.25">
      <c r="C134">
        <f t="shared" si="24"/>
        <v>111</v>
      </c>
      <c r="E134">
        <f t="shared" si="22"/>
        <v>1.8825000000000001</v>
      </c>
      <c r="G134">
        <f t="shared" si="23"/>
        <v>-52.419999999999987</v>
      </c>
      <c r="I134" s="28"/>
      <c r="K134" s="7" t="s">
        <v>136</v>
      </c>
      <c r="L134" s="13">
        <v>31</v>
      </c>
      <c r="M134" s="13">
        <v>110</v>
      </c>
    </row>
    <row r="135" spans="3:13" x14ac:dyDescent="0.25">
      <c r="C135">
        <f>C134+1</f>
        <v>112</v>
      </c>
      <c r="E135">
        <f t="shared" si="22"/>
        <v>1.8900000000000001</v>
      </c>
      <c r="G135">
        <f t="shared" si="23"/>
        <v>-54.309999999999988</v>
      </c>
      <c r="I135" s="28"/>
      <c r="K135" s="8" t="s">
        <v>138</v>
      </c>
      <c r="L135" s="14">
        <v>28</v>
      </c>
      <c r="M135" s="14">
        <v>105</v>
      </c>
    </row>
    <row r="136" spans="3:13" x14ac:dyDescent="0.25">
      <c r="C136">
        <f>C135+1</f>
        <v>113</v>
      </c>
      <c r="E136">
        <f t="shared" si="22"/>
        <v>1.8975</v>
      </c>
      <c r="G136">
        <f t="shared" si="23"/>
        <v>-56.207499999999989</v>
      </c>
      <c r="I136" s="28"/>
      <c r="K136" s="9" t="s">
        <v>140</v>
      </c>
      <c r="L136" s="15">
        <v>32</v>
      </c>
      <c r="M136" s="15">
        <v>125</v>
      </c>
    </row>
    <row r="137" spans="3:13" x14ac:dyDescent="0.25">
      <c r="C137">
        <f t="shared" ref="C137:C172" si="25">C136+1</f>
        <v>114</v>
      </c>
      <c r="E137">
        <f t="shared" si="22"/>
        <v>1.905</v>
      </c>
      <c r="G137">
        <f t="shared" si="23"/>
        <v>-58.11249999999999</v>
      </c>
      <c r="I137" s="28"/>
      <c r="K137" s="9" t="s">
        <v>6791</v>
      </c>
      <c r="L137" s="15">
        <v>32</v>
      </c>
      <c r="M137" s="15">
        <v>140</v>
      </c>
    </row>
    <row r="138" spans="3:13" x14ac:dyDescent="0.25">
      <c r="C138">
        <f t="shared" si="25"/>
        <v>115</v>
      </c>
      <c r="E138">
        <f t="shared" si="22"/>
        <v>1.9125000000000001</v>
      </c>
      <c r="G138">
        <f t="shared" si="23"/>
        <v>-60.024999999999991</v>
      </c>
      <c r="I138" s="28"/>
      <c r="K138" s="9" t="s">
        <v>139</v>
      </c>
      <c r="L138" s="15">
        <v>34</v>
      </c>
      <c r="M138" s="15">
        <v>131</v>
      </c>
    </row>
    <row r="139" spans="3:13" x14ac:dyDescent="0.25">
      <c r="C139">
        <f t="shared" si="25"/>
        <v>116</v>
      </c>
      <c r="E139">
        <f t="shared" si="22"/>
        <v>1.92</v>
      </c>
      <c r="G139">
        <f t="shared" si="23"/>
        <v>-61.944999999999993</v>
      </c>
      <c r="I139" s="28"/>
      <c r="K139" s="4" t="s">
        <v>141</v>
      </c>
      <c r="L139" s="16">
        <v>33</v>
      </c>
      <c r="M139" s="16">
        <v>155</v>
      </c>
    </row>
    <row r="140" spans="3:13" x14ac:dyDescent="0.25">
      <c r="C140">
        <f t="shared" si="25"/>
        <v>117</v>
      </c>
      <c r="E140">
        <f t="shared" si="22"/>
        <v>1.9275</v>
      </c>
      <c r="G140">
        <f t="shared" si="23"/>
        <v>-63.872499999999995</v>
      </c>
      <c r="I140" s="28"/>
    </row>
    <row r="141" spans="3:13" x14ac:dyDescent="0.25">
      <c r="C141">
        <f t="shared" si="25"/>
        <v>118</v>
      </c>
      <c r="E141">
        <f t="shared" si="22"/>
        <v>1.9350000000000001</v>
      </c>
      <c r="G141">
        <f t="shared" si="23"/>
        <v>-65.80749999999999</v>
      </c>
      <c r="I141" s="28"/>
    </row>
    <row r="142" spans="3:13" x14ac:dyDescent="0.25">
      <c r="C142">
        <f t="shared" si="25"/>
        <v>119</v>
      </c>
      <c r="E142">
        <f t="shared" si="22"/>
        <v>1.9424999999999999</v>
      </c>
      <c r="G142">
        <f t="shared" si="23"/>
        <v>-67.749999999999986</v>
      </c>
      <c r="I142" s="28"/>
    </row>
    <row r="143" spans="3:13" x14ac:dyDescent="0.25">
      <c r="C143">
        <f t="shared" si="25"/>
        <v>120</v>
      </c>
      <c r="E143">
        <f t="shared" si="22"/>
        <v>1.95</v>
      </c>
      <c r="G143">
        <f t="shared" si="23"/>
        <v>-69.699999999999989</v>
      </c>
      <c r="I143" s="28"/>
    </row>
    <row r="144" spans="3:13" x14ac:dyDescent="0.25">
      <c r="C144">
        <f t="shared" si="25"/>
        <v>121</v>
      </c>
      <c r="E144">
        <f t="shared" si="22"/>
        <v>1.9575</v>
      </c>
      <c r="G144">
        <f t="shared" si="23"/>
        <v>-71.657499999999985</v>
      </c>
      <c r="I144" s="28"/>
    </row>
    <row r="145" spans="3:9" x14ac:dyDescent="0.25">
      <c r="C145">
        <f t="shared" si="25"/>
        <v>122</v>
      </c>
      <c r="E145">
        <f t="shared" si="22"/>
        <v>1.9649999999999999</v>
      </c>
      <c r="G145">
        <f t="shared" si="23"/>
        <v>-73.622499999999988</v>
      </c>
      <c r="I145" s="28"/>
    </row>
    <row r="146" spans="3:9" x14ac:dyDescent="0.25">
      <c r="C146">
        <f t="shared" si="25"/>
        <v>123</v>
      </c>
      <c r="E146">
        <f t="shared" si="22"/>
        <v>1.9725000000000001</v>
      </c>
      <c r="G146">
        <f t="shared" si="23"/>
        <v>-75.594999999999985</v>
      </c>
      <c r="I146" s="28"/>
    </row>
    <row r="147" spans="3:9" x14ac:dyDescent="0.25">
      <c r="C147">
        <f t="shared" si="25"/>
        <v>124</v>
      </c>
      <c r="E147">
        <f t="shared" si="22"/>
        <v>1.98</v>
      </c>
      <c r="G147">
        <f t="shared" si="23"/>
        <v>-77.574999999999989</v>
      </c>
      <c r="I147" s="28"/>
    </row>
    <row r="148" spans="3:9" x14ac:dyDescent="0.25">
      <c r="C148">
        <f t="shared" si="25"/>
        <v>125</v>
      </c>
      <c r="E148">
        <f t="shared" si="22"/>
        <v>1.9875</v>
      </c>
      <c r="G148">
        <f t="shared" si="23"/>
        <v>-79.562499999999986</v>
      </c>
      <c r="I148" s="28"/>
    </row>
    <row r="149" spans="3:9" x14ac:dyDescent="0.25">
      <c r="C149">
        <f t="shared" si="25"/>
        <v>126</v>
      </c>
      <c r="E149">
        <f t="shared" si="22"/>
        <v>1.9950000000000001</v>
      </c>
      <c r="G149">
        <f t="shared" si="23"/>
        <v>-81.55749999999999</v>
      </c>
      <c r="I149" s="28"/>
    </row>
    <row r="150" spans="3:9" x14ac:dyDescent="0.25">
      <c r="C150">
        <f t="shared" si="25"/>
        <v>127</v>
      </c>
      <c r="E150">
        <f t="shared" si="22"/>
        <v>2.0024999999999999</v>
      </c>
      <c r="G150">
        <f t="shared" si="23"/>
        <v>-83.559999999999988</v>
      </c>
      <c r="I150" s="28"/>
    </row>
    <row r="151" spans="3:9" x14ac:dyDescent="0.25">
      <c r="C151">
        <f t="shared" si="25"/>
        <v>128</v>
      </c>
      <c r="E151">
        <f t="shared" si="22"/>
        <v>2.0099999999999998</v>
      </c>
      <c r="G151">
        <f t="shared" si="23"/>
        <v>-85.57</v>
      </c>
      <c r="I151" s="28"/>
    </row>
    <row r="152" spans="3:9" x14ac:dyDescent="0.25">
      <c r="C152">
        <f t="shared" si="25"/>
        <v>129</v>
      </c>
      <c r="E152">
        <f t="shared" si="22"/>
        <v>2.0175000000000001</v>
      </c>
      <c r="G152">
        <f t="shared" si="23"/>
        <v>-87.587499999999991</v>
      </c>
      <c r="I152" s="28"/>
    </row>
    <row r="153" spans="3:9" x14ac:dyDescent="0.25">
      <c r="C153">
        <f t="shared" si="25"/>
        <v>130</v>
      </c>
      <c r="E153">
        <f t="shared" ref="E153:E216" si="26">IF(C153&gt;$C$18,$C$16+(C153*$C$17),(($C$16)*$C$19)+(C153*$C$17))</f>
        <v>2.0249999999999999</v>
      </c>
      <c r="G153">
        <f t="shared" si="23"/>
        <v>-89.612499999999997</v>
      </c>
      <c r="I153" s="28"/>
    </row>
    <row r="154" spans="3:9" x14ac:dyDescent="0.25">
      <c r="C154">
        <f t="shared" si="25"/>
        <v>131</v>
      </c>
      <c r="E154">
        <f t="shared" si="26"/>
        <v>2.0324999999999998</v>
      </c>
      <c r="G154">
        <f t="shared" ref="G154:G217" si="27">G153-E154</f>
        <v>-91.644999999999996</v>
      </c>
      <c r="I154" s="28"/>
    </row>
    <row r="155" spans="3:9" x14ac:dyDescent="0.25">
      <c r="C155">
        <f t="shared" si="25"/>
        <v>132</v>
      </c>
      <c r="E155">
        <f t="shared" si="26"/>
        <v>2.04</v>
      </c>
      <c r="G155">
        <f t="shared" si="27"/>
        <v>-93.685000000000002</v>
      </c>
      <c r="I155" s="28"/>
    </row>
    <row r="156" spans="3:9" x14ac:dyDescent="0.25">
      <c r="C156">
        <f t="shared" si="25"/>
        <v>133</v>
      </c>
      <c r="E156">
        <f t="shared" si="26"/>
        <v>2.0474999999999999</v>
      </c>
      <c r="G156">
        <f t="shared" si="27"/>
        <v>-95.732500000000002</v>
      </c>
      <c r="I156" s="28"/>
    </row>
    <row r="157" spans="3:9" x14ac:dyDescent="0.25">
      <c r="C157">
        <f t="shared" si="25"/>
        <v>134</v>
      </c>
      <c r="E157">
        <f t="shared" si="26"/>
        <v>2.0549999999999997</v>
      </c>
      <c r="G157">
        <f t="shared" si="27"/>
        <v>-97.787499999999994</v>
      </c>
      <c r="I157" s="28"/>
    </row>
    <row r="158" spans="3:9" x14ac:dyDescent="0.25">
      <c r="C158">
        <f t="shared" si="25"/>
        <v>135</v>
      </c>
      <c r="E158">
        <f t="shared" si="26"/>
        <v>2.0625</v>
      </c>
      <c r="G158">
        <f t="shared" si="27"/>
        <v>-99.85</v>
      </c>
      <c r="I158" s="28"/>
    </row>
    <row r="159" spans="3:9" x14ac:dyDescent="0.25">
      <c r="C159">
        <f t="shared" si="25"/>
        <v>136</v>
      </c>
      <c r="E159">
        <f t="shared" si="26"/>
        <v>2.0700000000000003</v>
      </c>
      <c r="G159">
        <f t="shared" si="27"/>
        <v>-101.91999999999999</v>
      </c>
      <c r="I159" s="28"/>
    </row>
    <row r="160" spans="3:9" x14ac:dyDescent="0.25">
      <c r="C160">
        <f t="shared" si="25"/>
        <v>137</v>
      </c>
      <c r="E160">
        <f t="shared" si="26"/>
        <v>2.0774999999999997</v>
      </c>
      <c r="G160">
        <f t="shared" si="27"/>
        <v>-103.99749999999999</v>
      </c>
      <c r="I160" s="28"/>
    </row>
    <row r="161" spans="3:9" x14ac:dyDescent="0.25">
      <c r="C161">
        <f t="shared" si="25"/>
        <v>138</v>
      </c>
      <c r="E161">
        <f t="shared" si="26"/>
        <v>2.085</v>
      </c>
      <c r="G161">
        <f t="shared" si="27"/>
        <v>-106.08249999999998</v>
      </c>
      <c r="I161" s="28"/>
    </row>
    <row r="162" spans="3:9" x14ac:dyDescent="0.25">
      <c r="C162">
        <f t="shared" si="25"/>
        <v>139</v>
      </c>
      <c r="E162">
        <f t="shared" si="26"/>
        <v>2.0925000000000002</v>
      </c>
      <c r="G162">
        <f t="shared" si="27"/>
        <v>-108.17499999999998</v>
      </c>
      <c r="I162" s="28"/>
    </row>
    <row r="163" spans="3:9" x14ac:dyDescent="0.25">
      <c r="C163">
        <f t="shared" si="25"/>
        <v>140</v>
      </c>
      <c r="E163">
        <f t="shared" si="26"/>
        <v>2.1</v>
      </c>
      <c r="G163">
        <f t="shared" si="27"/>
        <v>-110.27499999999998</v>
      </c>
      <c r="I163" s="28"/>
    </row>
    <row r="164" spans="3:9" x14ac:dyDescent="0.25">
      <c r="C164">
        <f t="shared" si="25"/>
        <v>141</v>
      </c>
      <c r="E164">
        <f t="shared" si="26"/>
        <v>2.1074999999999999</v>
      </c>
      <c r="G164">
        <f t="shared" si="27"/>
        <v>-112.38249999999998</v>
      </c>
      <c r="I164" s="28"/>
    </row>
    <row r="165" spans="3:9" x14ac:dyDescent="0.25">
      <c r="C165">
        <f t="shared" si="25"/>
        <v>142</v>
      </c>
      <c r="E165">
        <f t="shared" si="26"/>
        <v>2.1150000000000002</v>
      </c>
      <c r="G165">
        <f t="shared" si="27"/>
        <v>-114.49749999999997</v>
      </c>
      <c r="I165" s="28"/>
    </row>
    <row r="166" spans="3:9" x14ac:dyDescent="0.25">
      <c r="C166">
        <f t="shared" si="25"/>
        <v>143</v>
      </c>
      <c r="E166">
        <f t="shared" si="26"/>
        <v>2.1225000000000001</v>
      </c>
      <c r="G166">
        <f t="shared" si="27"/>
        <v>-116.61999999999998</v>
      </c>
      <c r="I166" s="28"/>
    </row>
    <row r="167" spans="3:9" x14ac:dyDescent="0.25">
      <c r="C167">
        <f t="shared" si="25"/>
        <v>144</v>
      </c>
      <c r="E167">
        <f t="shared" si="26"/>
        <v>2.13</v>
      </c>
      <c r="G167">
        <f t="shared" si="27"/>
        <v>-118.74999999999997</v>
      </c>
      <c r="I167" s="28"/>
    </row>
    <row r="168" spans="3:9" x14ac:dyDescent="0.25">
      <c r="C168">
        <f t="shared" si="25"/>
        <v>145</v>
      </c>
      <c r="E168">
        <f t="shared" si="26"/>
        <v>2.1375000000000002</v>
      </c>
      <c r="G168">
        <f t="shared" si="27"/>
        <v>-120.88749999999997</v>
      </c>
      <c r="I168" s="28"/>
    </row>
    <row r="169" spans="3:9" x14ac:dyDescent="0.25">
      <c r="C169">
        <f t="shared" si="25"/>
        <v>146</v>
      </c>
      <c r="E169">
        <f t="shared" si="26"/>
        <v>2.145</v>
      </c>
      <c r="G169">
        <f t="shared" si="27"/>
        <v>-123.03249999999997</v>
      </c>
      <c r="I169" s="28"/>
    </row>
    <row r="170" spans="3:9" x14ac:dyDescent="0.25">
      <c r="C170">
        <f t="shared" si="25"/>
        <v>147</v>
      </c>
      <c r="E170">
        <f t="shared" si="26"/>
        <v>2.1524999999999999</v>
      </c>
      <c r="G170">
        <f t="shared" si="27"/>
        <v>-125.18499999999997</v>
      </c>
      <c r="I170" s="28"/>
    </row>
    <row r="171" spans="3:9" x14ac:dyDescent="0.25">
      <c r="C171">
        <f t="shared" si="25"/>
        <v>148</v>
      </c>
      <c r="E171">
        <f t="shared" si="26"/>
        <v>2.16</v>
      </c>
      <c r="G171">
        <f t="shared" si="27"/>
        <v>-127.34499999999997</v>
      </c>
      <c r="I171" s="28"/>
    </row>
    <row r="172" spans="3:9" x14ac:dyDescent="0.25">
      <c r="C172">
        <f t="shared" si="25"/>
        <v>149</v>
      </c>
      <c r="E172">
        <f t="shared" si="26"/>
        <v>2.1675</v>
      </c>
      <c r="G172">
        <f t="shared" si="27"/>
        <v>-129.51249999999996</v>
      </c>
      <c r="I172" s="28"/>
    </row>
    <row r="173" spans="3:9" x14ac:dyDescent="0.25">
      <c r="C173">
        <f>C143+1</f>
        <v>121</v>
      </c>
      <c r="E173">
        <f t="shared" si="26"/>
        <v>1.9575</v>
      </c>
      <c r="G173">
        <f t="shared" si="27"/>
        <v>-131.46999999999997</v>
      </c>
      <c r="I173" s="28"/>
    </row>
    <row r="174" spans="3:9" x14ac:dyDescent="0.25">
      <c r="C174">
        <f>C173+1</f>
        <v>122</v>
      </c>
      <c r="E174">
        <f t="shared" si="26"/>
        <v>1.9649999999999999</v>
      </c>
      <c r="G174">
        <f t="shared" si="27"/>
        <v>-133.43499999999997</v>
      </c>
      <c r="I174" s="28"/>
    </row>
    <row r="175" spans="3:9" x14ac:dyDescent="0.25">
      <c r="C175">
        <f t="shared" ref="C175:C195" si="28">C174+1</f>
        <v>123</v>
      </c>
      <c r="E175">
        <f t="shared" si="26"/>
        <v>1.9725000000000001</v>
      </c>
      <c r="G175">
        <f t="shared" si="27"/>
        <v>-135.40749999999997</v>
      </c>
      <c r="I175" s="28"/>
    </row>
    <row r="176" spans="3:9" x14ac:dyDescent="0.25">
      <c r="C176">
        <f t="shared" si="28"/>
        <v>124</v>
      </c>
      <c r="E176">
        <f t="shared" si="26"/>
        <v>1.98</v>
      </c>
      <c r="G176">
        <f t="shared" si="27"/>
        <v>-137.38749999999996</v>
      </c>
      <c r="I176" s="28"/>
    </row>
    <row r="177" spans="3:9" x14ac:dyDescent="0.25">
      <c r="C177">
        <f t="shared" si="28"/>
        <v>125</v>
      </c>
      <c r="E177">
        <f t="shared" si="26"/>
        <v>1.9875</v>
      </c>
      <c r="G177">
        <f t="shared" si="27"/>
        <v>-139.37499999999997</v>
      </c>
      <c r="I177" s="28"/>
    </row>
    <row r="178" spans="3:9" x14ac:dyDescent="0.25">
      <c r="C178">
        <f t="shared" si="28"/>
        <v>126</v>
      </c>
      <c r="E178">
        <f t="shared" si="26"/>
        <v>1.9950000000000001</v>
      </c>
      <c r="G178">
        <f t="shared" si="27"/>
        <v>-141.36999999999998</v>
      </c>
      <c r="I178" s="28"/>
    </row>
    <row r="179" spans="3:9" x14ac:dyDescent="0.25">
      <c r="C179">
        <f t="shared" si="28"/>
        <v>127</v>
      </c>
      <c r="E179">
        <f t="shared" si="26"/>
        <v>2.0024999999999999</v>
      </c>
      <c r="G179">
        <f t="shared" si="27"/>
        <v>-143.37249999999997</v>
      </c>
      <c r="I179" s="28"/>
    </row>
    <row r="180" spans="3:9" x14ac:dyDescent="0.25">
      <c r="C180">
        <f t="shared" si="28"/>
        <v>128</v>
      </c>
      <c r="E180">
        <f t="shared" si="26"/>
        <v>2.0099999999999998</v>
      </c>
      <c r="G180">
        <f t="shared" si="27"/>
        <v>-145.38249999999996</v>
      </c>
      <c r="I180" s="28"/>
    </row>
    <row r="181" spans="3:9" x14ac:dyDescent="0.25">
      <c r="C181">
        <f t="shared" si="28"/>
        <v>129</v>
      </c>
      <c r="E181">
        <f t="shared" si="26"/>
        <v>2.0175000000000001</v>
      </c>
      <c r="G181">
        <f t="shared" si="27"/>
        <v>-147.39999999999998</v>
      </c>
      <c r="I181" s="28"/>
    </row>
    <row r="182" spans="3:9" x14ac:dyDescent="0.25">
      <c r="C182">
        <f t="shared" si="28"/>
        <v>130</v>
      </c>
      <c r="E182">
        <f t="shared" si="26"/>
        <v>2.0249999999999999</v>
      </c>
      <c r="G182">
        <f t="shared" si="27"/>
        <v>-149.42499999999998</v>
      </c>
      <c r="I182" s="28"/>
    </row>
    <row r="183" spans="3:9" x14ac:dyDescent="0.25">
      <c r="C183">
        <f t="shared" si="28"/>
        <v>131</v>
      </c>
      <c r="E183">
        <f t="shared" si="26"/>
        <v>2.0324999999999998</v>
      </c>
      <c r="G183">
        <f t="shared" si="27"/>
        <v>-151.45749999999998</v>
      </c>
      <c r="I183" s="28"/>
    </row>
    <row r="184" spans="3:9" x14ac:dyDescent="0.25">
      <c r="C184">
        <f t="shared" si="28"/>
        <v>132</v>
      </c>
      <c r="E184">
        <f t="shared" si="26"/>
        <v>2.04</v>
      </c>
      <c r="G184">
        <f t="shared" si="27"/>
        <v>-153.49749999999997</v>
      </c>
      <c r="I184" s="28"/>
    </row>
    <row r="185" spans="3:9" x14ac:dyDescent="0.25">
      <c r="C185">
        <f t="shared" si="28"/>
        <v>133</v>
      </c>
      <c r="E185">
        <f t="shared" si="26"/>
        <v>2.0474999999999999</v>
      </c>
      <c r="G185">
        <f t="shared" si="27"/>
        <v>-155.54499999999999</v>
      </c>
      <c r="I185" s="28"/>
    </row>
    <row r="186" spans="3:9" x14ac:dyDescent="0.25">
      <c r="C186">
        <f t="shared" si="28"/>
        <v>134</v>
      </c>
      <c r="E186">
        <f t="shared" si="26"/>
        <v>2.0549999999999997</v>
      </c>
      <c r="G186">
        <f t="shared" si="27"/>
        <v>-157.6</v>
      </c>
      <c r="I186" s="28"/>
    </row>
    <row r="187" spans="3:9" x14ac:dyDescent="0.25">
      <c r="C187">
        <f t="shared" si="28"/>
        <v>135</v>
      </c>
      <c r="E187">
        <f t="shared" si="26"/>
        <v>2.0625</v>
      </c>
      <c r="G187">
        <f t="shared" si="27"/>
        <v>-159.66249999999999</v>
      </c>
      <c r="I187" s="28"/>
    </row>
    <row r="188" spans="3:9" x14ac:dyDescent="0.25">
      <c r="C188">
        <f t="shared" si="28"/>
        <v>136</v>
      </c>
      <c r="E188">
        <f t="shared" si="26"/>
        <v>2.0700000000000003</v>
      </c>
      <c r="G188">
        <f t="shared" si="27"/>
        <v>-161.73249999999999</v>
      </c>
      <c r="I188" s="28"/>
    </row>
    <row r="189" spans="3:9" x14ac:dyDescent="0.25">
      <c r="C189">
        <f t="shared" si="28"/>
        <v>137</v>
      </c>
      <c r="E189">
        <f t="shared" si="26"/>
        <v>2.0774999999999997</v>
      </c>
      <c r="G189">
        <f t="shared" si="27"/>
        <v>-163.80999999999997</v>
      </c>
      <c r="I189" s="28"/>
    </row>
    <row r="190" spans="3:9" x14ac:dyDescent="0.25">
      <c r="C190">
        <f t="shared" si="28"/>
        <v>138</v>
      </c>
      <c r="E190">
        <f t="shared" si="26"/>
        <v>2.085</v>
      </c>
      <c r="G190">
        <f t="shared" si="27"/>
        <v>-165.89499999999998</v>
      </c>
      <c r="I190" s="28"/>
    </row>
    <row r="191" spans="3:9" x14ac:dyDescent="0.25">
      <c r="C191">
        <f t="shared" si="28"/>
        <v>139</v>
      </c>
      <c r="E191">
        <f t="shared" si="26"/>
        <v>2.0925000000000002</v>
      </c>
      <c r="G191">
        <f t="shared" si="27"/>
        <v>-167.98749999999998</v>
      </c>
      <c r="I191" s="28"/>
    </row>
    <row r="192" spans="3:9" x14ac:dyDescent="0.25">
      <c r="C192">
        <f t="shared" si="28"/>
        <v>140</v>
      </c>
      <c r="E192">
        <f t="shared" si="26"/>
        <v>2.1</v>
      </c>
      <c r="G192">
        <f t="shared" si="27"/>
        <v>-170.08749999999998</v>
      </c>
      <c r="I192" s="28"/>
    </row>
    <row r="193" spans="3:9" x14ac:dyDescent="0.25">
      <c r="C193">
        <f t="shared" si="28"/>
        <v>141</v>
      </c>
      <c r="E193">
        <f t="shared" si="26"/>
        <v>2.1074999999999999</v>
      </c>
      <c r="G193">
        <f t="shared" si="27"/>
        <v>-172.19499999999996</v>
      </c>
      <c r="I193" s="28"/>
    </row>
    <row r="194" spans="3:9" x14ac:dyDescent="0.25">
      <c r="C194">
        <f t="shared" si="28"/>
        <v>142</v>
      </c>
      <c r="E194">
        <f t="shared" si="26"/>
        <v>2.1150000000000002</v>
      </c>
      <c r="G194">
        <f t="shared" si="27"/>
        <v>-174.30999999999997</v>
      </c>
      <c r="I194" s="28"/>
    </row>
    <row r="195" spans="3:9" x14ac:dyDescent="0.25">
      <c r="C195">
        <f t="shared" si="28"/>
        <v>143</v>
      </c>
      <c r="E195">
        <f t="shared" si="26"/>
        <v>2.1225000000000001</v>
      </c>
      <c r="G195">
        <f t="shared" si="27"/>
        <v>-176.43249999999998</v>
      </c>
      <c r="I195" s="28"/>
    </row>
    <row r="196" spans="3:9" x14ac:dyDescent="0.25">
      <c r="C196">
        <f>C166+1</f>
        <v>144</v>
      </c>
      <c r="E196">
        <f t="shared" si="26"/>
        <v>2.13</v>
      </c>
      <c r="G196">
        <f t="shared" si="27"/>
        <v>-178.56249999999997</v>
      </c>
      <c r="I196" s="28"/>
    </row>
    <row r="197" spans="3:9" x14ac:dyDescent="0.25">
      <c r="C197">
        <f>C196+1</f>
        <v>145</v>
      </c>
      <c r="E197">
        <f t="shared" si="26"/>
        <v>2.1375000000000002</v>
      </c>
      <c r="G197">
        <f t="shared" si="27"/>
        <v>-180.69999999999996</v>
      </c>
      <c r="I197" s="28"/>
    </row>
    <row r="198" spans="3:9" x14ac:dyDescent="0.25">
      <c r="C198">
        <f t="shared" ref="C198:C213" si="29">C197+1</f>
        <v>146</v>
      </c>
      <c r="E198">
        <f t="shared" si="26"/>
        <v>2.145</v>
      </c>
      <c r="G198">
        <f t="shared" si="27"/>
        <v>-182.84499999999997</v>
      </c>
      <c r="I198" s="28"/>
    </row>
    <row r="199" spans="3:9" x14ac:dyDescent="0.25">
      <c r="C199">
        <f t="shared" si="29"/>
        <v>147</v>
      </c>
      <c r="E199">
        <f t="shared" si="26"/>
        <v>2.1524999999999999</v>
      </c>
      <c r="G199">
        <f t="shared" si="27"/>
        <v>-184.99749999999997</v>
      </c>
      <c r="I199" s="28"/>
    </row>
    <row r="200" spans="3:9" x14ac:dyDescent="0.25">
      <c r="C200">
        <f t="shared" si="29"/>
        <v>148</v>
      </c>
      <c r="E200">
        <f t="shared" si="26"/>
        <v>2.16</v>
      </c>
      <c r="G200">
        <f t="shared" si="27"/>
        <v>-187.15749999999997</v>
      </c>
      <c r="I200" s="28"/>
    </row>
    <row r="201" spans="3:9" x14ac:dyDescent="0.25">
      <c r="C201">
        <f t="shared" si="29"/>
        <v>149</v>
      </c>
      <c r="E201">
        <f t="shared" si="26"/>
        <v>2.1675</v>
      </c>
      <c r="G201">
        <f t="shared" si="27"/>
        <v>-189.32499999999996</v>
      </c>
      <c r="I201" s="28"/>
    </row>
    <row r="202" spans="3:9" x14ac:dyDescent="0.25">
      <c r="C202">
        <f t="shared" si="29"/>
        <v>150</v>
      </c>
      <c r="E202">
        <f t="shared" si="26"/>
        <v>2.1749999999999998</v>
      </c>
      <c r="G202">
        <f t="shared" si="27"/>
        <v>-191.49999999999997</v>
      </c>
      <c r="I202" s="28"/>
    </row>
    <row r="203" spans="3:9" x14ac:dyDescent="0.25">
      <c r="C203">
        <f t="shared" si="29"/>
        <v>151</v>
      </c>
      <c r="E203">
        <f t="shared" si="26"/>
        <v>2.1825000000000001</v>
      </c>
      <c r="G203">
        <f t="shared" si="27"/>
        <v>-193.68249999999998</v>
      </c>
      <c r="I203" s="28"/>
    </row>
    <row r="204" spans="3:9" x14ac:dyDescent="0.25">
      <c r="C204">
        <f t="shared" si="29"/>
        <v>152</v>
      </c>
      <c r="E204">
        <f t="shared" si="26"/>
        <v>2.19</v>
      </c>
      <c r="G204">
        <f t="shared" si="27"/>
        <v>-195.87249999999997</v>
      </c>
      <c r="I204" s="28"/>
    </row>
    <row r="205" spans="3:9" x14ac:dyDescent="0.25">
      <c r="C205">
        <f t="shared" si="29"/>
        <v>153</v>
      </c>
      <c r="E205">
        <f t="shared" si="26"/>
        <v>2.1974999999999998</v>
      </c>
      <c r="G205">
        <f t="shared" si="27"/>
        <v>-198.06999999999996</v>
      </c>
      <c r="I205" s="28"/>
    </row>
    <row r="206" spans="3:9" x14ac:dyDescent="0.25">
      <c r="C206">
        <f t="shared" si="29"/>
        <v>154</v>
      </c>
      <c r="E206">
        <f t="shared" si="26"/>
        <v>2.2050000000000001</v>
      </c>
      <c r="G206">
        <f t="shared" si="27"/>
        <v>-200.27499999999998</v>
      </c>
      <c r="I206" s="28"/>
    </row>
    <row r="207" spans="3:9" x14ac:dyDescent="0.25">
      <c r="C207">
        <f t="shared" si="29"/>
        <v>155</v>
      </c>
      <c r="E207">
        <f t="shared" si="26"/>
        <v>2.2124999999999999</v>
      </c>
      <c r="G207">
        <f t="shared" si="27"/>
        <v>-202.48749999999998</v>
      </c>
      <c r="I207" s="28"/>
    </row>
    <row r="208" spans="3:9" x14ac:dyDescent="0.25">
      <c r="C208">
        <f t="shared" si="29"/>
        <v>156</v>
      </c>
      <c r="E208">
        <f t="shared" si="26"/>
        <v>2.2199999999999998</v>
      </c>
      <c r="G208">
        <f t="shared" si="27"/>
        <v>-204.70749999999998</v>
      </c>
      <c r="I208" s="28"/>
    </row>
    <row r="209" spans="3:9" x14ac:dyDescent="0.25">
      <c r="C209">
        <f t="shared" si="29"/>
        <v>157</v>
      </c>
      <c r="E209">
        <f t="shared" si="26"/>
        <v>2.2275</v>
      </c>
      <c r="G209">
        <f t="shared" si="27"/>
        <v>-206.93499999999997</v>
      </c>
      <c r="I209" s="28"/>
    </row>
    <row r="210" spans="3:9" x14ac:dyDescent="0.25">
      <c r="C210">
        <f t="shared" si="29"/>
        <v>158</v>
      </c>
      <c r="E210">
        <f t="shared" si="26"/>
        <v>2.2350000000000003</v>
      </c>
      <c r="G210">
        <f t="shared" si="27"/>
        <v>-209.17</v>
      </c>
      <c r="I210" s="28"/>
    </row>
    <row r="211" spans="3:9" x14ac:dyDescent="0.25">
      <c r="C211">
        <f t="shared" si="29"/>
        <v>159</v>
      </c>
      <c r="E211">
        <f t="shared" si="26"/>
        <v>2.2424999999999997</v>
      </c>
      <c r="G211">
        <f t="shared" si="27"/>
        <v>-211.41249999999999</v>
      </c>
      <c r="I211" s="28"/>
    </row>
    <row r="212" spans="3:9" x14ac:dyDescent="0.25">
      <c r="C212">
        <f t="shared" si="29"/>
        <v>160</v>
      </c>
      <c r="E212">
        <f t="shared" si="26"/>
        <v>2.25</v>
      </c>
      <c r="G212">
        <f t="shared" si="27"/>
        <v>-213.66249999999999</v>
      </c>
      <c r="I212" s="28"/>
    </row>
    <row r="213" spans="3:9" x14ac:dyDescent="0.25">
      <c r="C213">
        <f t="shared" si="29"/>
        <v>161</v>
      </c>
      <c r="E213">
        <f t="shared" si="26"/>
        <v>2.2575000000000003</v>
      </c>
      <c r="G213">
        <f t="shared" si="27"/>
        <v>-215.92</v>
      </c>
      <c r="I213" s="28"/>
    </row>
    <row r="214" spans="3:9" x14ac:dyDescent="0.25">
      <c r="C214">
        <f>C184+1</f>
        <v>133</v>
      </c>
      <c r="E214">
        <f t="shared" si="26"/>
        <v>2.0474999999999999</v>
      </c>
      <c r="G214">
        <f t="shared" si="27"/>
        <v>-217.9675</v>
      </c>
      <c r="I214" s="28"/>
    </row>
    <row r="215" spans="3:9" x14ac:dyDescent="0.25">
      <c r="C215">
        <f>C214+1</f>
        <v>134</v>
      </c>
      <c r="E215">
        <f t="shared" si="26"/>
        <v>2.0549999999999997</v>
      </c>
      <c r="G215">
        <f t="shared" si="27"/>
        <v>-220.02250000000001</v>
      </c>
      <c r="I215" s="28"/>
    </row>
    <row r="216" spans="3:9" x14ac:dyDescent="0.25">
      <c r="C216">
        <f t="shared" ref="C216:C226" si="30">C215+1</f>
        <v>135</v>
      </c>
      <c r="E216">
        <f t="shared" si="26"/>
        <v>2.0625</v>
      </c>
      <c r="G216">
        <f t="shared" si="27"/>
        <v>-222.08500000000001</v>
      </c>
      <c r="I216" s="28"/>
    </row>
    <row r="217" spans="3:9" x14ac:dyDescent="0.25">
      <c r="C217">
        <f t="shared" si="30"/>
        <v>136</v>
      </c>
      <c r="E217">
        <f t="shared" ref="E217:E270" si="31">IF(C217&gt;$C$18,$C$16+(C217*$C$17),(($C$16)*$C$19)+(C217*$C$17))</f>
        <v>2.0700000000000003</v>
      </c>
      <c r="G217">
        <f t="shared" si="27"/>
        <v>-224.155</v>
      </c>
      <c r="I217" s="28"/>
    </row>
    <row r="218" spans="3:9" x14ac:dyDescent="0.25">
      <c r="C218">
        <f t="shared" si="30"/>
        <v>137</v>
      </c>
      <c r="E218">
        <f t="shared" si="31"/>
        <v>2.0774999999999997</v>
      </c>
      <c r="G218">
        <f t="shared" ref="G218:G270" si="32">G217-E218</f>
        <v>-226.23249999999999</v>
      </c>
      <c r="I218" s="28"/>
    </row>
    <row r="219" spans="3:9" x14ac:dyDescent="0.25">
      <c r="C219">
        <f t="shared" si="30"/>
        <v>138</v>
      </c>
      <c r="E219">
        <f t="shared" si="31"/>
        <v>2.085</v>
      </c>
      <c r="G219">
        <f t="shared" si="32"/>
        <v>-228.3175</v>
      </c>
      <c r="I219" s="28"/>
    </row>
    <row r="220" spans="3:9" x14ac:dyDescent="0.25">
      <c r="C220">
        <f t="shared" si="30"/>
        <v>139</v>
      </c>
      <c r="E220">
        <f t="shared" si="31"/>
        <v>2.0925000000000002</v>
      </c>
      <c r="G220">
        <f t="shared" si="32"/>
        <v>-230.41</v>
      </c>
      <c r="I220" s="28"/>
    </row>
    <row r="221" spans="3:9" x14ac:dyDescent="0.25">
      <c r="C221">
        <f t="shared" si="30"/>
        <v>140</v>
      </c>
      <c r="E221">
        <f t="shared" si="31"/>
        <v>2.1</v>
      </c>
      <c r="G221">
        <f t="shared" si="32"/>
        <v>-232.51</v>
      </c>
      <c r="I221" s="28"/>
    </row>
    <row r="222" spans="3:9" x14ac:dyDescent="0.25">
      <c r="C222">
        <f t="shared" si="30"/>
        <v>141</v>
      </c>
      <c r="E222">
        <f t="shared" si="31"/>
        <v>2.1074999999999999</v>
      </c>
      <c r="G222">
        <f t="shared" si="32"/>
        <v>-234.61749999999998</v>
      </c>
      <c r="I222" s="28"/>
    </row>
    <row r="223" spans="3:9" x14ac:dyDescent="0.25">
      <c r="C223">
        <f t="shared" si="30"/>
        <v>142</v>
      </c>
      <c r="E223">
        <f t="shared" si="31"/>
        <v>2.1150000000000002</v>
      </c>
      <c r="G223">
        <f t="shared" si="32"/>
        <v>-236.73249999999999</v>
      </c>
      <c r="I223" s="28"/>
    </row>
    <row r="224" spans="3:9" x14ac:dyDescent="0.25">
      <c r="C224">
        <f t="shared" si="30"/>
        <v>143</v>
      </c>
      <c r="E224">
        <f t="shared" si="31"/>
        <v>2.1225000000000001</v>
      </c>
      <c r="G224">
        <f t="shared" si="32"/>
        <v>-238.85499999999999</v>
      </c>
      <c r="I224" s="28"/>
    </row>
    <row r="225" spans="3:9" x14ac:dyDescent="0.25">
      <c r="C225">
        <f t="shared" si="30"/>
        <v>144</v>
      </c>
      <c r="E225">
        <f t="shared" si="31"/>
        <v>2.13</v>
      </c>
      <c r="G225">
        <f t="shared" si="32"/>
        <v>-240.98499999999999</v>
      </c>
      <c r="I225" s="28"/>
    </row>
    <row r="226" spans="3:9" x14ac:dyDescent="0.25">
      <c r="C226">
        <f t="shared" si="30"/>
        <v>145</v>
      </c>
      <c r="E226">
        <f t="shared" si="31"/>
        <v>2.1375000000000002</v>
      </c>
      <c r="G226">
        <f t="shared" si="32"/>
        <v>-243.12249999999997</v>
      </c>
      <c r="I226" s="28"/>
    </row>
    <row r="227" spans="3:9" x14ac:dyDescent="0.25">
      <c r="C227">
        <f>C197+1</f>
        <v>146</v>
      </c>
      <c r="E227">
        <f t="shared" si="31"/>
        <v>2.145</v>
      </c>
      <c r="G227">
        <f t="shared" si="32"/>
        <v>-245.26749999999998</v>
      </c>
      <c r="I227" s="28"/>
    </row>
    <row r="228" spans="3:9" x14ac:dyDescent="0.25">
      <c r="C228">
        <f>C227+1</f>
        <v>147</v>
      </c>
      <c r="E228">
        <f t="shared" si="31"/>
        <v>2.1524999999999999</v>
      </c>
      <c r="G228">
        <f t="shared" si="32"/>
        <v>-247.42</v>
      </c>
      <c r="I228" s="28"/>
    </row>
    <row r="229" spans="3:9" x14ac:dyDescent="0.25">
      <c r="C229">
        <f t="shared" ref="C229:C238" si="33">C228+1</f>
        <v>148</v>
      </c>
      <c r="E229">
        <f t="shared" si="31"/>
        <v>2.16</v>
      </c>
      <c r="G229">
        <f t="shared" si="32"/>
        <v>-249.57999999999998</v>
      </c>
      <c r="I229" s="28"/>
    </row>
    <row r="230" spans="3:9" x14ac:dyDescent="0.25">
      <c r="C230">
        <f t="shared" si="33"/>
        <v>149</v>
      </c>
      <c r="E230">
        <f t="shared" si="31"/>
        <v>2.1675</v>
      </c>
      <c r="G230">
        <f t="shared" si="32"/>
        <v>-251.74749999999997</v>
      </c>
      <c r="I230" s="28"/>
    </row>
    <row r="231" spans="3:9" x14ac:dyDescent="0.25">
      <c r="C231">
        <f t="shared" si="33"/>
        <v>150</v>
      </c>
      <c r="E231">
        <f t="shared" si="31"/>
        <v>2.1749999999999998</v>
      </c>
      <c r="G231">
        <f t="shared" si="32"/>
        <v>-253.92249999999999</v>
      </c>
      <c r="I231" s="28"/>
    </row>
    <row r="232" spans="3:9" x14ac:dyDescent="0.25">
      <c r="C232">
        <f t="shared" si="33"/>
        <v>151</v>
      </c>
      <c r="E232">
        <f t="shared" si="31"/>
        <v>2.1825000000000001</v>
      </c>
      <c r="G232">
        <f t="shared" si="32"/>
        <v>-256.10499999999996</v>
      </c>
      <c r="I232" s="28"/>
    </row>
    <row r="233" spans="3:9" x14ac:dyDescent="0.25">
      <c r="C233">
        <f t="shared" si="33"/>
        <v>152</v>
      </c>
      <c r="E233">
        <f t="shared" si="31"/>
        <v>2.19</v>
      </c>
      <c r="G233">
        <f t="shared" si="32"/>
        <v>-258.29499999999996</v>
      </c>
      <c r="I233" s="28"/>
    </row>
    <row r="234" spans="3:9" x14ac:dyDescent="0.25">
      <c r="C234">
        <f t="shared" si="33"/>
        <v>153</v>
      </c>
      <c r="E234">
        <f t="shared" si="31"/>
        <v>2.1974999999999998</v>
      </c>
      <c r="G234">
        <f t="shared" si="32"/>
        <v>-260.49249999999995</v>
      </c>
      <c r="I234" s="28"/>
    </row>
    <row r="235" spans="3:9" x14ac:dyDescent="0.25">
      <c r="C235">
        <f t="shared" si="33"/>
        <v>154</v>
      </c>
      <c r="E235">
        <f t="shared" si="31"/>
        <v>2.2050000000000001</v>
      </c>
      <c r="G235">
        <f t="shared" si="32"/>
        <v>-262.69749999999993</v>
      </c>
      <c r="I235" s="28"/>
    </row>
    <row r="236" spans="3:9" x14ac:dyDescent="0.25">
      <c r="C236">
        <f t="shared" si="33"/>
        <v>155</v>
      </c>
      <c r="E236">
        <f t="shared" si="31"/>
        <v>2.2124999999999999</v>
      </c>
      <c r="G236">
        <f t="shared" si="32"/>
        <v>-264.90999999999991</v>
      </c>
      <c r="I236" s="28"/>
    </row>
    <row r="237" spans="3:9" x14ac:dyDescent="0.25">
      <c r="C237">
        <f t="shared" si="33"/>
        <v>156</v>
      </c>
      <c r="E237">
        <f t="shared" si="31"/>
        <v>2.2199999999999998</v>
      </c>
      <c r="G237">
        <f t="shared" si="32"/>
        <v>-267.12999999999994</v>
      </c>
      <c r="I237" s="28"/>
    </row>
    <row r="238" spans="3:9" x14ac:dyDescent="0.25">
      <c r="C238">
        <f t="shared" si="33"/>
        <v>157</v>
      </c>
      <c r="E238">
        <f t="shared" si="31"/>
        <v>2.2275</v>
      </c>
      <c r="G238">
        <f t="shared" si="32"/>
        <v>-269.35749999999996</v>
      </c>
      <c r="I238" s="28"/>
    </row>
    <row r="239" spans="3:9" x14ac:dyDescent="0.25">
      <c r="C239">
        <f>C209+1</f>
        <v>158</v>
      </c>
      <c r="E239">
        <f t="shared" si="31"/>
        <v>2.2350000000000003</v>
      </c>
      <c r="G239">
        <f t="shared" si="32"/>
        <v>-271.59249999999997</v>
      </c>
      <c r="I239" s="28"/>
    </row>
    <row r="240" spans="3:9" x14ac:dyDescent="0.25">
      <c r="C240">
        <f>C239+1</f>
        <v>159</v>
      </c>
      <c r="E240">
        <f t="shared" si="31"/>
        <v>2.2424999999999997</v>
      </c>
      <c r="G240">
        <f t="shared" si="32"/>
        <v>-273.83499999999998</v>
      </c>
      <c r="I240" s="28"/>
    </row>
    <row r="241" spans="3:9" x14ac:dyDescent="0.25">
      <c r="C241">
        <f t="shared" ref="C241:C270" si="34">C240+1</f>
        <v>160</v>
      </c>
      <c r="E241">
        <f t="shared" si="31"/>
        <v>2.25</v>
      </c>
      <c r="G241">
        <f t="shared" si="32"/>
        <v>-276.08499999999998</v>
      </c>
      <c r="I241" s="28"/>
    </row>
    <row r="242" spans="3:9" x14ac:dyDescent="0.25">
      <c r="C242">
        <f t="shared" si="34"/>
        <v>161</v>
      </c>
      <c r="E242">
        <f t="shared" si="31"/>
        <v>2.2575000000000003</v>
      </c>
      <c r="G242">
        <f t="shared" si="32"/>
        <v>-278.34249999999997</v>
      </c>
      <c r="I242" s="28"/>
    </row>
    <row r="243" spans="3:9" x14ac:dyDescent="0.25">
      <c r="C243">
        <f t="shared" si="34"/>
        <v>162</v>
      </c>
      <c r="E243">
        <f t="shared" si="31"/>
        <v>2.2649999999999997</v>
      </c>
      <c r="G243">
        <f t="shared" si="32"/>
        <v>-280.60749999999996</v>
      </c>
      <c r="I243" s="28"/>
    </row>
    <row r="244" spans="3:9" x14ac:dyDescent="0.25">
      <c r="C244">
        <f t="shared" si="34"/>
        <v>163</v>
      </c>
      <c r="E244">
        <f t="shared" si="31"/>
        <v>2.2725</v>
      </c>
      <c r="G244">
        <f t="shared" si="32"/>
        <v>-282.87999999999994</v>
      </c>
      <c r="I244" s="28"/>
    </row>
    <row r="245" spans="3:9" x14ac:dyDescent="0.25">
      <c r="C245">
        <f t="shared" si="34"/>
        <v>164</v>
      </c>
      <c r="E245">
        <f t="shared" si="31"/>
        <v>2.2800000000000002</v>
      </c>
      <c r="G245">
        <f t="shared" si="32"/>
        <v>-285.15999999999991</v>
      </c>
      <c r="I245" s="28"/>
    </row>
    <row r="246" spans="3:9" x14ac:dyDescent="0.25">
      <c r="C246">
        <f t="shared" si="34"/>
        <v>165</v>
      </c>
      <c r="E246">
        <f t="shared" si="31"/>
        <v>2.2875000000000001</v>
      </c>
      <c r="G246">
        <f t="shared" si="32"/>
        <v>-287.44749999999993</v>
      </c>
      <c r="I246" s="28"/>
    </row>
    <row r="247" spans="3:9" x14ac:dyDescent="0.25">
      <c r="C247">
        <f t="shared" si="34"/>
        <v>166</v>
      </c>
      <c r="E247">
        <f t="shared" si="31"/>
        <v>2.2949999999999999</v>
      </c>
      <c r="G247">
        <f t="shared" si="32"/>
        <v>-289.74249999999995</v>
      </c>
      <c r="I247" s="28"/>
    </row>
    <row r="248" spans="3:9" x14ac:dyDescent="0.25">
      <c r="C248">
        <f t="shared" si="34"/>
        <v>167</v>
      </c>
      <c r="E248">
        <f t="shared" si="31"/>
        <v>2.3025000000000002</v>
      </c>
      <c r="G248">
        <f t="shared" si="32"/>
        <v>-292.04499999999996</v>
      </c>
      <c r="I248" s="28"/>
    </row>
    <row r="249" spans="3:9" x14ac:dyDescent="0.25">
      <c r="C249">
        <f t="shared" si="34"/>
        <v>168</v>
      </c>
      <c r="E249">
        <f t="shared" si="31"/>
        <v>2.31</v>
      </c>
      <c r="G249">
        <f t="shared" si="32"/>
        <v>-294.35499999999996</v>
      </c>
      <c r="I249" s="28"/>
    </row>
    <row r="250" spans="3:9" x14ac:dyDescent="0.25">
      <c r="C250">
        <f t="shared" si="34"/>
        <v>169</v>
      </c>
      <c r="E250">
        <f t="shared" si="31"/>
        <v>2.3174999999999999</v>
      </c>
      <c r="G250">
        <f t="shared" si="32"/>
        <v>-296.67249999999996</v>
      </c>
      <c r="I250" s="28"/>
    </row>
    <row r="251" spans="3:9" x14ac:dyDescent="0.25">
      <c r="C251">
        <f t="shared" si="34"/>
        <v>170</v>
      </c>
      <c r="E251">
        <f t="shared" si="31"/>
        <v>2.3250000000000002</v>
      </c>
      <c r="G251">
        <f t="shared" si="32"/>
        <v>-298.99749999999995</v>
      </c>
      <c r="I251" s="28"/>
    </row>
    <row r="252" spans="3:9" x14ac:dyDescent="0.25">
      <c r="C252">
        <f t="shared" si="34"/>
        <v>171</v>
      </c>
      <c r="E252">
        <f t="shared" si="31"/>
        <v>2.3325</v>
      </c>
      <c r="G252">
        <f t="shared" si="32"/>
        <v>-301.32999999999993</v>
      </c>
      <c r="I252" s="28"/>
    </row>
    <row r="253" spans="3:9" x14ac:dyDescent="0.25">
      <c r="C253">
        <f t="shared" si="34"/>
        <v>172</v>
      </c>
      <c r="E253">
        <f t="shared" si="31"/>
        <v>2.34</v>
      </c>
      <c r="G253">
        <f t="shared" si="32"/>
        <v>-303.6699999999999</v>
      </c>
      <c r="I253" s="28"/>
    </row>
    <row r="254" spans="3:9" x14ac:dyDescent="0.25">
      <c r="C254">
        <f t="shared" si="34"/>
        <v>173</v>
      </c>
      <c r="E254">
        <f t="shared" si="31"/>
        <v>2.3475000000000001</v>
      </c>
      <c r="G254">
        <f t="shared" si="32"/>
        <v>-306.01749999999993</v>
      </c>
      <c r="I254" s="28"/>
    </row>
    <row r="255" spans="3:9" x14ac:dyDescent="0.25">
      <c r="C255">
        <f t="shared" si="34"/>
        <v>174</v>
      </c>
      <c r="E255">
        <f t="shared" si="31"/>
        <v>2.355</v>
      </c>
      <c r="G255">
        <f t="shared" si="32"/>
        <v>-308.37249999999995</v>
      </c>
      <c r="I255" s="28"/>
    </row>
    <row r="256" spans="3:9" x14ac:dyDescent="0.25">
      <c r="C256">
        <f t="shared" si="34"/>
        <v>175</v>
      </c>
      <c r="E256">
        <f t="shared" si="31"/>
        <v>2.3624999999999998</v>
      </c>
      <c r="G256">
        <f t="shared" si="32"/>
        <v>-310.73499999999996</v>
      </c>
      <c r="I256" s="28"/>
    </row>
    <row r="257" spans="3:9" x14ac:dyDescent="0.25">
      <c r="C257">
        <f t="shared" si="34"/>
        <v>176</v>
      </c>
      <c r="E257">
        <f t="shared" si="31"/>
        <v>2.37</v>
      </c>
      <c r="G257">
        <f t="shared" si="32"/>
        <v>-313.10499999999996</v>
      </c>
      <c r="I257" s="28"/>
    </row>
    <row r="258" spans="3:9" x14ac:dyDescent="0.25">
      <c r="C258">
        <f t="shared" si="34"/>
        <v>177</v>
      </c>
      <c r="E258">
        <f t="shared" si="31"/>
        <v>2.3774999999999999</v>
      </c>
      <c r="G258">
        <f t="shared" si="32"/>
        <v>-315.48249999999996</v>
      </c>
      <c r="I258" s="28"/>
    </row>
    <row r="259" spans="3:9" x14ac:dyDescent="0.25">
      <c r="C259">
        <f t="shared" si="34"/>
        <v>178</v>
      </c>
      <c r="E259">
        <f t="shared" si="31"/>
        <v>2.3849999999999998</v>
      </c>
      <c r="G259">
        <f t="shared" si="32"/>
        <v>-317.86749999999995</v>
      </c>
      <c r="I259" s="28"/>
    </row>
    <row r="260" spans="3:9" x14ac:dyDescent="0.25">
      <c r="C260">
        <f t="shared" si="34"/>
        <v>179</v>
      </c>
      <c r="E260">
        <f t="shared" si="31"/>
        <v>2.3925000000000001</v>
      </c>
      <c r="G260">
        <f t="shared" si="32"/>
        <v>-320.25999999999993</v>
      </c>
      <c r="I260" s="28"/>
    </row>
    <row r="261" spans="3:9" x14ac:dyDescent="0.25">
      <c r="C261">
        <f t="shared" si="34"/>
        <v>180</v>
      </c>
      <c r="E261">
        <f t="shared" si="31"/>
        <v>2.4</v>
      </c>
      <c r="G261">
        <f t="shared" si="32"/>
        <v>-322.65999999999991</v>
      </c>
      <c r="I261" s="28"/>
    </row>
    <row r="262" spans="3:9" x14ac:dyDescent="0.25">
      <c r="C262">
        <f t="shared" si="34"/>
        <v>181</v>
      </c>
      <c r="E262">
        <f t="shared" si="31"/>
        <v>2.4074999999999998</v>
      </c>
      <c r="G262">
        <f t="shared" si="32"/>
        <v>-325.06749999999994</v>
      </c>
      <c r="I262" s="28"/>
    </row>
    <row r="263" spans="3:9" x14ac:dyDescent="0.25">
      <c r="C263">
        <f t="shared" si="34"/>
        <v>182</v>
      </c>
      <c r="E263">
        <f t="shared" si="31"/>
        <v>2.415</v>
      </c>
      <c r="G263">
        <f t="shared" si="32"/>
        <v>-327.48249999999996</v>
      </c>
      <c r="I263" s="28"/>
    </row>
    <row r="264" spans="3:9" x14ac:dyDescent="0.25">
      <c r="C264">
        <f t="shared" si="34"/>
        <v>183</v>
      </c>
      <c r="E264">
        <f t="shared" si="31"/>
        <v>2.4225000000000003</v>
      </c>
      <c r="G264">
        <f t="shared" si="32"/>
        <v>-329.90499999999997</v>
      </c>
      <c r="I264" s="28"/>
    </row>
    <row r="265" spans="3:9" x14ac:dyDescent="0.25">
      <c r="C265">
        <f t="shared" si="34"/>
        <v>184</v>
      </c>
      <c r="E265">
        <f t="shared" si="31"/>
        <v>2.4299999999999997</v>
      </c>
      <c r="G265">
        <f t="shared" si="32"/>
        <v>-332.33499999999998</v>
      </c>
      <c r="I265" s="28"/>
    </row>
    <row r="266" spans="3:9" x14ac:dyDescent="0.25">
      <c r="C266">
        <f t="shared" si="34"/>
        <v>185</v>
      </c>
      <c r="E266">
        <f t="shared" si="31"/>
        <v>2.4375</v>
      </c>
      <c r="G266">
        <f t="shared" si="32"/>
        <v>-334.77249999999998</v>
      </c>
      <c r="I266" s="28"/>
    </row>
    <row r="267" spans="3:9" x14ac:dyDescent="0.25">
      <c r="C267">
        <f t="shared" si="34"/>
        <v>186</v>
      </c>
      <c r="E267">
        <f t="shared" si="31"/>
        <v>2.4450000000000003</v>
      </c>
      <c r="G267">
        <f t="shared" si="32"/>
        <v>-337.21749999999997</v>
      </c>
      <c r="I267" s="28"/>
    </row>
    <row r="268" spans="3:9" x14ac:dyDescent="0.25">
      <c r="C268">
        <f t="shared" si="34"/>
        <v>187</v>
      </c>
      <c r="E268">
        <f t="shared" si="31"/>
        <v>2.4524999999999997</v>
      </c>
      <c r="G268">
        <f t="shared" si="32"/>
        <v>-339.66999999999996</v>
      </c>
      <c r="I268" s="28"/>
    </row>
    <row r="269" spans="3:9" x14ac:dyDescent="0.25">
      <c r="C269">
        <f t="shared" si="34"/>
        <v>188</v>
      </c>
      <c r="E269">
        <f t="shared" si="31"/>
        <v>2.46</v>
      </c>
      <c r="G269">
        <f t="shared" si="32"/>
        <v>-342.12999999999994</v>
      </c>
      <c r="I269" s="28"/>
    </row>
    <row r="270" spans="3:9" x14ac:dyDescent="0.25">
      <c r="C270">
        <f t="shared" si="34"/>
        <v>189</v>
      </c>
      <c r="E270">
        <f t="shared" si="31"/>
        <v>2.4675000000000002</v>
      </c>
      <c r="G270">
        <f t="shared" si="32"/>
        <v>-344.59749999999991</v>
      </c>
      <c r="I270" s="28"/>
    </row>
  </sheetData>
  <conditionalFormatting sqref="L78:L88">
    <cfRule type="expression" dxfId="103" priority="4">
      <formula>L78="vvv"</formula>
    </cfRule>
    <cfRule type="expression" dxfId="102" priority="5">
      <formula>L78="vv"</formula>
    </cfRule>
    <cfRule type="expression" dxfId="101" priority="6">
      <formula>L78="v"</formula>
    </cfRule>
  </conditionalFormatting>
  <conditionalFormatting sqref="N78:O88">
    <cfRule type="expression" dxfId="100" priority="3">
      <formula>N78="v"</formula>
    </cfRule>
  </conditionalFormatting>
  <conditionalFormatting sqref="N78:O88">
    <cfRule type="expression" dxfId="99" priority="1">
      <formula>N78="vvv"</formula>
    </cfRule>
  </conditionalFormatting>
  <conditionalFormatting sqref="N78:O88">
    <cfRule type="expression" dxfId="98" priority="2">
      <formula>N78="vv"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B3:M116"/>
  <sheetViews>
    <sheetView topLeftCell="A4" zoomScaleNormal="100" workbookViewId="0">
      <selection activeCell="Y55" sqref="Y55"/>
    </sheetView>
  </sheetViews>
  <sheetFormatPr defaultRowHeight="15" x14ac:dyDescent="0.25"/>
  <cols>
    <col min="3" max="4" width="29.85546875" customWidth="1"/>
    <col min="5" max="5" width="18.42578125" customWidth="1"/>
    <col min="6" max="6" width="17.7109375" customWidth="1"/>
    <col min="7" max="7" width="16.28515625" customWidth="1"/>
    <col min="8" max="8" width="12.85546875" customWidth="1"/>
    <col min="9" max="9" width="18.140625" customWidth="1"/>
    <col min="11" max="11" width="8.85546875" customWidth="1"/>
    <col min="12" max="12" width="8.7109375" customWidth="1"/>
    <col min="13" max="13" width="8.85546875" customWidth="1"/>
  </cols>
  <sheetData>
    <row r="3" spans="2:13" x14ac:dyDescent="0.25">
      <c r="K3" s="1"/>
      <c r="L3" s="1"/>
      <c r="M3" s="1"/>
    </row>
    <row r="4" spans="2:13" x14ac:dyDescent="0.25">
      <c r="K4" s="1"/>
      <c r="L4" s="1"/>
      <c r="M4" s="71"/>
    </row>
    <row r="6" spans="2:13" x14ac:dyDescent="0.25">
      <c r="C6" s="1"/>
      <c r="D6" s="1"/>
    </row>
    <row r="7" spans="2:13" x14ac:dyDescent="0.25">
      <c r="C7" t="s">
        <v>261</v>
      </c>
      <c r="D7" t="s">
        <v>258</v>
      </c>
      <c r="E7" t="s">
        <v>259</v>
      </c>
      <c r="F7" t="s">
        <v>556</v>
      </c>
      <c r="G7" t="s">
        <v>558</v>
      </c>
      <c r="H7" t="s">
        <v>557</v>
      </c>
      <c r="I7" t="s">
        <v>559</v>
      </c>
    </row>
    <row r="8" spans="2:13" x14ac:dyDescent="0.25">
      <c r="B8" t="s">
        <v>560</v>
      </c>
      <c r="C8" t="s">
        <v>262</v>
      </c>
      <c r="D8" t="s">
        <v>555</v>
      </c>
      <c r="E8">
        <f ca="1">DATA_SCENES_UNITY_1!C6+DATA_SCENES_UNITY_1!N6+DATA_SCENES_UNITY_1!Y6+DATA_SCENES_UNITY_1!AJ6+DATA_SCENES_UNITY_1!AU6+DATA_SCENES_UNITY_1!BF6+DATA_SCENES_UNITY_1!BQ6</f>
        <v>159639</v>
      </c>
      <c r="F8">
        <f>DATA_SCENES_UNITY_1!C7+DATA_SCENES_UNITY_1!N7+DATA_SCENES_UNITY_1!Y7+DATA_SCENES_UNITY_1!AJ7+DATA_SCENES_UNITY_1!AU7+DATA_SCENES_UNITY_1!BF7+DATA_SCENES_UNITY_1!BQ7</f>
        <v>2204</v>
      </c>
      <c r="G8">
        <f ca="1">DATA_SCENES_UNITY_1!C8+DATA_SCENES_UNITY_1!N8+DATA_SCENES_UNITY_1!Y8+DATA_SCENES_UNITY_1!AJ8+DATA_SCENES_UNITY_1!AU8+DATA_SCENES_UNITY_1!BF8+DATA_SCENES_UNITY_1!BQ8</f>
        <v>904</v>
      </c>
      <c r="H8">
        <f ca="1">DATA_SCENES_UNITY_1!C9+DATA_SCENES_UNITY_1!N9+DATA_SCENES_UNITY_1!Y9+DATA_SCENES_UNITY_1!AJ9+DATA_SCENES_UNITY_1!AU9+DATA_SCENES_UNITY_1!BF9+DATA_SCENES_UNITY_1!BQ9</f>
        <v>1300</v>
      </c>
      <c r="I8" s="75">
        <f>DATA_SCENES_UNITY_1!C11+DATA_SCENES_UNITY_1!N11+DATA_SCENES_UNITY_1!Y11+DATA_SCENES_UNITY_1!AJ11+DATA_SCENES_UNITY_1!AU11+DATA_SCENES_UNITY_1!BF11+DATA_SCENES_UNITY_1!BQ11</f>
        <v>3701</v>
      </c>
    </row>
    <row r="9" spans="2:13" x14ac:dyDescent="0.25">
      <c r="B9" t="s">
        <v>561</v>
      </c>
      <c r="C9" t="s">
        <v>514</v>
      </c>
      <c r="D9" t="s">
        <v>555</v>
      </c>
      <c r="E9">
        <f ca="1">DATA_SCENES_UNITY_1!CB6+DATA_SCENES_UNITY_1!CM6+DATA_SCENES_UNITY_1!CX6+DATA_SCENES_UNITY_1!DI6</f>
        <v>119840</v>
      </c>
      <c r="F9">
        <f>DATA_SCENES_UNITY_1!CB7+DATA_SCENES_UNITY_1!CM7+DATA_SCENES_UNITY_1!CX7+DATA_SCENES_UNITY_1!DI7</f>
        <v>1838</v>
      </c>
      <c r="G9">
        <f ca="1">DATA_SCENES_UNITY_1!CB8+DATA_SCENES_UNITY_1!CM8+DATA_SCENES_UNITY_1!CX8+DATA_SCENES_UNITY_1!DI8</f>
        <v>697</v>
      </c>
      <c r="H9">
        <f ca="1">DATA_SCENES_UNITY_1!CB9+DATA_SCENES_UNITY_1!CM9+DATA_SCENES_UNITY_1!CX9+DATA_SCENES_UNITY_1!DI9</f>
        <v>1141</v>
      </c>
      <c r="I9" s="75">
        <f>DATA_SCENES_UNITY_1!CB11+DATA_SCENES_UNITY_1!CM11+DATA_SCENES_UNITY_1!CX11+DATA_SCENES_UNITY_1!DI11</f>
        <v>3362</v>
      </c>
    </row>
    <row r="10" spans="2:13" x14ac:dyDescent="0.25">
      <c r="B10" t="s">
        <v>628</v>
      </c>
      <c r="C10" t="s">
        <v>554</v>
      </c>
      <c r="D10" t="s">
        <v>555</v>
      </c>
      <c r="E10">
        <f ca="1">DATA_SCENES_UNITY_1!DT6+DATA_SCENES_UNITY_1!EE6+DATA_SCENES_UNITY_1!EP6+DATA_SCENES_UNITY_1!FA6</f>
        <v>84989</v>
      </c>
      <c r="F10">
        <f>DATA_SCENES_UNITY_1!DT7+DATA_SCENES_UNITY_1!EE7</f>
        <v>572</v>
      </c>
      <c r="G10">
        <f ca="1">DATA_SCENES_UNITY_1!DT8+DATA_SCENES_UNITY_1!EE8</f>
        <v>442</v>
      </c>
      <c r="H10">
        <f ca="1">DATA_SCENES_UNITY_1!DT9+DATA_SCENES_UNITY_1!EE9</f>
        <v>372</v>
      </c>
      <c r="I10" s="75">
        <f>DATA_SCENES_UNITY_1!DT11+DATA_SCENES_UNITY_1!EE11</f>
        <v>1096</v>
      </c>
    </row>
    <row r="16" spans="2:13" x14ac:dyDescent="0.25">
      <c r="I16" s="144" t="s">
        <v>6784</v>
      </c>
      <c r="J16" s="145"/>
      <c r="K16" s="146"/>
    </row>
    <row r="17" spans="9:11" x14ac:dyDescent="0.25">
      <c r="I17" s="134" t="s">
        <v>6786</v>
      </c>
      <c r="J17" s="135">
        <f ca="1">SUM(Table51718[Total xp available])</f>
        <v>364468</v>
      </c>
      <c r="K17" s="136"/>
    </row>
    <row r="18" spans="9:11" x14ac:dyDescent="0.25">
      <c r="I18" s="134" t="s">
        <v>6785</v>
      </c>
      <c r="J18" s="135">
        <f>SUM(Table51718[Total spawners])</f>
        <v>4614</v>
      </c>
      <c r="K18" s="136"/>
    </row>
    <row r="19" spans="9:11" x14ac:dyDescent="0.25">
      <c r="I19" s="134" t="s">
        <v>6787</v>
      </c>
      <c r="J19" s="135">
        <f ca="1">SUM(Table51718[Total enemies])</f>
        <v>2043</v>
      </c>
      <c r="K19" s="137" t="str">
        <f ca="1">CONCATENATE(ROUND((J19/J18)*100,0),"%")</f>
        <v>44%</v>
      </c>
    </row>
    <row r="20" spans="9:11" x14ac:dyDescent="0.25">
      <c r="I20" s="134" t="s">
        <v>6788</v>
      </c>
      <c r="J20" s="135">
        <f ca="1">SUM(Table51718[Total preys])</f>
        <v>2813</v>
      </c>
      <c r="K20" s="137" t="str">
        <f ca="1">CONCATENATE(ROUND((J20/J18)*100,0),"%")</f>
        <v>61%</v>
      </c>
    </row>
    <row r="21" spans="9:11" x14ac:dyDescent="0.25">
      <c r="I21" s="134" t="s">
        <v>6789</v>
      </c>
      <c r="J21" s="135">
        <f>SUM(Table51718[Total entities])</f>
        <v>8159</v>
      </c>
      <c r="K21" s="136"/>
    </row>
    <row r="22" spans="9:11" x14ac:dyDescent="0.25">
      <c r="I22" s="138"/>
      <c r="J22" s="139"/>
      <c r="K22" s="136"/>
    </row>
    <row r="23" spans="9:11" x14ac:dyDescent="0.25">
      <c r="I23" s="138"/>
      <c r="J23" s="139"/>
      <c r="K23" s="136"/>
    </row>
    <row r="24" spans="9:11" x14ac:dyDescent="0.25">
      <c r="I24" s="134" t="s">
        <v>524</v>
      </c>
      <c r="J24" s="140" t="str">
        <f>CONCATENATE(ROUND(((COUNTIF(Table245[activating_chance],"=100") + COUNTIF(Table3[activating_chance],"=100") + COUNTIF(Table39[activating_chance],"=100") + COUNTIF(Table2[activating_chance],"=100") + COUNTIF(Table6[activating_chance],"=100") + COUNTIF(Table610[activating_chance],"=100") + COUNTIF(Table61011[activating_chance],"=100") + COUNTIF(Table11[activating_chance],"=100") + COUNTIF(Table12[activating_chance],"=100") + COUNTIF(Table13[activating_chance],"=100") + COUNTIF(Table14[activating_chance],"=100") + COUNTIF(Table18[activating_chance],"=100") + COUNTIF(Table1820[activating_chance],"=100") + COUNTIF(Table182023[activating_chance],"=100") + COUNTIF(Table18202324[activating_chance],"=100"))/J18)*100,0),"%")</f>
        <v>82%</v>
      </c>
      <c r="K24" s="136"/>
    </row>
    <row r="25" spans="9:11" x14ac:dyDescent="0.25">
      <c r="I25" s="134" t="s">
        <v>525</v>
      </c>
      <c r="J25" s="140" t="str">
        <f>CONCATENATE(ROUND(((COUNTIFS(Table245[activating_chance],"&lt;100",Table245[activating_chance],"&gt;=75") + COUNTIFS(Table3[activating_chance],"&lt;100",Table3[activating_chance],"&gt;=75") + COUNTIFS(Table39[activating_chance],"&lt;100",Table39[activating_chance],"&gt;=75") + COUNTIFS(Table2[activating_chance],"&lt;100",Table2[activating_chance],"&gt;=75") + COUNTIFS(Table6[activating_chance],"&lt;100",Table6[activating_chance],"&gt;=75") + COUNTIFS(Table610[activating_chance],"&lt;100",Table610[activating_chance],"&gt;=75") + COUNTIFS(Table61011[activating_chance],"&lt;100",Table61011[activating_chance],"&gt;=75") + COUNTIFS(Table11[activating_chance],"&lt;100",Table11[activating_chance],"&gt;=75") + COUNTIFS(Table12[activating_chance],"&lt;100",Table12[activating_chance],"&gt;=75") + COUNTIFS(Table13[activating_chance],"&lt;100",Table13[activating_chance],"&gt;=75") + COUNTIFS(Table14[activating_chance],"&lt;100",Table14[activating_chance],"&gt;=75") + COUNTIFS(Table18[activating_chance],"&lt;100",Table18[activating_chance],"&gt;=75") + COUNTIFS(Table1820[activating_chance],"&lt;100",Table1820[activating_chance],"&gt;=75") + COUNTIFS(Table182023[activating_chance],"&lt;100",Table182023[activating_chance],"&gt;=75") + COUNTIFS(Table18202324[activating_chance],"&lt;100",Table18202324[activating_chance],"&gt;=75"))/J18)*100,0),"%")</f>
        <v>13%</v>
      </c>
      <c r="K25" s="136"/>
    </row>
    <row r="26" spans="9:11" x14ac:dyDescent="0.25">
      <c r="I26" s="134" t="s">
        <v>526</v>
      </c>
      <c r="J26" s="140" t="str">
        <f>CONCATENATE(ROUND(((COUNTIFS(Table245[activating_chance],"&lt;75",Table245[activating_chance],"&gt;=25") + COUNTIFS(Table3[activating_chance],"&lt;75",Table3[activating_chance],"&gt;=25") + COUNTIFS(Table39[activating_chance],"&lt;75",Table39[activating_chance],"&gt;=25") + COUNTIFS(Table2[activating_chance],"&lt;75",Table2[activating_chance],"&gt;=25") + COUNTIFS(Table6[activating_chance],"&lt;75",Table6[activating_chance],"&gt;=25") + COUNTIFS(Table610[activating_chance],"&lt;75",Table610[activating_chance],"&gt;=25") + COUNTIFS(Table61011[activating_chance],"&lt;75",Table61011[activating_chance],"&gt;=25") + COUNTIFS(Table11[activating_chance],"&lt;75",Table11[activating_chance],"&gt;=25") + COUNTIFS(Table12[activating_chance],"&lt;75",Table12[activating_chance],"&gt;=25") + COUNTIFS(Table13[activating_chance],"&lt;75",Table13[activating_chance],"&gt;=25") + COUNTIFS(Table14[activating_chance],"&lt;75",Table14[activating_chance],"&gt;=25") + COUNTIFS(Table18[activating_chance],"&lt;75",Table18[activating_chance],"&gt;=25") + COUNTIFS(Table1820[activating_chance],"&lt;75",Table1820[activating_chance],"&gt;=25") + COUNTIFS(Table182023[activating_chance],"&lt;75",Table182023[activating_chance],"&gt;=25") + COUNTIFS(Table18202324[activating_chance],"&lt;75",Table18202324[activating_chance],"&gt;=25"))/J18)*100,0),"%")</f>
        <v>10%</v>
      </c>
      <c r="K26" s="136"/>
    </row>
    <row r="27" spans="9:11" x14ac:dyDescent="0.25">
      <c r="I27" s="134" t="s">
        <v>527</v>
      </c>
      <c r="J27" s="140" t="str">
        <f>CONCATENATE(ROUND(((COUNTIFS(Table245[activating_chance],"&gt;1",Table245[activating_chance],"&lt;25") + COUNTIFS(Table3[activating_chance],"&gt;1",Table3[activating_chance],"&lt;25") + COUNTIFS(Table39[activating_chance],"&gt;1",Table39[activating_chance],"&lt;25") + COUNTIFS(Table2[activating_chance],"&gt;1",Table2[activating_chance],"&lt;25") + COUNTIFS(Table6[activating_chance],"&gt;1",Table6[activating_chance],"&lt;25") + COUNTIFS(Table610[activating_chance],"&gt;1",Table610[activating_chance],"&lt;25") + COUNTIFS(Table61011[activating_chance],"&gt;1",Table61011[activating_chance],"&lt;25") + COUNTIFS(Table11[activating_chance],"&gt;1",Table11[activating_chance],"&lt;25") + COUNTIFS(Table12[activating_chance],"&gt;1",Table12[activating_chance],"&lt;25") + COUNTIFS(Table13[activating_chance],"&gt;1",Table13[activating_chance],"&lt;25") + COUNTIFS(Table14[activating_chance],"&gt;1",Table14[activating_chance],"&lt;25") + COUNTIFS(Table18[activating_chance],"&gt;1",Table18[activating_chance],"&lt;25") + COUNTIFS(Table1820[activating_chance],"&gt;1",Table1820[activating_chance],"&lt;25") + COUNTIFS(Table182023[activating_chance],"&gt;1",Table182023[activating_chance],"&lt;25") + COUNTIFS(Table18202324[activating_chance],"&gt;1",Table18202324[activating_chance],"&lt;25"))/J18)*100,0),"%")</f>
        <v>2%</v>
      </c>
      <c r="K27" s="136"/>
    </row>
    <row r="28" spans="9:11" x14ac:dyDescent="0.25">
      <c r="I28" s="138"/>
      <c r="J28" s="139"/>
      <c r="K28" s="136"/>
    </row>
    <row r="29" spans="9:11" x14ac:dyDescent="0.25">
      <c r="I29" s="138"/>
      <c r="J29" s="139"/>
      <c r="K29" s="136"/>
    </row>
    <row r="30" spans="9:11" x14ac:dyDescent="0.25">
      <c r="I30" s="141" t="s">
        <v>6760</v>
      </c>
      <c r="J30" s="142" t="str">
        <f>CONCATENATE(ROUND(((COUNTIF(Table245[hasBonus],"TRUE") + COUNTIF(Table3[hasBonus],"TRUE") + COUNTIF(Table39[hasBonus],"TRUE") + COUNTIF(Table2[hasBonus],"TRUE") + COUNTIF(Table6[hasBonus],"TRUE") + COUNTIF(Table610[hasBonus],"TRUE") + COUNTIF(Table61011[hasBonus],"TRUE") + COUNTIF(Table11[hasBonus],"TRUE") + COUNTIF(Table12[hasBonus],"TRUE") + COUNTIF(Table13[hasBonus],"TRUE") + COUNTIF(Table14[hasBonus],"TRUE") + COUNTIF(Table18[hasBonus],"TRUE") + COUNTIF(Table1820[hasBonus],"TRUE") + COUNTIF(Table182023[hasBonus],"TRUE") + COUNTIF(Table18202324[hasBonus],"TRUE"))/J18)*100,2),"%")</f>
        <v>7,95%</v>
      </c>
      <c r="K30" s="143"/>
    </row>
    <row r="108" spans="4:6" x14ac:dyDescent="0.25">
      <c r="D108" s="1" t="s">
        <v>6779</v>
      </c>
    </row>
    <row r="110" spans="4:6" x14ac:dyDescent="0.25">
      <c r="D110" t="s">
        <v>278</v>
      </c>
      <c r="E110" t="s">
        <v>6780</v>
      </c>
      <c r="F110" t="s">
        <v>6781</v>
      </c>
    </row>
    <row r="111" spans="4:6" x14ac:dyDescent="0.25">
      <c r="D111" t="str">
        <f ca="1">INDIRECT(ADDRESS((11+MATCH(E111,Table1[Total in the game],0)),5,1,1,"Entities"))</f>
        <v>Canary01_Flock</v>
      </c>
      <c r="E111">
        <f>LARGE(Table1[Total in the game],1)</f>
        <v>407</v>
      </c>
      <c r="F111">
        <f>LARGE(Table1[Percentage4],1)</f>
        <v>7.5</v>
      </c>
    </row>
    <row r="112" spans="4:6" x14ac:dyDescent="0.25">
      <c r="D112" t="str">
        <f ca="1">INDIRECT(ADDRESS((11+MATCH(E112,Table1[Total in the game],0)),5,1,1,"Entities"))</f>
        <v>SpiderSmall</v>
      </c>
      <c r="E112">
        <f>LARGE(Table1[Total in the game],2)</f>
        <v>402</v>
      </c>
      <c r="F112">
        <f>LARGE(Table1[Percentage4],2)</f>
        <v>7.4</v>
      </c>
    </row>
    <row r="113" spans="4:6" x14ac:dyDescent="0.25">
      <c r="D113" t="str">
        <f ca="1">INDIRECT(ADDRESS((11+MATCH(E113,Table1[Total in the game],0)),5,1,1,"Entities"))</f>
        <v>BadJunk</v>
      </c>
      <c r="E113">
        <f>LARGE(Table1[Total in the game],3)</f>
        <v>335</v>
      </c>
      <c r="F113">
        <f>LARGE(Table1[Percentage4],3)</f>
        <v>6.2</v>
      </c>
    </row>
    <row r="114" spans="4:6" x14ac:dyDescent="0.25">
      <c r="D114" t="str">
        <f ca="1">INDIRECT(ADDRESS((11+MATCH(E114,Table1[Total in the game],0)),5,1,1,"Entities"))</f>
        <v>BatSmall_Flock</v>
      </c>
      <c r="E114">
        <f>LARGE(Table1[Total in the game],4)</f>
        <v>273</v>
      </c>
      <c r="F114">
        <f>LARGE(Table1[Percentage4],4)</f>
        <v>5</v>
      </c>
    </row>
    <row r="115" spans="4:6" x14ac:dyDescent="0.25">
      <c r="D115" t="str">
        <f ca="1">INDIRECT(ADDRESS((11+MATCH(E115,Table1[Total in the game],0)),5,1,1,"Entities"))</f>
        <v>Rat</v>
      </c>
      <c r="E115">
        <f>LARGE(Table1[Total in the game],5)</f>
        <v>215</v>
      </c>
      <c r="F115">
        <f>LARGE(Table1[Percentage4],5)</f>
        <v>4</v>
      </c>
    </row>
    <row r="116" spans="4:6" x14ac:dyDescent="0.25">
      <c r="D116" t="s">
        <v>6782</v>
      </c>
      <c r="E116">
        <f>SUM(Table1[Total in the game]) - SUM(E111:E115)</f>
        <v>3806</v>
      </c>
      <c r="F116">
        <f>100-SUM(F111:F115)</f>
        <v>69.900000000000006</v>
      </c>
    </row>
  </sheetData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C3:M100"/>
  <sheetViews>
    <sheetView topLeftCell="A73" zoomScaleNormal="100" workbookViewId="0">
      <selection activeCell="T49" sqref="T49"/>
    </sheetView>
  </sheetViews>
  <sheetFormatPr defaultRowHeight="15" x14ac:dyDescent="0.25"/>
  <cols>
    <col min="3" max="4" width="29.85546875" customWidth="1"/>
    <col min="5" max="5" width="18.42578125" customWidth="1"/>
    <col min="6" max="6" width="17.7109375" customWidth="1"/>
    <col min="13" max="13" width="8.85546875" customWidth="1"/>
  </cols>
  <sheetData>
    <row r="3" spans="3:13" x14ac:dyDescent="0.25">
      <c r="K3" s="1"/>
      <c r="L3" s="1"/>
      <c r="M3" s="1"/>
    </row>
    <row r="4" spans="3:13" x14ac:dyDescent="0.25">
      <c r="K4" s="1"/>
      <c r="L4" s="1"/>
      <c r="M4" s="71"/>
    </row>
    <row r="6" spans="3:13" x14ac:dyDescent="0.25">
      <c r="C6" s="1"/>
      <c r="D6" s="1"/>
    </row>
    <row r="7" spans="3:13" x14ac:dyDescent="0.25">
      <c r="C7" t="s">
        <v>261</v>
      </c>
      <c r="D7" t="s">
        <v>258</v>
      </c>
      <c r="E7" t="s">
        <v>259</v>
      </c>
      <c r="F7" t="s">
        <v>260</v>
      </c>
    </row>
    <row r="8" spans="3:13" x14ac:dyDescent="0.25">
      <c r="C8" t="s">
        <v>262</v>
      </c>
      <c r="D8" t="s">
        <v>398</v>
      </c>
      <c r="E8">
        <f ca="1">DATA_SCENES_UNITY_1!C6</f>
        <v>48687</v>
      </c>
      <c r="F8">
        <v>0</v>
      </c>
      <c r="M8" s="1"/>
    </row>
    <row r="9" spans="3:13" x14ac:dyDescent="0.25">
      <c r="C9" t="s">
        <v>262</v>
      </c>
      <c r="D9" t="s">
        <v>264</v>
      </c>
      <c r="E9">
        <f ca="1">DATA_SCENES_UNITY_1!N6</f>
        <v>15012</v>
      </c>
      <c r="F9">
        <f ca="1">ROUNDUP(E8*0.1,0)</f>
        <v>4869</v>
      </c>
    </row>
    <row r="10" spans="3:13" x14ac:dyDescent="0.25">
      <c r="C10" t="s">
        <v>262</v>
      </c>
      <c r="D10" t="s">
        <v>459</v>
      </c>
      <c r="E10">
        <f ca="1">DATA_SCENES_UNITY_1!Y6</f>
        <v>4265</v>
      </c>
      <c r="F10">
        <f t="shared" ref="F10:F14" ca="1" si="0">ROUNDUP(E9*0.1,0)</f>
        <v>1502</v>
      </c>
    </row>
    <row r="11" spans="3:13" x14ac:dyDescent="0.25">
      <c r="C11" t="s">
        <v>262</v>
      </c>
      <c r="D11" t="s">
        <v>465</v>
      </c>
      <c r="E11">
        <f ca="1">DATA_SCENES_UNITY_1!BF6</f>
        <v>13827</v>
      </c>
      <c r="F11">
        <f t="shared" ca="1" si="0"/>
        <v>427</v>
      </c>
    </row>
    <row r="12" spans="3:13" x14ac:dyDescent="0.25">
      <c r="C12" t="s">
        <v>262</v>
      </c>
      <c r="D12" t="s">
        <v>263</v>
      </c>
      <c r="E12">
        <f ca="1">DATA_SCENES_UNITY_1!AJ6</f>
        <v>29200</v>
      </c>
      <c r="F12">
        <f t="shared" ca="1" si="0"/>
        <v>1383</v>
      </c>
    </row>
    <row r="13" spans="3:13" x14ac:dyDescent="0.25">
      <c r="C13" t="s">
        <v>262</v>
      </c>
      <c r="D13" t="s">
        <v>399</v>
      </c>
      <c r="E13">
        <f ca="1">DATA_SCENES_UNITY_1!AU6</f>
        <v>11548</v>
      </c>
      <c r="F13">
        <f t="shared" ca="1" si="0"/>
        <v>2920</v>
      </c>
    </row>
    <row r="14" spans="3:13" x14ac:dyDescent="0.25">
      <c r="C14" t="s">
        <v>262</v>
      </c>
      <c r="D14" t="s">
        <v>464</v>
      </c>
      <c r="E14">
        <f ca="1">DATA_SCENES_UNITY_1!BQ6</f>
        <v>37100</v>
      </c>
      <c r="F14">
        <f t="shared" ca="1" si="0"/>
        <v>1155</v>
      </c>
    </row>
    <row r="92" spans="4:6" x14ac:dyDescent="0.25">
      <c r="D92" s="1" t="s">
        <v>6779</v>
      </c>
    </row>
    <row r="94" spans="4:6" x14ac:dyDescent="0.25">
      <c r="D94" t="s">
        <v>278</v>
      </c>
      <c r="E94" t="s">
        <v>6780</v>
      </c>
      <c r="F94" t="s">
        <v>6781</v>
      </c>
    </row>
    <row r="95" spans="4:6" x14ac:dyDescent="0.25">
      <c r="D95" t="str">
        <f ca="1">INDIRECT(ADDRESS((11+MATCH(E95,Table1[Total in "Village" scene],0)),5,1,1,"Entities"))</f>
        <v>Canary01_Flock</v>
      </c>
      <c r="E95">
        <f>LARGE(Table1[Total in "Village" scene],1)</f>
        <v>278</v>
      </c>
      <c r="F95">
        <f>LARGE(Table1[Percentage1],1)</f>
        <v>11.3</v>
      </c>
    </row>
    <row r="96" spans="4:6" x14ac:dyDescent="0.25">
      <c r="D96" t="str">
        <f ca="1">INDIRECT(ADDRESS((11+MATCH(E96,Table1[Total in "Village" scene],0)),5,1,1,"Entities"))</f>
        <v>SpiderSmall</v>
      </c>
      <c r="E96">
        <f>LARGE(Table1[Total in "Village" scene],2)</f>
        <v>234</v>
      </c>
      <c r="F96">
        <f>LARGE(Table1[Percentage1],2)</f>
        <v>9.5</v>
      </c>
    </row>
    <row r="97" spans="4:6" x14ac:dyDescent="0.25">
      <c r="D97" t="str">
        <f ca="1">INDIRECT(ADDRESS((11+MATCH(E97,Table1[Total in "Village" scene],0)),5,1,1,"Entities"))</f>
        <v>Canary01_Flock</v>
      </c>
      <c r="E97">
        <f>LARGE(Table1[Total in "Village" scene],3)</f>
        <v>145</v>
      </c>
      <c r="F97">
        <f>LARGE(Table1[Percentage1],3)</f>
        <v>5.9</v>
      </c>
    </row>
    <row r="98" spans="4:6" x14ac:dyDescent="0.25">
      <c r="D98" t="str">
        <f ca="1">INDIRECT(ADDRESS((11+MATCH(E98,Table1[Total in "Village" scene],0)),5,1,1,"Entities"))</f>
        <v>BadJunk</v>
      </c>
      <c r="E98">
        <f>LARGE(Table1[Total in "Village" scene],4)</f>
        <v>139</v>
      </c>
      <c r="F98">
        <f>LARGE(Table1[Percentage1],4)</f>
        <v>5.6</v>
      </c>
    </row>
    <row r="99" spans="4:6" x14ac:dyDescent="0.25">
      <c r="D99" t="s">
        <v>414</v>
      </c>
      <c r="E99">
        <f>LARGE(Table1[Total in "Village" scene],5)</f>
        <v>139</v>
      </c>
      <c r="F99">
        <f>LARGE(Table1[Percentage1],5)</f>
        <v>5.6</v>
      </c>
    </row>
    <row r="100" spans="4:6" x14ac:dyDescent="0.25">
      <c r="D100" t="s">
        <v>6782</v>
      </c>
      <c r="E100">
        <f>SUM(Table1[Total in "Village" scene]) - SUM(E95:E99)</f>
        <v>1534</v>
      </c>
      <c r="F100">
        <f>100-SUM(F95:F99)</f>
        <v>62.099999999999994</v>
      </c>
    </row>
  </sheetData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C3:M74"/>
  <sheetViews>
    <sheetView topLeftCell="A49" zoomScaleNormal="100" workbookViewId="0">
      <selection activeCell="G67" sqref="G67"/>
    </sheetView>
  </sheetViews>
  <sheetFormatPr defaultRowHeight="15" x14ac:dyDescent="0.25"/>
  <cols>
    <col min="3" max="4" width="29.85546875" customWidth="1"/>
    <col min="5" max="5" width="18.42578125" customWidth="1"/>
    <col min="6" max="6" width="17.7109375" customWidth="1"/>
    <col min="13" max="13" width="8.85546875" customWidth="1"/>
  </cols>
  <sheetData>
    <row r="3" spans="3:13" x14ac:dyDescent="0.25">
      <c r="K3" s="1"/>
      <c r="L3" s="1"/>
      <c r="M3" s="1"/>
    </row>
    <row r="4" spans="3:13" x14ac:dyDescent="0.25">
      <c r="K4" s="1"/>
      <c r="L4" s="1"/>
      <c r="M4" s="71"/>
    </row>
    <row r="6" spans="3:13" x14ac:dyDescent="0.25">
      <c r="C6" s="1"/>
      <c r="D6" s="1"/>
    </row>
    <row r="7" spans="3:13" x14ac:dyDescent="0.25">
      <c r="C7" t="s">
        <v>261</v>
      </c>
      <c r="D7" t="s">
        <v>258</v>
      </c>
      <c r="E7" t="s">
        <v>259</v>
      </c>
      <c r="F7" t="s">
        <v>260</v>
      </c>
    </row>
    <row r="8" spans="3:13" x14ac:dyDescent="0.25">
      <c r="C8" t="s">
        <v>514</v>
      </c>
      <c r="D8" t="s">
        <v>516</v>
      </c>
      <c r="E8">
        <f ca="1">DATA_SCENES_UNITY_1!CB6</f>
        <v>26846</v>
      </c>
      <c r="F8">
        <v>0</v>
      </c>
      <c r="M8" s="1"/>
    </row>
    <row r="9" spans="3:13" x14ac:dyDescent="0.25">
      <c r="C9" t="s">
        <v>514</v>
      </c>
      <c r="D9" t="s">
        <v>551</v>
      </c>
      <c r="E9">
        <f ca="1">DATA_SCENES_UNITY_1!CM6</f>
        <v>11797</v>
      </c>
      <c r="F9">
        <f ca="1">ROUNDUP(E8*0.1,0)</f>
        <v>2685</v>
      </c>
    </row>
    <row r="10" spans="3:13" x14ac:dyDescent="0.25">
      <c r="C10" t="s">
        <v>514</v>
      </c>
      <c r="D10" t="s">
        <v>552</v>
      </c>
      <c r="E10">
        <f ca="1">DATA_SCENES_UNITY_1!CX6</f>
        <v>24411</v>
      </c>
      <c r="F10">
        <f t="shared" ref="F10:F11" ca="1" si="0">ROUNDUP(E9*0.1,0)</f>
        <v>1180</v>
      </c>
    </row>
    <row r="11" spans="3:13" x14ac:dyDescent="0.25">
      <c r="C11" t="s">
        <v>514</v>
      </c>
      <c r="D11" t="s">
        <v>536</v>
      </c>
      <c r="E11">
        <f ca="1">DATA_SCENES_UNITY_1!DI6</f>
        <v>56786</v>
      </c>
      <c r="F11">
        <f t="shared" ca="1" si="0"/>
        <v>2442</v>
      </c>
    </row>
    <row r="66" spans="4:6" x14ac:dyDescent="0.25">
      <c r="D66" s="1" t="s">
        <v>6779</v>
      </c>
    </row>
    <row r="68" spans="4:6" x14ac:dyDescent="0.25">
      <c r="D68" t="s">
        <v>278</v>
      </c>
      <c r="E68" t="s">
        <v>6780</v>
      </c>
      <c r="F68" t="s">
        <v>6781</v>
      </c>
    </row>
    <row r="69" spans="4:6" x14ac:dyDescent="0.25">
      <c r="D69" t="str">
        <f ca="1">INDIRECT(ADDRESS((11+MATCH(E69,Table1[Total in "Castle" scene],0)),5,1,1,"Entities"))</f>
        <v>BadJunk</v>
      </c>
      <c r="E69">
        <f>LARGE(Table1[Total in "Castle" scene],1)</f>
        <v>184</v>
      </c>
      <c r="F69">
        <f>LARGE(Table1[Percentage2],1)</f>
        <v>9.4</v>
      </c>
    </row>
    <row r="70" spans="4:6" x14ac:dyDescent="0.25">
      <c r="D70" t="str">
        <f ca="1">INDIRECT(ADDRESS((11+MATCH(E70,Table1[Total in "Castle" scene],0)),5,1,1,"Entities"))</f>
        <v>Worker</v>
      </c>
      <c r="E70">
        <f>LARGE(Table1[Total in "Castle" scene],2)</f>
        <v>165</v>
      </c>
      <c r="F70">
        <f>LARGE(Table1[Percentage2],2)</f>
        <v>8.4</v>
      </c>
    </row>
    <row r="71" spans="4:6" x14ac:dyDescent="0.25">
      <c r="D71" t="str">
        <f ca="1">INDIRECT(ADDRESS((11+MATCH(E71,Table1[Total in "Castle" scene],0)),5,1,1,"Entities"))</f>
        <v>SpiderSmall</v>
      </c>
      <c r="E71">
        <f>LARGE(Table1[Total in "Castle" scene],3)</f>
        <v>130</v>
      </c>
      <c r="F71">
        <f>LARGE(Table1[Percentage2],3)</f>
        <v>6.6</v>
      </c>
    </row>
    <row r="72" spans="4:6" x14ac:dyDescent="0.25">
      <c r="D72" t="str">
        <f ca="1">INDIRECT(ADDRESS((11+MATCH(E72,Table1[Total in "Castle" scene],0)),5,1,1,"Entities"))</f>
        <v>BatSmall_Flock</v>
      </c>
      <c r="E72">
        <f>LARGE(Table1[Total in "Castle" scene],4)</f>
        <v>129</v>
      </c>
      <c r="F72">
        <f>LARGE(Table1[Percentage2],4)</f>
        <v>6.6</v>
      </c>
    </row>
    <row r="73" spans="4:6" x14ac:dyDescent="0.25">
      <c r="D73" t="s">
        <v>267</v>
      </c>
      <c r="E73">
        <f>LARGE(Table1[Total in "Castle" scene],5)</f>
        <v>129</v>
      </c>
      <c r="F73">
        <f>LARGE(Table1[Percentage2],5)</f>
        <v>6.6</v>
      </c>
    </row>
    <row r="74" spans="4:6" x14ac:dyDescent="0.25">
      <c r="D74" t="s">
        <v>6782</v>
      </c>
      <c r="E74">
        <f>SUM(Table1[Total in "Castle" scene]) - SUM(E69:E73)</f>
        <v>1220</v>
      </c>
      <c r="F74">
        <f>100-SUM(F69:F73)</f>
        <v>62.4</v>
      </c>
    </row>
  </sheetData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C3:M75"/>
  <sheetViews>
    <sheetView topLeftCell="A13" zoomScaleNormal="100" workbookViewId="0">
      <selection activeCell="F22" sqref="F22"/>
    </sheetView>
  </sheetViews>
  <sheetFormatPr defaultRowHeight="15" x14ac:dyDescent="0.25"/>
  <cols>
    <col min="3" max="4" width="29.85546875" customWidth="1"/>
    <col min="5" max="5" width="18.42578125" customWidth="1"/>
    <col min="6" max="6" width="17.7109375" customWidth="1"/>
    <col min="13" max="13" width="8.85546875" customWidth="1"/>
  </cols>
  <sheetData>
    <row r="3" spans="3:13" x14ac:dyDescent="0.25">
      <c r="K3" s="1"/>
      <c r="L3" s="1"/>
      <c r="M3" s="1"/>
    </row>
    <row r="4" spans="3:13" x14ac:dyDescent="0.25">
      <c r="K4" s="1"/>
      <c r="L4" s="1"/>
      <c r="M4" s="71"/>
    </row>
    <row r="6" spans="3:13" x14ac:dyDescent="0.25">
      <c r="C6" s="1"/>
      <c r="D6" s="1"/>
    </row>
    <row r="7" spans="3:13" x14ac:dyDescent="0.25">
      <c r="C7" t="s">
        <v>261</v>
      </c>
      <c r="D7" t="s">
        <v>258</v>
      </c>
      <c r="E7" t="s">
        <v>259</v>
      </c>
      <c r="F7" t="s">
        <v>260</v>
      </c>
    </row>
    <row r="8" spans="3:13" x14ac:dyDescent="0.25">
      <c r="C8" t="s">
        <v>514</v>
      </c>
      <c r="D8" t="s">
        <v>616</v>
      </c>
      <c r="E8">
        <f ca="1">DATA_SCENES_UNITY_1!DT6</f>
        <v>23148</v>
      </c>
      <c r="F8">
        <v>0</v>
      </c>
      <c r="M8" s="1"/>
    </row>
    <row r="9" spans="3:13" x14ac:dyDescent="0.25">
      <c r="C9" t="s">
        <v>514</v>
      </c>
      <c r="D9" t="s">
        <v>618</v>
      </c>
      <c r="E9">
        <f ca="1">DATA_SCENES_UNITY_1!EE6</f>
        <v>19119</v>
      </c>
      <c r="F9">
        <f ca="1">ROUNDUP(E8*0.1,0)</f>
        <v>2315</v>
      </c>
    </row>
    <row r="10" spans="3:13" x14ac:dyDescent="0.25">
      <c r="C10" t="s">
        <v>514</v>
      </c>
      <c r="D10" s="92" t="s">
        <v>620</v>
      </c>
      <c r="E10" s="92">
        <f ca="1">DATA_SCENES_UNITY_1!EP6</f>
        <v>19845</v>
      </c>
      <c r="F10" s="92">
        <f t="shared" ref="F10:F11" ca="1" si="0">ROUNDUP(E9*0.1,0)</f>
        <v>1912</v>
      </c>
    </row>
    <row r="11" spans="3:13" x14ac:dyDescent="0.25">
      <c r="C11" t="s">
        <v>514</v>
      </c>
      <c r="D11" s="92" t="s">
        <v>621</v>
      </c>
      <c r="E11" s="92">
        <f ca="1">DATA_SCENES_UNITY_1!FA6</f>
        <v>22877</v>
      </c>
      <c r="F11" s="92">
        <f t="shared" ca="1" si="0"/>
        <v>1985</v>
      </c>
    </row>
    <row r="67" spans="4:6" x14ac:dyDescent="0.25">
      <c r="D67" s="1" t="s">
        <v>6779</v>
      </c>
    </row>
    <row r="69" spans="4:6" x14ac:dyDescent="0.25">
      <c r="D69" t="s">
        <v>278</v>
      </c>
      <c r="E69" t="s">
        <v>6780</v>
      </c>
      <c r="F69" t="s">
        <v>6781</v>
      </c>
    </row>
    <row r="70" spans="4:6" x14ac:dyDescent="0.25">
      <c r="D70" t="str">
        <f ca="1">INDIRECT(ADDRESS((11+MATCH(E70,Table1[Total in "Dark" scene],0)),5,1,1,"Entities"))</f>
        <v>BatSmall_Flock</v>
      </c>
      <c r="E70">
        <f>LARGE(Table1[Total in "Dark" scene],1)</f>
        <v>108</v>
      </c>
      <c r="F70">
        <f>LARGE(Table1[Percentage3],1)</f>
        <v>10.7</v>
      </c>
    </row>
    <row r="71" spans="4:6" x14ac:dyDescent="0.25">
      <c r="D71" t="str">
        <f ca="1">INDIRECT(ADDRESS((11+MATCH(E71,Table1[Total in "Dark" scene],0)),5,1,1,"Entities"))</f>
        <v>Crow_Flock</v>
      </c>
      <c r="E71">
        <f>LARGE(Table1[Total in "Dark" scene],2)</f>
        <v>76</v>
      </c>
      <c r="F71">
        <f>LARGE(Table1[Percentage3],2)</f>
        <v>7.5</v>
      </c>
    </row>
    <row r="72" spans="4:6" x14ac:dyDescent="0.25">
      <c r="D72" t="str">
        <f ca="1">INDIRECT(ADDRESS((11+MATCH(E72,Table1[Total in "Dark" scene],0)),5,1,1,"Entities"))</f>
        <v>Rat</v>
      </c>
      <c r="E72">
        <f>LARGE(Table1[Total in "Dark" scene],3)</f>
        <v>50</v>
      </c>
      <c r="F72">
        <f>LARGE(Table1[Percentage3],3)</f>
        <v>4.9000000000000004</v>
      </c>
    </row>
    <row r="73" spans="4:6" x14ac:dyDescent="0.25">
      <c r="D73" t="str">
        <f ca="1">INDIRECT(ADDRESS((11+MATCH(E73,Table1[Total in "Dark" scene],0)),5,1,1,"Entities"))</f>
        <v>StingraySmall</v>
      </c>
      <c r="E73">
        <f>LARGE(Table1[Total in "Dark" scene],4)</f>
        <v>49</v>
      </c>
      <c r="F73">
        <f>LARGE(Table1[Percentage3],4)</f>
        <v>4.8</v>
      </c>
    </row>
    <row r="74" spans="4:6" x14ac:dyDescent="0.25">
      <c r="D74" t="str">
        <f ca="1">INDIRECT(ADDRESS((11+MATCH(E74,Table1[Total in "Dark" scene],0)),5,1,1,"Entities"))</f>
        <v>ButterflyEgg</v>
      </c>
      <c r="E74">
        <f>LARGE(Table1[Total in "Dark" scene],5)</f>
        <v>40</v>
      </c>
      <c r="F74">
        <f>LARGE(Table1[Percentage3],5)</f>
        <v>4</v>
      </c>
    </row>
    <row r="75" spans="4:6" x14ac:dyDescent="0.25">
      <c r="D75" t="s">
        <v>6782</v>
      </c>
      <c r="E75">
        <f>SUM(Table1[Total in "Dark" scene]) - SUM(E70:E74)</f>
        <v>689</v>
      </c>
      <c r="F75">
        <f>100-SUM(F70:F74)</f>
        <v>68.099999999999994</v>
      </c>
    </row>
  </sheetData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36"/>
  <sheetViews>
    <sheetView workbookViewId="0">
      <selection activeCell="O19" sqref="O19"/>
    </sheetView>
  </sheetViews>
  <sheetFormatPr defaultRowHeight="15" x14ac:dyDescent="0.25"/>
  <cols>
    <col min="7" max="7" width="24.28515625" customWidth="1"/>
    <col min="8" max="8" width="11.28515625" customWidth="1"/>
    <col min="9" max="9" width="10.28515625" customWidth="1"/>
    <col min="13" max="13" width="12.28515625" customWidth="1"/>
    <col min="14" max="14" width="12.85546875" customWidth="1"/>
    <col min="15" max="15" width="14.7109375" customWidth="1"/>
    <col min="16" max="16" width="18.5703125" customWidth="1"/>
    <col min="17" max="17" width="11.28515625" customWidth="1"/>
    <col min="18" max="18" width="13.85546875" customWidth="1"/>
    <col min="19" max="19" width="14.42578125" customWidth="1"/>
    <col min="20" max="20" width="11.42578125" customWidth="1"/>
  </cols>
  <sheetData>
    <row r="2" spans="2:20" x14ac:dyDescent="0.25">
      <c r="B2" t="s">
        <v>6778</v>
      </c>
      <c r="G2" t="s">
        <v>177</v>
      </c>
    </row>
    <row r="4" spans="2:20" x14ac:dyDescent="0.25">
      <c r="H4" s="2" t="s">
        <v>142</v>
      </c>
      <c r="I4" s="2" t="s">
        <v>143</v>
      </c>
      <c r="J4" s="2" t="s">
        <v>163</v>
      </c>
      <c r="K4" s="2" t="s">
        <v>164</v>
      </c>
      <c r="L4" s="2" t="s">
        <v>166</v>
      </c>
      <c r="M4" s="2" t="s">
        <v>170</v>
      </c>
      <c r="N4" s="2" t="s">
        <v>171</v>
      </c>
      <c r="O4" s="2" t="s">
        <v>172</v>
      </c>
      <c r="P4" s="2" t="s">
        <v>173</v>
      </c>
      <c r="Q4" s="2" t="s">
        <v>191</v>
      </c>
      <c r="R4" s="2" t="s">
        <v>192</v>
      </c>
      <c r="S4" s="2" t="s">
        <v>193</v>
      </c>
      <c r="T4" s="2" t="s">
        <v>6770</v>
      </c>
    </row>
    <row r="5" spans="2:20" x14ac:dyDescent="0.25">
      <c r="G5" s="10" t="s">
        <v>132</v>
      </c>
      <c r="H5" s="10">
        <v>75</v>
      </c>
      <c r="I5" s="10">
        <v>105</v>
      </c>
      <c r="J5" s="10">
        <v>175</v>
      </c>
      <c r="K5" s="10">
        <v>2</v>
      </c>
      <c r="L5" s="10">
        <v>9.5</v>
      </c>
      <c r="M5" s="10">
        <v>2</v>
      </c>
      <c r="N5" s="10">
        <v>100</v>
      </c>
      <c r="O5" s="10">
        <v>40</v>
      </c>
      <c r="P5" s="10">
        <v>28</v>
      </c>
      <c r="Q5" s="10">
        <v>1.1000000000000001</v>
      </c>
      <c r="R5" s="10">
        <v>8.0000000000000002E-3</v>
      </c>
      <c r="S5" s="10">
        <v>30</v>
      </c>
      <c r="T5" s="10">
        <v>8</v>
      </c>
    </row>
    <row r="6" spans="2:20" x14ac:dyDescent="0.25">
      <c r="G6" s="11" t="s">
        <v>133</v>
      </c>
      <c r="H6" s="11">
        <v>95</v>
      </c>
      <c r="I6" s="11">
        <v>145</v>
      </c>
      <c r="J6" s="11">
        <v>210</v>
      </c>
      <c r="K6" s="11">
        <v>2.1</v>
      </c>
      <c r="L6" s="11">
        <v>9.5</v>
      </c>
      <c r="M6" s="11">
        <v>1.7</v>
      </c>
      <c r="N6" s="11">
        <v>100</v>
      </c>
      <c r="O6" s="11">
        <v>20</v>
      </c>
      <c r="P6" s="11">
        <v>10</v>
      </c>
      <c r="Q6" s="11">
        <v>1.1499999999999999</v>
      </c>
      <c r="R6" s="11">
        <v>8.5000000000000006E-3</v>
      </c>
      <c r="S6" s="11">
        <v>30</v>
      </c>
      <c r="T6" s="11">
        <v>10</v>
      </c>
    </row>
    <row r="7" spans="2:20" x14ac:dyDescent="0.25">
      <c r="G7" s="11" t="s">
        <v>135</v>
      </c>
      <c r="H7" s="11">
        <v>140</v>
      </c>
      <c r="I7" s="12">
        <v>200</v>
      </c>
      <c r="J7" s="12">
        <v>240</v>
      </c>
      <c r="K7" s="12">
        <v>2.2000000000000002</v>
      </c>
      <c r="L7" s="12">
        <v>9.5</v>
      </c>
      <c r="M7" s="12">
        <v>2.1</v>
      </c>
      <c r="N7" s="12">
        <v>100</v>
      </c>
      <c r="O7" s="12">
        <v>40</v>
      </c>
      <c r="P7" s="12">
        <v>14</v>
      </c>
      <c r="Q7" s="12">
        <v>1.5</v>
      </c>
      <c r="R7" s="12">
        <v>8.9999999999999993E-3</v>
      </c>
      <c r="S7" s="12">
        <v>30</v>
      </c>
      <c r="T7" s="12">
        <v>10</v>
      </c>
    </row>
    <row r="8" spans="2:20" x14ac:dyDescent="0.25">
      <c r="G8" s="11" t="s">
        <v>134</v>
      </c>
      <c r="H8" s="11">
        <v>190</v>
      </c>
      <c r="I8" s="12">
        <v>240</v>
      </c>
      <c r="J8" s="12">
        <v>360</v>
      </c>
      <c r="K8" s="12">
        <v>4.5</v>
      </c>
      <c r="L8" s="12">
        <v>6.3</v>
      </c>
      <c r="M8" s="12">
        <v>1.3</v>
      </c>
      <c r="N8" s="12">
        <v>100</v>
      </c>
      <c r="O8" s="12">
        <v>18</v>
      </c>
      <c r="P8" s="12">
        <v>22</v>
      </c>
      <c r="Q8" s="12">
        <v>1.44</v>
      </c>
      <c r="R8" s="12">
        <v>0.01</v>
      </c>
      <c r="S8" s="12">
        <v>30</v>
      </c>
      <c r="T8" s="12">
        <v>10</v>
      </c>
    </row>
    <row r="9" spans="2:20" x14ac:dyDescent="0.25">
      <c r="G9" s="13" t="s">
        <v>137</v>
      </c>
      <c r="H9" s="13">
        <v>210</v>
      </c>
      <c r="I9" s="13">
        <v>270</v>
      </c>
      <c r="J9" s="13">
        <v>300</v>
      </c>
      <c r="K9" s="13">
        <v>2.4</v>
      </c>
      <c r="L9" s="13">
        <v>9.5</v>
      </c>
      <c r="M9" s="13">
        <v>1.4</v>
      </c>
      <c r="N9" s="13">
        <v>100</v>
      </c>
      <c r="O9" s="13">
        <v>31</v>
      </c>
      <c r="P9" s="13">
        <v>34</v>
      </c>
      <c r="Q9" s="13">
        <v>1.7</v>
      </c>
      <c r="R9" s="13">
        <v>1.2E-2</v>
      </c>
      <c r="S9" s="13">
        <v>30</v>
      </c>
      <c r="T9" s="13">
        <v>15</v>
      </c>
    </row>
    <row r="10" spans="2:20" x14ac:dyDescent="0.25">
      <c r="G10" s="13" t="s">
        <v>136</v>
      </c>
      <c r="H10" s="13">
        <v>250</v>
      </c>
      <c r="I10" s="13">
        <v>310</v>
      </c>
      <c r="J10" s="13">
        <v>322</v>
      </c>
      <c r="K10" s="13">
        <v>2.5</v>
      </c>
      <c r="L10" s="13">
        <v>9.5</v>
      </c>
      <c r="M10" s="13">
        <v>2.1</v>
      </c>
      <c r="N10" s="13">
        <v>100</v>
      </c>
      <c r="O10" s="13">
        <v>50</v>
      </c>
      <c r="P10" s="13">
        <v>14</v>
      </c>
      <c r="Q10" s="13">
        <v>1.9</v>
      </c>
      <c r="R10" s="13">
        <v>1.2E-2</v>
      </c>
      <c r="S10" s="13">
        <v>30</v>
      </c>
      <c r="T10" s="13">
        <v>15</v>
      </c>
    </row>
    <row r="11" spans="2:20" x14ac:dyDescent="0.25">
      <c r="G11" s="14" t="s">
        <v>138</v>
      </c>
      <c r="H11" s="14">
        <v>290</v>
      </c>
      <c r="I11" s="14">
        <v>350</v>
      </c>
      <c r="J11" s="14">
        <v>343</v>
      </c>
      <c r="K11" s="14">
        <v>2.6</v>
      </c>
      <c r="L11" s="14">
        <v>9.5</v>
      </c>
      <c r="M11" s="14">
        <v>1.6</v>
      </c>
      <c r="N11" s="14">
        <v>100</v>
      </c>
      <c r="O11" s="14">
        <v>29</v>
      </c>
      <c r="P11" s="14">
        <v>17</v>
      </c>
      <c r="Q11" s="14">
        <v>2.1</v>
      </c>
      <c r="R11" s="14">
        <v>1.2999999999999999E-2</v>
      </c>
      <c r="S11" s="14">
        <v>25</v>
      </c>
      <c r="T11" s="14">
        <v>15</v>
      </c>
    </row>
    <row r="12" spans="2:20" x14ac:dyDescent="0.25">
      <c r="G12" s="15" t="s">
        <v>140</v>
      </c>
      <c r="H12" s="15">
        <v>330</v>
      </c>
      <c r="I12" s="15">
        <v>400</v>
      </c>
      <c r="J12" s="15">
        <v>425</v>
      </c>
      <c r="K12" s="15">
        <v>3.2</v>
      </c>
      <c r="L12" s="15">
        <v>9.5</v>
      </c>
      <c r="M12" s="15">
        <v>1.4</v>
      </c>
      <c r="N12" s="15">
        <v>100</v>
      </c>
      <c r="O12" s="15">
        <v>20</v>
      </c>
      <c r="P12" s="15">
        <v>18</v>
      </c>
      <c r="Q12" s="15">
        <v>2.2999999999999998</v>
      </c>
      <c r="R12" s="15">
        <v>1.4E-2</v>
      </c>
      <c r="S12" s="15">
        <v>25</v>
      </c>
      <c r="T12" s="15">
        <v>20</v>
      </c>
    </row>
    <row r="13" spans="2:20" x14ac:dyDescent="0.25">
      <c r="G13" s="15" t="s">
        <v>6791</v>
      </c>
      <c r="H13" s="15">
        <v>360</v>
      </c>
      <c r="I13" s="15">
        <v>430</v>
      </c>
      <c r="J13" s="15">
        <v>440</v>
      </c>
      <c r="K13" s="15">
        <v>3.4</v>
      </c>
      <c r="L13" s="15">
        <v>9.5</v>
      </c>
      <c r="M13" s="15">
        <v>1.8</v>
      </c>
      <c r="N13" s="15">
        <v>100</v>
      </c>
      <c r="O13" s="15">
        <v>40</v>
      </c>
      <c r="P13" s="15">
        <v>14</v>
      </c>
      <c r="Q13" s="15">
        <v>2.2999999999999998</v>
      </c>
      <c r="R13" s="15">
        <v>1.4E-2</v>
      </c>
      <c r="S13" s="15">
        <v>25</v>
      </c>
      <c r="T13" s="15">
        <v>20</v>
      </c>
    </row>
    <row r="14" spans="2:20" x14ac:dyDescent="0.25">
      <c r="G14" s="15" t="s">
        <v>139</v>
      </c>
      <c r="H14" s="15">
        <v>375</v>
      </c>
      <c r="I14" s="15">
        <v>445</v>
      </c>
      <c r="J14" s="15">
        <v>540</v>
      </c>
      <c r="K14" s="15">
        <v>3.9</v>
      </c>
      <c r="L14" s="15">
        <v>9.5</v>
      </c>
      <c r="M14" s="15">
        <v>1.6</v>
      </c>
      <c r="N14" s="15">
        <v>100</v>
      </c>
      <c r="O14" s="15">
        <v>50</v>
      </c>
      <c r="P14" s="15">
        <v>34</v>
      </c>
      <c r="Q14" s="15">
        <v>2.2999999999999998</v>
      </c>
      <c r="R14" s="15">
        <v>1.4999999999999999E-2</v>
      </c>
      <c r="S14" s="15">
        <v>25</v>
      </c>
      <c r="T14" s="15">
        <v>20</v>
      </c>
    </row>
    <row r="15" spans="2:20" x14ac:dyDescent="0.25">
      <c r="G15" s="16" t="s">
        <v>141</v>
      </c>
      <c r="H15" s="16">
        <v>425</v>
      </c>
      <c r="I15" s="16">
        <v>500</v>
      </c>
      <c r="J15" s="16">
        <v>680</v>
      </c>
      <c r="K15" s="16">
        <v>4.7</v>
      </c>
      <c r="L15" s="16">
        <v>9.5</v>
      </c>
      <c r="M15" s="16">
        <v>1.4</v>
      </c>
      <c r="N15" s="16">
        <v>100</v>
      </c>
      <c r="O15" s="16">
        <v>33</v>
      </c>
      <c r="P15" s="16">
        <v>34</v>
      </c>
      <c r="Q15" s="16">
        <v>2.4</v>
      </c>
      <c r="R15" s="16">
        <v>1.6E-2</v>
      </c>
      <c r="S15" s="16">
        <v>20</v>
      </c>
      <c r="T15" s="16">
        <v>20</v>
      </c>
    </row>
    <row r="18" spans="7:14" x14ac:dyDescent="0.25">
      <c r="G18" t="s">
        <v>178</v>
      </c>
    </row>
    <row r="20" spans="7:14" x14ac:dyDescent="0.25">
      <c r="H20" s="41" t="s">
        <v>182</v>
      </c>
      <c r="I20" s="2" t="s">
        <v>183</v>
      </c>
    </row>
    <row r="21" spans="7:14" x14ac:dyDescent="0.25">
      <c r="G21" s="36" t="s">
        <v>179</v>
      </c>
      <c r="H21" s="38">
        <v>0.25</v>
      </c>
      <c r="I21" s="39">
        <v>1</v>
      </c>
    </row>
    <row r="22" spans="7:14" x14ac:dyDescent="0.25">
      <c r="G22" s="36" t="s">
        <v>180</v>
      </c>
      <c r="H22" s="37">
        <v>0.1</v>
      </c>
      <c r="I22" s="40">
        <v>0.7</v>
      </c>
    </row>
    <row r="23" spans="7:14" x14ac:dyDescent="0.25">
      <c r="G23" s="36" t="s">
        <v>181</v>
      </c>
      <c r="H23" s="37">
        <v>0.05</v>
      </c>
      <c r="I23" s="40">
        <v>0.4</v>
      </c>
    </row>
    <row r="32" spans="7:14" x14ac:dyDescent="0.25">
      <c r="N32" s="72"/>
    </row>
    <row r="34" spans="8:12" x14ac:dyDescent="0.25">
      <c r="L34" s="72"/>
    </row>
    <row r="36" spans="8:12" x14ac:dyDescent="0.25">
      <c r="H36" s="72"/>
      <c r="I36" s="72"/>
    </row>
  </sheetData>
  <dataValidations count="1">
    <dataValidation type="decimal" allowBlank="1" showInputMessage="1" showErrorMessage="1" prompt="percentage [0..1]" sqref="H21:H23">
      <formula1>0</formula1>
      <formula2>1</formula2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I910"/>
  <sheetViews>
    <sheetView topLeftCell="ES1" workbookViewId="0">
      <selection activeCell="FB18" sqref="FB18"/>
    </sheetView>
  </sheetViews>
  <sheetFormatPr defaultRowHeight="15" x14ac:dyDescent="0.25"/>
  <cols>
    <col min="2" max="2" width="27.85546875" customWidth="1"/>
    <col min="3" max="3" width="24" customWidth="1"/>
    <col min="4" max="4" width="17.28515625" customWidth="1"/>
    <col min="5" max="5" width="19.42578125" customWidth="1"/>
    <col min="6" max="6" width="8.140625" customWidth="1"/>
    <col min="7" max="7" width="11.140625" customWidth="1"/>
    <col min="8" max="8" width="12.42578125" customWidth="1"/>
    <col min="9" max="9" width="15.140625" customWidth="1"/>
    <col min="10" max="10" width="14.7109375" customWidth="1"/>
    <col min="11" max="11" width="12.42578125" customWidth="1"/>
    <col min="13" max="13" width="27.85546875" customWidth="1"/>
    <col min="14" max="14" width="23.140625" customWidth="1"/>
    <col min="15" max="15" width="15.7109375" customWidth="1"/>
    <col min="16" max="16" width="19.7109375" customWidth="1"/>
    <col min="17" max="17" width="7" customWidth="1"/>
    <col min="18" max="18" width="10.85546875" customWidth="1"/>
    <col min="19" max="19" width="12.85546875" customWidth="1"/>
    <col min="20" max="20" width="15.140625" customWidth="1"/>
    <col min="21" max="21" width="14.5703125" customWidth="1"/>
    <col min="22" max="23" width="12.85546875" customWidth="1"/>
    <col min="24" max="24" width="28.140625" customWidth="1"/>
    <col min="25" max="25" width="23.85546875" customWidth="1"/>
    <col min="26" max="26" width="16.28515625" customWidth="1"/>
    <col min="27" max="27" width="19.140625" customWidth="1"/>
    <col min="28" max="28" width="6.85546875" customWidth="1"/>
    <col min="29" max="30" width="12.85546875" customWidth="1"/>
    <col min="31" max="31" width="14.7109375" customWidth="1"/>
    <col min="32" max="32" width="15.140625" customWidth="1"/>
    <col min="33" max="33" width="12.85546875" customWidth="1"/>
    <col min="35" max="35" width="29" customWidth="1"/>
    <col min="36" max="36" width="23.140625" customWidth="1"/>
    <col min="37" max="37" width="15.7109375" customWidth="1"/>
    <col min="38" max="38" width="19.85546875" customWidth="1"/>
    <col min="39" max="39" width="8" customWidth="1"/>
    <col min="40" max="40" width="11.140625" customWidth="1"/>
    <col min="41" max="41" width="13.140625" customWidth="1"/>
    <col min="42" max="42" width="14.28515625" customWidth="1"/>
    <col min="43" max="43" width="15" customWidth="1"/>
    <col min="44" max="44" width="12.42578125" customWidth="1"/>
    <col min="46" max="46" width="29.28515625" customWidth="1"/>
    <col min="47" max="47" width="23.140625" customWidth="1"/>
    <col min="48" max="48" width="15.7109375" customWidth="1"/>
    <col min="49" max="49" width="19.85546875" customWidth="1"/>
    <col min="50" max="50" width="8" customWidth="1"/>
    <col min="51" max="51" width="11.42578125" customWidth="1"/>
    <col min="52" max="52" width="13.42578125" customWidth="1"/>
    <col min="53" max="53" width="15.42578125" customWidth="1"/>
    <col min="54" max="54" width="14.7109375" customWidth="1"/>
    <col min="55" max="55" width="13.140625" customWidth="1"/>
    <col min="57" max="57" width="28.7109375" customWidth="1"/>
    <col min="58" max="58" width="24" customWidth="1"/>
    <col min="59" max="59" width="17.28515625" customWidth="1"/>
    <col min="60" max="60" width="19.42578125" customWidth="1"/>
    <col min="62" max="62" width="10.5703125" customWidth="1"/>
    <col min="63" max="63" width="13.140625" customWidth="1"/>
    <col min="64" max="64" width="14.85546875" customWidth="1"/>
    <col min="65" max="65" width="15.140625" customWidth="1"/>
    <col min="66" max="66" width="13.140625" customWidth="1"/>
    <col min="68" max="68" width="27.28515625" customWidth="1"/>
    <col min="69" max="69" width="24.85546875" customWidth="1"/>
    <col min="70" max="70" width="16.42578125" customWidth="1"/>
    <col min="71" max="71" width="19.85546875" customWidth="1"/>
    <col min="73" max="73" width="10.85546875" customWidth="1"/>
    <col min="74" max="77" width="14.7109375" customWidth="1"/>
    <col min="78" max="78" width="9.140625" style="81"/>
    <col min="79" max="79" width="30" customWidth="1"/>
    <col min="80" max="80" width="23.85546875" customWidth="1"/>
    <col min="81" max="81" width="16.28515625" customWidth="1"/>
    <col min="82" max="82" width="21" customWidth="1"/>
    <col min="83" max="83" width="14.5703125" customWidth="1"/>
    <col min="84" max="84" width="13.85546875" customWidth="1"/>
    <col min="85" max="85" width="14.42578125" customWidth="1"/>
    <col min="86" max="86" width="15.7109375" customWidth="1"/>
    <col min="87" max="87" width="15.42578125" customWidth="1"/>
    <col min="88" max="88" width="14.42578125" customWidth="1"/>
    <col min="90" max="90" width="30.85546875" customWidth="1"/>
    <col min="91" max="91" width="23.7109375" customWidth="1"/>
    <col min="92" max="92" width="16.28515625" customWidth="1"/>
    <col min="93" max="93" width="22.42578125" customWidth="1"/>
    <col min="94" max="95" width="10.85546875" customWidth="1"/>
    <col min="96" max="96" width="13.5703125" customWidth="1"/>
    <col min="97" max="98" width="14.7109375" customWidth="1"/>
    <col min="99" max="99" width="13.5703125" customWidth="1"/>
    <col min="101" max="101" width="30.7109375" customWidth="1"/>
    <col min="102" max="102" width="25" customWidth="1"/>
    <col min="103" max="103" width="17.85546875" customWidth="1"/>
    <col min="104" max="104" width="23.28515625" customWidth="1"/>
    <col min="105" max="105" width="11" customWidth="1"/>
    <col min="106" max="106" width="12.140625" customWidth="1"/>
    <col min="107" max="107" width="13.85546875" customWidth="1"/>
    <col min="108" max="108" width="15.5703125" customWidth="1"/>
    <col min="109" max="109" width="15.140625" customWidth="1"/>
    <col min="110" max="110" width="13.85546875" customWidth="1"/>
    <col min="112" max="112" width="34.42578125" customWidth="1"/>
    <col min="113" max="113" width="25.5703125" customWidth="1"/>
    <col min="114" max="114" width="17.42578125" customWidth="1"/>
    <col min="115" max="115" width="21.42578125" customWidth="1"/>
    <col min="116" max="116" width="14" customWidth="1"/>
    <col min="117" max="117" width="11.7109375" customWidth="1"/>
    <col min="118" max="121" width="16.5703125" customWidth="1"/>
    <col min="122" max="122" width="9.140625" style="81"/>
    <col min="123" max="123" width="37.85546875" customWidth="1"/>
    <col min="124" max="124" width="25.85546875" customWidth="1"/>
    <col min="125" max="125" width="15.7109375" customWidth="1"/>
    <col min="126" max="126" width="20.140625" customWidth="1"/>
    <col min="128" max="128" width="9.7109375" customWidth="1"/>
    <col min="129" max="129" width="12.5703125" customWidth="1"/>
    <col min="130" max="130" width="15.7109375" customWidth="1"/>
    <col min="131" max="131" width="15" customWidth="1"/>
    <col min="132" max="132" width="12.5703125" customWidth="1"/>
    <col min="134" max="134" width="30.85546875" customWidth="1"/>
    <col min="135" max="135" width="24.140625" customWidth="1"/>
    <col min="136" max="136" width="17.5703125" customWidth="1"/>
    <col min="137" max="137" width="19.42578125" customWidth="1"/>
    <col min="139" max="139" width="12.42578125" customWidth="1"/>
    <col min="140" max="140" width="13.140625" customWidth="1"/>
    <col min="141" max="141" width="15" customWidth="1"/>
    <col min="142" max="142" width="15.140625" customWidth="1"/>
    <col min="143" max="143" width="13.140625" customWidth="1"/>
    <col min="145" max="145" width="24.7109375" customWidth="1"/>
    <col min="146" max="146" width="25.28515625" customWidth="1"/>
    <col min="147" max="147" width="16.42578125" customWidth="1"/>
    <col min="148" max="148" width="20.42578125" customWidth="1"/>
    <col min="150" max="150" width="12" customWidth="1"/>
    <col min="151" max="151" width="14" customWidth="1"/>
    <col min="152" max="152" width="15.42578125" customWidth="1"/>
    <col min="153" max="153" width="15.140625" customWidth="1"/>
    <col min="154" max="154" width="14" customWidth="1"/>
    <col min="156" max="156" width="22.28515625" customWidth="1"/>
    <col min="157" max="157" width="24.7109375" customWidth="1"/>
    <col min="158" max="158" width="17.5703125" customWidth="1"/>
    <col min="159" max="159" width="19.5703125" customWidth="1"/>
    <col min="161" max="161" width="11.7109375" customWidth="1"/>
    <col min="162" max="162" width="14" customWidth="1"/>
    <col min="163" max="163" width="15.7109375" customWidth="1"/>
    <col min="164" max="164" width="15.140625" customWidth="1"/>
    <col min="165" max="165" width="12.85546875" customWidth="1"/>
  </cols>
  <sheetData>
    <row r="2" spans="2:162" x14ac:dyDescent="0.25">
      <c r="B2" t="s">
        <v>6761</v>
      </c>
      <c r="CM2" s="82"/>
    </row>
    <row r="4" spans="2:162" x14ac:dyDescent="0.25">
      <c r="B4" s="1" t="s">
        <v>265</v>
      </c>
      <c r="C4" s="1" t="s">
        <v>262</v>
      </c>
      <c r="F4" s="80"/>
      <c r="G4" s="80"/>
      <c r="M4" s="1" t="s">
        <v>265</v>
      </c>
      <c r="N4" s="1" t="s">
        <v>262</v>
      </c>
      <c r="Q4" s="80"/>
      <c r="R4" s="80"/>
      <c r="X4" s="1" t="s">
        <v>265</v>
      </c>
      <c r="Y4" s="1" t="s">
        <v>262</v>
      </c>
      <c r="AB4" s="80"/>
      <c r="AC4" s="80"/>
      <c r="AI4" s="1" t="s">
        <v>265</v>
      </c>
      <c r="AJ4" s="1" t="s">
        <v>262</v>
      </c>
      <c r="AM4" s="80"/>
      <c r="AN4" s="80"/>
      <c r="AT4" s="1" t="s">
        <v>265</v>
      </c>
      <c r="AU4" s="1" t="s">
        <v>262</v>
      </c>
      <c r="AX4" s="80"/>
      <c r="AY4" s="80"/>
      <c r="BE4" s="1" t="s">
        <v>265</v>
      </c>
      <c r="BF4" s="1" t="s">
        <v>262</v>
      </c>
      <c r="BI4" s="80"/>
      <c r="BJ4" s="80"/>
      <c r="BP4" s="1" t="s">
        <v>265</v>
      </c>
      <c r="BQ4" s="1" t="s">
        <v>262</v>
      </c>
      <c r="BT4" s="80"/>
      <c r="BU4" s="80"/>
      <c r="CA4" s="1" t="s">
        <v>265</v>
      </c>
      <c r="CB4" s="1" t="s">
        <v>514</v>
      </c>
      <c r="CE4" s="80"/>
      <c r="CF4" s="80"/>
      <c r="CL4" s="1" t="s">
        <v>265</v>
      </c>
      <c r="CM4" s="1" t="s">
        <v>514</v>
      </c>
      <c r="CP4" s="80"/>
      <c r="CQ4" s="80"/>
      <c r="CW4" s="1" t="s">
        <v>265</v>
      </c>
      <c r="CX4" s="1" t="s">
        <v>514</v>
      </c>
      <c r="DA4" s="80"/>
      <c r="DB4" s="80"/>
      <c r="DH4" s="1" t="s">
        <v>265</v>
      </c>
      <c r="DI4" s="1" t="s">
        <v>514</v>
      </c>
      <c r="DL4" s="80"/>
      <c r="DM4" s="80"/>
      <c r="DS4" s="1" t="s">
        <v>265</v>
      </c>
      <c r="DT4" s="1" t="s">
        <v>554</v>
      </c>
      <c r="DW4" s="80"/>
      <c r="DX4" s="80"/>
      <c r="ED4" s="1" t="s">
        <v>265</v>
      </c>
      <c r="EE4" s="1" t="s">
        <v>554</v>
      </c>
      <c r="EH4" s="80"/>
      <c r="EI4" s="80"/>
      <c r="EO4" s="1" t="s">
        <v>265</v>
      </c>
      <c r="EP4" s="1" t="s">
        <v>554</v>
      </c>
      <c r="ES4" s="80"/>
      <c r="ET4" s="80"/>
      <c r="EZ4" s="1" t="s">
        <v>265</v>
      </c>
      <c r="FA4" s="1" t="s">
        <v>554</v>
      </c>
      <c r="FD4" s="80"/>
      <c r="FE4" s="80"/>
    </row>
    <row r="5" spans="2:162" x14ac:dyDescent="0.25">
      <c r="B5" s="1" t="s">
        <v>219</v>
      </c>
      <c r="C5" s="1" t="s">
        <v>380</v>
      </c>
      <c r="E5" s="1" t="s">
        <v>493</v>
      </c>
      <c r="F5" s="1">
        <v>201</v>
      </c>
      <c r="G5" s="1">
        <v>108</v>
      </c>
      <c r="H5" s="1" t="s">
        <v>494</v>
      </c>
      <c r="I5" s="1"/>
      <c r="J5" s="1"/>
      <c r="K5" s="1"/>
      <c r="M5" s="1" t="s">
        <v>219</v>
      </c>
      <c r="N5" s="1" t="s">
        <v>381</v>
      </c>
      <c r="P5" s="1" t="s">
        <v>493</v>
      </c>
      <c r="Q5" s="1">
        <v>90</v>
      </c>
      <c r="R5" s="1">
        <v>120</v>
      </c>
      <c r="S5" s="1" t="s">
        <v>494</v>
      </c>
      <c r="T5" s="1"/>
      <c r="U5" s="1"/>
      <c r="V5" s="1"/>
      <c r="X5" s="1" t="s">
        <v>219</v>
      </c>
      <c r="Y5" s="1" t="s">
        <v>448</v>
      </c>
      <c r="AA5" s="1" t="s">
        <v>493</v>
      </c>
      <c r="AB5" s="1">
        <v>60</v>
      </c>
      <c r="AC5" s="1">
        <v>120</v>
      </c>
      <c r="AD5" s="1" t="s">
        <v>494</v>
      </c>
      <c r="AE5" s="1"/>
      <c r="AF5" s="1"/>
      <c r="AG5" s="1"/>
      <c r="AI5" s="1" t="s">
        <v>219</v>
      </c>
      <c r="AJ5" s="1" t="s">
        <v>392</v>
      </c>
      <c r="AL5" s="1" t="s">
        <v>493</v>
      </c>
      <c r="AM5" s="1">
        <v>170</v>
      </c>
      <c r="AN5" s="1">
        <v>120</v>
      </c>
      <c r="AO5" s="1" t="s">
        <v>494</v>
      </c>
      <c r="AP5" s="1"/>
      <c r="AQ5" s="1"/>
      <c r="AR5" s="1"/>
      <c r="AT5" s="1" t="s">
        <v>219</v>
      </c>
      <c r="AU5" s="1" t="s">
        <v>397</v>
      </c>
      <c r="AW5" s="1" t="s">
        <v>493</v>
      </c>
      <c r="AX5" s="1">
        <v>150</v>
      </c>
      <c r="AY5" s="1">
        <v>30</v>
      </c>
      <c r="AZ5" s="1" t="s">
        <v>494</v>
      </c>
      <c r="BA5" s="1"/>
      <c r="BB5" s="1"/>
      <c r="BC5" s="1"/>
      <c r="BE5" s="1" t="s">
        <v>219</v>
      </c>
      <c r="BF5" s="1" t="s">
        <v>610</v>
      </c>
      <c r="BH5" s="1" t="s">
        <v>493</v>
      </c>
      <c r="BI5" s="1">
        <v>220</v>
      </c>
      <c r="BJ5" s="1">
        <v>110</v>
      </c>
      <c r="BK5" s="1" t="s">
        <v>494</v>
      </c>
      <c r="BL5" s="1"/>
      <c r="BM5" s="1"/>
      <c r="BN5" s="1"/>
      <c r="BP5" s="1" t="s">
        <v>219</v>
      </c>
      <c r="BQ5" s="1" t="s">
        <v>611</v>
      </c>
      <c r="BS5" s="1" t="s">
        <v>493</v>
      </c>
      <c r="BT5" s="1">
        <v>200</v>
      </c>
      <c r="BU5" s="1">
        <v>115</v>
      </c>
      <c r="BV5" s="1" t="s">
        <v>494</v>
      </c>
      <c r="BW5" s="1"/>
      <c r="BX5" s="1"/>
      <c r="BY5" s="1"/>
      <c r="CA5" s="1" t="s">
        <v>219</v>
      </c>
      <c r="CB5" s="1" t="s">
        <v>515</v>
      </c>
      <c r="CD5" s="1" t="s">
        <v>493</v>
      </c>
      <c r="CE5" s="1">
        <v>190</v>
      </c>
      <c r="CF5" s="1">
        <v>120</v>
      </c>
      <c r="CG5" s="1" t="s">
        <v>494</v>
      </c>
      <c r="CH5" s="1"/>
      <c r="CI5" s="1"/>
      <c r="CJ5" s="1"/>
      <c r="CL5" s="1" t="s">
        <v>219</v>
      </c>
      <c r="CM5" s="1" t="s">
        <v>528</v>
      </c>
      <c r="CO5" s="1" t="s">
        <v>493</v>
      </c>
      <c r="CP5" s="1">
        <v>190</v>
      </c>
      <c r="CQ5" s="1">
        <v>60</v>
      </c>
      <c r="CR5" s="1" t="s">
        <v>494</v>
      </c>
      <c r="CS5" s="1"/>
      <c r="CT5" s="1"/>
      <c r="CU5" s="1"/>
      <c r="CW5" s="1" t="s">
        <v>219</v>
      </c>
      <c r="CX5" s="1" t="s">
        <v>532</v>
      </c>
      <c r="CZ5" s="1" t="s">
        <v>493</v>
      </c>
      <c r="DA5" s="1">
        <v>200</v>
      </c>
      <c r="DB5" s="1">
        <v>70</v>
      </c>
      <c r="DC5" s="1" t="s">
        <v>494</v>
      </c>
      <c r="DD5" s="1"/>
      <c r="DE5" s="1"/>
      <c r="DF5" s="1"/>
      <c r="DH5" s="1" t="s">
        <v>219</v>
      </c>
      <c r="DI5" s="1" t="s">
        <v>553</v>
      </c>
      <c r="DK5" s="1" t="s">
        <v>493</v>
      </c>
      <c r="DL5" s="1">
        <v>390</v>
      </c>
      <c r="DM5" s="1">
        <v>230</v>
      </c>
      <c r="DN5" s="1" t="s">
        <v>494</v>
      </c>
      <c r="DO5" s="1"/>
      <c r="DP5" s="1"/>
      <c r="DQ5" s="1"/>
      <c r="DS5" s="1" t="s">
        <v>219</v>
      </c>
      <c r="DT5" s="1" t="s">
        <v>615</v>
      </c>
      <c r="DV5" s="1" t="s">
        <v>493</v>
      </c>
      <c r="DW5" s="1">
        <v>390</v>
      </c>
      <c r="DX5" s="1">
        <v>230</v>
      </c>
      <c r="DY5" s="1" t="s">
        <v>494</v>
      </c>
      <c r="DZ5" s="1"/>
      <c r="EA5" s="1"/>
      <c r="EB5" s="1"/>
      <c r="ED5" s="1" t="s">
        <v>219</v>
      </c>
      <c r="EE5" s="1" t="s">
        <v>617</v>
      </c>
      <c r="EG5" s="1" t="s">
        <v>493</v>
      </c>
      <c r="EH5" s="1">
        <v>390</v>
      </c>
      <c r="EI5" s="1">
        <v>230</v>
      </c>
      <c r="EJ5" s="1" t="s">
        <v>494</v>
      </c>
      <c r="EK5" s="1"/>
      <c r="EL5" s="1"/>
      <c r="EM5" s="1"/>
      <c r="EO5" s="1" t="s">
        <v>219</v>
      </c>
      <c r="EP5" s="1" t="s">
        <v>622</v>
      </c>
      <c r="ER5" s="1" t="s">
        <v>493</v>
      </c>
      <c r="ES5" s="1">
        <v>390</v>
      </c>
      <c r="ET5" s="1">
        <v>230</v>
      </c>
      <c r="EU5" s="1" t="s">
        <v>494</v>
      </c>
      <c r="EV5" s="1"/>
      <c r="EW5" s="1"/>
      <c r="EX5" s="1"/>
      <c r="EZ5" s="1" t="s">
        <v>219</v>
      </c>
      <c r="FA5" s="1" t="s">
        <v>623</v>
      </c>
      <c r="FC5" s="1" t="s">
        <v>493</v>
      </c>
      <c r="FD5" s="1">
        <v>390</v>
      </c>
      <c r="FE5" s="1">
        <v>230</v>
      </c>
      <c r="FF5" s="1" t="s">
        <v>494</v>
      </c>
    </row>
    <row r="6" spans="2:162" x14ac:dyDescent="0.25">
      <c r="B6" s="1" t="s">
        <v>220</v>
      </c>
      <c r="C6" s="71">
        <f ca="1">ROUNDUP(SUM(Table245[total xp]),0)</f>
        <v>48687</v>
      </c>
      <c r="E6" s="1" t="s">
        <v>495</v>
      </c>
      <c r="F6" s="1">
        <f ca="1">ROUND(C6/(F5*G5),1)</f>
        <v>2.2000000000000002</v>
      </c>
      <c r="G6" s="1" t="s">
        <v>496</v>
      </c>
      <c r="M6" s="1" t="s">
        <v>220</v>
      </c>
      <c r="N6" s="71">
        <f ca="1">ROUNDUP(SUM(Table3[total xp]),0)</f>
        <v>15012</v>
      </c>
      <c r="P6" s="1" t="s">
        <v>495</v>
      </c>
      <c r="Q6" s="1">
        <f ca="1">ROUND(N6/(Q5*R5),1)</f>
        <v>1.4</v>
      </c>
      <c r="R6" s="1" t="s">
        <v>496</v>
      </c>
      <c r="X6" s="1" t="s">
        <v>220</v>
      </c>
      <c r="Y6" s="71">
        <f ca="1">ROUNDUP(SUM(Table39[total xp]),0)</f>
        <v>4265</v>
      </c>
      <c r="AA6" s="1" t="s">
        <v>495</v>
      </c>
      <c r="AB6" s="1">
        <f ca="1">ROUND(Y6/(AB5*AC5),1)</f>
        <v>0.6</v>
      </c>
      <c r="AC6" s="1" t="s">
        <v>496</v>
      </c>
      <c r="AI6" s="1" t="s">
        <v>220</v>
      </c>
      <c r="AJ6" s="71">
        <f ca="1">ROUNDUP(SUM(Table2[total xp]),0)</f>
        <v>29200</v>
      </c>
      <c r="AL6" s="1" t="s">
        <v>495</v>
      </c>
      <c r="AM6" s="1">
        <f ca="1">ROUND(AJ6/(AM5*AN5),1)</f>
        <v>1.4</v>
      </c>
      <c r="AN6" s="1" t="s">
        <v>496</v>
      </c>
      <c r="AT6" s="1" t="s">
        <v>220</v>
      </c>
      <c r="AU6" s="71">
        <f ca="1">ROUNDUP(SUM(Table6[total xp]),0)</f>
        <v>11548</v>
      </c>
      <c r="AW6" s="1" t="s">
        <v>495</v>
      </c>
      <c r="AX6" s="1">
        <f ca="1">ROUND(AU6/(AX5*AY5),1)</f>
        <v>2.6</v>
      </c>
      <c r="AY6" s="1" t="s">
        <v>496</v>
      </c>
      <c r="BE6" s="1" t="s">
        <v>220</v>
      </c>
      <c r="BF6" s="71">
        <f ca="1">ROUNDUP(SUM(Table610[total xp]),0)</f>
        <v>13827</v>
      </c>
      <c r="BH6" s="1" t="s">
        <v>495</v>
      </c>
      <c r="BI6" s="1">
        <f ca="1">ROUND(BF6/(BI5*BJ5),1)</f>
        <v>0.6</v>
      </c>
      <c r="BJ6" s="1" t="s">
        <v>496</v>
      </c>
      <c r="BP6" s="1" t="s">
        <v>220</v>
      </c>
      <c r="BQ6" s="71">
        <f ca="1">ROUNDUP(SUM(Table61011[total xp]),0)</f>
        <v>37100</v>
      </c>
      <c r="BS6" s="1" t="s">
        <v>495</v>
      </c>
      <c r="BT6" s="1">
        <f ca="1">ROUND(BQ6/(BT5*BU5),1)</f>
        <v>1.6</v>
      </c>
      <c r="BU6" s="1" t="s">
        <v>496</v>
      </c>
      <c r="CA6" s="1" t="s">
        <v>220</v>
      </c>
      <c r="CB6" s="71">
        <f ca="1">ROUNDUP(SUM(Table11[total xp]),0)</f>
        <v>26846</v>
      </c>
      <c r="CD6" s="1" t="s">
        <v>495</v>
      </c>
      <c r="CE6" s="1">
        <f ca="1">ROUND(CB6/(CE5*CF5),1)</f>
        <v>1.2</v>
      </c>
      <c r="CF6" s="1" t="s">
        <v>496</v>
      </c>
      <c r="CL6" s="1" t="s">
        <v>220</v>
      </c>
      <c r="CM6" s="71">
        <f ca="1">ROUNDUP(SUM(Table12[total xp]),0)</f>
        <v>11797</v>
      </c>
      <c r="CO6" s="1" t="s">
        <v>495</v>
      </c>
      <c r="CP6" s="1">
        <f ca="1">ROUND(CM6/(CP5*CQ5),1)</f>
        <v>1</v>
      </c>
      <c r="CQ6" s="1" t="s">
        <v>496</v>
      </c>
      <c r="CW6" s="1" t="s">
        <v>220</v>
      </c>
      <c r="CX6" s="71">
        <f ca="1">ROUNDUP(SUM(Table13[total xp]),0)</f>
        <v>24411</v>
      </c>
      <c r="CZ6" s="1" t="s">
        <v>495</v>
      </c>
      <c r="DA6" s="1">
        <f ca="1">ROUND(CX6/(DA5*DB5),1)</f>
        <v>1.7</v>
      </c>
      <c r="DB6" s="1" t="s">
        <v>496</v>
      </c>
      <c r="DH6" s="1" t="s">
        <v>220</v>
      </c>
      <c r="DI6" s="71">
        <f ca="1">ROUNDUP(SUM(Table14[total xp]),0)</f>
        <v>56786</v>
      </c>
      <c r="DK6" s="1" t="s">
        <v>495</v>
      </c>
      <c r="DL6" s="1">
        <f ca="1">ROUND(DI6/(DL5*DM5),1)</f>
        <v>0.6</v>
      </c>
      <c r="DM6" s="1" t="s">
        <v>496</v>
      </c>
      <c r="DS6" s="1" t="s">
        <v>220</v>
      </c>
      <c r="DT6" s="71">
        <f ca="1">ROUNDUP(SUM(Table18[total xp]),0)</f>
        <v>23148</v>
      </c>
      <c r="DV6" s="1" t="s">
        <v>495</v>
      </c>
      <c r="DW6" s="1">
        <f ca="1">ROUND(DT6/(DW5*DX5),1)</f>
        <v>0.3</v>
      </c>
      <c r="DX6" s="1" t="s">
        <v>496</v>
      </c>
      <c r="ED6" s="1" t="s">
        <v>220</v>
      </c>
      <c r="EE6" s="71">
        <f ca="1">ROUNDUP(SUM(Table1820[total xp]),0)</f>
        <v>19119</v>
      </c>
      <c r="EG6" s="1" t="s">
        <v>495</v>
      </c>
      <c r="EH6" s="1">
        <f ca="1">ROUND(EE6/(EH5*EI5),1)</f>
        <v>0.2</v>
      </c>
      <c r="EI6" s="1" t="s">
        <v>496</v>
      </c>
      <c r="EO6" s="1" t="s">
        <v>220</v>
      </c>
      <c r="EP6" s="71">
        <f ca="1">ROUNDUP(SUM(Table182023[total xp]),0)</f>
        <v>19845</v>
      </c>
      <c r="ER6" s="1" t="s">
        <v>495</v>
      </c>
      <c r="ES6" s="1">
        <f ca="1">ROUND(EP6/(ES5*ET5),1)</f>
        <v>0.2</v>
      </c>
      <c r="ET6" s="1" t="s">
        <v>496</v>
      </c>
      <c r="EZ6" s="1" t="s">
        <v>220</v>
      </c>
      <c r="FA6" s="71">
        <f ca="1">ROUNDUP(SUM(Table18202324[total xp]),0)</f>
        <v>22877</v>
      </c>
      <c r="FC6" s="1" t="s">
        <v>495</v>
      </c>
      <c r="FD6" s="1">
        <f ca="1">ROUND(FA6/(FD5*FE5),1)</f>
        <v>0.3</v>
      </c>
      <c r="FE6" s="1" t="s">
        <v>496</v>
      </c>
    </row>
    <row r="7" spans="2:162" x14ac:dyDescent="0.25">
      <c r="B7" s="1" t="s">
        <v>339</v>
      </c>
      <c r="C7" s="71">
        <f>COUNTA(Table245[spawner_sku])</f>
        <v>658</v>
      </c>
      <c r="E7" s="1" t="s">
        <v>497</v>
      </c>
      <c r="F7" s="1">
        <f>ROUND(C7/(F5*G5),4)</f>
        <v>3.0300000000000001E-2</v>
      </c>
      <c r="G7" s="1" t="s">
        <v>498</v>
      </c>
      <c r="M7" s="1" t="s">
        <v>339</v>
      </c>
      <c r="N7" s="71">
        <f>COUNTA(Table3[spawner_sku])</f>
        <v>199</v>
      </c>
      <c r="P7" s="1" t="s">
        <v>497</v>
      </c>
      <c r="Q7" s="1">
        <f>ROUND(N7/(Q5*R5),4)</f>
        <v>1.84E-2</v>
      </c>
      <c r="R7" s="1" t="s">
        <v>498</v>
      </c>
      <c r="X7" s="1" t="s">
        <v>339</v>
      </c>
      <c r="Y7" s="71">
        <f>COUNTA(Table39[spawner_sku])</f>
        <v>78</v>
      </c>
      <c r="AA7" s="1" t="s">
        <v>497</v>
      </c>
      <c r="AB7" s="1">
        <f>ROUND(Y7/(AB5*AC5),4)</f>
        <v>1.0800000000000001E-2</v>
      </c>
      <c r="AC7" s="1" t="s">
        <v>498</v>
      </c>
      <c r="AI7" s="1" t="s">
        <v>339</v>
      </c>
      <c r="AJ7" s="71">
        <f>COUNTA(Table2[spawner_sku])</f>
        <v>408</v>
      </c>
      <c r="AL7" s="1" t="s">
        <v>497</v>
      </c>
      <c r="AM7" s="1">
        <f>ROUND(AJ7/(AM5*AN5),4)</f>
        <v>0.02</v>
      </c>
      <c r="AN7" s="1" t="s">
        <v>498</v>
      </c>
      <c r="AT7" s="1" t="s">
        <v>339</v>
      </c>
      <c r="AU7" s="71">
        <f>COUNTA(Table6[spawner_sku])</f>
        <v>170</v>
      </c>
      <c r="AW7" s="1" t="s">
        <v>497</v>
      </c>
      <c r="AX7" s="1">
        <f>ROUND(AU7/(AX5*AY5),4)</f>
        <v>3.78E-2</v>
      </c>
      <c r="AY7" s="1" t="s">
        <v>498</v>
      </c>
      <c r="BE7" s="1" t="s">
        <v>339</v>
      </c>
      <c r="BF7" s="71">
        <f>COUNTA(Table610[spawner_sku])</f>
        <v>206</v>
      </c>
      <c r="BH7" s="1" t="s">
        <v>497</v>
      </c>
      <c r="BI7" s="1">
        <f>ROUND(BF7/(BI5*BJ5),4)</f>
        <v>8.5000000000000006E-3</v>
      </c>
      <c r="BJ7" s="1" t="s">
        <v>498</v>
      </c>
      <c r="BP7" s="1" t="s">
        <v>339</v>
      </c>
      <c r="BQ7" s="71">
        <f>COUNTA(Table61011[spawner_sku])</f>
        <v>485</v>
      </c>
      <c r="BS7" s="1" t="s">
        <v>497</v>
      </c>
      <c r="BT7" s="1">
        <f>ROUND(BQ7/(BT5*BU5),4)</f>
        <v>2.1100000000000001E-2</v>
      </c>
      <c r="BU7" s="1" t="s">
        <v>498</v>
      </c>
      <c r="CA7" s="1" t="s">
        <v>339</v>
      </c>
      <c r="CB7" s="71">
        <f>COUNTA(Table11[spawner_sku])</f>
        <v>410</v>
      </c>
      <c r="CD7" s="1" t="s">
        <v>497</v>
      </c>
      <c r="CE7" s="1">
        <f>ROUND(CB7/(CE5*CF5),4)</f>
        <v>1.7999999999999999E-2</v>
      </c>
      <c r="CF7" s="1" t="s">
        <v>498</v>
      </c>
      <c r="CL7" s="1" t="s">
        <v>339</v>
      </c>
      <c r="CM7" s="71">
        <f>COUNTA(Table12[spawner_sku])</f>
        <v>200</v>
      </c>
      <c r="CO7" s="1" t="s">
        <v>497</v>
      </c>
      <c r="CP7" s="1">
        <f>ROUND(CM7/(CP5*CQ5),4)</f>
        <v>1.7500000000000002E-2</v>
      </c>
      <c r="CQ7" s="1" t="s">
        <v>498</v>
      </c>
      <c r="CW7" s="1" t="s">
        <v>339</v>
      </c>
      <c r="CX7" s="71">
        <f>COUNTA(Table13[spawner_sku])</f>
        <v>339</v>
      </c>
      <c r="CZ7" s="1" t="s">
        <v>497</v>
      </c>
      <c r="DA7" s="1">
        <f>ROUND(CX7/(DA5*DB5),4)</f>
        <v>2.4199999999999999E-2</v>
      </c>
      <c r="DB7" s="1" t="s">
        <v>498</v>
      </c>
      <c r="DH7" s="1" t="s">
        <v>339</v>
      </c>
      <c r="DI7" s="71">
        <f>COUNTA(Table14[spawner_sku])</f>
        <v>889</v>
      </c>
      <c r="DK7" s="1" t="s">
        <v>497</v>
      </c>
      <c r="DL7" s="1">
        <f>ROUND(DI7/(DL5*DM5),4)</f>
        <v>9.9000000000000008E-3</v>
      </c>
      <c r="DM7" s="1" t="s">
        <v>498</v>
      </c>
      <c r="DS7" s="1" t="s">
        <v>339</v>
      </c>
      <c r="DT7" s="71">
        <f>COUNTA(Table18[spawner_sku])</f>
        <v>316</v>
      </c>
      <c r="DV7" s="1" t="s">
        <v>497</v>
      </c>
      <c r="DW7" s="1">
        <f>ROUND(DT7/(DW5*DX5),4)</f>
        <v>3.5000000000000001E-3</v>
      </c>
      <c r="DX7" s="1" t="s">
        <v>498</v>
      </c>
      <c r="ED7" s="1" t="s">
        <v>339</v>
      </c>
      <c r="EE7" s="71">
        <f>COUNTA(Table1820[spawner_sku])</f>
        <v>256</v>
      </c>
      <c r="EG7" s="1" t="s">
        <v>497</v>
      </c>
      <c r="EH7" s="1">
        <f>ROUND(EE7/(EH5*EI5),4)</f>
        <v>2.8999999999999998E-3</v>
      </c>
      <c r="EI7" s="1" t="s">
        <v>498</v>
      </c>
      <c r="EO7" s="1" t="s">
        <v>339</v>
      </c>
      <c r="EP7" s="71">
        <f>COUNTA(Table182023[spawner_sku])</f>
        <v>138</v>
      </c>
      <c r="ER7" s="1" t="s">
        <v>497</v>
      </c>
      <c r="ES7" s="1">
        <f>ROUND(EP7/(ES5*ET5),4)</f>
        <v>1.5E-3</v>
      </c>
      <c r="ET7" s="1" t="s">
        <v>498</v>
      </c>
      <c r="EZ7" s="1" t="s">
        <v>339</v>
      </c>
      <c r="FA7" s="71">
        <f>COUNTA(Table18202324[spawner_sku])</f>
        <v>199</v>
      </c>
      <c r="FC7" s="1" t="s">
        <v>497</v>
      </c>
      <c r="FD7" s="1">
        <f>ROUND(FA7/(FD5*FE5),4)</f>
        <v>2.2000000000000001E-3</v>
      </c>
      <c r="FE7" s="1" t="s">
        <v>498</v>
      </c>
    </row>
    <row r="8" spans="2:162" x14ac:dyDescent="0.25">
      <c r="B8" s="1" t="s">
        <v>344</v>
      </c>
      <c r="C8" s="74">
        <f ca="1">COUNTIF(Table245[Aggresive],"yes")</f>
        <v>281</v>
      </c>
      <c r="M8" s="1" t="s">
        <v>344</v>
      </c>
      <c r="N8" s="74">
        <f ca="1">COUNTIF(Table3[Aggressive],"yes")</f>
        <v>77</v>
      </c>
      <c r="X8" s="1" t="s">
        <v>344</v>
      </c>
      <c r="Y8" s="74">
        <f ca="1">COUNTIF(Table39[Aggressive],"yes")</f>
        <v>29</v>
      </c>
      <c r="AI8" s="1" t="s">
        <v>344</v>
      </c>
      <c r="AJ8" s="74">
        <f ca="1">COUNTIF(Table2[Aggressive],"yes")</f>
        <v>132</v>
      </c>
      <c r="AT8" s="1" t="s">
        <v>344</v>
      </c>
      <c r="AU8" s="74">
        <f ca="1">COUNTIF(Table6[Aggressive],"yes")</f>
        <v>66</v>
      </c>
      <c r="BE8" s="1" t="s">
        <v>344</v>
      </c>
      <c r="BF8" s="74">
        <f ca="1">COUNTIF(Table610[Aggressive],"yes")</f>
        <v>111</v>
      </c>
      <c r="BP8" s="1" t="s">
        <v>344</v>
      </c>
      <c r="BQ8" s="74">
        <f ca="1">COUNTIF(Table61011[Aggressive],"yes")</f>
        <v>208</v>
      </c>
      <c r="CA8" s="1" t="s">
        <v>344</v>
      </c>
      <c r="CB8" s="74">
        <f ca="1">COUNTIF(Table11[Aggressive],"yes")</f>
        <v>188</v>
      </c>
      <c r="CL8" s="1" t="s">
        <v>344</v>
      </c>
      <c r="CM8" s="74">
        <f ca="1">COUNTIF(Table12[Aggressive],"yes")</f>
        <v>59</v>
      </c>
      <c r="CW8" s="1" t="s">
        <v>344</v>
      </c>
      <c r="CX8" s="74">
        <f ca="1">COUNTIF(Table13[Aggressive],"yes")</f>
        <v>104</v>
      </c>
      <c r="DH8" s="1" t="s">
        <v>344</v>
      </c>
      <c r="DI8" s="74">
        <f ca="1">COUNTIF(Table14[Aggressive],"yes")</f>
        <v>346</v>
      </c>
      <c r="DS8" s="1" t="s">
        <v>344</v>
      </c>
      <c r="DT8" s="74">
        <f ca="1">COUNTIF(Table14[Aggressive],"yes")</f>
        <v>346</v>
      </c>
      <c r="ED8" s="1" t="s">
        <v>344</v>
      </c>
      <c r="EE8" s="74">
        <f ca="1">COUNTIF(Table1820[Aggressive],"yes")</f>
        <v>96</v>
      </c>
      <c r="EO8" s="1" t="s">
        <v>344</v>
      </c>
      <c r="EP8" s="74">
        <f ca="1">COUNTIF(Table182023[Aggressive],"yes")</f>
        <v>41</v>
      </c>
      <c r="EZ8" s="1" t="s">
        <v>344</v>
      </c>
      <c r="FA8" s="74">
        <f ca="1">COUNTIF(Table18202324[Aggressive],"yes")</f>
        <v>56</v>
      </c>
    </row>
    <row r="9" spans="2:162" x14ac:dyDescent="0.25">
      <c r="B9" s="1" t="s">
        <v>345</v>
      </c>
      <c r="C9" s="74">
        <f ca="1">COUNTIF(Table245[Aggresive],"no")</f>
        <v>377</v>
      </c>
      <c r="E9" s="1" t="s">
        <v>6760</v>
      </c>
      <c r="F9" s="80" t="str">
        <f>CONCATENATE(ROUND((COUNTIF(Table245[hasBonus],"TRUE") /C7) * 100,2),"%")</f>
        <v>6,23%</v>
      </c>
      <c r="G9" s="131" t="s">
        <v>6773</v>
      </c>
      <c r="M9" s="1" t="s">
        <v>345</v>
      </c>
      <c r="N9" s="74">
        <f ca="1">COUNTIF(Table3[Aggressive],"no")</f>
        <v>122</v>
      </c>
      <c r="P9" s="1" t="s">
        <v>6760</v>
      </c>
      <c r="Q9" s="1" t="str">
        <f>CONCATENATE(ROUND((COUNTIF(Table3[hasBonus],"TRUE") /N7) * 100,2),"%")</f>
        <v>13,07%</v>
      </c>
      <c r="X9" s="1" t="s">
        <v>345</v>
      </c>
      <c r="Y9" s="74">
        <f ca="1">COUNTIF(Table39[Aggressive],"no")</f>
        <v>49</v>
      </c>
      <c r="AA9" s="1" t="s">
        <v>6760</v>
      </c>
      <c r="AB9" s="80" t="str">
        <f>CONCATENATE(ROUND((COUNTIF(Table39[hasBonus],"TRUE") /Y7) * 100,2),"%")</f>
        <v>3,85%</v>
      </c>
      <c r="AI9" s="1" t="s">
        <v>345</v>
      </c>
      <c r="AJ9" s="74">
        <f ca="1">COUNTIF(Table2[Aggressive],"no")</f>
        <v>276</v>
      </c>
      <c r="AL9" s="1" t="s">
        <v>6760</v>
      </c>
      <c r="AM9" s="80" t="str">
        <f>CONCATENATE(ROUND((COUNTIF(Table2[hasBonus],"TRUE") /AJ7) * 100,2),"%")</f>
        <v>4,9%</v>
      </c>
      <c r="AT9" s="1" t="s">
        <v>345</v>
      </c>
      <c r="AU9" s="74">
        <f ca="1">COUNTIF(Table6[Aggressive],"no")</f>
        <v>104</v>
      </c>
      <c r="AW9" s="1" t="s">
        <v>6760</v>
      </c>
      <c r="AX9" s="80" t="str">
        <f>CONCATENATE(ROUND((COUNTIF(Table6[hasBonus],"TRUE") /AU7) * 100,2),"%")</f>
        <v>7,65%</v>
      </c>
      <c r="BE9" s="1" t="s">
        <v>345</v>
      </c>
      <c r="BF9" s="74">
        <f ca="1">COUNTIF(Table610[Aggressive],"no")</f>
        <v>95</v>
      </c>
      <c r="BH9" s="1" t="s">
        <v>6760</v>
      </c>
      <c r="BI9" s="80" t="str">
        <f>CONCATENATE(ROUND((COUNTIF(Table610[hasBonus],"TRUE") /BF7) * 100,2),"%")</f>
        <v>8,74%</v>
      </c>
      <c r="BP9" s="1" t="s">
        <v>345</v>
      </c>
      <c r="BQ9" s="74">
        <f ca="1">COUNTIF(Table61011[Aggressive],"no")</f>
        <v>277</v>
      </c>
      <c r="BS9" s="1" t="s">
        <v>6760</v>
      </c>
      <c r="BT9" s="80" t="str">
        <f>CONCATENATE(ROUND((COUNTIF(Table61011[hasBonus],"TRUE") /BQ7) * 100,2),"%")</f>
        <v>8,66%</v>
      </c>
      <c r="CA9" s="1" t="s">
        <v>345</v>
      </c>
      <c r="CB9" s="74">
        <f ca="1">COUNTIF(Table11[Aggressive],"no")</f>
        <v>222</v>
      </c>
      <c r="CD9" s="1" t="s">
        <v>6760</v>
      </c>
      <c r="CE9" s="80" t="str">
        <f>CONCATENATE(ROUND((COUNTIF(Table11[hasBonus],"TRUE") /CB7) * 100,2),"%")</f>
        <v>3,66%</v>
      </c>
      <c r="CL9" s="1" t="s">
        <v>345</v>
      </c>
      <c r="CM9" s="74">
        <f ca="1">COUNTIF(Table12[Aggressive],"no")</f>
        <v>141</v>
      </c>
      <c r="CO9" s="1" t="s">
        <v>6760</v>
      </c>
      <c r="CP9" s="80" t="str">
        <f>CONCATENATE(ROUND((COUNTIF(Table12[hasBonus],"TRUE") /CM7) * 100,2),"%")</f>
        <v>8,5%</v>
      </c>
      <c r="CW9" s="1" t="s">
        <v>345</v>
      </c>
      <c r="CX9" s="74">
        <f ca="1">COUNTIF(Table13[Aggressive],"no")</f>
        <v>235</v>
      </c>
      <c r="CZ9" s="1" t="s">
        <v>6760</v>
      </c>
      <c r="DA9" s="80" t="str">
        <f>CONCATENATE(ROUND((COUNTIF(Table13[hasBonus],"TRUE") /CX7) * 100,2),"%")</f>
        <v>11,8%</v>
      </c>
      <c r="DH9" s="1" t="s">
        <v>345</v>
      </c>
      <c r="DI9" s="74">
        <f ca="1">COUNTIF(Table14[Aggressive],"no")</f>
        <v>543</v>
      </c>
      <c r="DK9" s="1" t="s">
        <v>6760</v>
      </c>
      <c r="DL9" s="80" t="str">
        <f>CONCATENATE(ROUND((COUNTIF(Table14[hasBonus],"TRUE") /DI7) * 100,2),"%")</f>
        <v>7,09%</v>
      </c>
      <c r="DS9" s="1" t="s">
        <v>345</v>
      </c>
      <c r="DT9" s="74">
        <f ca="1">COUNTIF(Table18[Aggressive],"no")</f>
        <v>212</v>
      </c>
      <c r="DV9" s="1" t="s">
        <v>6760</v>
      </c>
      <c r="DW9" s="80" t="str">
        <f>CONCATENATE(ROUND((COUNTIF(Table18[hasBonus],"TRUE") /DT7) * 100,2),"%")</f>
        <v>7,59%</v>
      </c>
      <c r="ED9" s="1" t="s">
        <v>345</v>
      </c>
      <c r="EE9" s="74">
        <f ca="1">COUNTIF(Table1820[Aggressive],"no")</f>
        <v>160</v>
      </c>
      <c r="EG9" s="1" t="s">
        <v>6760</v>
      </c>
      <c r="EH9" s="80" t="str">
        <f>CONCATENATE(ROUND((COUNTIF(Table1820[hasBonus],"TRUE") /EE7) * 100,2),"%")</f>
        <v>7,42%</v>
      </c>
      <c r="EO9" s="1" t="s">
        <v>345</v>
      </c>
      <c r="EP9" s="74">
        <f ca="1">COUNTIF(Table182023[Aggressive],"no")</f>
        <v>97</v>
      </c>
      <c r="ER9" s="1" t="s">
        <v>6760</v>
      </c>
      <c r="ES9" s="80" t="str">
        <f>CONCATENATE(ROUND((COUNTIF(Table182023[hasBonus],"TRUE") /EP7) * 100,2),"%")</f>
        <v>6,52%</v>
      </c>
      <c r="EZ9" s="1" t="s">
        <v>345</v>
      </c>
      <c r="FA9" s="74">
        <f ca="1">COUNTIF(Table18202324[Aggressive],"no")</f>
        <v>143</v>
      </c>
      <c r="FC9" s="1" t="s">
        <v>6760</v>
      </c>
      <c r="FD9" s="80" t="str">
        <f>CONCATENATE(ROUND((COUNTIF(Table18202324[hasBonus],"TRUE") /FA7) * 100,2),"%")</f>
        <v>8,54%</v>
      </c>
    </row>
    <row r="11" spans="2:162" x14ac:dyDescent="0.25">
      <c r="B11" s="1" t="s">
        <v>340</v>
      </c>
      <c r="C11" s="71">
        <f>SUM(Table245[entity_spawned (AVG)])</f>
        <v>1071</v>
      </c>
      <c r="E11" s="1" t="s">
        <v>499</v>
      </c>
      <c r="F11" s="1">
        <f>ROUND(C11/(F5*G5),4)</f>
        <v>4.9299999999999997E-2</v>
      </c>
      <c r="G11" s="1" t="s">
        <v>500</v>
      </c>
      <c r="M11" s="1" t="s">
        <v>340</v>
      </c>
      <c r="N11" s="71">
        <f>SUM(Table3[entity_spawned (AVG)])</f>
        <v>432</v>
      </c>
      <c r="P11" s="1" t="s">
        <v>499</v>
      </c>
      <c r="Q11" s="1">
        <f>ROUND(N11/(Q5*R5),4)</f>
        <v>0.04</v>
      </c>
      <c r="R11" s="1" t="s">
        <v>500</v>
      </c>
      <c r="X11" s="1" t="s">
        <v>340</v>
      </c>
      <c r="Y11" s="71">
        <f>SUM(Table39[entity_spawned (AVG)])</f>
        <v>120.5</v>
      </c>
      <c r="AA11" s="1" t="s">
        <v>499</v>
      </c>
      <c r="AB11" s="1">
        <f>ROUND(Y11/(AB5*AC5),4)</f>
        <v>1.67E-2</v>
      </c>
      <c r="AC11" s="1" t="s">
        <v>500</v>
      </c>
      <c r="AI11" s="1" t="s">
        <v>340</v>
      </c>
      <c r="AJ11" s="71">
        <f>SUM(Table2[entity_spawned (AVG)])</f>
        <v>637.5</v>
      </c>
      <c r="AL11" s="1" t="s">
        <v>499</v>
      </c>
      <c r="AM11" s="1">
        <f>ROUND(AJ11/(AM5*AN5),4)</f>
        <v>3.1300000000000001E-2</v>
      </c>
      <c r="AN11" s="1" t="s">
        <v>500</v>
      </c>
      <c r="AT11" s="1" t="s">
        <v>340</v>
      </c>
      <c r="AU11" s="71">
        <f>SUM(Table6[entity_spawned (AVG)])</f>
        <v>293</v>
      </c>
      <c r="AW11" s="1" t="s">
        <v>499</v>
      </c>
      <c r="AX11" s="1">
        <f>ROUND(AU11/(AX5*AY5),4)</f>
        <v>6.5100000000000005E-2</v>
      </c>
      <c r="AY11" s="1" t="s">
        <v>500</v>
      </c>
      <c r="BE11" s="1" t="s">
        <v>340</v>
      </c>
      <c r="BF11" s="71">
        <f>SUM(Table610[entity_spawned (AVG)])</f>
        <v>325.5</v>
      </c>
      <c r="BH11" s="1" t="s">
        <v>499</v>
      </c>
      <c r="BI11" s="1">
        <f>ROUND(BF11/(BI5*BJ5),4)</f>
        <v>1.35E-2</v>
      </c>
      <c r="BJ11" s="1" t="s">
        <v>500</v>
      </c>
      <c r="BP11" s="1" t="s">
        <v>340</v>
      </c>
      <c r="BQ11" s="71">
        <f>SUM(Table61011[entity_spawned (AVG)])</f>
        <v>821.5</v>
      </c>
      <c r="BS11" s="1" t="s">
        <v>499</v>
      </c>
      <c r="BT11" s="1">
        <f>ROUND(BQ11/(BT5*BU5),4)</f>
        <v>3.5700000000000003E-2</v>
      </c>
      <c r="BU11" s="1" t="s">
        <v>500</v>
      </c>
      <c r="CA11" s="1" t="s">
        <v>340</v>
      </c>
      <c r="CB11" s="71">
        <f>SUM(Table11[entity_spawned (AVG)])</f>
        <v>633.5</v>
      </c>
      <c r="CD11" s="1" t="s">
        <v>499</v>
      </c>
      <c r="CE11" s="1">
        <f>ROUND(CB11/(CE5*CF5),4)</f>
        <v>2.7799999999999998E-2</v>
      </c>
      <c r="CF11" s="1" t="s">
        <v>500</v>
      </c>
      <c r="CL11" s="1" t="s">
        <v>340</v>
      </c>
      <c r="CM11" s="71">
        <f>SUM(Table12[entity_spawned (AVG)])</f>
        <v>372</v>
      </c>
      <c r="CO11" s="1" t="s">
        <v>499</v>
      </c>
      <c r="CP11" s="1">
        <f>ROUND(CM11/(CP5*CQ5),4)</f>
        <v>3.2599999999999997E-2</v>
      </c>
      <c r="CQ11" s="1" t="s">
        <v>500</v>
      </c>
      <c r="CW11" s="1" t="s">
        <v>340</v>
      </c>
      <c r="CX11" s="71">
        <f>SUM(Table13[entity_spawned (AVG)])</f>
        <v>700.5</v>
      </c>
      <c r="CZ11" s="1" t="s">
        <v>499</v>
      </c>
      <c r="DA11" s="1">
        <f>ROUND(CX11/(DA5*DB5),4)</f>
        <v>0.05</v>
      </c>
      <c r="DB11" s="1" t="s">
        <v>500</v>
      </c>
      <c r="DH11" s="1" t="s">
        <v>340</v>
      </c>
      <c r="DI11" s="71">
        <f>SUM(Table14[entity_spawned (AVG)])</f>
        <v>1656</v>
      </c>
      <c r="DK11" s="1" t="s">
        <v>499</v>
      </c>
      <c r="DL11" s="1">
        <f>ROUND(DI11/(DL5*DM5),4)</f>
        <v>1.8499999999999999E-2</v>
      </c>
      <c r="DM11" s="1" t="s">
        <v>500</v>
      </c>
      <c r="DS11" s="1" t="s">
        <v>340</v>
      </c>
      <c r="DT11" s="71">
        <f>SUM(Table18[entity_spawned (AVG)])</f>
        <v>604</v>
      </c>
      <c r="DV11" s="1" t="s">
        <v>499</v>
      </c>
      <c r="DW11" s="1">
        <f>ROUND(DT11/(DW5*DX5),4)</f>
        <v>6.7000000000000002E-3</v>
      </c>
      <c r="DX11" s="1" t="s">
        <v>500</v>
      </c>
      <c r="ED11" s="1" t="s">
        <v>340</v>
      </c>
      <c r="EE11" s="71">
        <f>SUM(Table1820[entity_spawned (AVG)])</f>
        <v>492</v>
      </c>
      <c r="EG11" s="1" t="s">
        <v>499</v>
      </c>
      <c r="EH11" s="1">
        <f>ROUND(EE11/(EH5*EI5),4)</f>
        <v>5.4999999999999997E-3</v>
      </c>
      <c r="EI11" s="1" t="s">
        <v>500</v>
      </c>
      <c r="EO11" s="1" t="s">
        <v>340</v>
      </c>
      <c r="EP11" s="71">
        <f>SUM(Table182023[entity_spawned (AVG)])</f>
        <v>274</v>
      </c>
      <c r="ER11" s="1" t="s">
        <v>499</v>
      </c>
      <c r="ES11" s="1">
        <f>ROUND(EP11/(ES5*ET5),4)</f>
        <v>3.0999999999999999E-3</v>
      </c>
      <c r="ET11" s="1" t="s">
        <v>500</v>
      </c>
      <c r="EZ11" s="1" t="s">
        <v>340</v>
      </c>
      <c r="FA11" s="71">
        <f>SUM(Table18202324[entity_spawned (AVG)])</f>
        <v>412.5</v>
      </c>
      <c r="FC11" s="1" t="s">
        <v>499</v>
      </c>
      <c r="FD11" s="1">
        <f>ROUND(FA11/(FD5*FE5),4)</f>
        <v>4.5999999999999999E-3</v>
      </c>
      <c r="FE11" s="1" t="s">
        <v>500</v>
      </c>
    </row>
    <row r="12" spans="2:162" x14ac:dyDescent="0.25">
      <c r="B12" s="1"/>
      <c r="C12" s="71"/>
      <c r="M12" s="1"/>
      <c r="N12" s="71"/>
      <c r="X12" s="1"/>
      <c r="Y12" s="71"/>
      <c r="AI12" s="1"/>
      <c r="AJ12" s="71"/>
      <c r="AT12" s="1"/>
      <c r="AU12" s="71"/>
      <c r="BE12" s="1"/>
      <c r="BF12" s="71"/>
      <c r="BP12" s="1"/>
      <c r="BQ12" s="71"/>
      <c r="CA12" s="1"/>
      <c r="CB12" s="71"/>
      <c r="CL12" s="1"/>
      <c r="CM12" s="71"/>
      <c r="CW12" s="1"/>
      <c r="CX12" s="71"/>
      <c r="DH12" s="1"/>
      <c r="DI12" s="71"/>
      <c r="DS12" s="1"/>
      <c r="DT12" s="71"/>
      <c r="ED12" s="1"/>
      <c r="EE12" s="71"/>
      <c r="EO12" s="1"/>
      <c r="EP12" s="71"/>
      <c r="EZ12" s="1"/>
      <c r="FA12" s="71"/>
    </row>
    <row r="13" spans="2:162" x14ac:dyDescent="0.25">
      <c r="B13" s="1" t="s">
        <v>524</v>
      </c>
      <c r="C13" s="71" t="str">
        <f>CONCATENATE(ROUND(((COUNTIF(Table245[activating_chance],"=100"))/C7)*100,0),"%")</f>
        <v>75%</v>
      </c>
      <c r="M13" s="1" t="s">
        <v>524</v>
      </c>
      <c r="N13" s="71" t="str">
        <f>CONCATENATE(ROUND(((COUNTIF(Table3[activating_chance],"=100"))/N7)*100,0),"%")</f>
        <v>80%</v>
      </c>
      <c r="X13" s="1" t="s">
        <v>524</v>
      </c>
      <c r="Y13" s="71" t="str">
        <f>CONCATENATE(ROUND(((COUNTIF(Table39[activating_chance],"=100"))/Y7)*100,0),"%")</f>
        <v>83%</v>
      </c>
      <c r="AI13" s="1" t="s">
        <v>524</v>
      </c>
      <c r="AJ13" s="71" t="str">
        <f>CONCATENATE(ROUND(((COUNTIF(Table2[activating_chance],"=100"))/AJ7)*100,0),"%")</f>
        <v>81%</v>
      </c>
      <c r="AT13" s="1" t="s">
        <v>524</v>
      </c>
      <c r="AU13" s="71" t="str">
        <f>CONCATENATE(ROUND(((COUNTIF(Table6[activating_chance],"=100"))/AU7)*100,0),"%")</f>
        <v>86%</v>
      </c>
      <c r="BE13" s="1" t="s">
        <v>524</v>
      </c>
      <c r="BF13" s="71" t="str">
        <f>CONCATENATE(ROUND(((COUNTIF(Table610[activating_chance],"=100"))/BF7)*100,0),"%")</f>
        <v>83%</v>
      </c>
      <c r="BP13" s="1" t="s">
        <v>524</v>
      </c>
      <c r="BQ13" s="71" t="str">
        <f>CONCATENATE(ROUND(((COUNTIF(Table61011[activating_chance],"=100"))/BQ7)*100,0),"%")</f>
        <v>85%</v>
      </c>
      <c r="CA13" s="1" t="s">
        <v>524</v>
      </c>
      <c r="CB13" s="71" t="str">
        <f>CONCATENATE(ROUND(((COUNTIF(Table11[activating_chance],"=100"))/CB7)*100,0),"%")</f>
        <v>72%</v>
      </c>
      <c r="CL13" s="1" t="s">
        <v>524</v>
      </c>
      <c r="CM13" s="71" t="str">
        <f>CONCATENATE(ROUND(((COUNTIF(Table12[activating_chance],"=100"))/CM7)*100,0),"%")</f>
        <v>71%</v>
      </c>
      <c r="CW13" s="1" t="s">
        <v>524</v>
      </c>
      <c r="CX13" s="71" t="str">
        <f>CONCATENATE(ROUND(((COUNTIF(Table13[activating_chance],"=100"))/CX7)*100,0),"%")</f>
        <v>70%</v>
      </c>
      <c r="DH13" s="1" t="s">
        <v>524</v>
      </c>
      <c r="DI13" s="71" t="str">
        <f>CONCATENATE(ROUND(((COUNTIF(Table14[activating_chance],"=100"))/DI7)*100,0),"%")</f>
        <v>72%</v>
      </c>
      <c r="DS13" s="1" t="s">
        <v>524</v>
      </c>
      <c r="DT13" s="71" t="str">
        <f>CONCATENATE(ROUND(((COUNTIF(Table18[activating_chance],"=100"))/DT7)*100,0),"%")</f>
        <v>72%</v>
      </c>
      <c r="ED13" s="1" t="s">
        <v>524</v>
      </c>
      <c r="EE13" s="71" t="str">
        <f>CONCATENATE(ROUND(((COUNTIF(Table1820[activating_chance],"=100"))/EE7)*100,0),"%")</f>
        <v>72%</v>
      </c>
      <c r="EO13" s="1" t="s">
        <v>524</v>
      </c>
      <c r="EP13" s="71" t="str">
        <f>CONCATENATE(ROUND(((COUNTIF(Table182023[activating_chance],"=100"))/EP7)*100,0),"%")</f>
        <v>83%</v>
      </c>
      <c r="EZ13" s="1" t="s">
        <v>524</v>
      </c>
      <c r="FA13" s="71" t="str">
        <f>CONCATENATE(ROUND(((COUNTIF(Table18202324[activating_chance],"=100"))/FA7)*100,0),"%")</f>
        <v>87%</v>
      </c>
    </row>
    <row r="14" spans="2:162" x14ac:dyDescent="0.25">
      <c r="B14" s="1" t="s">
        <v>525</v>
      </c>
      <c r="C14" s="71" t="str">
        <f>CONCATENATE(ROUND((((COUNTIFS(Table245[activating_chance],"&lt;100",Table245[activating_chance],"&gt;=75")))/C7)*100,0),"%")</f>
        <v>14%</v>
      </c>
      <c r="M14" s="1" t="s">
        <v>525</v>
      </c>
      <c r="N14" s="71" t="str">
        <f>CONCATENATE(ROUND((((COUNTIFS(Table3[activating_chance],"&lt;100",Table3[activating_chance],"&gt;=75")))/N7)*100,0),"%")</f>
        <v>9%</v>
      </c>
      <c r="X14" s="1" t="s">
        <v>525</v>
      </c>
      <c r="Y14" s="71" t="str">
        <f>CONCATENATE(ROUND((((COUNTIFS(Table39[activating_chance],"&lt;100",Table39[activating_chance],"&gt;=75")))/Y7)*100,0),"%")</f>
        <v>5%</v>
      </c>
      <c r="AI14" s="1" t="s">
        <v>525</v>
      </c>
      <c r="AJ14" s="71" t="str">
        <f>CONCATENATE(ROUND((((COUNTIFS(Table2[activating_chance],"&lt;100",Table2[activating_chance],"&gt;=75")))/AJ7)*100,0),"%")</f>
        <v>13%</v>
      </c>
      <c r="AT14" s="1" t="s">
        <v>525</v>
      </c>
      <c r="AU14" s="71" t="str">
        <f>CONCATENATE(ROUND((((COUNTIFS(Table6[activating_chance],"&lt;100",Table6[activating_chance],"&gt;=75")))/AU7)*100,0),"%")</f>
        <v>6%</v>
      </c>
      <c r="BE14" s="1" t="s">
        <v>525</v>
      </c>
      <c r="BF14" s="71" t="str">
        <f>CONCATENATE(ROUND((((COUNTIFS(Table610[activating_chance],"&lt;100",Table610[activating_chance],"&gt;=75")))/BF7)*100,0),"%")</f>
        <v>3%</v>
      </c>
      <c r="BP14" s="1" t="s">
        <v>525</v>
      </c>
      <c r="BQ14" s="71" t="str">
        <f>CONCATENATE(ROUND((((COUNTIFS(Table61011[activating_chance],"&lt;100",Table61011[activating_chance],"&gt;=75")))/BQ7)*100,0),"%")</f>
        <v>9%</v>
      </c>
      <c r="CA14" s="1" t="s">
        <v>525</v>
      </c>
      <c r="CB14" s="71" t="str">
        <f>CONCATENATE(ROUND((((COUNTIFS(Table11[activating_chance],"&lt;100",Table11[activating_chance],"&gt;=75")))/CB7)*100,0),"%")</f>
        <v>11%</v>
      </c>
      <c r="CL14" s="1" t="s">
        <v>525</v>
      </c>
      <c r="CM14" s="71" t="str">
        <f>CONCATENATE(ROUND((((COUNTIFS(Table12[activating_chance],"&lt;100",Table12[activating_chance],"&gt;=75")))/CM7)*100,0),"%")</f>
        <v>17%</v>
      </c>
      <c r="CW14" s="1" t="s">
        <v>525</v>
      </c>
      <c r="CX14" s="71" t="str">
        <f>CONCATENATE(ROUND((((COUNTIFS(Table13[activating_chance],"&lt;100",Table13[activating_chance],"&gt;=75")))/CX7)*100,0),"%")</f>
        <v>20%</v>
      </c>
      <c r="DH14" s="1" t="s">
        <v>525</v>
      </c>
      <c r="DI14" s="71" t="str">
        <f>CONCATENATE(ROUND((((COUNTIFS(Table14[activating_chance],"&lt;100",Table14[activating_chance],"&gt;=75")))/DI7)*100,0),"%")</f>
        <v>11%</v>
      </c>
      <c r="DS14" s="1" t="s">
        <v>525</v>
      </c>
      <c r="DT14" s="71" t="str">
        <f>CONCATENATE(ROUND((((COUNTIFS(Table18[activating_chance],"&lt;100",Table18[activating_chance],"&gt;=75")))/DT7)*100,0),"%")</f>
        <v>16%</v>
      </c>
      <c r="ED14" s="1" t="s">
        <v>525</v>
      </c>
      <c r="EE14" s="71" t="str">
        <f>CONCATENATE(ROUND((((COUNTIFS(Table1820[activating_chance],"&lt;100",Table1820[activating_chance],"&gt;=75")))/EE7)*100,0),"%")</f>
        <v>13%</v>
      </c>
      <c r="EO14" s="1" t="s">
        <v>525</v>
      </c>
      <c r="EP14" s="71" t="str">
        <f>CONCATENATE(ROUND((((COUNTIFS(Table182023[activating_chance],"&lt;100",Table182023[activating_chance],"&gt;=75")))/EP7)*100,0),"%")</f>
        <v>13%</v>
      </c>
      <c r="EZ14" s="1" t="s">
        <v>525</v>
      </c>
      <c r="FA14" s="71" t="str">
        <f>CONCATENATE(ROUND((((COUNTIFS(Table18202324[activating_chance],"&lt;100",Table18202324[activating_chance],"&gt;=75")))/FA7)*100,0),"%")</f>
        <v>12%</v>
      </c>
    </row>
    <row r="15" spans="2:162" x14ac:dyDescent="0.25">
      <c r="B15" s="1" t="s">
        <v>526</v>
      </c>
      <c r="C15" s="1" t="str">
        <f>CONCATENATE(ROUND((((COUNTIFS(Table245[activating_chance],"&lt;75",Table245[activating_chance],"&gt;=25")))/C7)*100,0),"%")</f>
        <v>10%</v>
      </c>
      <c r="M15" s="1" t="s">
        <v>526</v>
      </c>
      <c r="N15" s="1" t="str">
        <f>CONCATENATE(ROUND((((COUNTIFS(Table3[activating_chance],"&lt;75",Table3[activating_chance],"&gt;=25")))/N7)*100,0),"%")</f>
        <v>10%</v>
      </c>
      <c r="X15" s="1" t="s">
        <v>526</v>
      </c>
      <c r="Y15" s="1" t="str">
        <f>CONCATENATE(ROUND((((COUNTIFS(Table39[activating_chance],"&lt;75",Table39[activating_chance],"&gt;=25")))/Y7)*100,0),"%")</f>
        <v>12%</v>
      </c>
      <c r="AI15" s="1" t="s">
        <v>526</v>
      </c>
      <c r="AJ15" s="1" t="str">
        <f>CONCATENATE(ROUND((((COUNTIFS(Table2[activating_chance],"&lt;75",Table2[activating_chance],"&gt;=25")))/AJ7)*100,0),"%")</f>
        <v>6%</v>
      </c>
      <c r="AT15" s="1" t="s">
        <v>526</v>
      </c>
      <c r="AU15" s="1" t="str">
        <f>CONCATENATE(ROUND((((COUNTIFS(Table6[activating_chance],"&lt;75",Table6[activating_chance],"&gt;=25")))/AU7)*100,0),"%")</f>
        <v>8%</v>
      </c>
      <c r="BE15" s="1" t="s">
        <v>526</v>
      </c>
      <c r="BF15" s="1" t="str">
        <f>CONCATENATE(ROUND((((COUNTIFS(Table610[activating_chance],"&lt;75",Table610[activating_chance],"&gt;=25")))/BF7)*100,0),"%")</f>
        <v>14%</v>
      </c>
      <c r="BP15" s="1" t="s">
        <v>526</v>
      </c>
      <c r="BQ15" s="1" t="str">
        <f>CONCATENATE(ROUND((((COUNTIFS(Table61011[activating_chance],"&lt;75",Table61011[activating_chance],"&gt;=25")))/BQ7)*100,0),"%")</f>
        <v>5%</v>
      </c>
      <c r="CA15" s="1" t="s">
        <v>526</v>
      </c>
      <c r="CB15" s="1" t="str">
        <f>CONCATENATE(ROUND((((COUNTIFS(Table11[activating_chance],"&lt;75",Table11[activating_chance],"&gt;=25")))/CB7)*100,0),"%")</f>
        <v>12%</v>
      </c>
      <c r="CL15" s="1" t="s">
        <v>526</v>
      </c>
      <c r="CM15" s="1" t="str">
        <f>CONCATENATE(ROUND((((COUNTIFS(Table12[activating_chance],"&lt;75",Table12[activating_chance],"&gt;=25")))/CM7)*100,0),"%")</f>
        <v>12%</v>
      </c>
      <c r="CW15" s="1" t="s">
        <v>526</v>
      </c>
      <c r="CX15" s="1" t="str">
        <f>CONCATENATE(ROUND((((COUNTIFS(Table13[activating_chance],"&lt;75",Table13[activating_chance],"&gt;=25")))/CX7)*100,0),"%")</f>
        <v>7%</v>
      </c>
      <c r="DH15" s="1" t="s">
        <v>526</v>
      </c>
      <c r="DI15" s="1" t="str">
        <f>CONCATENATE(ROUND((((COUNTIFS(Table14[activating_chance],"&lt;75",Table14[activating_chance],"&gt;=25")))/DI7)*100,0),"%")</f>
        <v>14%</v>
      </c>
      <c r="DS15" s="1" t="s">
        <v>526</v>
      </c>
      <c r="DT15" s="1" t="str">
        <f>CONCATENATE(ROUND((((COUNTIFS(Table18[activating_chance],"&lt;75",Table18[activating_chance],"&gt;=25")))/DT7)*100,0),"%")</f>
        <v>9%</v>
      </c>
      <c r="ED15" s="1" t="s">
        <v>526</v>
      </c>
      <c r="EE15" s="1" t="str">
        <f>CONCATENATE(ROUND((((COUNTIFS(Table1820[activating_chance],"&lt;75",Table1820[activating_chance],"&gt;=25")))/EE7)*100,0),"%")</f>
        <v>11%</v>
      </c>
      <c r="EO15" s="1" t="s">
        <v>526</v>
      </c>
      <c r="EP15" s="1" t="str">
        <f>CONCATENATE(ROUND((((COUNTIFS(Table182023[activating_chance],"&lt;75",Table182023[activating_chance],"&gt;=25")))/EP7)*100,0),"%")</f>
        <v>4%</v>
      </c>
      <c r="EZ15" s="1" t="s">
        <v>526</v>
      </c>
      <c r="FA15" s="1" t="str">
        <f>CONCATENATE(ROUND((((COUNTIFS(Table18202324[activating_chance],"&lt;75",Table18202324[activating_chance],"&gt;=25")))/FA7)*100,0),"%")</f>
        <v>1%</v>
      </c>
    </row>
    <row r="16" spans="2:162" x14ac:dyDescent="0.25">
      <c r="B16" s="1" t="s">
        <v>527</v>
      </c>
      <c r="C16" s="1" t="str">
        <f>CONCATENATE(ROUND((((COUNTIFS(Table245[activating_chance],"&gt;1",Table245[activating_chance],"&lt;25")))/C7)*100,0),"%")</f>
        <v>1%</v>
      </c>
      <c r="M16" s="1" t="s">
        <v>527</v>
      </c>
      <c r="N16" s="1" t="str">
        <f>CONCATENATE(ROUND((((COUNTIFS(Table3[activating_chance],"&gt;1",Table3[activating_chance],"&lt;25")))/N7)*100,0),"%")</f>
        <v>1%</v>
      </c>
      <c r="X16" s="1" t="s">
        <v>527</v>
      </c>
      <c r="Y16" s="1" t="str">
        <f>CONCATENATE(ROUND((((COUNTIFS(Table39[activating_chance],"&gt;1",Table39[activating_chance],"&lt;25")))/Y7)*100,0),"%")</f>
        <v>0%</v>
      </c>
      <c r="AI16" s="1" t="s">
        <v>527</v>
      </c>
      <c r="AJ16" s="1" t="str">
        <f>CONCATENATE(ROUND((((COUNTIFS(Table2[activating_chance],"&gt;1",Table2[activating_chance],"&lt;25")))/AJ7)*100,0),"%")</f>
        <v>1%</v>
      </c>
      <c r="AT16" s="1" t="s">
        <v>527</v>
      </c>
      <c r="AU16" s="1" t="str">
        <f>CONCATENATE(ROUND((((COUNTIFS(Table6[activating_chance],"&gt;1",Table6[activating_chance],"&lt;25")))/AU7)*100,0),"%")</f>
        <v>0%</v>
      </c>
      <c r="BE16" s="1" t="s">
        <v>527</v>
      </c>
      <c r="BF16" s="1" t="str">
        <f>CONCATENATE(ROUND((((COUNTIFS(Table610[activating_chance],"&gt;1",Table610[activating_chance],"&lt;25")))/BF7)*100,0),"%")</f>
        <v>0%</v>
      </c>
      <c r="BP16" s="1" t="s">
        <v>527</v>
      </c>
      <c r="BQ16" s="1" t="str">
        <f>CONCATENATE(ROUND((((COUNTIFS(Table61011[activating_chance],"&gt;1",Table61011[activating_chance],"&lt;25")))/BQ7)*100,0),"%")</f>
        <v>1%</v>
      </c>
      <c r="CA16" s="1" t="s">
        <v>527</v>
      </c>
      <c r="CB16" s="1" t="str">
        <f>CONCATENATE(ROUND((((COUNTIFS(Table11[activating_chance],"&gt;1",Table11[activating_chance],"&lt;25")))/CB7)*100,0),"%")</f>
        <v>4%</v>
      </c>
      <c r="CL16" s="1" t="s">
        <v>527</v>
      </c>
      <c r="CM16" s="1" t="str">
        <f>CONCATENATE(ROUND((((COUNTIFS(Table12[activating_chance],"&gt;1",Table12[activating_chance],"&lt;25")))/CM7)*100,0),"%")</f>
        <v>1%</v>
      </c>
      <c r="CW16" s="1" t="s">
        <v>527</v>
      </c>
      <c r="CX16" s="1" t="str">
        <f>CONCATENATE(ROUND((((COUNTIFS(Table13[activating_chance],"&gt;1",Table13[activating_chance],"&lt;25")))/CX7)*100,0),"%")</f>
        <v>3%</v>
      </c>
      <c r="DH16" s="1" t="s">
        <v>527</v>
      </c>
      <c r="DI16" s="1" t="str">
        <f>CONCATENATE(ROUND((((COUNTIFS(Table14[activating_chance],"&gt;1",Table14[activating_chance],"&lt;25")))/DI7)*100,0),"%")</f>
        <v>3%</v>
      </c>
      <c r="DS16" s="1" t="s">
        <v>527</v>
      </c>
      <c r="DT16" s="1" t="str">
        <f>CONCATENATE(ROUND((((COUNTIFS(Table18[activating_chance],"&gt;1",Table18[activating_chance],"&lt;25")))/DT7)*100,0),"%")</f>
        <v>4%</v>
      </c>
      <c r="ED16" s="1" t="s">
        <v>527</v>
      </c>
      <c r="EE16" s="1" t="str">
        <f>CONCATENATE(ROUND((((COUNTIFS(Table1820[activating_chance],"&gt;1",Table1820[activating_chance],"&lt;25")))/EE7)*100,0),"%")</f>
        <v>3%</v>
      </c>
      <c r="EO16" s="1" t="s">
        <v>527</v>
      </c>
      <c r="EP16" s="1" t="str">
        <f>CONCATENATE(ROUND((((COUNTIFS(Table182023[activating_chance],"&gt;1",Table182023[activating_chance],"&lt;25")))/EP7)*100,0),"%")</f>
        <v>0%</v>
      </c>
      <c r="EZ16" s="1" t="s">
        <v>527</v>
      </c>
      <c r="FA16" s="1" t="str">
        <f>CONCATENATE(ROUND((((COUNTIFS(Table18202324[activating_chance],"&gt;1",Table18202324[activating_chance],"&lt;25")))/FA7)*100,0),"%")</f>
        <v>0%</v>
      </c>
    </row>
    <row r="17" spans="2:165" x14ac:dyDescent="0.25">
      <c r="C17" s="1"/>
    </row>
    <row r="18" spans="2:165" x14ac:dyDescent="0.25">
      <c r="B18" s="1" t="s">
        <v>458</v>
      </c>
      <c r="C18" s="1" t="s">
        <v>398</v>
      </c>
      <c r="I18" s="82" t="s">
        <v>6783</v>
      </c>
      <c r="M18" s="1" t="s">
        <v>458</v>
      </c>
      <c r="N18" s="1" t="s">
        <v>264</v>
      </c>
      <c r="X18" s="1" t="s">
        <v>458</v>
      </c>
      <c r="Y18" s="1" t="s">
        <v>459</v>
      </c>
      <c r="AI18" s="1" t="s">
        <v>458</v>
      </c>
      <c r="AJ18" s="1" t="s">
        <v>460</v>
      </c>
      <c r="AT18" s="1" t="s">
        <v>458</v>
      </c>
      <c r="AU18" s="1" t="s">
        <v>461</v>
      </c>
      <c r="BA18" s="114"/>
      <c r="BE18" s="1" t="s">
        <v>458</v>
      </c>
      <c r="BF18" s="1" t="s">
        <v>462</v>
      </c>
      <c r="BP18" s="1" t="s">
        <v>458</v>
      </c>
      <c r="BQ18" s="1" t="s">
        <v>463</v>
      </c>
      <c r="CA18" s="1" t="s">
        <v>458</v>
      </c>
      <c r="CB18" s="1" t="s">
        <v>516</v>
      </c>
      <c r="CL18" s="1" t="s">
        <v>458</v>
      </c>
      <c r="CM18" s="1" t="s">
        <v>533</v>
      </c>
      <c r="CW18" s="1" t="s">
        <v>458</v>
      </c>
      <c r="CX18" s="1" t="s">
        <v>462</v>
      </c>
      <c r="DH18" s="1" t="s">
        <v>458</v>
      </c>
      <c r="DI18" s="1" t="s">
        <v>536</v>
      </c>
      <c r="DS18" s="1" t="s">
        <v>458</v>
      </c>
      <c r="DT18" s="1" t="s">
        <v>616</v>
      </c>
      <c r="ED18" s="1" t="s">
        <v>458</v>
      </c>
      <c r="EE18" s="1" t="s">
        <v>618</v>
      </c>
      <c r="EO18" s="1" t="s">
        <v>458</v>
      </c>
      <c r="EP18" s="1" t="s">
        <v>7338</v>
      </c>
      <c r="EZ18" s="1" t="s">
        <v>458</v>
      </c>
      <c r="FA18" s="1" t="s">
        <v>621</v>
      </c>
    </row>
    <row r="19" spans="2:165" x14ac:dyDescent="0.25">
      <c r="I19" s="76" t="s">
        <v>6774</v>
      </c>
    </row>
    <row r="21" spans="2:165" x14ac:dyDescent="0.25">
      <c r="B21" s="1" t="s">
        <v>221</v>
      </c>
      <c r="C21" s="1" t="s">
        <v>222</v>
      </c>
      <c r="D21" s="1" t="s">
        <v>223</v>
      </c>
      <c r="E21" s="1" t="s">
        <v>224</v>
      </c>
      <c r="F21" s="1" t="s">
        <v>218</v>
      </c>
      <c r="G21" s="1" t="s">
        <v>225</v>
      </c>
      <c r="H21" s="1" t="s">
        <v>341</v>
      </c>
      <c r="I21" s="71" t="s">
        <v>6757</v>
      </c>
      <c r="J21" s="71" t="s">
        <v>6758</v>
      </c>
      <c r="K21" s="71" t="s">
        <v>6759</v>
      </c>
      <c r="M21" t="s">
        <v>221</v>
      </c>
      <c r="N21" t="s">
        <v>222</v>
      </c>
      <c r="O21" t="s">
        <v>223</v>
      </c>
      <c r="P21" t="s">
        <v>224</v>
      </c>
      <c r="Q21" t="s">
        <v>218</v>
      </c>
      <c r="R21" t="s">
        <v>225</v>
      </c>
      <c r="S21" t="s">
        <v>346</v>
      </c>
      <c r="T21" t="s">
        <v>6757</v>
      </c>
      <c r="U21" t="s">
        <v>6758</v>
      </c>
      <c r="V21" t="s">
        <v>6759</v>
      </c>
      <c r="X21" t="s">
        <v>221</v>
      </c>
      <c r="Y21" t="s">
        <v>222</v>
      </c>
      <c r="Z21" t="s">
        <v>223</v>
      </c>
      <c r="AA21" t="s">
        <v>224</v>
      </c>
      <c r="AB21" t="s">
        <v>218</v>
      </c>
      <c r="AC21" t="s">
        <v>225</v>
      </c>
      <c r="AD21" t="s">
        <v>346</v>
      </c>
      <c r="AE21" t="s">
        <v>6757</v>
      </c>
      <c r="AF21" t="s">
        <v>6758</v>
      </c>
      <c r="AG21" t="s">
        <v>6759</v>
      </c>
      <c r="AI21" t="s">
        <v>221</v>
      </c>
      <c r="AJ21" t="s">
        <v>222</v>
      </c>
      <c r="AK21" t="s">
        <v>223</v>
      </c>
      <c r="AL21" t="s">
        <v>224</v>
      </c>
      <c r="AM21" t="s">
        <v>218</v>
      </c>
      <c r="AN21" t="s">
        <v>225</v>
      </c>
      <c r="AO21" t="s">
        <v>346</v>
      </c>
      <c r="AP21" s="75" t="s">
        <v>6757</v>
      </c>
      <c r="AQ21" s="75" t="s">
        <v>6758</v>
      </c>
      <c r="AR21" s="114" t="s">
        <v>6759</v>
      </c>
      <c r="AT21" t="s">
        <v>221</v>
      </c>
      <c r="AU21" t="s">
        <v>222</v>
      </c>
      <c r="AV21" t="s">
        <v>223</v>
      </c>
      <c r="AW21" t="s">
        <v>224</v>
      </c>
      <c r="AX21" t="s">
        <v>218</v>
      </c>
      <c r="AY21" t="s">
        <v>225</v>
      </c>
      <c r="AZ21" t="s">
        <v>346</v>
      </c>
      <c r="BA21" s="75" t="s">
        <v>6757</v>
      </c>
      <c r="BB21" s="75" t="s">
        <v>6758</v>
      </c>
      <c r="BC21" s="114" t="s">
        <v>6759</v>
      </c>
      <c r="BE21" t="s">
        <v>221</v>
      </c>
      <c r="BF21" t="s">
        <v>222</v>
      </c>
      <c r="BG21" t="s">
        <v>223</v>
      </c>
      <c r="BH21" t="s">
        <v>224</v>
      </c>
      <c r="BI21" t="s">
        <v>218</v>
      </c>
      <c r="BJ21" t="s">
        <v>225</v>
      </c>
      <c r="BK21" t="s">
        <v>346</v>
      </c>
      <c r="BL21" s="75" t="s">
        <v>6757</v>
      </c>
      <c r="BM21" s="75" t="s">
        <v>6758</v>
      </c>
      <c r="BN21" s="114" t="s">
        <v>6759</v>
      </c>
      <c r="BP21" t="s">
        <v>221</v>
      </c>
      <c r="BQ21" t="s">
        <v>222</v>
      </c>
      <c r="BR21" t="s">
        <v>223</v>
      </c>
      <c r="BS21" t="s">
        <v>224</v>
      </c>
      <c r="BT21" t="s">
        <v>218</v>
      </c>
      <c r="BU21" t="s">
        <v>225</v>
      </c>
      <c r="BV21" t="s">
        <v>346</v>
      </c>
      <c r="BW21" s="75" t="s">
        <v>6757</v>
      </c>
      <c r="BX21" s="75" t="s">
        <v>6758</v>
      </c>
      <c r="BY21" s="114" t="s">
        <v>6759</v>
      </c>
      <c r="CA21" t="s">
        <v>221</v>
      </c>
      <c r="CB21" t="s">
        <v>222</v>
      </c>
      <c r="CC21" t="s">
        <v>223</v>
      </c>
      <c r="CD21" t="s">
        <v>224</v>
      </c>
      <c r="CE21" t="s">
        <v>218</v>
      </c>
      <c r="CF21" t="s">
        <v>225</v>
      </c>
      <c r="CG21" t="s">
        <v>346</v>
      </c>
      <c r="CH21" s="75" t="s">
        <v>6757</v>
      </c>
      <c r="CI21" s="75" t="s">
        <v>6758</v>
      </c>
      <c r="CJ21" s="114" t="s">
        <v>6759</v>
      </c>
      <c r="CL21" t="s">
        <v>221</v>
      </c>
      <c r="CM21" t="s">
        <v>222</v>
      </c>
      <c r="CN21" t="s">
        <v>223</v>
      </c>
      <c r="CO21" t="s">
        <v>224</v>
      </c>
      <c r="CP21" t="s">
        <v>218</v>
      </c>
      <c r="CQ21" t="s">
        <v>225</v>
      </c>
      <c r="CR21" t="s">
        <v>346</v>
      </c>
      <c r="CS21" s="75" t="s">
        <v>6757</v>
      </c>
      <c r="CT21" s="75" t="s">
        <v>6758</v>
      </c>
      <c r="CU21" s="114" t="s">
        <v>6759</v>
      </c>
      <c r="CW21" t="s">
        <v>221</v>
      </c>
      <c r="CX21" t="s">
        <v>222</v>
      </c>
      <c r="CY21" t="s">
        <v>223</v>
      </c>
      <c r="CZ21" t="s">
        <v>224</v>
      </c>
      <c r="DA21" t="s">
        <v>218</v>
      </c>
      <c r="DB21" t="s">
        <v>225</v>
      </c>
      <c r="DC21" t="s">
        <v>346</v>
      </c>
      <c r="DD21" s="75" t="s">
        <v>6757</v>
      </c>
      <c r="DE21" s="75" t="s">
        <v>6758</v>
      </c>
      <c r="DF21" s="114" t="s">
        <v>6759</v>
      </c>
      <c r="DH21" t="s">
        <v>221</v>
      </c>
      <c r="DI21" t="s">
        <v>222</v>
      </c>
      <c r="DJ21" t="s">
        <v>223</v>
      </c>
      <c r="DK21" t="s">
        <v>224</v>
      </c>
      <c r="DL21" t="s">
        <v>218</v>
      </c>
      <c r="DM21" t="s">
        <v>225</v>
      </c>
      <c r="DN21" t="s">
        <v>346</v>
      </c>
      <c r="DO21" s="75" t="s">
        <v>6757</v>
      </c>
      <c r="DP21" s="75" t="s">
        <v>6758</v>
      </c>
      <c r="DQ21" s="114" t="s">
        <v>6759</v>
      </c>
      <c r="DS21" s="91" t="s">
        <v>221</v>
      </c>
      <c r="DT21" s="91" t="s">
        <v>222</v>
      </c>
      <c r="DU21" s="91" t="s">
        <v>223</v>
      </c>
      <c r="DV21" s="91" t="s">
        <v>224</v>
      </c>
      <c r="DW21" s="91" t="s">
        <v>218</v>
      </c>
      <c r="DX21" s="91" t="s">
        <v>225</v>
      </c>
      <c r="DY21" s="91" t="s">
        <v>346</v>
      </c>
      <c r="DZ21" s="117" t="s">
        <v>6757</v>
      </c>
      <c r="EA21" s="117" t="s">
        <v>6758</v>
      </c>
      <c r="EB21" s="118" t="s">
        <v>6759</v>
      </c>
      <c r="ED21" s="91" t="s">
        <v>221</v>
      </c>
      <c r="EE21" s="91" t="s">
        <v>222</v>
      </c>
      <c r="EF21" s="91" t="s">
        <v>223</v>
      </c>
      <c r="EG21" s="91" t="s">
        <v>224</v>
      </c>
      <c r="EH21" s="91" t="s">
        <v>218</v>
      </c>
      <c r="EI21" s="91" t="s">
        <v>225</v>
      </c>
      <c r="EJ21" s="91" t="s">
        <v>346</v>
      </c>
      <c r="EK21" s="117" t="s">
        <v>6757</v>
      </c>
      <c r="EL21" s="117" t="s">
        <v>6758</v>
      </c>
      <c r="EM21" s="118" t="s">
        <v>6759</v>
      </c>
      <c r="EO21" s="91" t="s">
        <v>221</v>
      </c>
      <c r="EP21" s="91" t="s">
        <v>222</v>
      </c>
      <c r="EQ21" s="91" t="s">
        <v>223</v>
      </c>
      <c r="ER21" s="91" t="s">
        <v>224</v>
      </c>
      <c r="ES21" s="91" t="s">
        <v>218</v>
      </c>
      <c r="ET21" s="91" t="s">
        <v>225</v>
      </c>
      <c r="EU21" s="91" t="s">
        <v>346</v>
      </c>
      <c r="EV21" s="117" t="s">
        <v>6757</v>
      </c>
      <c r="EW21" s="117" t="s">
        <v>6758</v>
      </c>
      <c r="EX21" s="118" t="s">
        <v>6759</v>
      </c>
      <c r="EZ21" s="91" t="s">
        <v>221</v>
      </c>
      <c r="FA21" s="91" t="s">
        <v>222</v>
      </c>
      <c r="FB21" s="91" t="s">
        <v>223</v>
      </c>
      <c r="FC21" s="91" t="s">
        <v>224</v>
      </c>
      <c r="FD21" s="91" t="s">
        <v>218</v>
      </c>
      <c r="FE21" s="91" t="s">
        <v>225</v>
      </c>
      <c r="FF21" s="91" t="s">
        <v>346</v>
      </c>
      <c r="FG21" s="117" t="s">
        <v>6757</v>
      </c>
      <c r="FH21" s="117" t="s">
        <v>6758</v>
      </c>
      <c r="FI21" s="118" t="s">
        <v>6759</v>
      </c>
    </row>
    <row r="22" spans="2:165" x14ac:dyDescent="0.25">
      <c r="B22" s="73" t="s">
        <v>227</v>
      </c>
      <c r="C22">
        <v>11.5</v>
      </c>
      <c r="D22">
        <v>300</v>
      </c>
      <c r="E22">
        <v>100</v>
      </c>
      <c r="F22" s="75">
        <f ca="1">INDIRECT(ADDRESS(11+(MATCH(RIGHT(Table245[[#This Row],[spawner_sku]],LEN(Table245[[#This Row],[spawner_sku]])-FIND("/",Table245[[#This Row],[spawner_sku]])),Table1[Entity Prefab],0)),10,1,1,"Entities"))</f>
        <v>25</v>
      </c>
      <c r="G22" s="75">
        <f ca="1">ROUND((Table245[[#This Row],[XP]]*Table245[[#This Row],[entity_spawned (AVG)]])*(Table245[[#This Row],[activating_chance]]/100),0)</f>
        <v>288</v>
      </c>
      <c r="H2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2" s="72">
        <v>8</v>
      </c>
      <c r="J22" s="72">
        <v>15</v>
      </c>
      <c r="K22" s="72" t="b">
        <v>1</v>
      </c>
      <c r="M22" t="s">
        <v>226</v>
      </c>
      <c r="N22">
        <v>2</v>
      </c>
      <c r="O22">
        <v>260</v>
      </c>
      <c r="P22">
        <v>100</v>
      </c>
      <c r="Q22" s="75">
        <f ca="1">INDIRECT(ADDRESS(11+(MATCH(RIGHT(Table3[[#This Row],[spawner_sku]],LEN(Table3[[#This Row],[spawner_sku]])-FIND("/",Table3[[#This Row],[spawner_sku]])),Table1[Entity Prefab],0)),10,1,1,"Entities"))</f>
        <v>55</v>
      </c>
      <c r="R22" s="75">
        <f ca="1">ROUND((Table3[[#This Row],[XP]]*Table3[[#This Row],[entity_spawned (AVG)]])*(Table3[[#This Row],[activating_chance]]/100),0)</f>
        <v>110</v>
      </c>
      <c r="S22" t="str">
        <f ca="1">INDIRECT(ADDRESS(11+(MATCH(RIGHT(Table3[[#This Row],[spawner_sku]],LEN(Table3[[#This Row],[spawner_sku]])-FIND("/",Table3[[#This Row],[spawner_sku]])),Table28[Entity Prefab],0)),24,1,1,"Entities"))</f>
        <v>yes</v>
      </c>
      <c r="T22">
        <v>1</v>
      </c>
      <c r="U22">
        <v>3</v>
      </c>
      <c r="V22" t="b">
        <v>0</v>
      </c>
      <c r="W22" s="72"/>
      <c r="X22" t="s">
        <v>226</v>
      </c>
      <c r="Y22">
        <v>1.5</v>
      </c>
      <c r="Z22">
        <v>180</v>
      </c>
      <c r="AA22">
        <v>100</v>
      </c>
      <c r="AB22" s="75">
        <f ca="1">INDIRECT(ADDRESS(11+(MATCH(RIGHT(Table39[[#This Row],[spawner_sku]],LEN(Table39[[#This Row],[spawner_sku]])-FIND("/",Table39[[#This Row],[spawner_sku]])),Table1[Entity Prefab],0)),10,1,1,"Entities"))</f>
        <v>55</v>
      </c>
      <c r="AC22" s="75">
        <f ca="1">ROUND((Table39[[#This Row],[XP]]*Table39[[#This Row],[entity_spawned (AVG)]])*(Table39[[#This Row],[activating_chance]]/100),0)</f>
        <v>83</v>
      </c>
      <c r="AD22" t="str">
        <f ca="1">INDIRECT(ADDRESS(11+(MATCH(RIGHT(Table39[[#This Row],[spawner_sku]],LEN(Table39[[#This Row],[spawner_sku]])-FIND("/",Table39[[#This Row],[spawner_sku]])),Table28[Entity Prefab],0)),24,1,1,"Entities"))</f>
        <v>yes</v>
      </c>
      <c r="AE22">
        <v>1</v>
      </c>
      <c r="AF22">
        <v>2</v>
      </c>
      <c r="AG22" t="b">
        <v>0</v>
      </c>
      <c r="AI22" t="s">
        <v>226</v>
      </c>
      <c r="AJ22">
        <v>1</v>
      </c>
      <c r="AK22">
        <v>180</v>
      </c>
      <c r="AL22">
        <v>100</v>
      </c>
      <c r="AM22" s="75">
        <f ca="1">INDIRECT(ADDRESS(11+(MATCH(RIGHT(Table2[[#This Row],[spawner_sku]],LEN(Table2[[#This Row],[spawner_sku]])-FIND("/",Table2[[#This Row],[spawner_sku]])),Table1[Entity Prefab],0)),10,1,1,"Entities"))</f>
        <v>55</v>
      </c>
      <c r="AN22" s="75">
        <f ca="1">ROUND((Table2[[#This Row],[XP]]*Table2[[#This Row],[entity_spawned (AVG)]])*(Table2[[#This Row],[activating_chance]]/100),0)</f>
        <v>55</v>
      </c>
      <c r="AO22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2" s="72">
        <v>1</v>
      </c>
      <c r="AQ22" s="72">
        <v>1</v>
      </c>
      <c r="AR22" s="72" t="b">
        <v>0</v>
      </c>
      <c r="AT22" t="s">
        <v>226</v>
      </c>
      <c r="AU22">
        <v>1</v>
      </c>
      <c r="AV22">
        <v>280</v>
      </c>
      <c r="AW22">
        <v>100</v>
      </c>
      <c r="AX22" s="75">
        <f ca="1">INDIRECT(ADDRESS(11+(MATCH(RIGHT(Table6[[#This Row],[spawner_sku]],LEN(Table6[[#This Row],[spawner_sku]])-FIND("/",Table6[[#This Row],[spawner_sku]])),Table1[Entity Prefab],0)),10,1,1,"Entities"))</f>
        <v>55</v>
      </c>
      <c r="AY22" s="75">
        <f ca="1">ROUND((Table6[[#This Row],[XP]]*Table6[[#This Row],[entity_spawned (AVG)]])*(Table6[[#This Row],[activating_chance]]/100),0)</f>
        <v>55</v>
      </c>
      <c r="AZ22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22">
        <v>1</v>
      </c>
      <c r="BB22">
        <v>1</v>
      </c>
      <c r="BC22" t="b">
        <v>0</v>
      </c>
      <c r="BE22" t="s">
        <v>226</v>
      </c>
      <c r="BF22">
        <v>1.5</v>
      </c>
      <c r="BG22">
        <v>180</v>
      </c>
      <c r="BH22">
        <v>100</v>
      </c>
      <c r="BI22" s="75">
        <f ca="1">INDIRECT(ADDRESS(11+(MATCH(RIGHT(Table610[[#This Row],[spawner_sku]],LEN(Table610[[#This Row],[spawner_sku]])-FIND("/",Table610[[#This Row],[spawner_sku]])),Table1[Entity Prefab],0)),10,1,1,"Entities"))</f>
        <v>55</v>
      </c>
      <c r="BJ22" s="75">
        <f ca="1">ROUND((Table610[[#This Row],[XP]]*Table610[[#This Row],[entity_spawned (AVG)]])*(Table610[[#This Row],[activating_chance]]/100),0)</f>
        <v>83</v>
      </c>
      <c r="BK22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22">
        <v>1</v>
      </c>
      <c r="BM22">
        <v>2</v>
      </c>
      <c r="BN22" t="b">
        <v>0</v>
      </c>
      <c r="BP22" t="s">
        <v>228</v>
      </c>
      <c r="BQ22">
        <v>1.5</v>
      </c>
      <c r="BR22">
        <v>130</v>
      </c>
      <c r="BS22">
        <v>100</v>
      </c>
      <c r="BT2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2" s="75">
        <f ca="1">ROUND((Table61011[[#This Row],[XP]]*Table61011[[#This Row],[entity_spawned (AVG)]])*(Table61011[[#This Row],[activating_chance]]/100),0)</f>
        <v>38</v>
      </c>
      <c r="BV2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" s="72">
        <v>1</v>
      </c>
      <c r="BX22" s="72">
        <v>2</v>
      </c>
      <c r="BY22" s="72" t="b">
        <v>0</v>
      </c>
      <c r="CA22" t="s">
        <v>228</v>
      </c>
      <c r="CB22">
        <v>3.5</v>
      </c>
      <c r="CC22">
        <v>180</v>
      </c>
      <c r="CD22">
        <v>80</v>
      </c>
      <c r="CE22" s="75">
        <f ca="1">INDIRECT(ADDRESS(11+(MATCH(RIGHT(Table11[[#This Row],[spawner_sku]],LEN(Table11[[#This Row],[spawner_sku]])-FIND("/",Table11[[#This Row],[spawner_sku]])),Table1[Entity Prefab],0)),10,1,1,"Entities"))</f>
        <v>25</v>
      </c>
      <c r="CF22">
        <f ca="1">ROUND((Table11[[#This Row],[XP]]*Table11[[#This Row],[entity_spawned (AVG)]])*(Table11[[#This Row],[activating_chance]]/100),0)</f>
        <v>70</v>
      </c>
      <c r="CG22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22" s="72">
        <v>3</v>
      </c>
      <c r="CI22" s="72">
        <v>4</v>
      </c>
      <c r="CJ22" s="72" t="b">
        <v>0</v>
      </c>
      <c r="CL22" t="s">
        <v>226</v>
      </c>
      <c r="CM22">
        <v>1</v>
      </c>
      <c r="CN22">
        <v>260</v>
      </c>
      <c r="CO22">
        <v>100</v>
      </c>
      <c r="CP22" s="75">
        <f ca="1">INDIRECT(ADDRESS(11+(MATCH(RIGHT(Table12[[#This Row],[spawner_sku]],LEN(Table12[[#This Row],[spawner_sku]])-FIND("/",Table12[[#This Row],[spawner_sku]])),Table1[Entity Prefab],0)),10,1,1,"Entities"))</f>
        <v>55</v>
      </c>
      <c r="CQ22" s="75">
        <f ca="1">ROUND((Table12[[#This Row],[XP]]*Table12[[#This Row],[entity_spawned (AVG)]])*(Table12[[#This Row],[activating_chance]]/100),0)</f>
        <v>55</v>
      </c>
      <c r="CR22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22" s="72">
        <v>1</v>
      </c>
      <c r="CT22" s="72">
        <v>1</v>
      </c>
      <c r="CU22" s="72" t="b">
        <v>0</v>
      </c>
      <c r="CW22" t="s">
        <v>226</v>
      </c>
      <c r="CX22">
        <v>1</v>
      </c>
      <c r="CY22">
        <v>260</v>
      </c>
      <c r="CZ22">
        <v>100</v>
      </c>
      <c r="DA22" s="75">
        <f ca="1">INDIRECT(ADDRESS(11+(MATCH(RIGHT(Table13[[#This Row],[spawner_sku]],LEN(Table13[[#This Row],[spawner_sku]])-FIND("/",Table13[[#This Row],[spawner_sku]])),Table1[Entity Prefab],0)),10,1,1,"Entities"))</f>
        <v>55</v>
      </c>
      <c r="DB22" s="75">
        <f ca="1">ROUND((Table13[[#This Row],[XP]]*Table13[[#This Row],[entity_spawned (AVG)]])*(Table13[[#This Row],[activating_chance]]/100),0)</f>
        <v>55</v>
      </c>
      <c r="DC22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22" s="72">
        <v>1</v>
      </c>
      <c r="DE22" s="72">
        <v>1</v>
      </c>
      <c r="DF22" s="72" t="b">
        <v>0</v>
      </c>
      <c r="DH22" t="s">
        <v>226</v>
      </c>
      <c r="DI22">
        <v>3</v>
      </c>
      <c r="DJ22">
        <v>260</v>
      </c>
      <c r="DK22">
        <v>100</v>
      </c>
      <c r="DL22" s="75">
        <f ca="1">INDIRECT(ADDRESS(11+(MATCH(RIGHT(Table14[[#This Row],[spawner_sku]],LEN(Table14[[#This Row],[spawner_sku]])-FIND("/",Table14[[#This Row],[spawner_sku]])),Table1[Entity Prefab],0)),10,1,1,"Entities"))</f>
        <v>55</v>
      </c>
      <c r="DM22" s="75">
        <f ca="1">ROUND((Table14[[#This Row],[XP]]*Table14[[#This Row],[entity_spawned (AVG)]])*(Table14[[#This Row],[activating_chance]]/100),0)</f>
        <v>165</v>
      </c>
      <c r="DN2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2" s="72">
        <v>3</v>
      </c>
      <c r="DP22" s="72">
        <v>3</v>
      </c>
      <c r="DQ22" s="72" t="b">
        <v>0</v>
      </c>
      <c r="DS22" t="s">
        <v>632</v>
      </c>
      <c r="DT22">
        <v>1</v>
      </c>
      <c r="DU22">
        <v>120</v>
      </c>
      <c r="DV22">
        <v>100</v>
      </c>
      <c r="DW22" s="75">
        <f ca="1">INDIRECT(ADDRESS(11+(MATCH(RIGHT(Table18[[#This Row],[spawner_sku]],LEN(Table18[[#This Row],[spawner_sku]])-FIND("/",Table18[[#This Row],[spawner_sku]])),Table1[Entity Prefab],0)),10,1,1,"Entities"))</f>
        <v>75</v>
      </c>
      <c r="DX22" s="75">
        <f ca="1">ROUND((Table18[[#This Row],[XP]]*Table18[[#This Row],[entity_spawned (AVG)]])*(Table18[[#This Row],[activating_chance]]/100),0)</f>
        <v>75</v>
      </c>
      <c r="DY2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2">
        <v>1</v>
      </c>
      <c r="EA22">
        <v>1</v>
      </c>
      <c r="EB22" t="b">
        <v>0</v>
      </c>
      <c r="ED22" t="s">
        <v>226</v>
      </c>
      <c r="EE22">
        <v>1</v>
      </c>
      <c r="EF22">
        <v>120</v>
      </c>
      <c r="EG22">
        <v>100</v>
      </c>
      <c r="EH22" s="75">
        <f ca="1">INDIRECT(ADDRESS(11+(MATCH(RIGHT(Table1820[[#This Row],[spawner_sku]],LEN(Table1820[[#This Row],[spawner_sku]])-FIND("/",Table1820[[#This Row],[spawner_sku]])),Table1[Entity Prefab],0)),10,1,1,"Entities"))</f>
        <v>55</v>
      </c>
      <c r="EI22" s="75">
        <f ca="1">ROUND((Table1820[[#This Row],[XP]]*Table1820[[#This Row],[entity_spawned (AVG)]])*(Table1820[[#This Row],[activating_chance]]/100),0)</f>
        <v>55</v>
      </c>
      <c r="EJ22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2">
        <v>1</v>
      </c>
      <c r="EL22">
        <v>1</v>
      </c>
      <c r="EM22" t="b">
        <v>0</v>
      </c>
      <c r="EO22" t="s">
        <v>231</v>
      </c>
      <c r="EP22">
        <v>1</v>
      </c>
      <c r="EQ22">
        <v>5000</v>
      </c>
      <c r="ER22">
        <v>100</v>
      </c>
      <c r="ES22" s="75">
        <f ca="1">INDIRECT(ADDRESS(11+(MATCH(RIGHT(Table182023[[#This Row],[spawner_sku]],LEN(Table182023[[#This Row],[spawner_sku]])-FIND("/",Table182023[[#This Row],[spawner_sku]])),Table1[Entity Prefab],0)),10,1,1,"Entities"))</f>
        <v>75</v>
      </c>
      <c r="ET22" s="75">
        <f ca="1">ROUND((Table182023[[#This Row],[XP]]*Table182023[[#This Row],[entity_spawned (AVG)]])*(Table182023[[#This Row],[activating_chance]]/100),0)</f>
        <v>75</v>
      </c>
      <c r="EU22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22" s="152">
        <v>1</v>
      </c>
      <c r="EW22" s="152">
        <v>1</v>
      </c>
      <c r="EX22" s="152" t="b">
        <v>0</v>
      </c>
      <c r="EZ22" t="s">
        <v>231</v>
      </c>
      <c r="FA22">
        <v>1</v>
      </c>
      <c r="FB22">
        <v>5000</v>
      </c>
      <c r="FC22">
        <v>100</v>
      </c>
      <c r="FD22" s="75">
        <f ca="1">INDIRECT(ADDRESS(11+(MATCH(RIGHT(Table18202324[[#This Row],[spawner_sku]],LEN(Table18202324[[#This Row],[spawner_sku]])-FIND("/",Table18202324[[#This Row],[spawner_sku]])),Table1[Entity Prefab],0)),10,1,1,"Entities"))</f>
        <v>75</v>
      </c>
      <c r="FE22" s="75">
        <f ca="1">ROUND((Table18202324[[#This Row],[XP]]*Table18202324[[#This Row],[entity_spawned (AVG)]])*(Table18202324[[#This Row],[activating_chance]]/100),0)</f>
        <v>75</v>
      </c>
      <c r="FF22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22">
        <v>1</v>
      </c>
      <c r="FH22">
        <v>1</v>
      </c>
      <c r="FI22" t="b">
        <v>0</v>
      </c>
    </row>
    <row r="23" spans="2:165" x14ac:dyDescent="0.25">
      <c r="B23" s="73" t="s">
        <v>227</v>
      </c>
      <c r="C23">
        <v>10</v>
      </c>
      <c r="D23">
        <v>270</v>
      </c>
      <c r="E23">
        <v>100</v>
      </c>
      <c r="F23" s="75">
        <f ca="1">INDIRECT(ADDRESS(11+(MATCH(RIGHT(Table245[[#This Row],[spawner_sku]],LEN(Table245[[#This Row],[spawner_sku]])-FIND("/",Table245[[#This Row],[spawner_sku]])),Table1[Entity Prefab],0)),10,1,1,"Entities"))</f>
        <v>25</v>
      </c>
      <c r="G23" s="75">
        <f ca="1">ROUND((Table245[[#This Row],[XP]]*Table245[[#This Row],[entity_spawned (AVG)]])*(Table245[[#This Row],[activating_chance]]/100),0)</f>
        <v>250</v>
      </c>
      <c r="H2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3" s="72">
        <v>8</v>
      </c>
      <c r="J23" s="72">
        <v>12</v>
      </c>
      <c r="K23" s="72" t="b">
        <v>1</v>
      </c>
      <c r="M23" t="s">
        <v>226</v>
      </c>
      <c r="N23">
        <v>1</v>
      </c>
      <c r="O23">
        <v>260</v>
      </c>
      <c r="P23">
        <v>100</v>
      </c>
      <c r="Q23" s="75">
        <f ca="1">INDIRECT(ADDRESS(11+(MATCH(RIGHT(Table3[[#This Row],[spawner_sku]],LEN(Table3[[#This Row],[spawner_sku]])-FIND("/",Table3[[#This Row],[spawner_sku]])),Table1[Entity Prefab],0)),10,1,1,"Entities"))</f>
        <v>55</v>
      </c>
      <c r="R23" s="75">
        <f ca="1">ROUND((Table3[[#This Row],[XP]]*Table3[[#This Row],[entity_spawned (AVG)]])*(Table3[[#This Row],[activating_chance]]/100),0)</f>
        <v>55</v>
      </c>
      <c r="S23" t="str">
        <f ca="1">INDIRECT(ADDRESS(11+(MATCH(RIGHT(Table3[[#This Row],[spawner_sku]],LEN(Table3[[#This Row],[spawner_sku]])-FIND("/",Table3[[#This Row],[spawner_sku]])),Table28[Entity Prefab],0)),24,1,1,"Entities"))</f>
        <v>yes</v>
      </c>
      <c r="T23">
        <v>1</v>
      </c>
      <c r="U23">
        <v>1</v>
      </c>
      <c r="V23" t="b">
        <v>0</v>
      </c>
      <c r="W23" s="72"/>
      <c r="X23" t="s">
        <v>226</v>
      </c>
      <c r="Y23">
        <v>1.5</v>
      </c>
      <c r="Z23">
        <v>190</v>
      </c>
      <c r="AA23">
        <v>100</v>
      </c>
      <c r="AB23" s="75">
        <f ca="1">INDIRECT(ADDRESS(11+(MATCH(RIGHT(Table39[[#This Row],[spawner_sku]],LEN(Table39[[#This Row],[spawner_sku]])-FIND("/",Table39[[#This Row],[spawner_sku]])),Table1[Entity Prefab],0)),10,1,1,"Entities"))</f>
        <v>55</v>
      </c>
      <c r="AC23" s="75">
        <f ca="1">ROUND((Table39[[#This Row],[XP]]*Table39[[#This Row],[entity_spawned (AVG)]])*(Table39[[#This Row],[activating_chance]]/100),0)</f>
        <v>83</v>
      </c>
      <c r="AD23" t="str">
        <f ca="1">INDIRECT(ADDRESS(11+(MATCH(RIGHT(Table39[[#This Row],[spawner_sku]],LEN(Table39[[#This Row],[spawner_sku]])-FIND("/",Table39[[#This Row],[spawner_sku]])),Table28[Entity Prefab],0)),24,1,1,"Entities"))</f>
        <v>yes</v>
      </c>
      <c r="AE23">
        <v>1</v>
      </c>
      <c r="AF23">
        <v>2</v>
      </c>
      <c r="AG23" t="b">
        <v>0</v>
      </c>
      <c r="AI23" t="s">
        <v>226</v>
      </c>
      <c r="AJ23">
        <v>1</v>
      </c>
      <c r="AK23">
        <v>180</v>
      </c>
      <c r="AL23">
        <v>100</v>
      </c>
      <c r="AM23" s="75">
        <f ca="1">INDIRECT(ADDRESS(11+(MATCH(RIGHT(Table2[[#This Row],[spawner_sku]],LEN(Table2[[#This Row],[spawner_sku]])-FIND("/",Table2[[#This Row],[spawner_sku]])),Table1[Entity Prefab],0)),10,1,1,"Entities"))</f>
        <v>55</v>
      </c>
      <c r="AN23" s="75">
        <f ca="1">ROUND((Table2[[#This Row],[XP]]*Table2[[#This Row],[entity_spawned (AVG)]])*(Table2[[#This Row],[activating_chance]]/100),0)</f>
        <v>55</v>
      </c>
      <c r="AO2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3" s="72">
        <v>1</v>
      </c>
      <c r="AQ23" s="72">
        <v>1</v>
      </c>
      <c r="AR23" s="72" t="b">
        <v>0</v>
      </c>
      <c r="AT23" t="s">
        <v>226</v>
      </c>
      <c r="AU23">
        <v>1</v>
      </c>
      <c r="AV23">
        <v>280</v>
      </c>
      <c r="AW23">
        <v>100</v>
      </c>
      <c r="AX23" s="75">
        <f ca="1">INDIRECT(ADDRESS(11+(MATCH(RIGHT(Table6[[#This Row],[spawner_sku]],LEN(Table6[[#This Row],[spawner_sku]])-FIND("/",Table6[[#This Row],[spawner_sku]])),Table1[Entity Prefab],0)),10,1,1,"Entities"))</f>
        <v>55</v>
      </c>
      <c r="AY23" s="75">
        <f ca="1">ROUND((Table6[[#This Row],[XP]]*Table6[[#This Row],[entity_spawned (AVG)]])*(Table6[[#This Row],[activating_chance]]/100),0)</f>
        <v>55</v>
      </c>
      <c r="AZ23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23">
        <v>1</v>
      </c>
      <c r="BB23">
        <v>1</v>
      </c>
      <c r="BC23" t="b">
        <v>0</v>
      </c>
      <c r="BE23" t="s">
        <v>226</v>
      </c>
      <c r="BF23">
        <v>1</v>
      </c>
      <c r="BG23">
        <v>180</v>
      </c>
      <c r="BH23">
        <v>100</v>
      </c>
      <c r="BI23" s="75">
        <f ca="1">INDIRECT(ADDRESS(11+(MATCH(RIGHT(Table610[[#This Row],[spawner_sku]],LEN(Table610[[#This Row],[spawner_sku]])-FIND("/",Table610[[#This Row],[spawner_sku]])),Table1[Entity Prefab],0)),10,1,1,"Entities"))</f>
        <v>55</v>
      </c>
      <c r="BJ23" s="75">
        <f ca="1">ROUND((Table610[[#This Row],[XP]]*Table610[[#This Row],[entity_spawned (AVG)]])*(Table610[[#This Row],[activating_chance]]/100),0)</f>
        <v>55</v>
      </c>
      <c r="BK23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23">
        <v>1</v>
      </c>
      <c r="BM23">
        <v>1</v>
      </c>
      <c r="BN23" t="b">
        <v>0</v>
      </c>
      <c r="BP23" t="s">
        <v>228</v>
      </c>
      <c r="BQ23">
        <v>1.5</v>
      </c>
      <c r="BR23">
        <v>130</v>
      </c>
      <c r="BS23">
        <v>100</v>
      </c>
      <c r="BT2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3" s="75">
        <f ca="1">ROUND((Table61011[[#This Row],[XP]]*Table61011[[#This Row],[entity_spawned (AVG)]])*(Table61011[[#This Row],[activating_chance]]/100),0)</f>
        <v>38</v>
      </c>
      <c r="BV2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" s="72">
        <v>1</v>
      </c>
      <c r="BX23" s="72">
        <v>2</v>
      </c>
      <c r="BY23" s="72" t="b">
        <v>0</v>
      </c>
      <c r="CA23" t="s">
        <v>228</v>
      </c>
      <c r="CB23">
        <v>2.5</v>
      </c>
      <c r="CC23">
        <v>180</v>
      </c>
      <c r="CD23">
        <v>100</v>
      </c>
      <c r="CE23" s="75">
        <f ca="1">INDIRECT(ADDRESS(11+(MATCH(RIGHT(Table11[[#This Row],[spawner_sku]],LEN(Table11[[#This Row],[spawner_sku]])-FIND("/",Table11[[#This Row],[spawner_sku]])),Table1[Entity Prefab],0)),10,1,1,"Entities"))</f>
        <v>25</v>
      </c>
      <c r="CF23">
        <f ca="1">ROUND((Table11[[#This Row],[XP]]*Table11[[#This Row],[entity_spawned (AVG)]])*(Table11[[#This Row],[activating_chance]]/100),0)</f>
        <v>63</v>
      </c>
      <c r="CG23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23" s="72">
        <v>2</v>
      </c>
      <c r="CI23" s="72">
        <v>3</v>
      </c>
      <c r="CJ23" s="72" t="b">
        <v>0</v>
      </c>
      <c r="CL23" t="s">
        <v>226</v>
      </c>
      <c r="CM23">
        <v>1</v>
      </c>
      <c r="CN23">
        <v>260</v>
      </c>
      <c r="CO23">
        <v>80</v>
      </c>
      <c r="CP23" s="75">
        <f ca="1">INDIRECT(ADDRESS(11+(MATCH(RIGHT(Table12[[#This Row],[spawner_sku]],LEN(Table12[[#This Row],[spawner_sku]])-FIND("/",Table12[[#This Row],[spawner_sku]])),Table1[Entity Prefab],0)),10,1,1,"Entities"))</f>
        <v>55</v>
      </c>
      <c r="CQ23" s="75">
        <f ca="1">ROUND((Table12[[#This Row],[XP]]*Table12[[#This Row],[entity_spawned (AVG)]])*(Table12[[#This Row],[activating_chance]]/100),0)</f>
        <v>44</v>
      </c>
      <c r="CR23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23" s="72">
        <v>1</v>
      </c>
      <c r="CT23" s="72">
        <v>1</v>
      </c>
      <c r="CU23" s="72" t="b">
        <v>0</v>
      </c>
      <c r="CW23" t="s">
        <v>226</v>
      </c>
      <c r="CX23">
        <v>2.5</v>
      </c>
      <c r="CY23">
        <v>260</v>
      </c>
      <c r="CZ23">
        <v>80</v>
      </c>
      <c r="DA23" s="75">
        <f ca="1">INDIRECT(ADDRESS(11+(MATCH(RIGHT(Table13[[#This Row],[spawner_sku]],LEN(Table13[[#This Row],[spawner_sku]])-FIND("/",Table13[[#This Row],[spawner_sku]])),Table1[Entity Prefab],0)),10,1,1,"Entities"))</f>
        <v>55</v>
      </c>
      <c r="DB23" s="75">
        <f ca="1">ROUND((Table13[[#This Row],[XP]]*Table13[[#This Row],[entity_spawned (AVG)]])*(Table13[[#This Row],[activating_chance]]/100),0)</f>
        <v>110</v>
      </c>
      <c r="DC23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23" s="72">
        <v>2</v>
      </c>
      <c r="DE23" s="72">
        <v>3</v>
      </c>
      <c r="DF23" s="72" t="b">
        <v>0</v>
      </c>
      <c r="DH23" t="s">
        <v>226</v>
      </c>
      <c r="DI23">
        <v>1</v>
      </c>
      <c r="DJ23">
        <v>150</v>
      </c>
      <c r="DK23">
        <v>80</v>
      </c>
      <c r="DL23" s="75">
        <f ca="1">INDIRECT(ADDRESS(11+(MATCH(RIGHT(Table14[[#This Row],[spawner_sku]],LEN(Table14[[#This Row],[spawner_sku]])-FIND("/",Table14[[#This Row],[spawner_sku]])),Table1[Entity Prefab],0)),10,1,1,"Entities"))</f>
        <v>55</v>
      </c>
      <c r="DM23" s="75">
        <f ca="1">ROUND((Table14[[#This Row],[XP]]*Table14[[#This Row],[entity_spawned (AVG)]])*(Table14[[#This Row],[activating_chance]]/100),0)</f>
        <v>44</v>
      </c>
      <c r="DN2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3" s="72">
        <v>1</v>
      </c>
      <c r="DP23" s="72">
        <v>1</v>
      </c>
      <c r="DQ23" s="72" t="b">
        <v>0</v>
      </c>
      <c r="DS23" t="s">
        <v>226</v>
      </c>
      <c r="DT23">
        <v>2</v>
      </c>
      <c r="DU23">
        <v>120</v>
      </c>
      <c r="DV23">
        <v>100</v>
      </c>
      <c r="DW23" s="75">
        <f ca="1">INDIRECT(ADDRESS(11+(MATCH(RIGHT(Table18[[#This Row],[spawner_sku]],LEN(Table18[[#This Row],[spawner_sku]])-FIND("/",Table18[[#This Row],[spawner_sku]])),Table1[Entity Prefab],0)),10,1,1,"Entities"))</f>
        <v>55</v>
      </c>
      <c r="DX23" s="75">
        <f ca="1">ROUND((Table18[[#This Row],[XP]]*Table18[[#This Row],[entity_spawned (AVG)]])*(Table18[[#This Row],[activating_chance]]/100),0)</f>
        <v>110</v>
      </c>
      <c r="DY23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23">
        <v>2</v>
      </c>
      <c r="EA23">
        <v>3</v>
      </c>
      <c r="EB23" t="b">
        <v>0</v>
      </c>
      <c r="ED23" t="s">
        <v>226</v>
      </c>
      <c r="EE23">
        <v>1</v>
      </c>
      <c r="EF23">
        <v>120</v>
      </c>
      <c r="EG23">
        <v>100</v>
      </c>
      <c r="EH23" s="75">
        <f ca="1">INDIRECT(ADDRESS(11+(MATCH(RIGHT(Table1820[[#This Row],[spawner_sku]],LEN(Table1820[[#This Row],[spawner_sku]])-FIND("/",Table1820[[#This Row],[spawner_sku]])),Table1[Entity Prefab],0)),10,1,1,"Entities"))</f>
        <v>55</v>
      </c>
      <c r="EI23" s="75">
        <f ca="1">ROUND((Table1820[[#This Row],[XP]]*Table1820[[#This Row],[entity_spawned (AVG)]])*(Table1820[[#This Row],[activating_chance]]/100),0)</f>
        <v>55</v>
      </c>
      <c r="EJ23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3">
        <v>1</v>
      </c>
      <c r="EL23">
        <v>1</v>
      </c>
      <c r="EM23" t="b">
        <v>0</v>
      </c>
      <c r="EO23" t="s">
        <v>231</v>
      </c>
      <c r="EP23">
        <v>1</v>
      </c>
      <c r="EQ23">
        <v>5000</v>
      </c>
      <c r="ER23">
        <v>96</v>
      </c>
      <c r="ES23" s="75">
        <f ca="1">INDIRECT(ADDRESS(11+(MATCH(RIGHT(Table182023[[#This Row],[spawner_sku]],LEN(Table182023[[#This Row],[spawner_sku]])-FIND("/",Table182023[[#This Row],[spawner_sku]])),Table1[Entity Prefab],0)),10,1,1,"Entities"))</f>
        <v>75</v>
      </c>
      <c r="ET23" s="75">
        <f ca="1">ROUND((Table182023[[#This Row],[XP]]*Table182023[[#This Row],[entity_spawned (AVG)]])*(Table182023[[#This Row],[activating_chance]]/100),0)</f>
        <v>72</v>
      </c>
      <c r="EU23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23" s="152">
        <v>1</v>
      </c>
      <c r="EW23" s="152">
        <v>1</v>
      </c>
      <c r="EX23" s="152" t="b">
        <v>0</v>
      </c>
      <c r="EZ23" t="s">
        <v>231</v>
      </c>
      <c r="FA23">
        <v>1</v>
      </c>
      <c r="FB23">
        <v>5000</v>
      </c>
      <c r="FC23">
        <v>30</v>
      </c>
      <c r="FD23" s="75">
        <f ca="1">INDIRECT(ADDRESS(11+(MATCH(RIGHT(Table18202324[[#This Row],[spawner_sku]],LEN(Table18202324[[#This Row],[spawner_sku]])-FIND("/",Table18202324[[#This Row],[spawner_sku]])),Table1[Entity Prefab],0)),10,1,1,"Entities"))</f>
        <v>75</v>
      </c>
      <c r="FE23" s="75">
        <f ca="1">ROUND((Table18202324[[#This Row],[XP]]*Table18202324[[#This Row],[entity_spawned (AVG)]])*(Table18202324[[#This Row],[activating_chance]]/100),0)</f>
        <v>23</v>
      </c>
      <c r="FF23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23">
        <v>1</v>
      </c>
      <c r="FH23">
        <v>1</v>
      </c>
      <c r="FI23" t="b">
        <v>0</v>
      </c>
    </row>
    <row r="24" spans="2:165" x14ac:dyDescent="0.25">
      <c r="B24" s="73" t="s">
        <v>228</v>
      </c>
      <c r="C24">
        <v>1</v>
      </c>
      <c r="D24">
        <v>60</v>
      </c>
      <c r="E24">
        <v>100</v>
      </c>
      <c r="F24" s="75">
        <f ca="1">INDIRECT(ADDRESS(11+(MATCH(RIGHT(Table245[[#This Row],[spawner_sku]],LEN(Table245[[#This Row],[spawner_sku]])-FIND("/",Table245[[#This Row],[spawner_sku]])),Table1[Entity Prefab],0)),10,1,1,"Entities"))</f>
        <v>25</v>
      </c>
      <c r="G24" s="75">
        <f ca="1">ROUND((Table245[[#This Row],[XP]]*Table245[[#This Row],[entity_spawned (AVG)]])*(Table245[[#This Row],[activating_chance]]/100),0)</f>
        <v>25</v>
      </c>
      <c r="H2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4" s="72">
        <v>1</v>
      </c>
      <c r="J24" s="72">
        <v>1</v>
      </c>
      <c r="K24" s="72" t="b">
        <v>0</v>
      </c>
      <c r="M24" t="s">
        <v>226</v>
      </c>
      <c r="N24">
        <v>1</v>
      </c>
      <c r="O24">
        <v>260</v>
      </c>
      <c r="P24">
        <v>20</v>
      </c>
      <c r="Q24" s="75">
        <f ca="1">INDIRECT(ADDRESS(11+(MATCH(RIGHT(Table3[[#This Row],[spawner_sku]],LEN(Table3[[#This Row],[spawner_sku]])-FIND("/",Table3[[#This Row],[spawner_sku]])),Table1[Entity Prefab],0)),10,1,1,"Entities"))</f>
        <v>55</v>
      </c>
      <c r="R24" s="75">
        <f ca="1">ROUND((Table3[[#This Row],[XP]]*Table3[[#This Row],[entity_spawned (AVG)]])*(Table3[[#This Row],[activating_chance]]/100),0)</f>
        <v>11</v>
      </c>
      <c r="S24" t="str">
        <f ca="1">INDIRECT(ADDRESS(11+(MATCH(RIGHT(Table3[[#This Row],[spawner_sku]],LEN(Table3[[#This Row],[spawner_sku]])-FIND("/",Table3[[#This Row],[spawner_sku]])),Table28[Entity Prefab],0)),24,1,1,"Entities"))</f>
        <v>yes</v>
      </c>
      <c r="T24">
        <v>1</v>
      </c>
      <c r="U24">
        <v>1</v>
      </c>
      <c r="V24" t="b">
        <v>0</v>
      </c>
      <c r="W24" s="72"/>
      <c r="X24" t="s">
        <v>226</v>
      </c>
      <c r="Y24">
        <v>1.5</v>
      </c>
      <c r="Z24">
        <v>180</v>
      </c>
      <c r="AA24">
        <v>100</v>
      </c>
      <c r="AB24" s="75">
        <f ca="1">INDIRECT(ADDRESS(11+(MATCH(RIGHT(Table39[[#This Row],[spawner_sku]],LEN(Table39[[#This Row],[spawner_sku]])-FIND("/",Table39[[#This Row],[spawner_sku]])),Table1[Entity Prefab],0)),10,1,1,"Entities"))</f>
        <v>55</v>
      </c>
      <c r="AC24" s="75">
        <f ca="1">ROUND((Table39[[#This Row],[XP]]*Table39[[#This Row],[entity_spawned (AVG)]])*(Table39[[#This Row],[activating_chance]]/100),0)</f>
        <v>83</v>
      </c>
      <c r="AD24" t="str">
        <f ca="1">INDIRECT(ADDRESS(11+(MATCH(RIGHT(Table39[[#This Row],[spawner_sku]],LEN(Table39[[#This Row],[spawner_sku]])-FIND("/",Table39[[#This Row],[spawner_sku]])),Table28[Entity Prefab],0)),24,1,1,"Entities"))</f>
        <v>yes</v>
      </c>
      <c r="AE24">
        <v>1</v>
      </c>
      <c r="AF24">
        <v>2</v>
      </c>
      <c r="AG24" t="b">
        <v>0</v>
      </c>
      <c r="AI24" t="s">
        <v>226</v>
      </c>
      <c r="AJ24">
        <v>1</v>
      </c>
      <c r="AK24">
        <v>170</v>
      </c>
      <c r="AL24">
        <v>100</v>
      </c>
      <c r="AM24" s="75">
        <f ca="1">INDIRECT(ADDRESS(11+(MATCH(RIGHT(Table2[[#This Row],[spawner_sku]],LEN(Table2[[#This Row],[spawner_sku]])-FIND("/",Table2[[#This Row],[spawner_sku]])),Table1[Entity Prefab],0)),10,1,1,"Entities"))</f>
        <v>55</v>
      </c>
      <c r="AN24" s="75">
        <f ca="1">ROUND((Table2[[#This Row],[XP]]*Table2[[#This Row],[entity_spawned (AVG)]])*(Table2[[#This Row],[activating_chance]]/100),0)</f>
        <v>55</v>
      </c>
      <c r="AO24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4" s="72">
        <v>1</v>
      </c>
      <c r="AQ24" s="72">
        <v>1</v>
      </c>
      <c r="AR24" s="72" t="b">
        <v>0</v>
      </c>
      <c r="AT24" t="s">
        <v>226</v>
      </c>
      <c r="AU24">
        <v>1</v>
      </c>
      <c r="AV24">
        <v>280</v>
      </c>
      <c r="AW24">
        <v>100</v>
      </c>
      <c r="AX24" s="75">
        <f ca="1">INDIRECT(ADDRESS(11+(MATCH(RIGHT(Table6[[#This Row],[spawner_sku]],LEN(Table6[[#This Row],[spawner_sku]])-FIND("/",Table6[[#This Row],[spawner_sku]])),Table1[Entity Prefab],0)),10,1,1,"Entities"))</f>
        <v>55</v>
      </c>
      <c r="AY24" s="75">
        <f ca="1">ROUND((Table6[[#This Row],[XP]]*Table6[[#This Row],[entity_spawned (AVG)]])*(Table6[[#This Row],[activating_chance]]/100),0)</f>
        <v>55</v>
      </c>
      <c r="AZ24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24">
        <v>1</v>
      </c>
      <c r="BB24">
        <v>1</v>
      </c>
      <c r="BC24" t="b">
        <v>0</v>
      </c>
      <c r="BE24" t="s">
        <v>226</v>
      </c>
      <c r="BF24">
        <v>2</v>
      </c>
      <c r="BG24">
        <v>150</v>
      </c>
      <c r="BH24">
        <v>100</v>
      </c>
      <c r="BI24" s="75">
        <f ca="1">INDIRECT(ADDRESS(11+(MATCH(RIGHT(Table610[[#This Row],[spawner_sku]],LEN(Table610[[#This Row],[spawner_sku]])-FIND("/",Table610[[#This Row],[spawner_sku]])),Table1[Entity Prefab],0)),10,1,1,"Entities"))</f>
        <v>55</v>
      </c>
      <c r="BJ24" s="75">
        <f ca="1">ROUND((Table610[[#This Row],[XP]]*Table610[[#This Row],[entity_spawned (AVG)]])*(Table610[[#This Row],[activating_chance]]/100),0)</f>
        <v>110</v>
      </c>
      <c r="BK24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24">
        <v>2</v>
      </c>
      <c r="BM24">
        <v>2</v>
      </c>
      <c r="BN24" t="b">
        <v>0</v>
      </c>
      <c r="BP24" t="s">
        <v>228</v>
      </c>
      <c r="BQ24">
        <v>3</v>
      </c>
      <c r="BR24">
        <v>200</v>
      </c>
      <c r="BS24">
        <v>80</v>
      </c>
      <c r="BT2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4" s="75">
        <f ca="1">ROUND((Table61011[[#This Row],[XP]]*Table61011[[#This Row],[entity_spawned (AVG)]])*(Table61011[[#This Row],[activating_chance]]/100),0)</f>
        <v>60</v>
      </c>
      <c r="BV2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4" s="72">
        <v>2</v>
      </c>
      <c r="BX24" s="72">
        <v>4</v>
      </c>
      <c r="BY24" s="72" t="b">
        <v>0</v>
      </c>
      <c r="CA24" t="s">
        <v>228</v>
      </c>
      <c r="CB24">
        <v>3.5</v>
      </c>
      <c r="CC24">
        <v>180</v>
      </c>
      <c r="CD24">
        <v>100</v>
      </c>
      <c r="CE24" s="75">
        <f ca="1">INDIRECT(ADDRESS(11+(MATCH(RIGHT(Table11[[#This Row],[spawner_sku]],LEN(Table11[[#This Row],[spawner_sku]])-FIND("/",Table11[[#This Row],[spawner_sku]])),Table1[Entity Prefab],0)),10,1,1,"Entities"))</f>
        <v>25</v>
      </c>
      <c r="CF24">
        <f ca="1">ROUND((Table11[[#This Row],[XP]]*Table11[[#This Row],[entity_spawned (AVG)]])*(Table11[[#This Row],[activating_chance]]/100),0)</f>
        <v>88</v>
      </c>
      <c r="CG24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24" s="72">
        <v>3</v>
      </c>
      <c r="CI24" s="72">
        <v>4</v>
      </c>
      <c r="CJ24" s="72" t="b">
        <v>0</v>
      </c>
      <c r="CL24" t="s">
        <v>226</v>
      </c>
      <c r="CM24">
        <v>2.5</v>
      </c>
      <c r="CN24">
        <v>260</v>
      </c>
      <c r="CO24">
        <v>80</v>
      </c>
      <c r="CP24" s="75">
        <f ca="1">INDIRECT(ADDRESS(11+(MATCH(RIGHT(Table12[[#This Row],[spawner_sku]],LEN(Table12[[#This Row],[spawner_sku]])-FIND("/",Table12[[#This Row],[spawner_sku]])),Table1[Entity Prefab],0)),10,1,1,"Entities"))</f>
        <v>55</v>
      </c>
      <c r="CQ24" s="75">
        <f ca="1">ROUND((Table12[[#This Row],[XP]]*Table12[[#This Row],[entity_spawned (AVG)]])*(Table12[[#This Row],[activating_chance]]/100),0)</f>
        <v>110</v>
      </c>
      <c r="CR24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24" s="72">
        <v>2</v>
      </c>
      <c r="CT24" s="72">
        <v>3</v>
      </c>
      <c r="CU24" s="72" t="b">
        <v>0</v>
      </c>
      <c r="CW24" t="s">
        <v>226</v>
      </c>
      <c r="CX24">
        <v>2</v>
      </c>
      <c r="CY24">
        <v>260</v>
      </c>
      <c r="CZ24">
        <v>100</v>
      </c>
      <c r="DA24" s="75">
        <f ca="1">INDIRECT(ADDRESS(11+(MATCH(RIGHT(Table13[[#This Row],[spawner_sku]],LEN(Table13[[#This Row],[spawner_sku]])-FIND("/",Table13[[#This Row],[spawner_sku]])),Table1[Entity Prefab],0)),10,1,1,"Entities"))</f>
        <v>55</v>
      </c>
      <c r="DB24" s="75">
        <f ca="1">ROUND((Table13[[#This Row],[XP]]*Table13[[#This Row],[entity_spawned (AVG)]])*(Table13[[#This Row],[activating_chance]]/100),0)</f>
        <v>110</v>
      </c>
      <c r="DC24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24" s="72">
        <v>2</v>
      </c>
      <c r="DE24" s="72">
        <v>2</v>
      </c>
      <c r="DF24" s="72" t="b">
        <v>0</v>
      </c>
      <c r="DH24" t="s">
        <v>226</v>
      </c>
      <c r="DI24">
        <v>1</v>
      </c>
      <c r="DJ24">
        <v>200</v>
      </c>
      <c r="DK24">
        <v>30</v>
      </c>
      <c r="DL24" s="75">
        <f ca="1">INDIRECT(ADDRESS(11+(MATCH(RIGHT(Table14[[#This Row],[spawner_sku]],LEN(Table14[[#This Row],[spawner_sku]])-FIND("/",Table14[[#This Row],[spawner_sku]])),Table1[Entity Prefab],0)),10,1,1,"Entities"))</f>
        <v>55</v>
      </c>
      <c r="DM24" s="75">
        <f ca="1">ROUND((Table14[[#This Row],[XP]]*Table14[[#This Row],[entity_spawned (AVG)]])*(Table14[[#This Row],[activating_chance]]/100),0)</f>
        <v>17</v>
      </c>
      <c r="DN2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4" s="72">
        <v>1</v>
      </c>
      <c r="DP24" s="72">
        <v>1</v>
      </c>
      <c r="DQ24" s="72" t="b">
        <v>0</v>
      </c>
      <c r="DS24" t="s">
        <v>226</v>
      </c>
      <c r="DT24">
        <v>3</v>
      </c>
      <c r="DU24">
        <v>130</v>
      </c>
      <c r="DV24">
        <v>100</v>
      </c>
      <c r="DW24" s="75">
        <f ca="1">INDIRECT(ADDRESS(11+(MATCH(RIGHT(Table18[[#This Row],[spawner_sku]],LEN(Table18[[#This Row],[spawner_sku]])-FIND("/",Table18[[#This Row],[spawner_sku]])),Table1[Entity Prefab],0)),10,1,1,"Entities"))</f>
        <v>55</v>
      </c>
      <c r="DX24" s="75">
        <f ca="1">ROUND((Table18[[#This Row],[XP]]*Table18[[#This Row],[entity_spawned (AVG)]])*(Table18[[#This Row],[activating_chance]]/100),0)</f>
        <v>165</v>
      </c>
      <c r="DY24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24">
        <v>2</v>
      </c>
      <c r="EA24">
        <v>4</v>
      </c>
      <c r="EB24" t="b">
        <v>0</v>
      </c>
      <c r="ED24" t="s">
        <v>226</v>
      </c>
      <c r="EE24">
        <v>3</v>
      </c>
      <c r="EF24">
        <v>120</v>
      </c>
      <c r="EG24">
        <v>100</v>
      </c>
      <c r="EH24" s="75">
        <f ca="1">INDIRECT(ADDRESS(11+(MATCH(RIGHT(Table1820[[#This Row],[spawner_sku]],LEN(Table1820[[#This Row],[spawner_sku]])-FIND("/",Table1820[[#This Row],[spawner_sku]])),Table1[Entity Prefab],0)),10,1,1,"Entities"))</f>
        <v>55</v>
      </c>
      <c r="EI24" s="75">
        <f ca="1">ROUND((Table1820[[#This Row],[XP]]*Table1820[[#This Row],[entity_spawned (AVG)]])*(Table1820[[#This Row],[activating_chance]]/100),0)</f>
        <v>165</v>
      </c>
      <c r="EJ24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4">
        <v>2</v>
      </c>
      <c r="EL24">
        <v>4</v>
      </c>
      <c r="EM24" t="b">
        <v>0</v>
      </c>
      <c r="EO24" t="s">
        <v>231</v>
      </c>
      <c r="EP24">
        <v>1</v>
      </c>
      <c r="EQ24">
        <v>5000</v>
      </c>
      <c r="ER24">
        <v>60</v>
      </c>
      <c r="ES24" s="75">
        <f ca="1">INDIRECT(ADDRESS(11+(MATCH(RIGHT(Table182023[[#This Row],[spawner_sku]],LEN(Table182023[[#This Row],[spawner_sku]])-FIND("/",Table182023[[#This Row],[spawner_sku]])),Table1[Entity Prefab],0)),10,1,1,"Entities"))</f>
        <v>75</v>
      </c>
      <c r="ET24" s="75">
        <f ca="1">ROUND((Table182023[[#This Row],[XP]]*Table182023[[#This Row],[entity_spawned (AVG)]])*(Table182023[[#This Row],[activating_chance]]/100),0)</f>
        <v>45</v>
      </c>
      <c r="EU24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24" s="152">
        <v>1</v>
      </c>
      <c r="EW24" s="152">
        <v>1</v>
      </c>
      <c r="EX24" s="152" t="b">
        <v>0</v>
      </c>
      <c r="EZ24" t="s">
        <v>231</v>
      </c>
      <c r="FA24">
        <v>1</v>
      </c>
      <c r="FB24">
        <v>5000</v>
      </c>
      <c r="FC24">
        <v>100</v>
      </c>
      <c r="FD24" s="75">
        <f ca="1">INDIRECT(ADDRESS(11+(MATCH(RIGHT(Table18202324[[#This Row],[spawner_sku]],LEN(Table18202324[[#This Row],[spawner_sku]])-FIND("/",Table18202324[[#This Row],[spawner_sku]])),Table1[Entity Prefab],0)),10,1,1,"Entities"))</f>
        <v>75</v>
      </c>
      <c r="FE24" s="75">
        <f ca="1">ROUND((Table18202324[[#This Row],[XP]]*Table18202324[[#This Row],[entity_spawned (AVG)]])*(Table18202324[[#This Row],[activating_chance]]/100),0)</f>
        <v>75</v>
      </c>
      <c r="FF24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24">
        <v>1</v>
      </c>
      <c r="FH24">
        <v>1</v>
      </c>
      <c r="FI24" t="b">
        <v>0</v>
      </c>
    </row>
    <row r="25" spans="2:165" x14ac:dyDescent="0.25">
      <c r="B25" s="73" t="s">
        <v>228</v>
      </c>
      <c r="C25">
        <v>3</v>
      </c>
      <c r="D25">
        <v>110</v>
      </c>
      <c r="E25">
        <v>80</v>
      </c>
      <c r="F25" s="75">
        <f ca="1">INDIRECT(ADDRESS(11+(MATCH(RIGHT(Table245[[#This Row],[spawner_sku]],LEN(Table245[[#This Row],[spawner_sku]])-FIND("/",Table245[[#This Row],[spawner_sku]])),Table1[Entity Prefab],0)),10,1,1,"Entities"))</f>
        <v>25</v>
      </c>
      <c r="G25" s="75">
        <f ca="1">ROUND((Table245[[#This Row],[XP]]*Table245[[#This Row],[entity_spawned (AVG)]])*(Table245[[#This Row],[activating_chance]]/100),0)</f>
        <v>60</v>
      </c>
      <c r="H2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5" s="72">
        <v>2</v>
      </c>
      <c r="J25" s="72">
        <v>4</v>
      </c>
      <c r="K25" s="72" t="b">
        <v>0</v>
      </c>
      <c r="M25" t="s">
        <v>226</v>
      </c>
      <c r="N25">
        <v>1</v>
      </c>
      <c r="O25">
        <v>260</v>
      </c>
      <c r="P25">
        <v>100</v>
      </c>
      <c r="Q25" s="75">
        <f ca="1">INDIRECT(ADDRESS(11+(MATCH(RIGHT(Table3[[#This Row],[spawner_sku]],LEN(Table3[[#This Row],[spawner_sku]])-FIND("/",Table3[[#This Row],[spawner_sku]])),Table1[Entity Prefab],0)),10,1,1,"Entities"))</f>
        <v>55</v>
      </c>
      <c r="R25" s="75">
        <f ca="1">ROUND((Table3[[#This Row],[XP]]*Table3[[#This Row],[entity_spawned (AVG)]])*(Table3[[#This Row],[activating_chance]]/100),0)</f>
        <v>55</v>
      </c>
      <c r="S25" t="str">
        <f ca="1">INDIRECT(ADDRESS(11+(MATCH(RIGHT(Table3[[#This Row],[spawner_sku]],LEN(Table3[[#This Row],[spawner_sku]])-FIND("/",Table3[[#This Row],[spawner_sku]])),Table28[Entity Prefab],0)),24,1,1,"Entities"))</f>
        <v>yes</v>
      </c>
      <c r="T25">
        <v>1</v>
      </c>
      <c r="U25">
        <v>1</v>
      </c>
      <c r="V25" t="b">
        <v>0</v>
      </c>
      <c r="W25" s="72"/>
      <c r="X25" t="s">
        <v>226</v>
      </c>
      <c r="Y25">
        <v>1.5</v>
      </c>
      <c r="Z25">
        <v>180</v>
      </c>
      <c r="AA25">
        <v>100</v>
      </c>
      <c r="AB25" s="75">
        <f ca="1">INDIRECT(ADDRESS(11+(MATCH(RIGHT(Table39[[#This Row],[spawner_sku]],LEN(Table39[[#This Row],[spawner_sku]])-FIND("/",Table39[[#This Row],[spawner_sku]])),Table1[Entity Prefab],0)),10,1,1,"Entities"))</f>
        <v>55</v>
      </c>
      <c r="AC25" s="75">
        <f ca="1">ROUND((Table39[[#This Row],[XP]]*Table39[[#This Row],[entity_spawned (AVG)]])*(Table39[[#This Row],[activating_chance]]/100),0)</f>
        <v>83</v>
      </c>
      <c r="AD25" t="str">
        <f ca="1">INDIRECT(ADDRESS(11+(MATCH(RIGHT(Table39[[#This Row],[spawner_sku]],LEN(Table39[[#This Row],[spawner_sku]])-FIND("/",Table39[[#This Row],[spawner_sku]])),Table28[Entity Prefab],0)),24,1,1,"Entities"))</f>
        <v>yes</v>
      </c>
      <c r="AE25">
        <v>1</v>
      </c>
      <c r="AF25">
        <v>2</v>
      </c>
      <c r="AG25" t="b">
        <v>0</v>
      </c>
      <c r="AI25" t="s">
        <v>226</v>
      </c>
      <c r="AJ25">
        <v>1</v>
      </c>
      <c r="AK25">
        <v>200</v>
      </c>
      <c r="AL25">
        <v>100</v>
      </c>
      <c r="AM25" s="75">
        <f ca="1">INDIRECT(ADDRESS(11+(MATCH(RIGHT(Table2[[#This Row],[spawner_sku]],LEN(Table2[[#This Row],[spawner_sku]])-FIND("/",Table2[[#This Row],[spawner_sku]])),Table1[Entity Prefab],0)),10,1,1,"Entities"))</f>
        <v>55</v>
      </c>
      <c r="AN25" s="75">
        <f ca="1">ROUND((Table2[[#This Row],[XP]]*Table2[[#This Row],[entity_spawned (AVG)]])*(Table2[[#This Row],[activating_chance]]/100),0)</f>
        <v>55</v>
      </c>
      <c r="AO25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5" s="72">
        <v>1</v>
      </c>
      <c r="AQ25" s="72">
        <v>1</v>
      </c>
      <c r="AR25" s="72" t="b">
        <v>0</v>
      </c>
      <c r="AT25" t="s">
        <v>226</v>
      </c>
      <c r="AU25">
        <v>1</v>
      </c>
      <c r="AV25">
        <v>280</v>
      </c>
      <c r="AW25">
        <v>100</v>
      </c>
      <c r="AX25" s="75">
        <f ca="1">INDIRECT(ADDRESS(11+(MATCH(RIGHT(Table6[[#This Row],[spawner_sku]],LEN(Table6[[#This Row],[spawner_sku]])-FIND("/",Table6[[#This Row],[spawner_sku]])),Table1[Entity Prefab],0)),10,1,1,"Entities"))</f>
        <v>55</v>
      </c>
      <c r="AY25" s="75">
        <f ca="1">ROUND((Table6[[#This Row],[XP]]*Table6[[#This Row],[entity_spawned (AVG)]])*(Table6[[#This Row],[activating_chance]]/100),0)</f>
        <v>55</v>
      </c>
      <c r="AZ25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25">
        <v>1</v>
      </c>
      <c r="BB25">
        <v>1</v>
      </c>
      <c r="BC25" t="b">
        <v>0</v>
      </c>
      <c r="BE25" t="s">
        <v>226</v>
      </c>
      <c r="BF25">
        <v>1.5</v>
      </c>
      <c r="BG25">
        <v>150</v>
      </c>
      <c r="BH25">
        <v>100</v>
      </c>
      <c r="BI25" s="75">
        <f ca="1">INDIRECT(ADDRESS(11+(MATCH(RIGHT(Table610[[#This Row],[spawner_sku]],LEN(Table610[[#This Row],[spawner_sku]])-FIND("/",Table610[[#This Row],[spawner_sku]])),Table1[Entity Prefab],0)),10,1,1,"Entities"))</f>
        <v>55</v>
      </c>
      <c r="BJ25" s="75">
        <f ca="1">ROUND((Table610[[#This Row],[XP]]*Table610[[#This Row],[entity_spawned (AVG)]])*(Table610[[#This Row],[activating_chance]]/100),0)</f>
        <v>83</v>
      </c>
      <c r="BK25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25">
        <v>1</v>
      </c>
      <c r="BM25">
        <v>2</v>
      </c>
      <c r="BN25" t="b">
        <v>0</v>
      </c>
      <c r="BP25" t="s">
        <v>228</v>
      </c>
      <c r="BQ25">
        <v>1.5</v>
      </c>
      <c r="BR25">
        <v>120</v>
      </c>
      <c r="BS25">
        <v>100</v>
      </c>
      <c r="BT2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5" s="75">
        <f ca="1">ROUND((Table61011[[#This Row],[XP]]*Table61011[[#This Row],[entity_spawned (AVG)]])*(Table61011[[#This Row],[activating_chance]]/100),0)</f>
        <v>38</v>
      </c>
      <c r="BV2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5" s="72">
        <v>1</v>
      </c>
      <c r="BX25" s="72">
        <v>2</v>
      </c>
      <c r="BY25" s="72" t="b">
        <v>0</v>
      </c>
      <c r="CA25" t="s">
        <v>228</v>
      </c>
      <c r="CB25">
        <v>3</v>
      </c>
      <c r="CC25">
        <v>180</v>
      </c>
      <c r="CD25">
        <v>100</v>
      </c>
      <c r="CE25" s="75">
        <f ca="1">INDIRECT(ADDRESS(11+(MATCH(RIGHT(Table11[[#This Row],[spawner_sku]],LEN(Table11[[#This Row],[spawner_sku]])-FIND("/",Table11[[#This Row],[spawner_sku]])),Table1[Entity Prefab],0)),10,1,1,"Entities"))</f>
        <v>25</v>
      </c>
      <c r="CF25">
        <f ca="1">ROUND((Table11[[#This Row],[XP]]*Table11[[#This Row],[entity_spawned (AVG)]])*(Table11[[#This Row],[activating_chance]]/100),0)</f>
        <v>75</v>
      </c>
      <c r="CG25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25" s="72">
        <v>3</v>
      </c>
      <c r="CI25" s="72">
        <v>3</v>
      </c>
      <c r="CJ25" s="72" t="b">
        <v>0</v>
      </c>
      <c r="CL25" t="s">
        <v>226</v>
      </c>
      <c r="CM25">
        <v>1</v>
      </c>
      <c r="CN25">
        <v>260</v>
      </c>
      <c r="CO25">
        <v>100</v>
      </c>
      <c r="CP25" s="75">
        <f ca="1">INDIRECT(ADDRESS(11+(MATCH(RIGHT(Table12[[#This Row],[spawner_sku]],LEN(Table12[[#This Row],[spawner_sku]])-FIND("/",Table12[[#This Row],[spawner_sku]])),Table1[Entity Prefab],0)),10,1,1,"Entities"))</f>
        <v>55</v>
      </c>
      <c r="CQ25" s="75">
        <f ca="1">ROUND((Table12[[#This Row],[XP]]*Table12[[#This Row],[entity_spawned (AVG)]])*(Table12[[#This Row],[activating_chance]]/100),0)</f>
        <v>55</v>
      </c>
      <c r="CR25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25" s="72">
        <v>1</v>
      </c>
      <c r="CT25" s="72">
        <v>1</v>
      </c>
      <c r="CU25" s="72" t="b">
        <v>0</v>
      </c>
      <c r="CW25" t="s">
        <v>226</v>
      </c>
      <c r="CX25">
        <v>1.5</v>
      </c>
      <c r="CY25">
        <v>260</v>
      </c>
      <c r="CZ25">
        <v>100</v>
      </c>
      <c r="DA25" s="75">
        <f ca="1">INDIRECT(ADDRESS(11+(MATCH(RIGHT(Table13[[#This Row],[spawner_sku]],LEN(Table13[[#This Row],[spawner_sku]])-FIND("/",Table13[[#This Row],[spawner_sku]])),Table1[Entity Prefab],0)),10,1,1,"Entities"))</f>
        <v>55</v>
      </c>
      <c r="DB25" s="75">
        <f ca="1">ROUND((Table13[[#This Row],[XP]]*Table13[[#This Row],[entity_spawned (AVG)]])*(Table13[[#This Row],[activating_chance]]/100),0)</f>
        <v>83</v>
      </c>
      <c r="DC25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25" s="72">
        <v>1</v>
      </c>
      <c r="DE25" s="72">
        <v>2</v>
      </c>
      <c r="DF25" s="72" t="b">
        <v>0</v>
      </c>
      <c r="DH25" t="s">
        <v>226</v>
      </c>
      <c r="DI25">
        <v>5.5</v>
      </c>
      <c r="DJ25">
        <v>200</v>
      </c>
      <c r="DK25">
        <v>100</v>
      </c>
      <c r="DL25" s="75">
        <f ca="1">INDIRECT(ADDRESS(11+(MATCH(RIGHT(Table14[[#This Row],[spawner_sku]],LEN(Table14[[#This Row],[spawner_sku]])-FIND("/",Table14[[#This Row],[spawner_sku]])),Table1[Entity Prefab],0)),10,1,1,"Entities"))</f>
        <v>55</v>
      </c>
      <c r="DM25" s="75">
        <f ca="1">ROUND((Table14[[#This Row],[XP]]*Table14[[#This Row],[entity_spawned (AVG)]])*(Table14[[#This Row],[activating_chance]]/100),0)</f>
        <v>303</v>
      </c>
      <c r="DN2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5" s="72">
        <v>5</v>
      </c>
      <c r="DP25" s="72">
        <v>6</v>
      </c>
      <c r="DQ25" s="72" t="b">
        <v>1</v>
      </c>
      <c r="DS25" t="s">
        <v>226</v>
      </c>
      <c r="DT25">
        <v>2</v>
      </c>
      <c r="DU25">
        <v>140</v>
      </c>
      <c r="DV25">
        <v>100</v>
      </c>
      <c r="DW25" s="75">
        <f ca="1">INDIRECT(ADDRESS(11+(MATCH(RIGHT(Table18[[#This Row],[spawner_sku]],LEN(Table18[[#This Row],[spawner_sku]])-FIND("/",Table18[[#This Row],[spawner_sku]])),Table1[Entity Prefab],0)),10,1,1,"Entities"))</f>
        <v>55</v>
      </c>
      <c r="DX25" s="75">
        <f ca="1">ROUND((Table18[[#This Row],[XP]]*Table18[[#This Row],[entity_spawned (AVG)]])*(Table18[[#This Row],[activating_chance]]/100),0)</f>
        <v>110</v>
      </c>
      <c r="DY25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25">
        <v>1</v>
      </c>
      <c r="EA25">
        <v>3</v>
      </c>
      <c r="EB25" t="b">
        <v>0</v>
      </c>
      <c r="ED25" t="s">
        <v>226</v>
      </c>
      <c r="EE25">
        <v>1</v>
      </c>
      <c r="EF25">
        <v>120</v>
      </c>
      <c r="EG25">
        <v>100</v>
      </c>
      <c r="EH25" s="75">
        <f ca="1">INDIRECT(ADDRESS(11+(MATCH(RIGHT(Table1820[[#This Row],[spawner_sku]],LEN(Table1820[[#This Row],[spawner_sku]])-FIND("/",Table1820[[#This Row],[spawner_sku]])),Table1[Entity Prefab],0)),10,1,1,"Entities"))</f>
        <v>55</v>
      </c>
      <c r="EI25" s="75">
        <f ca="1">ROUND((Table1820[[#This Row],[XP]]*Table1820[[#This Row],[entity_spawned (AVG)]])*(Table1820[[#This Row],[activating_chance]]/100),0)</f>
        <v>55</v>
      </c>
      <c r="EJ25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5">
        <v>1</v>
      </c>
      <c r="EL25">
        <v>1</v>
      </c>
      <c r="EM25" t="b">
        <v>0</v>
      </c>
      <c r="EO25" t="s">
        <v>231</v>
      </c>
      <c r="EP25">
        <v>1</v>
      </c>
      <c r="EQ25">
        <v>5000</v>
      </c>
      <c r="ER25">
        <v>100</v>
      </c>
      <c r="ES25" s="75">
        <f ca="1">INDIRECT(ADDRESS(11+(MATCH(RIGHT(Table182023[[#This Row],[spawner_sku]],LEN(Table182023[[#This Row],[spawner_sku]])-FIND("/",Table182023[[#This Row],[spawner_sku]])),Table1[Entity Prefab],0)),10,1,1,"Entities"))</f>
        <v>75</v>
      </c>
      <c r="ET25" s="75">
        <f ca="1">ROUND((Table182023[[#This Row],[XP]]*Table182023[[#This Row],[entity_spawned (AVG)]])*(Table182023[[#This Row],[activating_chance]]/100),0)</f>
        <v>75</v>
      </c>
      <c r="EU25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25" s="152">
        <v>1</v>
      </c>
      <c r="EW25" s="152">
        <v>1</v>
      </c>
      <c r="EX25" s="152" t="b">
        <v>0</v>
      </c>
      <c r="EZ25" t="s">
        <v>231</v>
      </c>
      <c r="FA25">
        <v>1</v>
      </c>
      <c r="FB25">
        <v>5000</v>
      </c>
      <c r="FC25">
        <v>100</v>
      </c>
      <c r="FD25" s="75">
        <f ca="1">INDIRECT(ADDRESS(11+(MATCH(RIGHT(Table18202324[[#This Row],[spawner_sku]],LEN(Table18202324[[#This Row],[spawner_sku]])-FIND("/",Table18202324[[#This Row],[spawner_sku]])),Table1[Entity Prefab],0)),10,1,1,"Entities"))</f>
        <v>75</v>
      </c>
      <c r="FE25" s="75">
        <f ca="1">ROUND((Table18202324[[#This Row],[XP]]*Table18202324[[#This Row],[entity_spawned (AVG)]])*(Table18202324[[#This Row],[activating_chance]]/100),0)</f>
        <v>75</v>
      </c>
      <c r="FF25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25">
        <v>1</v>
      </c>
      <c r="FH25">
        <v>1</v>
      </c>
      <c r="FI25" t="b">
        <v>0</v>
      </c>
    </row>
    <row r="26" spans="2:165" x14ac:dyDescent="0.25">
      <c r="B26" s="73" t="s">
        <v>228</v>
      </c>
      <c r="C26">
        <v>3.5</v>
      </c>
      <c r="D26">
        <v>180</v>
      </c>
      <c r="E26">
        <v>85</v>
      </c>
      <c r="F26" s="75">
        <f ca="1">INDIRECT(ADDRESS(11+(MATCH(RIGHT(Table245[[#This Row],[spawner_sku]],LEN(Table245[[#This Row],[spawner_sku]])-FIND("/",Table245[[#This Row],[spawner_sku]])),Table1[Entity Prefab],0)),10,1,1,"Entities"))</f>
        <v>25</v>
      </c>
      <c r="G26" s="75">
        <f ca="1">ROUND((Table245[[#This Row],[XP]]*Table245[[#This Row],[entity_spawned (AVG)]])*(Table245[[#This Row],[activating_chance]]/100),0)</f>
        <v>74</v>
      </c>
      <c r="H2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6" s="72">
        <v>3</v>
      </c>
      <c r="J26" s="72">
        <v>4</v>
      </c>
      <c r="K26" s="72" t="b">
        <v>0</v>
      </c>
      <c r="M26" t="s">
        <v>226</v>
      </c>
      <c r="N26">
        <v>1</v>
      </c>
      <c r="O26">
        <v>260</v>
      </c>
      <c r="P26">
        <v>80</v>
      </c>
      <c r="Q26" s="75">
        <f ca="1">INDIRECT(ADDRESS(11+(MATCH(RIGHT(Table3[[#This Row],[spawner_sku]],LEN(Table3[[#This Row],[spawner_sku]])-FIND("/",Table3[[#This Row],[spawner_sku]])),Table1[Entity Prefab],0)),10,1,1,"Entities"))</f>
        <v>55</v>
      </c>
      <c r="R26" s="75">
        <f ca="1">ROUND((Table3[[#This Row],[XP]]*Table3[[#This Row],[entity_spawned (AVG)]])*(Table3[[#This Row],[activating_chance]]/100),0)</f>
        <v>44</v>
      </c>
      <c r="S26" t="str">
        <f ca="1">INDIRECT(ADDRESS(11+(MATCH(RIGHT(Table3[[#This Row],[spawner_sku]],LEN(Table3[[#This Row],[spawner_sku]])-FIND("/",Table3[[#This Row],[spawner_sku]])),Table28[Entity Prefab],0)),24,1,1,"Entities"))</f>
        <v>yes</v>
      </c>
      <c r="T26">
        <v>1</v>
      </c>
      <c r="U26">
        <v>1</v>
      </c>
      <c r="V26" t="b">
        <v>0</v>
      </c>
      <c r="W26" s="72"/>
      <c r="X26" t="s">
        <v>227</v>
      </c>
      <c r="Y26">
        <v>3</v>
      </c>
      <c r="Z26">
        <v>105</v>
      </c>
      <c r="AA26">
        <v>100</v>
      </c>
      <c r="AB26" s="75">
        <f ca="1">INDIRECT(ADDRESS(11+(MATCH(RIGHT(Table39[[#This Row],[spawner_sku]],LEN(Table39[[#This Row],[spawner_sku]])-FIND("/",Table39[[#This Row],[spawner_sku]])),Table1[Entity Prefab],0)),10,1,1,"Entities"))</f>
        <v>25</v>
      </c>
      <c r="AC26" s="75">
        <f ca="1">ROUND((Table39[[#This Row],[XP]]*Table39[[#This Row],[entity_spawned (AVG)]])*(Table39[[#This Row],[activating_chance]]/100),0)</f>
        <v>75</v>
      </c>
      <c r="AD26" t="str">
        <f ca="1">INDIRECT(ADDRESS(11+(MATCH(RIGHT(Table39[[#This Row],[spawner_sku]],LEN(Table39[[#This Row],[spawner_sku]])-FIND("/",Table39[[#This Row],[spawner_sku]])),Table28[Entity Prefab],0)),24,1,1,"Entities"))</f>
        <v>no</v>
      </c>
      <c r="AE26">
        <v>2</v>
      </c>
      <c r="AF26">
        <v>4</v>
      </c>
      <c r="AG26" t="b">
        <v>0</v>
      </c>
      <c r="AI26" t="s">
        <v>226</v>
      </c>
      <c r="AJ26">
        <v>1</v>
      </c>
      <c r="AK26">
        <v>200</v>
      </c>
      <c r="AL26">
        <v>100</v>
      </c>
      <c r="AM26" s="75">
        <f ca="1">INDIRECT(ADDRESS(11+(MATCH(RIGHT(Table2[[#This Row],[spawner_sku]],LEN(Table2[[#This Row],[spawner_sku]])-FIND("/",Table2[[#This Row],[spawner_sku]])),Table1[Entity Prefab],0)),10,1,1,"Entities"))</f>
        <v>55</v>
      </c>
      <c r="AN26" s="75">
        <f ca="1">ROUND((Table2[[#This Row],[XP]]*Table2[[#This Row],[entity_spawned (AVG)]])*(Table2[[#This Row],[activating_chance]]/100),0)</f>
        <v>55</v>
      </c>
      <c r="AO2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6" s="72">
        <v>1</v>
      </c>
      <c r="AQ26" s="72">
        <v>1</v>
      </c>
      <c r="AR26" s="72" t="b">
        <v>0</v>
      </c>
      <c r="AT26" t="s">
        <v>226</v>
      </c>
      <c r="AU26">
        <v>1</v>
      </c>
      <c r="AV26">
        <v>280</v>
      </c>
      <c r="AW26">
        <v>100</v>
      </c>
      <c r="AX26" s="75">
        <f ca="1">INDIRECT(ADDRESS(11+(MATCH(RIGHT(Table6[[#This Row],[spawner_sku]],LEN(Table6[[#This Row],[spawner_sku]])-FIND("/",Table6[[#This Row],[spawner_sku]])),Table1[Entity Prefab],0)),10,1,1,"Entities"))</f>
        <v>55</v>
      </c>
      <c r="AY26" s="75">
        <f ca="1">ROUND((Table6[[#This Row],[XP]]*Table6[[#This Row],[entity_spawned (AVG)]])*(Table6[[#This Row],[activating_chance]]/100),0)</f>
        <v>55</v>
      </c>
      <c r="AZ26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26">
        <v>1</v>
      </c>
      <c r="BB26">
        <v>1</v>
      </c>
      <c r="BC26" t="b">
        <v>0</v>
      </c>
      <c r="BE26" t="s">
        <v>226</v>
      </c>
      <c r="BF26">
        <v>4</v>
      </c>
      <c r="BG26">
        <v>150</v>
      </c>
      <c r="BH26">
        <v>100</v>
      </c>
      <c r="BI26" s="75">
        <f ca="1">INDIRECT(ADDRESS(11+(MATCH(RIGHT(Table610[[#This Row],[spawner_sku]],LEN(Table610[[#This Row],[spawner_sku]])-FIND("/",Table610[[#This Row],[spawner_sku]])),Table1[Entity Prefab],0)),10,1,1,"Entities"))</f>
        <v>55</v>
      </c>
      <c r="BJ26" s="75">
        <f ca="1">ROUND((Table610[[#This Row],[XP]]*Table610[[#This Row],[entity_spawned (AVG)]])*(Table610[[#This Row],[activating_chance]]/100),0)</f>
        <v>220</v>
      </c>
      <c r="BK26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26">
        <v>4</v>
      </c>
      <c r="BM26">
        <v>4</v>
      </c>
      <c r="BN26" t="b">
        <v>0</v>
      </c>
      <c r="BP26" t="s">
        <v>228</v>
      </c>
      <c r="BQ26">
        <v>1</v>
      </c>
      <c r="BR26">
        <v>100</v>
      </c>
      <c r="BS26">
        <v>100</v>
      </c>
      <c r="BT2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6" s="75">
        <f ca="1">ROUND((Table61011[[#This Row],[XP]]*Table61011[[#This Row],[entity_spawned (AVG)]])*(Table61011[[#This Row],[activating_chance]]/100),0)</f>
        <v>25</v>
      </c>
      <c r="BV2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6" s="72">
        <v>1</v>
      </c>
      <c r="BX26" s="72">
        <v>1</v>
      </c>
      <c r="BY26" s="72" t="b">
        <v>0</v>
      </c>
      <c r="CA26" t="s">
        <v>228</v>
      </c>
      <c r="CB26">
        <v>3</v>
      </c>
      <c r="CC26">
        <v>180</v>
      </c>
      <c r="CD26">
        <v>100</v>
      </c>
      <c r="CE26" s="75">
        <f ca="1">INDIRECT(ADDRESS(11+(MATCH(RIGHT(Table11[[#This Row],[spawner_sku]],LEN(Table11[[#This Row],[spawner_sku]])-FIND("/",Table11[[#This Row],[spawner_sku]])),Table1[Entity Prefab],0)),10,1,1,"Entities"))</f>
        <v>25</v>
      </c>
      <c r="CF26">
        <f ca="1">ROUND((Table11[[#This Row],[XP]]*Table11[[#This Row],[entity_spawned (AVG)]])*(Table11[[#This Row],[activating_chance]]/100),0)</f>
        <v>75</v>
      </c>
      <c r="CG26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26" s="72">
        <v>2</v>
      </c>
      <c r="CI26" s="72">
        <v>4</v>
      </c>
      <c r="CJ26" s="72" t="b">
        <v>0</v>
      </c>
      <c r="CL26" t="s">
        <v>226</v>
      </c>
      <c r="CM26">
        <v>1</v>
      </c>
      <c r="CN26">
        <v>260</v>
      </c>
      <c r="CO26">
        <v>100</v>
      </c>
      <c r="CP26" s="75">
        <f ca="1">INDIRECT(ADDRESS(11+(MATCH(RIGHT(Table12[[#This Row],[spawner_sku]],LEN(Table12[[#This Row],[spawner_sku]])-FIND("/",Table12[[#This Row],[spawner_sku]])),Table1[Entity Prefab],0)),10,1,1,"Entities"))</f>
        <v>55</v>
      </c>
      <c r="CQ26" s="75">
        <f ca="1">ROUND((Table12[[#This Row],[XP]]*Table12[[#This Row],[entity_spawned (AVG)]])*(Table12[[#This Row],[activating_chance]]/100),0)</f>
        <v>55</v>
      </c>
      <c r="CR26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26" s="72">
        <v>1</v>
      </c>
      <c r="CT26" s="72">
        <v>1</v>
      </c>
      <c r="CU26" s="72" t="b">
        <v>0</v>
      </c>
      <c r="CW26" t="s">
        <v>226</v>
      </c>
      <c r="CX26">
        <v>2</v>
      </c>
      <c r="CY26">
        <v>260</v>
      </c>
      <c r="CZ26">
        <v>100</v>
      </c>
      <c r="DA26" s="75">
        <f ca="1">INDIRECT(ADDRESS(11+(MATCH(RIGHT(Table13[[#This Row],[spawner_sku]],LEN(Table13[[#This Row],[spawner_sku]])-FIND("/",Table13[[#This Row],[spawner_sku]])),Table1[Entity Prefab],0)),10,1,1,"Entities"))</f>
        <v>55</v>
      </c>
      <c r="DB26" s="75">
        <f ca="1">ROUND((Table13[[#This Row],[XP]]*Table13[[#This Row],[entity_spawned (AVG)]])*(Table13[[#This Row],[activating_chance]]/100),0)</f>
        <v>110</v>
      </c>
      <c r="DC26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26" s="72">
        <v>2</v>
      </c>
      <c r="DE26" s="72">
        <v>2</v>
      </c>
      <c r="DF26" s="72" t="b">
        <v>0</v>
      </c>
      <c r="DH26" t="s">
        <v>226</v>
      </c>
      <c r="DI26">
        <v>1</v>
      </c>
      <c r="DJ26">
        <v>220</v>
      </c>
      <c r="DK26">
        <v>80</v>
      </c>
      <c r="DL26" s="75">
        <f ca="1">INDIRECT(ADDRESS(11+(MATCH(RIGHT(Table14[[#This Row],[spawner_sku]],LEN(Table14[[#This Row],[spawner_sku]])-FIND("/",Table14[[#This Row],[spawner_sku]])),Table1[Entity Prefab],0)),10,1,1,"Entities"))</f>
        <v>55</v>
      </c>
      <c r="DM26" s="75">
        <f ca="1">ROUND((Table14[[#This Row],[XP]]*Table14[[#This Row],[entity_spawned (AVG)]])*(Table14[[#This Row],[activating_chance]]/100),0)</f>
        <v>44</v>
      </c>
      <c r="DN2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6" s="72">
        <v>1</v>
      </c>
      <c r="DP26" s="72">
        <v>1</v>
      </c>
      <c r="DQ26" s="72" t="b">
        <v>0</v>
      </c>
      <c r="DS26" t="s">
        <v>226</v>
      </c>
      <c r="DT26">
        <v>2</v>
      </c>
      <c r="DU26">
        <v>130</v>
      </c>
      <c r="DV26">
        <v>100</v>
      </c>
      <c r="DW26" s="75">
        <f ca="1">INDIRECT(ADDRESS(11+(MATCH(RIGHT(Table18[[#This Row],[spawner_sku]],LEN(Table18[[#This Row],[spawner_sku]])-FIND("/",Table18[[#This Row],[spawner_sku]])),Table1[Entity Prefab],0)),10,1,1,"Entities"))</f>
        <v>55</v>
      </c>
      <c r="DX26" s="75">
        <f ca="1">ROUND((Table18[[#This Row],[XP]]*Table18[[#This Row],[entity_spawned (AVG)]])*(Table18[[#This Row],[activating_chance]]/100),0)</f>
        <v>110</v>
      </c>
      <c r="DY26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26">
        <v>1</v>
      </c>
      <c r="EA26">
        <v>3</v>
      </c>
      <c r="EB26" t="b">
        <v>0</v>
      </c>
      <c r="ED26" t="s">
        <v>226</v>
      </c>
      <c r="EE26">
        <v>1</v>
      </c>
      <c r="EF26">
        <v>120</v>
      </c>
      <c r="EG26">
        <v>100</v>
      </c>
      <c r="EH26" s="75">
        <f ca="1">INDIRECT(ADDRESS(11+(MATCH(RIGHT(Table1820[[#This Row],[spawner_sku]],LEN(Table1820[[#This Row],[spawner_sku]])-FIND("/",Table1820[[#This Row],[spawner_sku]])),Table1[Entity Prefab],0)),10,1,1,"Entities"))</f>
        <v>55</v>
      </c>
      <c r="EI26" s="75">
        <f ca="1">ROUND((Table1820[[#This Row],[XP]]*Table1820[[#This Row],[entity_spawned (AVG)]])*(Table1820[[#This Row],[activating_chance]]/100),0)</f>
        <v>55</v>
      </c>
      <c r="EJ26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6">
        <v>1</v>
      </c>
      <c r="EL26">
        <v>2</v>
      </c>
      <c r="EM26" t="b">
        <v>0</v>
      </c>
      <c r="EO26" t="s">
        <v>231</v>
      </c>
      <c r="EP26">
        <v>1</v>
      </c>
      <c r="EQ26">
        <v>5000</v>
      </c>
      <c r="ER26">
        <v>100</v>
      </c>
      <c r="ES26" s="75">
        <f ca="1">INDIRECT(ADDRESS(11+(MATCH(RIGHT(Table182023[[#This Row],[spawner_sku]],LEN(Table182023[[#This Row],[spawner_sku]])-FIND("/",Table182023[[#This Row],[spawner_sku]])),Table1[Entity Prefab],0)),10,1,1,"Entities"))</f>
        <v>75</v>
      </c>
      <c r="ET26" s="75">
        <f ca="1">ROUND((Table182023[[#This Row],[XP]]*Table182023[[#This Row],[entity_spawned (AVG)]])*(Table182023[[#This Row],[activating_chance]]/100),0)</f>
        <v>75</v>
      </c>
      <c r="EU26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26" s="152">
        <v>1</v>
      </c>
      <c r="EW26" s="152">
        <v>1</v>
      </c>
      <c r="EX26" s="152" t="b">
        <v>0</v>
      </c>
      <c r="EZ26" t="s">
        <v>231</v>
      </c>
      <c r="FA26">
        <v>1</v>
      </c>
      <c r="FB26">
        <v>5000</v>
      </c>
      <c r="FC26">
        <v>100</v>
      </c>
      <c r="FD26" s="75">
        <f ca="1">INDIRECT(ADDRESS(11+(MATCH(RIGHT(Table18202324[[#This Row],[spawner_sku]],LEN(Table18202324[[#This Row],[spawner_sku]])-FIND("/",Table18202324[[#This Row],[spawner_sku]])),Table1[Entity Prefab],0)),10,1,1,"Entities"))</f>
        <v>75</v>
      </c>
      <c r="FE26" s="75">
        <f ca="1">ROUND((Table18202324[[#This Row],[XP]]*Table18202324[[#This Row],[entity_spawned (AVG)]])*(Table18202324[[#This Row],[activating_chance]]/100),0)</f>
        <v>75</v>
      </c>
      <c r="FF26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26">
        <v>1</v>
      </c>
      <c r="FH26">
        <v>1</v>
      </c>
      <c r="FI26" t="b">
        <v>0</v>
      </c>
    </row>
    <row r="27" spans="2:165" x14ac:dyDescent="0.25">
      <c r="B27" s="73" t="s">
        <v>228</v>
      </c>
      <c r="C27">
        <v>2</v>
      </c>
      <c r="D27">
        <v>100</v>
      </c>
      <c r="E27">
        <v>100</v>
      </c>
      <c r="F27" s="75">
        <f ca="1">INDIRECT(ADDRESS(11+(MATCH(RIGHT(Table245[[#This Row],[spawner_sku]],LEN(Table245[[#This Row],[spawner_sku]])-FIND("/",Table245[[#This Row],[spawner_sku]])),Table1[Entity Prefab],0)),10,1,1,"Entities"))</f>
        <v>25</v>
      </c>
      <c r="G27" s="75">
        <f ca="1">ROUND((Table245[[#This Row],[XP]]*Table245[[#This Row],[entity_spawned (AVG)]])*(Table245[[#This Row],[activating_chance]]/100),0)</f>
        <v>50</v>
      </c>
      <c r="H2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7" s="72">
        <v>1</v>
      </c>
      <c r="J27" s="72">
        <v>3</v>
      </c>
      <c r="K27" s="72" t="b">
        <v>0</v>
      </c>
      <c r="M27" t="s">
        <v>227</v>
      </c>
      <c r="N27">
        <v>11.5</v>
      </c>
      <c r="O27">
        <v>300</v>
      </c>
      <c r="P27">
        <v>100</v>
      </c>
      <c r="Q27" s="75">
        <f ca="1">INDIRECT(ADDRESS(11+(MATCH(RIGHT(Table3[[#This Row],[spawner_sku]],LEN(Table3[[#This Row],[spawner_sku]])-FIND("/",Table3[[#This Row],[spawner_sku]])),Table1[Entity Prefab],0)),10,1,1,"Entities"))</f>
        <v>25</v>
      </c>
      <c r="R27" s="75">
        <f ca="1">ROUND((Table3[[#This Row],[XP]]*Table3[[#This Row],[entity_spawned (AVG)]])*(Table3[[#This Row],[activating_chance]]/100),0)</f>
        <v>288</v>
      </c>
      <c r="S27" t="str">
        <f ca="1">INDIRECT(ADDRESS(11+(MATCH(RIGHT(Table3[[#This Row],[spawner_sku]],LEN(Table3[[#This Row],[spawner_sku]])-FIND("/",Table3[[#This Row],[spawner_sku]])),Table28[Entity Prefab],0)),24,1,1,"Entities"))</f>
        <v>no</v>
      </c>
      <c r="T27">
        <v>8</v>
      </c>
      <c r="U27">
        <v>15</v>
      </c>
      <c r="V27" t="b">
        <v>1</v>
      </c>
      <c r="W27" s="72"/>
      <c r="X27" t="s">
        <v>227</v>
      </c>
      <c r="Y27">
        <v>6.5</v>
      </c>
      <c r="Z27">
        <v>90</v>
      </c>
      <c r="AA27">
        <v>100</v>
      </c>
      <c r="AB27" s="75">
        <f ca="1">INDIRECT(ADDRESS(11+(MATCH(RIGHT(Table39[[#This Row],[spawner_sku]],LEN(Table39[[#This Row],[spawner_sku]])-FIND("/",Table39[[#This Row],[spawner_sku]])),Table1[Entity Prefab],0)),10,1,1,"Entities"))</f>
        <v>25</v>
      </c>
      <c r="AC27" s="75">
        <f ca="1">ROUND((Table39[[#This Row],[XP]]*Table39[[#This Row],[entity_spawned (AVG)]])*(Table39[[#This Row],[activating_chance]]/100),0)</f>
        <v>163</v>
      </c>
      <c r="AD27" t="str">
        <f ca="1">INDIRECT(ADDRESS(11+(MATCH(RIGHT(Table39[[#This Row],[spawner_sku]],LEN(Table39[[#This Row],[spawner_sku]])-FIND("/",Table39[[#This Row],[spawner_sku]])),Table28[Entity Prefab],0)),24,1,1,"Entities"))</f>
        <v>no</v>
      </c>
      <c r="AE27">
        <v>5</v>
      </c>
      <c r="AF27">
        <v>8</v>
      </c>
      <c r="AG27" t="b">
        <v>1</v>
      </c>
      <c r="AI27" t="s">
        <v>226</v>
      </c>
      <c r="AJ27">
        <v>1</v>
      </c>
      <c r="AK27">
        <v>200</v>
      </c>
      <c r="AL27">
        <v>100</v>
      </c>
      <c r="AM27" s="75">
        <f ca="1">INDIRECT(ADDRESS(11+(MATCH(RIGHT(Table2[[#This Row],[spawner_sku]],LEN(Table2[[#This Row],[spawner_sku]])-FIND("/",Table2[[#This Row],[spawner_sku]])),Table1[Entity Prefab],0)),10,1,1,"Entities"))</f>
        <v>55</v>
      </c>
      <c r="AN27" s="75">
        <f ca="1">ROUND((Table2[[#This Row],[XP]]*Table2[[#This Row],[entity_spawned (AVG)]])*(Table2[[#This Row],[activating_chance]]/100),0)</f>
        <v>55</v>
      </c>
      <c r="AO2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7" s="72">
        <v>1</v>
      </c>
      <c r="AQ27" s="72">
        <v>1</v>
      </c>
      <c r="AR27" s="72" t="b">
        <v>0</v>
      </c>
      <c r="AT27" t="s">
        <v>226</v>
      </c>
      <c r="AU27">
        <v>1</v>
      </c>
      <c r="AV27">
        <v>280</v>
      </c>
      <c r="AW27">
        <v>100</v>
      </c>
      <c r="AX27" s="75">
        <f ca="1">INDIRECT(ADDRESS(11+(MATCH(RIGHT(Table6[[#This Row],[spawner_sku]],LEN(Table6[[#This Row],[spawner_sku]])-FIND("/",Table6[[#This Row],[spawner_sku]])),Table1[Entity Prefab],0)),10,1,1,"Entities"))</f>
        <v>55</v>
      </c>
      <c r="AY27" s="75">
        <f ca="1">ROUND((Table6[[#This Row],[XP]]*Table6[[#This Row],[entity_spawned (AVG)]])*(Table6[[#This Row],[activating_chance]]/100),0)</f>
        <v>55</v>
      </c>
      <c r="AZ27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27">
        <v>1</v>
      </c>
      <c r="BB27">
        <v>1</v>
      </c>
      <c r="BC27" t="b">
        <v>0</v>
      </c>
      <c r="BE27" t="s">
        <v>226</v>
      </c>
      <c r="BF27">
        <v>1</v>
      </c>
      <c r="BG27">
        <v>160</v>
      </c>
      <c r="BH27">
        <v>100</v>
      </c>
      <c r="BI27" s="75">
        <f ca="1">INDIRECT(ADDRESS(11+(MATCH(RIGHT(Table610[[#This Row],[spawner_sku]],LEN(Table610[[#This Row],[spawner_sku]])-FIND("/",Table610[[#This Row],[spawner_sku]])),Table1[Entity Prefab],0)),10,1,1,"Entities"))</f>
        <v>55</v>
      </c>
      <c r="BJ27" s="75">
        <f ca="1">ROUND((Table610[[#This Row],[XP]]*Table610[[#This Row],[entity_spawned (AVG)]])*(Table610[[#This Row],[activating_chance]]/100),0)</f>
        <v>55</v>
      </c>
      <c r="BK27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27">
        <v>1</v>
      </c>
      <c r="BM27">
        <v>1</v>
      </c>
      <c r="BN27" t="b">
        <v>0</v>
      </c>
      <c r="BP27" t="s">
        <v>228</v>
      </c>
      <c r="BQ27">
        <v>5</v>
      </c>
      <c r="BR27">
        <v>200</v>
      </c>
      <c r="BS27">
        <v>100</v>
      </c>
      <c r="BT2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7" s="75">
        <f ca="1">ROUND((Table61011[[#This Row],[XP]]*Table61011[[#This Row],[entity_spawned (AVG)]])*(Table61011[[#This Row],[activating_chance]]/100),0)</f>
        <v>125</v>
      </c>
      <c r="BV2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7" s="72">
        <v>5</v>
      </c>
      <c r="BX27" s="72">
        <v>5</v>
      </c>
      <c r="BY27" s="72" t="b">
        <v>1</v>
      </c>
      <c r="CA27" t="s">
        <v>228</v>
      </c>
      <c r="CB27">
        <v>5.5</v>
      </c>
      <c r="CC27">
        <v>180</v>
      </c>
      <c r="CD27">
        <v>100</v>
      </c>
      <c r="CE27" s="75">
        <f ca="1">INDIRECT(ADDRESS(11+(MATCH(RIGHT(Table11[[#This Row],[spawner_sku]],LEN(Table11[[#This Row],[spawner_sku]])-FIND("/",Table11[[#This Row],[spawner_sku]])),Table1[Entity Prefab],0)),10,1,1,"Entities"))</f>
        <v>25</v>
      </c>
      <c r="CF27">
        <f ca="1">ROUND((Table11[[#This Row],[XP]]*Table11[[#This Row],[entity_spawned (AVG)]])*(Table11[[#This Row],[activating_chance]]/100),0)</f>
        <v>138</v>
      </c>
      <c r="CG27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27" s="72">
        <v>5</v>
      </c>
      <c r="CI27" s="72">
        <v>6</v>
      </c>
      <c r="CJ27" s="72" t="b">
        <v>1</v>
      </c>
      <c r="CL27" t="s">
        <v>226</v>
      </c>
      <c r="CM27">
        <v>1</v>
      </c>
      <c r="CN27">
        <v>260</v>
      </c>
      <c r="CO27">
        <v>100</v>
      </c>
      <c r="CP27" s="75">
        <f ca="1">INDIRECT(ADDRESS(11+(MATCH(RIGHT(Table12[[#This Row],[spawner_sku]],LEN(Table12[[#This Row],[spawner_sku]])-FIND("/",Table12[[#This Row],[spawner_sku]])),Table1[Entity Prefab],0)),10,1,1,"Entities"))</f>
        <v>55</v>
      </c>
      <c r="CQ27" s="75">
        <f ca="1">ROUND((Table12[[#This Row],[XP]]*Table12[[#This Row],[entity_spawned (AVG)]])*(Table12[[#This Row],[activating_chance]]/100),0)</f>
        <v>55</v>
      </c>
      <c r="CR27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27" s="72">
        <v>1</v>
      </c>
      <c r="CT27" s="72">
        <v>1</v>
      </c>
      <c r="CU27" s="72" t="b">
        <v>0</v>
      </c>
      <c r="CW27" t="s">
        <v>227</v>
      </c>
      <c r="CX27">
        <v>5.5</v>
      </c>
      <c r="CY27">
        <v>280</v>
      </c>
      <c r="CZ27">
        <v>100</v>
      </c>
      <c r="DA27" s="75">
        <f ca="1">INDIRECT(ADDRESS(11+(MATCH(RIGHT(Table13[[#This Row],[spawner_sku]],LEN(Table13[[#This Row],[spawner_sku]])-FIND("/",Table13[[#This Row],[spawner_sku]])),Table1[Entity Prefab],0)),10,1,1,"Entities"))</f>
        <v>25</v>
      </c>
      <c r="DB27" s="75">
        <f ca="1">ROUND((Table13[[#This Row],[XP]]*Table13[[#This Row],[entity_spawned (AVG)]])*(Table13[[#This Row],[activating_chance]]/100),0)</f>
        <v>138</v>
      </c>
      <c r="DC27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7" s="72">
        <v>5</v>
      </c>
      <c r="DE27" s="72">
        <v>6</v>
      </c>
      <c r="DF27" s="72" t="b">
        <v>1</v>
      </c>
      <c r="DH27" t="s">
        <v>226</v>
      </c>
      <c r="DI27">
        <v>1</v>
      </c>
      <c r="DJ27">
        <v>260</v>
      </c>
      <c r="DK27">
        <v>10</v>
      </c>
      <c r="DL27" s="75">
        <f ca="1">INDIRECT(ADDRESS(11+(MATCH(RIGHT(Table14[[#This Row],[spawner_sku]],LEN(Table14[[#This Row],[spawner_sku]])-FIND("/",Table14[[#This Row],[spawner_sku]])),Table1[Entity Prefab],0)),10,1,1,"Entities"))</f>
        <v>55</v>
      </c>
      <c r="DM27" s="75">
        <f ca="1">ROUND((Table14[[#This Row],[XP]]*Table14[[#This Row],[entity_spawned (AVG)]])*(Table14[[#This Row],[activating_chance]]/100),0)</f>
        <v>6</v>
      </c>
      <c r="DN2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7" s="72">
        <v>1</v>
      </c>
      <c r="DP27" s="72">
        <v>1</v>
      </c>
      <c r="DQ27" s="72" t="b">
        <v>0</v>
      </c>
      <c r="DS27" t="s">
        <v>226</v>
      </c>
      <c r="DT27">
        <v>1</v>
      </c>
      <c r="DU27">
        <v>130</v>
      </c>
      <c r="DV27">
        <v>100</v>
      </c>
      <c r="DW27" s="75">
        <f ca="1">INDIRECT(ADDRESS(11+(MATCH(RIGHT(Table18[[#This Row],[spawner_sku]],LEN(Table18[[#This Row],[spawner_sku]])-FIND("/",Table18[[#This Row],[spawner_sku]])),Table1[Entity Prefab],0)),10,1,1,"Entities"))</f>
        <v>55</v>
      </c>
      <c r="DX27" s="75">
        <f ca="1">ROUND((Table18[[#This Row],[XP]]*Table18[[#This Row],[entity_spawned (AVG)]])*(Table18[[#This Row],[activating_chance]]/100),0)</f>
        <v>55</v>
      </c>
      <c r="DY27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27">
        <v>1</v>
      </c>
      <c r="EA27">
        <v>2</v>
      </c>
      <c r="EB27" t="b">
        <v>0</v>
      </c>
      <c r="ED27" t="s">
        <v>226</v>
      </c>
      <c r="EE27">
        <v>1</v>
      </c>
      <c r="EF27">
        <v>120</v>
      </c>
      <c r="EG27">
        <v>100</v>
      </c>
      <c r="EH27" s="75">
        <f ca="1">INDIRECT(ADDRESS(11+(MATCH(RIGHT(Table1820[[#This Row],[spawner_sku]],LEN(Table1820[[#This Row],[spawner_sku]])-FIND("/",Table1820[[#This Row],[spawner_sku]])),Table1[Entity Prefab],0)),10,1,1,"Entities"))</f>
        <v>55</v>
      </c>
      <c r="EI27" s="75">
        <f ca="1">ROUND((Table1820[[#This Row],[XP]]*Table1820[[#This Row],[entity_spawned (AVG)]])*(Table1820[[#This Row],[activating_chance]]/100),0)</f>
        <v>55</v>
      </c>
      <c r="EJ27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7">
        <v>1</v>
      </c>
      <c r="EL27">
        <v>2</v>
      </c>
      <c r="EM27" t="b">
        <v>0</v>
      </c>
      <c r="EO27" t="s">
        <v>231</v>
      </c>
      <c r="EP27">
        <v>1</v>
      </c>
      <c r="EQ27">
        <v>5000</v>
      </c>
      <c r="ER27">
        <v>100</v>
      </c>
      <c r="ES27" s="75">
        <f ca="1">INDIRECT(ADDRESS(11+(MATCH(RIGHT(Table182023[[#This Row],[spawner_sku]],LEN(Table182023[[#This Row],[spawner_sku]])-FIND("/",Table182023[[#This Row],[spawner_sku]])),Table1[Entity Prefab],0)),10,1,1,"Entities"))</f>
        <v>75</v>
      </c>
      <c r="ET27" s="75">
        <f ca="1">ROUND((Table182023[[#This Row],[XP]]*Table182023[[#This Row],[entity_spawned (AVG)]])*(Table182023[[#This Row],[activating_chance]]/100),0)</f>
        <v>75</v>
      </c>
      <c r="EU27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27" s="152">
        <v>1</v>
      </c>
      <c r="EW27" s="152">
        <v>1</v>
      </c>
      <c r="EX27" s="152" t="b">
        <v>0</v>
      </c>
      <c r="EZ27" t="s">
        <v>231</v>
      </c>
      <c r="FA27">
        <v>1</v>
      </c>
      <c r="FB27">
        <v>5000</v>
      </c>
      <c r="FC27">
        <v>100</v>
      </c>
      <c r="FD27" s="75">
        <f ca="1">INDIRECT(ADDRESS(11+(MATCH(RIGHT(Table18202324[[#This Row],[spawner_sku]],LEN(Table18202324[[#This Row],[spawner_sku]])-FIND("/",Table18202324[[#This Row],[spawner_sku]])),Table1[Entity Prefab],0)),10,1,1,"Entities"))</f>
        <v>75</v>
      </c>
      <c r="FE27" s="75">
        <f ca="1">ROUND((Table18202324[[#This Row],[XP]]*Table18202324[[#This Row],[entity_spawned (AVG)]])*(Table18202324[[#This Row],[activating_chance]]/100),0)</f>
        <v>75</v>
      </c>
      <c r="FF27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27">
        <v>1</v>
      </c>
      <c r="FH27">
        <v>1</v>
      </c>
      <c r="FI27" t="b">
        <v>0</v>
      </c>
    </row>
    <row r="28" spans="2:165" x14ac:dyDescent="0.25">
      <c r="B28" s="73" t="s">
        <v>228</v>
      </c>
      <c r="C28">
        <v>1</v>
      </c>
      <c r="D28">
        <v>80</v>
      </c>
      <c r="E28">
        <v>100</v>
      </c>
      <c r="F28" s="75">
        <f ca="1">INDIRECT(ADDRESS(11+(MATCH(RIGHT(Table245[[#This Row],[spawner_sku]],LEN(Table245[[#This Row],[spawner_sku]])-FIND("/",Table245[[#This Row],[spawner_sku]])),Table1[Entity Prefab],0)),10,1,1,"Entities"))</f>
        <v>25</v>
      </c>
      <c r="G28" s="75">
        <f ca="1">ROUND((Table245[[#This Row],[XP]]*Table245[[#This Row],[entity_spawned (AVG)]])*(Table245[[#This Row],[activating_chance]]/100),0)</f>
        <v>25</v>
      </c>
      <c r="H2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8" s="72">
        <v>1</v>
      </c>
      <c r="J28" s="72">
        <v>1</v>
      </c>
      <c r="K28" s="72" t="b">
        <v>0</v>
      </c>
      <c r="M28" t="s">
        <v>227</v>
      </c>
      <c r="N28">
        <v>11.5</v>
      </c>
      <c r="O28">
        <v>280</v>
      </c>
      <c r="P28">
        <v>100</v>
      </c>
      <c r="Q28" s="75">
        <f ca="1">INDIRECT(ADDRESS(11+(MATCH(RIGHT(Table3[[#This Row],[spawner_sku]],LEN(Table3[[#This Row],[spawner_sku]])-FIND("/",Table3[[#This Row],[spawner_sku]])),Table1[Entity Prefab],0)),10,1,1,"Entities"))</f>
        <v>25</v>
      </c>
      <c r="R28" s="75">
        <f ca="1">ROUND((Table3[[#This Row],[XP]]*Table3[[#This Row],[entity_spawned (AVG)]])*(Table3[[#This Row],[activating_chance]]/100),0)</f>
        <v>288</v>
      </c>
      <c r="S28" t="str">
        <f ca="1">INDIRECT(ADDRESS(11+(MATCH(RIGHT(Table3[[#This Row],[spawner_sku]],LEN(Table3[[#This Row],[spawner_sku]])-FIND("/",Table3[[#This Row],[spawner_sku]])),Table28[Entity Prefab],0)),24,1,1,"Entities"))</f>
        <v>no</v>
      </c>
      <c r="T28">
        <v>8</v>
      </c>
      <c r="U28">
        <v>15</v>
      </c>
      <c r="V28" t="b">
        <v>1</v>
      </c>
      <c r="W28" s="72"/>
      <c r="X28" t="s">
        <v>227</v>
      </c>
      <c r="Y28">
        <v>3.5</v>
      </c>
      <c r="Z28">
        <v>90</v>
      </c>
      <c r="AA28">
        <v>100</v>
      </c>
      <c r="AB28" s="75">
        <f ca="1">INDIRECT(ADDRESS(11+(MATCH(RIGHT(Table39[[#This Row],[spawner_sku]],LEN(Table39[[#This Row],[spawner_sku]])-FIND("/",Table39[[#This Row],[spawner_sku]])),Table1[Entity Prefab],0)),10,1,1,"Entities"))</f>
        <v>25</v>
      </c>
      <c r="AC28" s="75">
        <f ca="1">ROUND((Table39[[#This Row],[XP]]*Table39[[#This Row],[entity_spawned (AVG)]])*(Table39[[#This Row],[activating_chance]]/100),0)</f>
        <v>88</v>
      </c>
      <c r="AD28" t="str">
        <f ca="1">INDIRECT(ADDRESS(11+(MATCH(RIGHT(Table39[[#This Row],[spawner_sku]],LEN(Table39[[#This Row],[spawner_sku]])-FIND("/",Table39[[#This Row],[spawner_sku]])),Table28[Entity Prefab],0)),24,1,1,"Entities"))</f>
        <v>no</v>
      </c>
      <c r="AE28">
        <v>3</v>
      </c>
      <c r="AF28">
        <v>4</v>
      </c>
      <c r="AG28" t="b">
        <v>0</v>
      </c>
      <c r="AI28" t="s">
        <v>226</v>
      </c>
      <c r="AJ28">
        <v>1</v>
      </c>
      <c r="AK28">
        <v>170</v>
      </c>
      <c r="AL28">
        <v>100</v>
      </c>
      <c r="AM28" s="75">
        <f ca="1">INDIRECT(ADDRESS(11+(MATCH(RIGHT(Table2[[#This Row],[spawner_sku]],LEN(Table2[[#This Row],[spawner_sku]])-FIND("/",Table2[[#This Row],[spawner_sku]])),Table1[Entity Prefab],0)),10,1,1,"Entities"))</f>
        <v>55</v>
      </c>
      <c r="AN28" s="75">
        <f ca="1">ROUND((Table2[[#This Row],[XP]]*Table2[[#This Row],[entity_spawned (AVG)]])*(Table2[[#This Row],[activating_chance]]/100),0)</f>
        <v>55</v>
      </c>
      <c r="AO2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8" s="72">
        <v>1</v>
      </c>
      <c r="AQ28" s="72">
        <v>1</v>
      </c>
      <c r="AR28" s="72" t="b">
        <v>0</v>
      </c>
      <c r="AT28" t="s">
        <v>227</v>
      </c>
      <c r="AU28">
        <v>11.5</v>
      </c>
      <c r="AV28">
        <v>120</v>
      </c>
      <c r="AW28">
        <v>100</v>
      </c>
      <c r="AX28" s="75">
        <f ca="1">INDIRECT(ADDRESS(11+(MATCH(RIGHT(Table6[[#This Row],[spawner_sku]],LEN(Table6[[#This Row],[spawner_sku]])-FIND("/",Table6[[#This Row],[spawner_sku]])),Table1[Entity Prefab],0)),10,1,1,"Entities"))</f>
        <v>25</v>
      </c>
      <c r="AY28" s="75">
        <f ca="1">ROUND((Table6[[#This Row],[XP]]*Table6[[#This Row],[entity_spawned (AVG)]])*(Table6[[#This Row],[activating_chance]]/100),0)</f>
        <v>288</v>
      </c>
      <c r="AZ28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28">
        <v>8</v>
      </c>
      <c r="BB28">
        <v>15</v>
      </c>
      <c r="BC28" t="b">
        <v>1</v>
      </c>
      <c r="BE28" t="s">
        <v>226</v>
      </c>
      <c r="BF28">
        <v>1</v>
      </c>
      <c r="BG28">
        <v>180</v>
      </c>
      <c r="BH28">
        <v>100</v>
      </c>
      <c r="BI28" s="75">
        <f ca="1">INDIRECT(ADDRESS(11+(MATCH(RIGHT(Table610[[#This Row],[spawner_sku]],LEN(Table610[[#This Row],[spawner_sku]])-FIND("/",Table610[[#This Row],[spawner_sku]])),Table1[Entity Prefab],0)),10,1,1,"Entities"))</f>
        <v>55</v>
      </c>
      <c r="BJ28" s="75">
        <f ca="1">ROUND((Table610[[#This Row],[XP]]*Table610[[#This Row],[entity_spawned (AVG)]])*(Table610[[#This Row],[activating_chance]]/100),0)</f>
        <v>55</v>
      </c>
      <c r="BK28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28">
        <v>1</v>
      </c>
      <c r="BM28">
        <v>1</v>
      </c>
      <c r="BN28" t="b">
        <v>0</v>
      </c>
      <c r="BP28" t="s">
        <v>228</v>
      </c>
      <c r="BQ28">
        <v>1</v>
      </c>
      <c r="BR28">
        <v>100</v>
      </c>
      <c r="BS28">
        <v>100</v>
      </c>
      <c r="BT2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8" s="75">
        <f ca="1">ROUND((Table61011[[#This Row],[XP]]*Table61011[[#This Row],[entity_spawned (AVG)]])*(Table61011[[#This Row],[activating_chance]]/100),0)</f>
        <v>25</v>
      </c>
      <c r="BV2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" s="72">
        <v>1</v>
      </c>
      <c r="BX28" s="72">
        <v>1</v>
      </c>
      <c r="BY28" s="72" t="b">
        <v>0</v>
      </c>
      <c r="CA28" t="s">
        <v>228</v>
      </c>
      <c r="CB28">
        <v>2.5</v>
      </c>
      <c r="CC28">
        <v>180</v>
      </c>
      <c r="CD28">
        <v>100</v>
      </c>
      <c r="CE28" s="75">
        <f ca="1">INDIRECT(ADDRESS(11+(MATCH(RIGHT(Table11[[#This Row],[spawner_sku]],LEN(Table11[[#This Row],[spawner_sku]])-FIND("/",Table11[[#This Row],[spawner_sku]])),Table1[Entity Prefab],0)),10,1,1,"Entities"))</f>
        <v>25</v>
      </c>
      <c r="CF28">
        <f ca="1">ROUND((Table11[[#This Row],[XP]]*Table11[[#This Row],[entity_spawned (AVG)]])*(Table11[[#This Row],[activating_chance]]/100),0)</f>
        <v>63</v>
      </c>
      <c r="CG28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28" s="72">
        <v>2</v>
      </c>
      <c r="CI28" s="72">
        <v>3</v>
      </c>
      <c r="CJ28" s="72" t="b">
        <v>0</v>
      </c>
      <c r="CL28" t="s">
        <v>226</v>
      </c>
      <c r="CM28">
        <v>1.5</v>
      </c>
      <c r="CN28">
        <v>260</v>
      </c>
      <c r="CO28">
        <v>100</v>
      </c>
      <c r="CP28" s="75">
        <f ca="1">INDIRECT(ADDRESS(11+(MATCH(RIGHT(Table12[[#This Row],[spawner_sku]],LEN(Table12[[#This Row],[spawner_sku]])-FIND("/",Table12[[#This Row],[spawner_sku]])),Table1[Entity Prefab],0)),10,1,1,"Entities"))</f>
        <v>55</v>
      </c>
      <c r="CQ28" s="75">
        <f ca="1">ROUND((Table12[[#This Row],[XP]]*Table12[[#This Row],[entity_spawned (AVG)]])*(Table12[[#This Row],[activating_chance]]/100),0)</f>
        <v>83</v>
      </c>
      <c r="CR28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28" s="72">
        <v>1</v>
      </c>
      <c r="CT28" s="72">
        <v>2</v>
      </c>
      <c r="CU28" s="72" t="b">
        <v>0</v>
      </c>
      <c r="CW28" t="s">
        <v>227</v>
      </c>
      <c r="CX28">
        <v>12</v>
      </c>
      <c r="CY28">
        <v>280</v>
      </c>
      <c r="CZ28">
        <v>100</v>
      </c>
      <c r="DA28" s="75">
        <f ca="1">INDIRECT(ADDRESS(11+(MATCH(RIGHT(Table13[[#This Row],[spawner_sku]],LEN(Table13[[#This Row],[spawner_sku]])-FIND("/",Table13[[#This Row],[spawner_sku]])),Table1[Entity Prefab],0)),10,1,1,"Entities"))</f>
        <v>25</v>
      </c>
      <c r="DB28" s="75">
        <f ca="1">ROUND((Table13[[#This Row],[XP]]*Table13[[#This Row],[entity_spawned (AVG)]])*(Table13[[#This Row],[activating_chance]]/100),0)</f>
        <v>300</v>
      </c>
      <c r="DC28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8" s="72">
        <v>10</v>
      </c>
      <c r="DE28" s="72">
        <v>14</v>
      </c>
      <c r="DF28" s="72" t="b">
        <v>1</v>
      </c>
      <c r="DH28" t="s">
        <v>226</v>
      </c>
      <c r="DI28">
        <v>2</v>
      </c>
      <c r="DJ28">
        <v>200</v>
      </c>
      <c r="DK28">
        <v>70</v>
      </c>
      <c r="DL28" s="75">
        <f ca="1">INDIRECT(ADDRESS(11+(MATCH(RIGHT(Table14[[#This Row],[spawner_sku]],LEN(Table14[[#This Row],[spawner_sku]])-FIND("/",Table14[[#This Row],[spawner_sku]])),Table1[Entity Prefab],0)),10,1,1,"Entities"))</f>
        <v>55</v>
      </c>
      <c r="DM28" s="75">
        <f ca="1">ROUND((Table14[[#This Row],[XP]]*Table14[[#This Row],[entity_spawned (AVG)]])*(Table14[[#This Row],[activating_chance]]/100),0)</f>
        <v>77</v>
      </c>
      <c r="DN2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8" s="72">
        <v>2</v>
      </c>
      <c r="DP28" s="72">
        <v>2</v>
      </c>
      <c r="DQ28" s="72" t="b">
        <v>0</v>
      </c>
      <c r="DS28" t="s">
        <v>226</v>
      </c>
      <c r="DT28">
        <v>2</v>
      </c>
      <c r="DU28">
        <v>130</v>
      </c>
      <c r="DV28">
        <v>100</v>
      </c>
      <c r="DW28" s="75">
        <f ca="1">INDIRECT(ADDRESS(11+(MATCH(RIGHT(Table18[[#This Row],[spawner_sku]],LEN(Table18[[#This Row],[spawner_sku]])-FIND("/",Table18[[#This Row],[spawner_sku]])),Table1[Entity Prefab],0)),10,1,1,"Entities"))</f>
        <v>55</v>
      </c>
      <c r="DX28" s="75">
        <f ca="1">ROUND((Table18[[#This Row],[XP]]*Table18[[#This Row],[entity_spawned (AVG)]])*(Table18[[#This Row],[activating_chance]]/100),0)</f>
        <v>110</v>
      </c>
      <c r="DY28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28">
        <v>2</v>
      </c>
      <c r="EA28">
        <v>2</v>
      </c>
      <c r="EB28" t="b">
        <v>0</v>
      </c>
      <c r="ED28" t="s">
        <v>226</v>
      </c>
      <c r="EE28">
        <v>1</v>
      </c>
      <c r="EF28">
        <v>100</v>
      </c>
      <c r="EG28">
        <v>100</v>
      </c>
      <c r="EH28" s="75">
        <f ca="1">INDIRECT(ADDRESS(11+(MATCH(RIGHT(Table1820[[#This Row],[spawner_sku]],LEN(Table1820[[#This Row],[spawner_sku]])-FIND("/",Table1820[[#This Row],[spawner_sku]])),Table1[Entity Prefab],0)),10,1,1,"Entities"))</f>
        <v>55</v>
      </c>
      <c r="EI28" s="75">
        <f ca="1">ROUND((Table1820[[#This Row],[XP]]*Table1820[[#This Row],[entity_spawned (AVG)]])*(Table1820[[#This Row],[activating_chance]]/100),0)</f>
        <v>55</v>
      </c>
      <c r="EJ28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8">
        <v>1</v>
      </c>
      <c r="EL28">
        <v>1</v>
      </c>
      <c r="EM28" t="b">
        <v>0</v>
      </c>
      <c r="EO28" t="s">
        <v>231</v>
      </c>
      <c r="EP28">
        <v>1</v>
      </c>
      <c r="EQ28">
        <v>5000</v>
      </c>
      <c r="ER28">
        <v>100</v>
      </c>
      <c r="ES28" s="75">
        <f ca="1">INDIRECT(ADDRESS(11+(MATCH(RIGHT(Table182023[[#This Row],[spawner_sku]],LEN(Table182023[[#This Row],[spawner_sku]])-FIND("/",Table182023[[#This Row],[spawner_sku]])),Table1[Entity Prefab],0)),10,1,1,"Entities"))</f>
        <v>75</v>
      </c>
      <c r="ET28" s="75">
        <f ca="1">ROUND((Table182023[[#This Row],[XP]]*Table182023[[#This Row],[entity_spawned (AVG)]])*(Table182023[[#This Row],[activating_chance]]/100),0)</f>
        <v>75</v>
      </c>
      <c r="EU28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28" s="152">
        <v>1</v>
      </c>
      <c r="EW28" s="152">
        <v>1</v>
      </c>
      <c r="EX28" s="152" t="b">
        <v>0</v>
      </c>
      <c r="EZ28" t="s">
        <v>231</v>
      </c>
      <c r="FA28">
        <v>1</v>
      </c>
      <c r="FB28">
        <v>5000</v>
      </c>
      <c r="FC28">
        <v>100</v>
      </c>
      <c r="FD28" s="75">
        <f ca="1">INDIRECT(ADDRESS(11+(MATCH(RIGHT(Table18202324[[#This Row],[spawner_sku]],LEN(Table18202324[[#This Row],[spawner_sku]])-FIND("/",Table18202324[[#This Row],[spawner_sku]])),Table1[Entity Prefab],0)),10,1,1,"Entities"))</f>
        <v>75</v>
      </c>
      <c r="FE28" s="75">
        <f ca="1">ROUND((Table18202324[[#This Row],[XP]]*Table18202324[[#This Row],[entity_spawned (AVG)]])*(Table18202324[[#This Row],[activating_chance]]/100),0)</f>
        <v>75</v>
      </c>
      <c r="FF28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28">
        <v>1</v>
      </c>
      <c r="FH28">
        <v>1</v>
      </c>
      <c r="FI28" t="b">
        <v>0</v>
      </c>
    </row>
    <row r="29" spans="2:165" x14ac:dyDescent="0.25">
      <c r="B29" s="73" t="s">
        <v>228</v>
      </c>
      <c r="C29">
        <v>3</v>
      </c>
      <c r="D29">
        <v>140</v>
      </c>
      <c r="E29">
        <v>100</v>
      </c>
      <c r="F29" s="75">
        <f ca="1">INDIRECT(ADDRESS(11+(MATCH(RIGHT(Table245[[#This Row],[spawner_sku]],LEN(Table245[[#This Row],[spawner_sku]])-FIND("/",Table245[[#This Row],[spawner_sku]])),Table1[Entity Prefab],0)),10,1,1,"Entities"))</f>
        <v>25</v>
      </c>
      <c r="G29" s="75">
        <f ca="1">ROUND((Table245[[#This Row],[XP]]*Table245[[#This Row],[entity_spawned (AVG)]])*(Table245[[#This Row],[activating_chance]]/100),0)</f>
        <v>75</v>
      </c>
      <c r="H2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9" s="72">
        <v>2</v>
      </c>
      <c r="J29" s="72">
        <v>4</v>
      </c>
      <c r="K29" s="72" t="b">
        <v>0</v>
      </c>
      <c r="M29" t="s">
        <v>227</v>
      </c>
      <c r="N29">
        <v>11.5</v>
      </c>
      <c r="O29">
        <v>280</v>
      </c>
      <c r="P29">
        <v>100</v>
      </c>
      <c r="Q29" s="75">
        <f ca="1">INDIRECT(ADDRESS(11+(MATCH(RIGHT(Table3[[#This Row],[spawner_sku]],LEN(Table3[[#This Row],[spawner_sku]])-FIND("/",Table3[[#This Row],[spawner_sku]])),Table1[Entity Prefab],0)),10,1,1,"Entities"))</f>
        <v>25</v>
      </c>
      <c r="R29" s="75">
        <f ca="1">ROUND((Table3[[#This Row],[XP]]*Table3[[#This Row],[entity_spawned (AVG)]])*(Table3[[#This Row],[activating_chance]]/100),0)</f>
        <v>288</v>
      </c>
      <c r="S29" t="str">
        <f ca="1">INDIRECT(ADDRESS(11+(MATCH(RIGHT(Table3[[#This Row],[spawner_sku]],LEN(Table3[[#This Row],[spawner_sku]])-FIND("/",Table3[[#This Row],[spawner_sku]])),Table28[Entity Prefab],0)),24,1,1,"Entities"))</f>
        <v>no</v>
      </c>
      <c r="T29">
        <v>8</v>
      </c>
      <c r="U29">
        <v>15</v>
      </c>
      <c r="V29" t="b">
        <v>1</v>
      </c>
      <c r="W29" s="72"/>
      <c r="X29" t="s">
        <v>227</v>
      </c>
      <c r="Y29">
        <v>6.5</v>
      </c>
      <c r="Z29">
        <v>105</v>
      </c>
      <c r="AA29">
        <v>100</v>
      </c>
      <c r="AB29" s="75">
        <f ca="1">INDIRECT(ADDRESS(11+(MATCH(RIGHT(Table39[[#This Row],[spawner_sku]],LEN(Table39[[#This Row],[spawner_sku]])-FIND("/",Table39[[#This Row],[spawner_sku]])),Table1[Entity Prefab],0)),10,1,1,"Entities"))</f>
        <v>25</v>
      </c>
      <c r="AC29" s="75">
        <f ca="1">ROUND((Table39[[#This Row],[XP]]*Table39[[#This Row],[entity_spawned (AVG)]])*(Table39[[#This Row],[activating_chance]]/100),0)</f>
        <v>163</v>
      </c>
      <c r="AD29" t="str">
        <f ca="1">INDIRECT(ADDRESS(11+(MATCH(RIGHT(Table39[[#This Row],[spawner_sku]],LEN(Table39[[#This Row],[spawner_sku]])-FIND("/",Table39[[#This Row],[spawner_sku]])),Table28[Entity Prefab],0)),24,1,1,"Entities"))</f>
        <v>no</v>
      </c>
      <c r="AE29">
        <v>5</v>
      </c>
      <c r="AF29">
        <v>8</v>
      </c>
      <c r="AG29" t="b">
        <v>1</v>
      </c>
      <c r="AI29" t="s">
        <v>226</v>
      </c>
      <c r="AJ29">
        <v>1</v>
      </c>
      <c r="AK29">
        <v>260</v>
      </c>
      <c r="AL29">
        <v>100</v>
      </c>
      <c r="AM29" s="75">
        <f ca="1">INDIRECT(ADDRESS(11+(MATCH(RIGHT(Table2[[#This Row],[spawner_sku]],LEN(Table2[[#This Row],[spawner_sku]])-FIND("/",Table2[[#This Row],[spawner_sku]])),Table1[Entity Prefab],0)),10,1,1,"Entities"))</f>
        <v>55</v>
      </c>
      <c r="AN29" s="75">
        <f ca="1">ROUND((Table2[[#This Row],[XP]]*Table2[[#This Row],[entity_spawned (AVG)]])*(Table2[[#This Row],[activating_chance]]/100),0)</f>
        <v>55</v>
      </c>
      <c r="AO2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9" s="72">
        <v>1</v>
      </c>
      <c r="AQ29" s="72">
        <v>1</v>
      </c>
      <c r="AR29" s="72" t="b">
        <v>0</v>
      </c>
      <c r="AT29" t="s">
        <v>227</v>
      </c>
      <c r="AU29">
        <v>6.5</v>
      </c>
      <c r="AV29">
        <v>150</v>
      </c>
      <c r="AW29">
        <v>100</v>
      </c>
      <c r="AX29" s="75">
        <f ca="1">INDIRECT(ADDRESS(11+(MATCH(RIGHT(Table6[[#This Row],[spawner_sku]],LEN(Table6[[#This Row],[spawner_sku]])-FIND("/",Table6[[#This Row],[spawner_sku]])),Table1[Entity Prefab],0)),10,1,1,"Entities"))</f>
        <v>25</v>
      </c>
      <c r="AY29" s="75">
        <f ca="1">ROUND((Table6[[#This Row],[XP]]*Table6[[#This Row],[entity_spawned (AVG)]])*(Table6[[#This Row],[activating_chance]]/100),0)</f>
        <v>163</v>
      </c>
      <c r="AZ29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29">
        <v>5</v>
      </c>
      <c r="BB29">
        <v>8</v>
      </c>
      <c r="BC29" t="b">
        <v>1</v>
      </c>
      <c r="BE29" t="s">
        <v>226</v>
      </c>
      <c r="BF29">
        <v>1</v>
      </c>
      <c r="BG29">
        <v>150</v>
      </c>
      <c r="BH29">
        <v>100</v>
      </c>
      <c r="BI29" s="75">
        <f ca="1">INDIRECT(ADDRESS(11+(MATCH(RIGHT(Table610[[#This Row],[spawner_sku]],LEN(Table610[[#This Row],[spawner_sku]])-FIND("/",Table610[[#This Row],[spawner_sku]])),Table1[Entity Prefab],0)),10,1,1,"Entities"))</f>
        <v>55</v>
      </c>
      <c r="BJ29" s="75">
        <f ca="1">ROUND((Table610[[#This Row],[XP]]*Table610[[#This Row],[entity_spawned (AVG)]])*(Table610[[#This Row],[activating_chance]]/100),0)</f>
        <v>55</v>
      </c>
      <c r="BK29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29">
        <v>1</v>
      </c>
      <c r="BM29">
        <v>1</v>
      </c>
      <c r="BN29" t="b">
        <v>0</v>
      </c>
      <c r="BP29" t="s">
        <v>228</v>
      </c>
      <c r="BQ29">
        <v>5</v>
      </c>
      <c r="BR29">
        <v>220</v>
      </c>
      <c r="BS29">
        <v>100</v>
      </c>
      <c r="BT2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9" s="75">
        <f ca="1">ROUND((Table61011[[#This Row],[XP]]*Table61011[[#This Row],[entity_spawned (AVG)]])*(Table61011[[#This Row],[activating_chance]]/100),0)</f>
        <v>125</v>
      </c>
      <c r="BV2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9" s="72">
        <v>5</v>
      </c>
      <c r="BX29" s="72">
        <v>5</v>
      </c>
      <c r="BY29" s="72" t="b">
        <v>1</v>
      </c>
      <c r="CA29" t="s">
        <v>228</v>
      </c>
      <c r="CB29">
        <v>3.5</v>
      </c>
      <c r="CC29">
        <v>180</v>
      </c>
      <c r="CD29">
        <v>100</v>
      </c>
      <c r="CE29" s="75">
        <f ca="1">INDIRECT(ADDRESS(11+(MATCH(RIGHT(Table11[[#This Row],[spawner_sku]],LEN(Table11[[#This Row],[spawner_sku]])-FIND("/",Table11[[#This Row],[spawner_sku]])),Table1[Entity Prefab],0)),10,1,1,"Entities"))</f>
        <v>25</v>
      </c>
      <c r="CF29">
        <f ca="1">ROUND((Table11[[#This Row],[XP]]*Table11[[#This Row],[entity_spawned (AVG)]])*(Table11[[#This Row],[activating_chance]]/100),0)</f>
        <v>88</v>
      </c>
      <c r="CG29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29" s="72">
        <v>3</v>
      </c>
      <c r="CI29" s="72">
        <v>4</v>
      </c>
      <c r="CJ29" s="72" t="b">
        <v>0</v>
      </c>
      <c r="CL29" t="s">
        <v>226</v>
      </c>
      <c r="CM29">
        <v>1.5</v>
      </c>
      <c r="CN29">
        <v>260</v>
      </c>
      <c r="CO29">
        <v>100</v>
      </c>
      <c r="CP29" s="75">
        <f ca="1">INDIRECT(ADDRESS(11+(MATCH(RIGHT(Table12[[#This Row],[spawner_sku]],LEN(Table12[[#This Row],[spawner_sku]])-FIND("/",Table12[[#This Row],[spawner_sku]])),Table1[Entity Prefab],0)),10,1,1,"Entities"))</f>
        <v>55</v>
      </c>
      <c r="CQ29" s="75">
        <f ca="1">ROUND((Table12[[#This Row],[XP]]*Table12[[#This Row],[entity_spawned (AVG)]])*(Table12[[#This Row],[activating_chance]]/100),0)</f>
        <v>83</v>
      </c>
      <c r="CR29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29" s="72">
        <v>1</v>
      </c>
      <c r="CT29" s="72">
        <v>2</v>
      </c>
      <c r="CU29" s="72" t="b">
        <v>0</v>
      </c>
      <c r="CW29" t="s">
        <v>227</v>
      </c>
      <c r="CX29">
        <v>9</v>
      </c>
      <c r="CY29">
        <v>280</v>
      </c>
      <c r="CZ29">
        <v>80</v>
      </c>
      <c r="DA29" s="75">
        <f ca="1">INDIRECT(ADDRESS(11+(MATCH(RIGHT(Table13[[#This Row],[spawner_sku]],LEN(Table13[[#This Row],[spawner_sku]])-FIND("/",Table13[[#This Row],[spawner_sku]])),Table1[Entity Prefab],0)),10,1,1,"Entities"))</f>
        <v>25</v>
      </c>
      <c r="DB29" s="75">
        <f ca="1">ROUND((Table13[[#This Row],[XP]]*Table13[[#This Row],[entity_spawned (AVG)]])*(Table13[[#This Row],[activating_chance]]/100),0)</f>
        <v>180</v>
      </c>
      <c r="DC29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9" s="72">
        <v>8</v>
      </c>
      <c r="DE29" s="72">
        <v>10</v>
      </c>
      <c r="DF29" s="72" t="b">
        <v>1</v>
      </c>
      <c r="DH29" t="s">
        <v>226</v>
      </c>
      <c r="DI29">
        <v>1</v>
      </c>
      <c r="DJ29">
        <v>200</v>
      </c>
      <c r="DK29">
        <v>30</v>
      </c>
      <c r="DL29" s="75">
        <f ca="1">INDIRECT(ADDRESS(11+(MATCH(RIGHT(Table14[[#This Row],[spawner_sku]],LEN(Table14[[#This Row],[spawner_sku]])-FIND("/",Table14[[#This Row],[spawner_sku]])),Table1[Entity Prefab],0)),10,1,1,"Entities"))</f>
        <v>55</v>
      </c>
      <c r="DM29" s="75">
        <f ca="1">ROUND((Table14[[#This Row],[XP]]*Table14[[#This Row],[entity_spawned (AVG)]])*(Table14[[#This Row],[activating_chance]]/100),0)</f>
        <v>17</v>
      </c>
      <c r="DN2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9" s="72">
        <v>1</v>
      </c>
      <c r="DP29" s="72">
        <v>1</v>
      </c>
      <c r="DQ29" s="72" t="b">
        <v>0</v>
      </c>
      <c r="DS29" t="s">
        <v>226</v>
      </c>
      <c r="DT29">
        <v>2</v>
      </c>
      <c r="DU29">
        <v>120</v>
      </c>
      <c r="DV29">
        <v>100</v>
      </c>
      <c r="DW29" s="75">
        <f ca="1">INDIRECT(ADDRESS(11+(MATCH(RIGHT(Table18[[#This Row],[spawner_sku]],LEN(Table18[[#This Row],[spawner_sku]])-FIND("/",Table18[[#This Row],[spawner_sku]])),Table1[Entity Prefab],0)),10,1,1,"Entities"))</f>
        <v>55</v>
      </c>
      <c r="DX29" s="75">
        <f ca="1">ROUND((Table18[[#This Row],[XP]]*Table18[[#This Row],[entity_spawned (AVG)]])*(Table18[[#This Row],[activating_chance]]/100),0)</f>
        <v>110</v>
      </c>
      <c r="DY29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29">
        <v>1</v>
      </c>
      <c r="EA29">
        <v>3</v>
      </c>
      <c r="EB29" t="b">
        <v>0</v>
      </c>
      <c r="ED29" t="s">
        <v>227</v>
      </c>
      <c r="EE29">
        <v>3</v>
      </c>
      <c r="EF29">
        <v>140</v>
      </c>
      <c r="EG29">
        <v>100</v>
      </c>
      <c r="EH2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9" s="75">
        <f ca="1">ROUND((Table1820[[#This Row],[XP]]*Table1820[[#This Row],[entity_spawned (AVG)]])*(Table1820[[#This Row],[activating_chance]]/100),0)</f>
        <v>75</v>
      </c>
      <c r="EJ2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9">
        <v>3</v>
      </c>
      <c r="EL29">
        <v>4</v>
      </c>
      <c r="EM29" t="b">
        <v>0</v>
      </c>
      <c r="EO29" t="s">
        <v>231</v>
      </c>
      <c r="EP29">
        <v>1</v>
      </c>
      <c r="EQ29">
        <v>5000</v>
      </c>
      <c r="ER29">
        <v>100</v>
      </c>
      <c r="ES29" s="75">
        <f ca="1">INDIRECT(ADDRESS(11+(MATCH(RIGHT(Table182023[[#This Row],[spawner_sku]],LEN(Table182023[[#This Row],[spawner_sku]])-FIND("/",Table182023[[#This Row],[spawner_sku]])),Table1[Entity Prefab],0)),10,1,1,"Entities"))</f>
        <v>75</v>
      </c>
      <c r="ET29" s="75">
        <f ca="1">ROUND((Table182023[[#This Row],[XP]]*Table182023[[#This Row],[entity_spawned (AVG)]])*(Table182023[[#This Row],[activating_chance]]/100),0)</f>
        <v>75</v>
      </c>
      <c r="EU29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29" s="152">
        <v>1</v>
      </c>
      <c r="EW29" s="152">
        <v>1</v>
      </c>
      <c r="EX29" s="152" t="b">
        <v>0</v>
      </c>
      <c r="EZ29" t="s">
        <v>231</v>
      </c>
      <c r="FA29">
        <v>1</v>
      </c>
      <c r="FB29">
        <v>5000</v>
      </c>
      <c r="FC29">
        <v>75</v>
      </c>
      <c r="FD29" s="75">
        <f ca="1">INDIRECT(ADDRESS(11+(MATCH(RIGHT(Table18202324[[#This Row],[spawner_sku]],LEN(Table18202324[[#This Row],[spawner_sku]])-FIND("/",Table18202324[[#This Row],[spawner_sku]])),Table1[Entity Prefab],0)),10,1,1,"Entities"))</f>
        <v>75</v>
      </c>
      <c r="FE29" s="75">
        <f ca="1">ROUND((Table18202324[[#This Row],[XP]]*Table18202324[[#This Row],[entity_spawned (AVG)]])*(Table18202324[[#This Row],[activating_chance]]/100),0)</f>
        <v>56</v>
      </c>
      <c r="FF29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29">
        <v>1</v>
      </c>
      <c r="FH29">
        <v>1</v>
      </c>
      <c r="FI29" t="b">
        <v>0</v>
      </c>
    </row>
    <row r="30" spans="2:165" x14ac:dyDescent="0.25">
      <c r="B30" s="73" t="s">
        <v>228</v>
      </c>
      <c r="C30">
        <v>2</v>
      </c>
      <c r="D30">
        <v>110</v>
      </c>
      <c r="E30">
        <v>100</v>
      </c>
      <c r="F30" s="75">
        <f ca="1">INDIRECT(ADDRESS(11+(MATCH(RIGHT(Table245[[#This Row],[spawner_sku]],LEN(Table245[[#This Row],[spawner_sku]])-FIND("/",Table245[[#This Row],[spawner_sku]])),Table1[Entity Prefab],0)),10,1,1,"Entities"))</f>
        <v>25</v>
      </c>
      <c r="G30" s="75">
        <f ca="1">ROUND((Table245[[#This Row],[XP]]*Table245[[#This Row],[entity_spawned (AVG)]])*(Table245[[#This Row],[activating_chance]]/100),0)</f>
        <v>50</v>
      </c>
      <c r="H3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0" s="72">
        <v>1</v>
      </c>
      <c r="J30" s="72">
        <v>3</v>
      </c>
      <c r="K30" s="72" t="b">
        <v>0</v>
      </c>
      <c r="M30" t="s">
        <v>227</v>
      </c>
      <c r="N30">
        <v>8</v>
      </c>
      <c r="O30">
        <v>240</v>
      </c>
      <c r="P30">
        <v>100</v>
      </c>
      <c r="Q30" s="75">
        <f ca="1">INDIRECT(ADDRESS(11+(MATCH(RIGHT(Table3[[#This Row],[spawner_sku]],LEN(Table3[[#This Row],[spawner_sku]])-FIND("/",Table3[[#This Row],[spawner_sku]])),Table1[Entity Prefab],0)),10,1,1,"Entities"))</f>
        <v>25</v>
      </c>
      <c r="R30" s="75">
        <f ca="1">ROUND((Table3[[#This Row],[XP]]*Table3[[#This Row],[entity_spawned (AVG)]])*(Table3[[#This Row],[activating_chance]]/100),0)</f>
        <v>200</v>
      </c>
      <c r="S30" t="str">
        <f ca="1">INDIRECT(ADDRESS(11+(MATCH(RIGHT(Table3[[#This Row],[spawner_sku]],LEN(Table3[[#This Row],[spawner_sku]])-FIND("/",Table3[[#This Row],[spawner_sku]])),Table28[Entity Prefab],0)),24,1,1,"Entities"))</f>
        <v>no</v>
      </c>
      <c r="T30">
        <v>6</v>
      </c>
      <c r="U30">
        <v>10</v>
      </c>
      <c r="V30" t="b">
        <v>1</v>
      </c>
      <c r="W30" s="72"/>
      <c r="X30" t="s">
        <v>227</v>
      </c>
      <c r="Y30">
        <v>2.5</v>
      </c>
      <c r="Z30">
        <v>90</v>
      </c>
      <c r="AA30">
        <v>100</v>
      </c>
      <c r="AB30" s="75">
        <f ca="1">INDIRECT(ADDRESS(11+(MATCH(RIGHT(Table39[[#This Row],[spawner_sku]],LEN(Table39[[#This Row],[spawner_sku]])-FIND("/",Table39[[#This Row],[spawner_sku]])),Table1[Entity Prefab],0)),10,1,1,"Entities"))</f>
        <v>25</v>
      </c>
      <c r="AC30" s="75">
        <f ca="1">ROUND((Table39[[#This Row],[XP]]*Table39[[#This Row],[entity_spawned (AVG)]])*(Table39[[#This Row],[activating_chance]]/100),0)</f>
        <v>63</v>
      </c>
      <c r="AD30" t="str">
        <f ca="1">INDIRECT(ADDRESS(11+(MATCH(RIGHT(Table39[[#This Row],[spawner_sku]],LEN(Table39[[#This Row],[spawner_sku]])-FIND("/",Table39[[#This Row],[spawner_sku]])),Table28[Entity Prefab],0)),24,1,1,"Entities"))</f>
        <v>no</v>
      </c>
      <c r="AE30">
        <v>2</v>
      </c>
      <c r="AF30">
        <v>3</v>
      </c>
      <c r="AG30" t="b">
        <v>0</v>
      </c>
      <c r="AI30" t="s">
        <v>226</v>
      </c>
      <c r="AJ30">
        <v>1</v>
      </c>
      <c r="AK30">
        <v>240</v>
      </c>
      <c r="AL30">
        <v>100</v>
      </c>
      <c r="AM30" s="75">
        <f ca="1">INDIRECT(ADDRESS(11+(MATCH(RIGHT(Table2[[#This Row],[spawner_sku]],LEN(Table2[[#This Row],[spawner_sku]])-FIND("/",Table2[[#This Row],[spawner_sku]])),Table1[Entity Prefab],0)),10,1,1,"Entities"))</f>
        <v>55</v>
      </c>
      <c r="AN30" s="75">
        <f ca="1">ROUND((Table2[[#This Row],[XP]]*Table2[[#This Row],[entity_spawned (AVG)]])*(Table2[[#This Row],[activating_chance]]/100),0)</f>
        <v>55</v>
      </c>
      <c r="AO3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0" s="72">
        <v>1</v>
      </c>
      <c r="AQ30" s="72">
        <v>1</v>
      </c>
      <c r="AR30" s="72" t="b">
        <v>0</v>
      </c>
      <c r="AT30" t="s">
        <v>227</v>
      </c>
      <c r="AU30">
        <v>7.5</v>
      </c>
      <c r="AV30">
        <v>160</v>
      </c>
      <c r="AW30">
        <v>100</v>
      </c>
      <c r="AX30" s="75">
        <f ca="1">INDIRECT(ADDRESS(11+(MATCH(RIGHT(Table6[[#This Row],[spawner_sku]],LEN(Table6[[#This Row],[spawner_sku]])-FIND("/",Table6[[#This Row],[spawner_sku]])),Table1[Entity Prefab],0)),10,1,1,"Entities"))</f>
        <v>25</v>
      </c>
      <c r="AY30" s="75">
        <f ca="1">ROUND((Table6[[#This Row],[XP]]*Table6[[#This Row],[entity_spawned (AVG)]])*(Table6[[#This Row],[activating_chance]]/100),0)</f>
        <v>188</v>
      </c>
      <c r="AZ30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30">
        <v>5</v>
      </c>
      <c r="BB30">
        <v>10</v>
      </c>
      <c r="BC30" t="b">
        <v>1</v>
      </c>
      <c r="BE30" t="s">
        <v>226</v>
      </c>
      <c r="BF30">
        <v>1</v>
      </c>
      <c r="BG30">
        <v>220</v>
      </c>
      <c r="BH30">
        <v>100</v>
      </c>
      <c r="BI30" s="75">
        <f ca="1">INDIRECT(ADDRESS(11+(MATCH(RIGHT(Table610[[#This Row],[spawner_sku]],LEN(Table610[[#This Row],[spawner_sku]])-FIND("/",Table610[[#This Row],[spawner_sku]])),Table1[Entity Prefab],0)),10,1,1,"Entities"))</f>
        <v>55</v>
      </c>
      <c r="BJ30" s="75">
        <f ca="1">ROUND((Table610[[#This Row],[XP]]*Table610[[#This Row],[entity_spawned (AVG)]])*(Table610[[#This Row],[activating_chance]]/100),0)</f>
        <v>55</v>
      </c>
      <c r="BK30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0">
        <v>1</v>
      </c>
      <c r="BM30">
        <v>1</v>
      </c>
      <c r="BN30" t="b">
        <v>0</v>
      </c>
      <c r="BP30" t="s">
        <v>228</v>
      </c>
      <c r="BQ30">
        <v>3</v>
      </c>
      <c r="BR30">
        <v>200</v>
      </c>
      <c r="BS30">
        <v>100</v>
      </c>
      <c r="BT3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0" s="75">
        <f ca="1">ROUND((Table61011[[#This Row],[XP]]*Table61011[[#This Row],[entity_spawned (AVG)]])*(Table61011[[#This Row],[activating_chance]]/100),0)</f>
        <v>75</v>
      </c>
      <c r="BV3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0" s="72">
        <v>2</v>
      </c>
      <c r="BX30" s="72">
        <v>4</v>
      </c>
      <c r="BY30" s="72" t="b">
        <v>0</v>
      </c>
      <c r="CA30" t="s">
        <v>228</v>
      </c>
      <c r="CB30">
        <v>3.5</v>
      </c>
      <c r="CC30">
        <v>180</v>
      </c>
      <c r="CD30">
        <v>80</v>
      </c>
      <c r="CE30" s="75">
        <f ca="1">INDIRECT(ADDRESS(11+(MATCH(RIGHT(Table11[[#This Row],[spawner_sku]],LEN(Table11[[#This Row],[spawner_sku]])-FIND("/",Table11[[#This Row],[spawner_sku]])),Table1[Entity Prefab],0)),10,1,1,"Entities"))</f>
        <v>25</v>
      </c>
      <c r="CF30">
        <f ca="1">ROUND((Table11[[#This Row],[XP]]*Table11[[#This Row],[entity_spawned (AVG)]])*(Table11[[#This Row],[activating_chance]]/100),0)</f>
        <v>70</v>
      </c>
      <c r="CG30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0" s="72">
        <v>3</v>
      </c>
      <c r="CI30" s="72">
        <v>4</v>
      </c>
      <c r="CJ30" s="72" t="b">
        <v>0</v>
      </c>
      <c r="CL30" t="s">
        <v>227</v>
      </c>
      <c r="CM30">
        <v>7</v>
      </c>
      <c r="CN30">
        <v>280</v>
      </c>
      <c r="CO30">
        <v>80</v>
      </c>
      <c r="CP30" s="75">
        <f ca="1">INDIRECT(ADDRESS(11+(MATCH(RIGHT(Table12[[#This Row],[spawner_sku]],LEN(Table12[[#This Row],[spawner_sku]])-FIND("/",Table12[[#This Row],[spawner_sku]])),Table1[Entity Prefab],0)),10,1,1,"Entities"))</f>
        <v>25</v>
      </c>
      <c r="CQ30" s="75">
        <f ca="1">ROUND((Table12[[#This Row],[XP]]*Table12[[#This Row],[entity_spawned (AVG)]])*(Table12[[#This Row],[activating_chance]]/100),0)</f>
        <v>140</v>
      </c>
      <c r="CR30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30" s="72">
        <v>6</v>
      </c>
      <c r="CT30" s="72">
        <v>8</v>
      </c>
      <c r="CU30" s="72" t="b">
        <v>1</v>
      </c>
      <c r="CW30" t="s">
        <v>227</v>
      </c>
      <c r="CX30">
        <v>9</v>
      </c>
      <c r="CY30">
        <v>280</v>
      </c>
      <c r="CZ30">
        <v>80</v>
      </c>
      <c r="DA30" s="75">
        <f ca="1">INDIRECT(ADDRESS(11+(MATCH(RIGHT(Table13[[#This Row],[spawner_sku]],LEN(Table13[[#This Row],[spawner_sku]])-FIND("/",Table13[[#This Row],[spawner_sku]])),Table1[Entity Prefab],0)),10,1,1,"Entities"))</f>
        <v>25</v>
      </c>
      <c r="DB30" s="75">
        <f ca="1">ROUND((Table13[[#This Row],[XP]]*Table13[[#This Row],[entity_spawned (AVG)]])*(Table13[[#This Row],[activating_chance]]/100),0)</f>
        <v>180</v>
      </c>
      <c r="DC30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0" s="72">
        <v>8</v>
      </c>
      <c r="DE30" s="72">
        <v>10</v>
      </c>
      <c r="DF30" s="72" t="b">
        <v>1</v>
      </c>
      <c r="DH30" t="s">
        <v>226</v>
      </c>
      <c r="DI30">
        <v>5.5</v>
      </c>
      <c r="DJ30">
        <v>200</v>
      </c>
      <c r="DK30">
        <v>70</v>
      </c>
      <c r="DL30" s="75">
        <f ca="1">INDIRECT(ADDRESS(11+(MATCH(RIGHT(Table14[[#This Row],[spawner_sku]],LEN(Table14[[#This Row],[spawner_sku]])-FIND("/",Table14[[#This Row],[spawner_sku]])),Table1[Entity Prefab],0)),10,1,1,"Entities"))</f>
        <v>55</v>
      </c>
      <c r="DM30" s="75">
        <f ca="1">ROUND((Table14[[#This Row],[XP]]*Table14[[#This Row],[entity_spawned (AVG)]])*(Table14[[#This Row],[activating_chance]]/100),0)</f>
        <v>212</v>
      </c>
      <c r="DN3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0" s="72">
        <v>5</v>
      </c>
      <c r="DP30" s="72">
        <v>6</v>
      </c>
      <c r="DQ30" s="72" t="b">
        <v>1</v>
      </c>
      <c r="DS30" t="s">
        <v>226</v>
      </c>
      <c r="DT30">
        <v>2</v>
      </c>
      <c r="DU30">
        <v>140</v>
      </c>
      <c r="DV30">
        <v>100</v>
      </c>
      <c r="DW30" s="75">
        <f ca="1">INDIRECT(ADDRESS(11+(MATCH(RIGHT(Table18[[#This Row],[spawner_sku]],LEN(Table18[[#This Row],[spawner_sku]])-FIND("/",Table18[[#This Row],[spawner_sku]])),Table1[Entity Prefab],0)),10,1,1,"Entities"))</f>
        <v>55</v>
      </c>
      <c r="DX30" s="75">
        <f ca="1">ROUND((Table18[[#This Row],[XP]]*Table18[[#This Row],[entity_spawned (AVG)]])*(Table18[[#This Row],[activating_chance]]/100),0)</f>
        <v>110</v>
      </c>
      <c r="DY30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30">
        <v>2</v>
      </c>
      <c r="EA30">
        <v>3</v>
      </c>
      <c r="EB30" t="b">
        <v>0</v>
      </c>
      <c r="ED30" t="s">
        <v>227</v>
      </c>
      <c r="EE30">
        <v>3</v>
      </c>
      <c r="EF30">
        <v>140</v>
      </c>
      <c r="EG30">
        <v>100</v>
      </c>
      <c r="EH30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30" s="75">
        <f ca="1">ROUND((Table1820[[#This Row],[XP]]*Table1820[[#This Row],[entity_spawned (AVG)]])*(Table1820[[#This Row],[activating_chance]]/100),0)</f>
        <v>75</v>
      </c>
      <c r="EJ3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30">
        <v>3</v>
      </c>
      <c r="EL30">
        <v>4</v>
      </c>
      <c r="EM30" t="b">
        <v>0</v>
      </c>
      <c r="EO30" t="s">
        <v>231</v>
      </c>
      <c r="EP30">
        <v>1</v>
      </c>
      <c r="EQ30">
        <v>5000</v>
      </c>
      <c r="ER30">
        <v>100</v>
      </c>
      <c r="ES30" s="75">
        <f ca="1">INDIRECT(ADDRESS(11+(MATCH(RIGHT(Table182023[[#This Row],[spawner_sku]],LEN(Table182023[[#This Row],[spawner_sku]])-FIND("/",Table182023[[#This Row],[spawner_sku]])),Table1[Entity Prefab],0)),10,1,1,"Entities"))</f>
        <v>75</v>
      </c>
      <c r="ET30" s="75">
        <f ca="1">ROUND((Table182023[[#This Row],[XP]]*Table182023[[#This Row],[entity_spawned (AVG)]])*(Table182023[[#This Row],[activating_chance]]/100),0)</f>
        <v>75</v>
      </c>
      <c r="EU30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30" s="152">
        <v>1</v>
      </c>
      <c r="EW30" s="152">
        <v>1</v>
      </c>
      <c r="EX30" s="152" t="b">
        <v>0</v>
      </c>
      <c r="EZ30" t="s">
        <v>231</v>
      </c>
      <c r="FA30">
        <v>1</v>
      </c>
      <c r="FB30">
        <v>5000</v>
      </c>
      <c r="FC30">
        <v>100</v>
      </c>
      <c r="FD30" s="75">
        <f ca="1">INDIRECT(ADDRESS(11+(MATCH(RIGHT(Table18202324[[#This Row],[spawner_sku]],LEN(Table18202324[[#This Row],[spawner_sku]])-FIND("/",Table18202324[[#This Row],[spawner_sku]])),Table1[Entity Prefab],0)),10,1,1,"Entities"))</f>
        <v>75</v>
      </c>
      <c r="FE30" s="75">
        <f ca="1">ROUND((Table18202324[[#This Row],[XP]]*Table18202324[[#This Row],[entity_spawned (AVG)]])*(Table18202324[[#This Row],[activating_chance]]/100),0)</f>
        <v>75</v>
      </c>
      <c r="FF30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30">
        <v>1</v>
      </c>
      <c r="FH30">
        <v>1</v>
      </c>
      <c r="FI30" t="b">
        <v>0</v>
      </c>
    </row>
    <row r="31" spans="2:165" x14ac:dyDescent="0.25">
      <c r="B31" s="73" t="s">
        <v>228</v>
      </c>
      <c r="C31">
        <v>1</v>
      </c>
      <c r="D31">
        <v>80</v>
      </c>
      <c r="E31">
        <v>100</v>
      </c>
      <c r="F31" s="75">
        <f ca="1">INDIRECT(ADDRESS(11+(MATCH(RIGHT(Table245[[#This Row],[spawner_sku]],LEN(Table245[[#This Row],[spawner_sku]])-FIND("/",Table245[[#This Row],[spawner_sku]])),Table1[Entity Prefab],0)),10,1,1,"Entities"))</f>
        <v>25</v>
      </c>
      <c r="G31" s="75">
        <f ca="1">ROUND((Table245[[#This Row],[XP]]*Table245[[#This Row],[entity_spawned (AVG)]])*(Table245[[#This Row],[activating_chance]]/100),0)</f>
        <v>25</v>
      </c>
      <c r="H3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1" s="72">
        <v>1</v>
      </c>
      <c r="J31" s="72">
        <v>1</v>
      </c>
      <c r="K31" s="72" t="b">
        <v>0</v>
      </c>
      <c r="M31" t="s">
        <v>227</v>
      </c>
      <c r="N31">
        <v>11.5</v>
      </c>
      <c r="O31">
        <v>300</v>
      </c>
      <c r="P31">
        <v>100</v>
      </c>
      <c r="Q31" s="75">
        <f ca="1">INDIRECT(ADDRESS(11+(MATCH(RIGHT(Table3[[#This Row],[spawner_sku]],LEN(Table3[[#This Row],[spawner_sku]])-FIND("/",Table3[[#This Row],[spawner_sku]])),Table1[Entity Prefab],0)),10,1,1,"Entities"))</f>
        <v>25</v>
      </c>
      <c r="R31" s="75">
        <f ca="1">ROUND((Table3[[#This Row],[XP]]*Table3[[#This Row],[entity_spawned (AVG)]])*(Table3[[#This Row],[activating_chance]]/100),0)</f>
        <v>288</v>
      </c>
      <c r="S31" t="str">
        <f ca="1">INDIRECT(ADDRESS(11+(MATCH(RIGHT(Table3[[#This Row],[spawner_sku]],LEN(Table3[[#This Row],[spawner_sku]])-FIND("/",Table3[[#This Row],[spawner_sku]])),Table28[Entity Prefab],0)),24,1,1,"Entities"))</f>
        <v>no</v>
      </c>
      <c r="T31">
        <v>8</v>
      </c>
      <c r="U31">
        <v>15</v>
      </c>
      <c r="V31" t="b">
        <v>1</v>
      </c>
      <c r="W31" s="72"/>
      <c r="X31" t="s">
        <v>227</v>
      </c>
      <c r="Y31">
        <v>6.5</v>
      </c>
      <c r="Z31">
        <v>90</v>
      </c>
      <c r="AA31">
        <v>100</v>
      </c>
      <c r="AB31" s="75">
        <f ca="1">INDIRECT(ADDRESS(11+(MATCH(RIGHT(Table39[[#This Row],[spawner_sku]],LEN(Table39[[#This Row],[spawner_sku]])-FIND("/",Table39[[#This Row],[spawner_sku]])),Table1[Entity Prefab],0)),10,1,1,"Entities"))</f>
        <v>25</v>
      </c>
      <c r="AC31" s="75">
        <f ca="1">ROUND((Table39[[#This Row],[XP]]*Table39[[#This Row],[entity_spawned (AVG)]])*(Table39[[#This Row],[activating_chance]]/100),0)</f>
        <v>163</v>
      </c>
      <c r="AD31" t="str">
        <f ca="1">INDIRECT(ADDRESS(11+(MATCH(RIGHT(Table39[[#This Row],[spawner_sku]],LEN(Table39[[#This Row],[spawner_sku]])-FIND("/",Table39[[#This Row],[spawner_sku]])),Table28[Entity Prefab],0)),24,1,1,"Entities"))</f>
        <v>no</v>
      </c>
      <c r="AE31">
        <v>5</v>
      </c>
      <c r="AF31">
        <v>8</v>
      </c>
      <c r="AG31" t="b">
        <v>1</v>
      </c>
      <c r="AI31" t="s">
        <v>228</v>
      </c>
      <c r="AJ31">
        <v>2</v>
      </c>
      <c r="AK31">
        <v>110</v>
      </c>
      <c r="AL31">
        <v>100</v>
      </c>
      <c r="AM31" s="75">
        <f ca="1">INDIRECT(ADDRESS(11+(MATCH(RIGHT(Table2[[#This Row],[spawner_sku]],LEN(Table2[[#This Row],[spawner_sku]])-FIND("/",Table2[[#This Row],[spawner_sku]])),Table1[Entity Prefab],0)),10,1,1,"Entities"))</f>
        <v>25</v>
      </c>
      <c r="AN31" s="75">
        <f ca="1">ROUND((Table2[[#This Row],[XP]]*Table2[[#This Row],[entity_spawned (AVG)]])*(Table2[[#This Row],[activating_chance]]/100),0)</f>
        <v>50</v>
      </c>
      <c r="AO3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1" s="72">
        <v>1</v>
      </c>
      <c r="AQ31" s="72">
        <v>3</v>
      </c>
      <c r="AR31" s="72" t="b">
        <v>0</v>
      </c>
      <c r="AT31" t="s">
        <v>227</v>
      </c>
      <c r="AU31">
        <v>7.5</v>
      </c>
      <c r="AV31">
        <v>150</v>
      </c>
      <c r="AW31">
        <v>100</v>
      </c>
      <c r="AX31" s="75">
        <f ca="1">INDIRECT(ADDRESS(11+(MATCH(RIGHT(Table6[[#This Row],[spawner_sku]],LEN(Table6[[#This Row],[spawner_sku]])-FIND("/",Table6[[#This Row],[spawner_sku]])),Table1[Entity Prefab],0)),10,1,1,"Entities"))</f>
        <v>25</v>
      </c>
      <c r="AY31" s="75">
        <f ca="1">ROUND((Table6[[#This Row],[XP]]*Table6[[#This Row],[entity_spawned (AVG)]])*(Table6[[#This Row],[activating_chance]]/100),0)</f>
        <v>188</v>
      </c>
      <c r="AZ31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31">
        <v>5</v>
      </c>
      <c r="BB31">
        <v>10</v>
      </c>
      <c r="BC31" t="b">
        <v>1</v>
      </c>
      <c r="BE31" t="s">
        <v>226</v>
      </c>
      <c r="BF31">
        <v>1</v>
      </c>
      <c r="BG31">
        <v>180</v>
      </c>
      <c r="BH31">
        <v>100</v>
      </c>
      <c r="BI31" s="75">
        <f ca="1">INDIRECT(ADDRESS(11+(MATCH(RIGHT(Table610[[#This Row],[spawner_sku]],LEN(Table610[[#This Row],[spawner_sku]])-FIND("/",Table610[[#This Row],[spawner_sku]])),Table1[Entity Prefab],0)),10,1,1,"Entities"))</f>
        <v>55</v>
      </c>
      <c r="BJ31" s="75">
        <f ca="1">ROUND((Table610[[#This Row],[XP]]*Table610[[#This Row],[entity_spawned (AVG)]])*(Table610[[#This Row],[activating_chance]]/100),0)</f>
        <v>55</v>
      </c>
      <c r="BK31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1">
        <v>1</v>
      </c>
      <c r="BM31">
        <v>1</v>
      </c>
      <c r="BN31" t="b">
        <v>0</v>
      </c>
      <c r="BP31" t="s">
        <v>228</v>
      </c>
      <c r="BQ31">
        <v>2.5</v>
      </c>
      <c r="BR31">
        <v>130</v>
      </c>
      <c r="BS31">
        <v>100</v>
      </c>
      <c r="BT3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1" s="75">
        <f ca="1">ROUND((Table61011[[#This Row],[XP]]*Table61011[[#This Row],[entity_spawned (AVG)]])*(Table61011[[#This Row],[activating_chance]]/100),0)</f>
        <v>63</v>
      </c>
      <c r="BV3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1" s="72">
        <v>2</v>
      </c>
      <c r="BX31" s="72">
        <v>3</v>
      </c>
      <c r="BY31" s="72" t="b">
        <v>0</v>
      </c>
      <c r="CA31" t="s">
        <v>228</v>
      </c>
      <c r="CB31">
        <v>8</v>
      </c>
      <c r="CC31">
        <v>180</v>
      </c>
      <c r="CD31">
        <v>100</v>
      </c>
      <c r="CE31" s="75">
        <f ca="1">INDIRECT(ADDRESS(11+(MATCH(RIGHT(Table11[[#This Row],[spawner_sku]],LEN(Table11[[#This Row],[spawner_sku]])-FIND("/",Table11[[#This Row],[spawner_sku]])),Table1[Entity Prefab],0)),10,1,1,"Entities"))</f>
        <v>25</v>
      </c>
      <c r="CF31">
        <f ca="1">ROUND((Table11[[#This Row],[XP]]*Table11[[#This Row],[entity_spawned (AVG)]])*(Table11[[#This Row],[activating_chance]]/100),0)</f>
        <v>200</v>
      </c>
      <c r="CG31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1" s="72">
        <v>6</v>
      </c>
      <c r="CI31" s="72">
        <v>10</v>
      </c>
      <c r="CJ31" s="72" t="b">
        <v>1</v>
      </c>
      <c r="CL31" t="s">
        <v>227</v>
      </c>
      <c r="CM31">
        <v>9</v>
      </c>
      <c r="CN31">
        <v>280</v>
      </c>
      <c r="CO31">
        <v>100</v>
      </c>
      <c r="CP31" s="75">
        <f ca="1">INDIRECT(ADDRESS(11+(MATCH(RIGHT(Table12[[#This Row],[spawner_sku]],LEN(Table12[[#This Row],[spawner_sku]])-FIND("/",Table12[[#This Row],[spawner_sku]])),Table1[Entity Prefab],0)),10,1,1,"Entities"))</f>
        <v>25</v>
      </c>
      <c r="CQ31" s="75">
        <f ca="1">ROUND((Table12[[#This Row],[XP]]*Table12[[#This Row],[entity_spawned (AVG)]])*(Table12[[#This Row],[activating_chance]]/100),0)</f>
        <v>225</v>
      </c>
      <c r="CR31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31" s="72">
        <v>8</v>
      </c>
      <c r="CT31" s="72">
        <v>10</v>
      </c>
      <c r="CU31" s="72" t="b">
        <v>1</v>
      </c>
      <c r="CW31" t="s">
        <v>227</v>
      </c>
      <c r="CX31">
        <v>10</v>
      </c>
      <c r="CY31">
        <v>280</v>
      </c>
      <c r="CZ31">
        <v>80</v>
      </c>
      <c r="DA31" s="75">
        <f ca="1">INDIRECT(ADDRESS(11+(MATCH(RIGHT(Table13[[#This Row],[spawner_sku]],LEN(Table13[[#This Row],[spawner_sku]])-FIND("/",Table13[[#This Row],[spawner_sku]])),Table1[Entity Prefab],0)),10,1,1,"Entities"))</f>
        <v>25</v>
      </c>
      <c r="DB31" s="75">
        <f ca="1">ROUND((Table13[[#This Row],[XP]]*Table13[[#This Row],[entity_spawned (AVG)]])*(Table13[[#This Row],[activating_chance]]/100),0)</f>
        <v>200</v>
      </c>
      <c r="DC31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1" s="72">
        <v>8</v>
      </c>
      <c r="DE31" s="72">
        <v>12</v>
      </c>
      <c r="DF31" s="72" t="b">
        <v>1</v>
      </c>
      <c r="DH31" t="s">
        <v>226</v>
      </c>
      <c r="DI31">
        <v>3</v>
      </c>
      <c r="DJ31">
        <v>120</v>
      </c>
      <c r="DK31">
        <v>100</v>
      </c>
      <c r="DL31" s="75">
        <f ca="1">INDIRECT(ADDRESS(11+(MATCH(RIGHT(Table14[[#This Row],[spawner_sku]],LEN(Table14[[#This Row],[spawner_sku]])-FIND("/",Table14[[#This Row],[spawner_sku]])),Table1[Entity Prefab],0)),10,1,1,"Entities"))</f>
        <v>55</v>
      </c>
      <c r="DM31" s="75">
        <f ca="1">ROUND((Table14[[#This Row],[XP]]*Table14[[#This Row],[entity_spawned (AVG)]])*(Table14[[#This Row],[activating_chance]]/100),0)</f>
        <v>165</v>
      </c>
      <c r="DN3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1" s="72">
        <v>3</v>
      </c>
      <c r="DP31" s="72">
        <v>3</v>
      </c>
      <c r="DQ31" s="72" t="b">
        <v>0</v>
      </c>
      <c r="DS31" t="s">
        <v>226</v>
      </c>
      <c r="DT31">
        <v>1</v>
      </c>
      <c r="DU31">
        <v>120</v>
      </c>
      <c r="DV31">
        <v>100</v>
      </c>
      <c r="DW31" s="75">
        <f ca="1">INDIRECT(ADDRESS(11+(MATCH(RIGHT(Table18[[#This Row],[spawner_sku]],LEN(Table18[[#This Row],[spawner_sku]])-FIND("/",Table18[[#This Row],[spawner_sku]])),Table1[Entity Prefab],0)),10,1,1,"Entities"))</f>
        <v>55</v>
      </c>
      <c r="DX31" s="75">
        <f ca="1">ROUND((Table18[[#This Row],[XP]]*Table18[[#This Row],[entity_spawned (AVG)]])*(Table18[[#This Row],[activating_chance]]/100),0)</f>
        <v>55</v>
      </c>
      <c r="DY31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31">
        <v>1</v>
      </c>
      <c r="EA31">
        <v>2</v>
      </c>
      <c r="EB31" t="b">
        <v>0</v>
      </c>
      <c r="ED31" t="s">
        <v>227</v>
      </c>
      <c r="EE31">
        <v>3</v>
      </c>
      <c r="EF31">
        <v>140</v>
      </c>
      <c r="EG31">
        <v>100</v>
      </c>
      <c r="EH31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31" s="75">
        <f ca="1">ROUND((Table1820[[#This Row],[XP]]*Table1820[[#This Row],[entity_spawned (AVG)]])*(Table1820[[#This Row],[activating_chance]]/100),0)</f>
        <v>75</v>
      </c>
      <c r="EJ3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31">
        <v>2</v>
      </c>
      <c r="EL31">
        <v>4</v>
      </c>
      <c r="EM31" t="b">
        <v>0</v>
      </c>
      <c r="EO31" t="s">
        <v>520</v>
      </c>
      <c r="EP31">
        <v>2.5</v>
      </c>
      <c r="EQ31">
        <v>110</v>
      </c>
      <c r="ER31">
        <v>30</v>
      </c>
      <c r="ES31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ET31" s="75">
        <f ca="1">ROUND((Table182023[[#This Row],[XP]]*Table182023[[#This Row],[entity_spawned (AVG)]])*(Table182023[[#This Row],[activating_chance]]/100),0)</f>
        <v>26</v>
      </c>
      <c r="EU31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EV31" s="152">
        <v>2</v>
      </c>
      <c r="EW31" s="152">
        <v>3</v>
      </c>
      <c r="EX31" s="152" t="b">
        <v>0</v>
      </c>
      <c r="EZ31" t="s">
        <v>517</v>
      </c>
      <c r="FA31">
        <v>2</v>
      </c>
      <c r="FB31">
        <v>80</v>
      </c>
      <c r="FC31">
        <v>100</v>
      </c>
      <c r="FD31" s="75">
        <f ca="1">INDIRECT(ADDRESS(11+(MATCH(RIGHT(Table18202324[[#This Row],[spawner_sku]],LEN(Table18202324[[#This Row],[spawner_sku]])-FIND("/",Table18202324[[#This Row],[spawner_sku]])),Table1[Entity Prefab],0)),10,1,1,"Entities"))</f>
        <v>95</v>
      </c>
      <c r="FE31" s="75">
        <f ca="1">ROUND((Table18202324[[#This Row],[XP]]*Table18202324[[#This Row],[entity_spawned (AVG)]])*(Table18202324[[#This Row],[activating_chance]]/100),0)</f>
        <v>190</v>
      </c>
      <c r="FF31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31">
        <v>1</v>
      </c>
      <c r="FH31">
        <v>3</v>
      </c>
      <c r="FI31" t="b">
        <v>0</v>
      </c>
    </row>
    <row r="32" spans="2:165" x14ac:dyDescent="0.25">
      <c r="B32" s="73" t="s">
        <v>228</v>
      </c>
      <c r="C32">
        <v>5.5</v>
      </c>
      <c r="D32">
        <v>150</v>
      </c>
      <c r="E32">
        <v>100</v>
      </c>
      <c r="F32" s="75">
        <f ca="1">INDIRECT(ADDRESS(11+(MATCH(RIGHT(Table245[[#This Row],[spawner_sku]],LEN(Table245[[#This Row],[spawner_sku]])-FIND("/",Table245[[#This Row],[spawner_sku]])),Table1[Entity Prefab],0)),10,1,1,"Entities"))</f>
        <v>25</v>
      </c>
      <c r="G32" s="75">
        <f ca="1">ROUND((Table245[[#This Row],[XP]]*Table245[[#This Row],[entity_spawned (AVG)]])*(Table245[[#This Row],[activating_chance]]/100),0)</f>
        <v>138</v>
      </c>
      <c r="H3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2" s="72">
        <v>5</v>
      </c>
      <c r="J32" s="72">
        <v>6</v>
      </c>
      <c r="K32" s="72" t="b">
        <v>1</v>
      </c>
      <c r="M32" t="s">
        <v>227</v>
      </c>
      <c r="N32">
        <v>11.5</v>
      </c>
      <c r="O32">
        <v>300</v>
      </c>
      <c r="P32">
        <v>100</v>
      </c>
      <c r="Q32" s="75">
        <f ca="1">INDIRECT(ADDRESS(11+(MATCH(RIGHT(Table3[[#This Row],[spawner_sku]],LEN(Table3[[#This Row],[spawner_sku]])-FIND("/",Table3[[#This Row],[spawner_sku]])),Table1[Entity Prefab],0)),10,1,1,"Entities"))</f>
        <v>25</v>
      </c>
      <c r="R32" s="75">
        <f ca="1">ROUND((Table3[[#This Row],[XP]]*Table3[[#This Row],[entity_spawned (AVG)]])*(Table3[[#This Row],[activating_chance]]/100),0)</f>
        <v>288</v>
      </c>
      <c r="S32" t="str">
        <f ca="1">INDIRECT(ADDRESS(11+(MATCH(RIGHT(Table3[[#This Row],[spawner_sku]],LEN(Table3[[#This Row],[spawner_sku]])-FIND("/",Table3[[#This Row],[spawner_sku]])),Table28[Entity Prefab],0)),24,1,1,"Entities"))</f>
        <v>no</v>
      </c>
      <c r="T32">
        <v>8</v>
      </c>
      <c r="U32">
        <v>15</v>
      </c>
      <c r="V32" t="b">
        <v>1</v>
      </c>
      <c r="W32" s="72"/>
      <c r="X32" t="s">
        <v>449</v>
      </c>
      <c r="Y32">
        <v>4</v>
      </c>
      <c r="Z32">
        <v>5000</v>
      </c>
      <c r="AA32">
        <v>100</v>
      </c>
      <c r="AB32" s="75">
        <f ca="1">INDIRECT(ADDRESS(11+(MATCH(RIGHT(Table39[[#This Row],[spawner_sku]],LEN(Table39[[#This Row],[spawner_sku]])-FIND("/",Table39[[#This Row],[spawner_sku]])),Table1[Entity Prefab],0)),10,1,1,"Entities"))</f>
        <v>25</v>
      </c>
      <c r="AC32" s="75">
        <f ca="1">ROUND((Table39[[#This Row],[XP]]*Table39[[#This Row],[entity_spawned (AVG)]])*(Table39[[#This Row],[activating_chance]]/100),0)</f>
        <v>100</v>
      </c>
      <c r="AD32" t="str">
        <f ca="1">INDIRECT(ADDRESS(11+(MATCH(RIGHT(Table39[[#This Row],[spawner_sku]],LEN(Table39[[#This Row],[spawner_sku]])-FIND("/",Table39[[#This Row],[spawner_sku]])),Table28[Entity Prefab],0)),24,1,1,"Entities"))</f>
        <v>no</v>
      </c>
      <c r="AE32">
        <v>4</v>
      </c>
      <c r="AF32">
        <v>4</v>
      </c>
      <c r="AG32" t="b">
        <v>0</v>
      </c>
      <c r="AI32" t="s">
        <v>228</v>
      </c>
      <c r="AJ32">
        <v>7.5</v>
      </c>
      <c r="AK32">
        <v>150</v>
      </c>
      <c r="AL32">
        <v>100</v>
      </c>
      <c r="AM32" s="75">
        <f ca="1">INDIRECT(ADDRESS(11+(MATCH(RIGHT(Table2[[#This Row],[spawner_sku]],LEN(Table2[[#This Row],[spawner_sku]])-FIND("/",Table2[[#This Row],[spawner_sku]])),Table1[Entity Prefab],0)),10,1,1,"Entities"))</f>
        <v>25</v>
      </c>
      <c r="AN32" s="75">
        <f ca="1">ROUND((Table2[[#This Row],[XP]]*Table2[[#This Row],[entity_spawned (AVG)]])*(Table2[[#This Row],[activating_chance]]/100),0)</f>
        <v>188</v>
      </c>
      <c r="AO3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2" s="72">
        <v>5</v>
      </c>
      <c r="AQ32" s="72">
        <v>10</v>
      </c>
      <c r="AR32" s="72" t="b">
        <v>1</v>
      </c>
      <c r="AT32" t="s">
        <v>228</v>
      </c>
      <c r="AU32">
        <v>1.5</v>
      </c>
      <c r="AV32">
        <v>90</v>
      </c>
      <c r="AW32">
        <v>100</v>
      </c>
      <c r="AX32" s="75">
        <f ca="1">INDIRECT(ADDRESS(11+(MATCH(RIGHT(Table6[[#This Row],[spawner_sku]],LEN(Table6[[#This Row],[spawner_sku]])-FIND("/",Table6[[#This Row],[spawner_sku]])),Table1[Entity Prefab],0)),10,1,1,"Entities"))</f>
        <v>25</v>
      </c>
      <c r="AY32" s="75">
        <f ca="1">ROUND((Table6[[#This Row],[XP]]*Table6[[#This Row],[entity_spawned (AVG)]])*(Table6[[#This Row],[activating_chance]]/100),0)</f>
        <v>38</v>
      </c>
      <c r="AZ32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32">
        <v>1</v>
      </c>
      <c r="BB32">
        <v>2</v>
      </c>
      <c r="BC32" t="b">
        <v>0</v>
      </c>
      <c r="BE32" t="s">
        <v>226</v>
      </c>
      <c r="BF32">
        <v>2</v>
      </c>
      <c r="BG32">
        <v>150</v>
      </c>
      <c r="BH32">
        <v>100</v>
      </c>
      <c r="BI32" s="75">
        <f ca="1">INDIRECT(ADDRESS(11+(MATCH(RIGHT(Table610[[#This Row],[spawner_sku]],LEN(Table610[[#This Row],[spawner_sku]])-FIND("/",Table610[[#This Row],[spawner_sku]])),Table1[Entity Prefab],0)),10,1,1,"Entities"))</f>
        <v>55</v>
      </c>
      <c r="BJ32" s="75">
        <f ca="1">ROUND((Table610[[#This Row],[XP]]*Table610[[#This Row],[entity_spawned (AVG)]])*(Table610[[#This Row],[activating_chance]]/100),0)</f>
        <v>110</v>
      </c>
      <c r="BK32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2">
        <v>2</v>
      </c>
      <c r="BM32">
        <v>2</v>
      </c>
      <c r="BN32" t="b">
        <v>0</v>
      </c>
      <c r="BP32" t="s">
        <v>228</v>
      </c>
      <c r="BQ32">
        <v>1.5</v>
      </c>
      <c r="BR32">
        <v>130</v>
      </c>
      <c r="BS32">
        <v>80</v>
      </c>
      <c r="BT3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2" s="75">
        <f ca="1">ROUND((Table61011[[#This Row],[XP]]*Table61011[[#This Row],[entity_spawned (AVG)]])*(Table61011[[#This Row],[activating_chance]]/100),0)</f>
        <v>30</v>
      </c>
      <c r="BV3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2" s="72">
        <v>1</v>
      </c>
      <c r="BX32" s="72">
        <v>2</v>
      </c>
      <c r="BY32" s="72" t="b">
        <v>0</v>
      </c>
      <c r="CA32" t="s">
        <v>228</v>
      </c>
      <c r="CB32">
        <v>2.5</v>
      </c>
      <c r="CC32">
        <v>180</v>
      </c>
      <c r="CD32">
        <v>100</v>
      </c>
      <c r="CE32" s="75">
        <f ca="1">INDIRECT(ADDRESS(11+(MATCH(RIGHT(Table11[[#This Row],[spawner_sku]],LEN(Table11[[#This Row],[spawner_sku]])-FIND("/",Table11[[#This Row],[spawner_sku]])),Table1[Entity Prefab],0)),10,1,1,"Entities"))</f>
        <v>25</v>
      </c>
      <c r="CF32">
        <f ca="1">ROUND((Table11[[#This Row],[XP]]*Table11[[#This Row],[entity_spawned (AVG)]])*(Table11[[#This Row],[activating_chance]]/100),0)</f>
        <v>63</v>
      </c>
      <c r="CG32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2" s="72">
        <v>2</v>
      </c>
      <c r="CI32" s="72">
        <v>3</v>
      </c>
      <c r="CJ32" s="72" t="b">
        <v>0</v>
      </c>
      <c r="CL32" t="s">
        <v>227</v>
      </c>
      <c r="CM32">
        <v>12</v>
      </c>
      <c r="CN32">
        <v>280</v>
      </c>
      <c r="CO32">
        <v>100</v>
      </c>
      <c r="CP32" s="75">
        <f ca="1">INDIRECT(ADDRESS(11+(MATCH(RIGHT(Table12[[#This Row],[spawner_sku]],LEN(Table12[[#This Row],[spawner_sku]])-FIND("/",Table12[[#This Row],[spawner_sku]])),Table1[Entity Prefab],0)),10,1,1,"Entities"))</f>
        <v>25</v>
      </c>
      <c r="CQ32" s="75">
        <f ca="1">ROUND((Table12[[#This Row],[XP]]*Table12[[#This Row],[entity_spawned (AVG)]])*(Table12[[#This Row],[activating_chance]]/100),0)</f>
        <v>300</v>
      </c>
      <c r="CR32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32" s="72">
        <v>10</v>
      </c>
      <c r="CT32" s="72">
        <v>14</v>
      </c>
      <c r="CU32" s="72" t="b">
        <v>1</v>
      </c>
      <c r="CW32" t="s">
        <v>227</v>
      </c>
      <c r="CX32">
        <v>5.5</v>
      </c>
      <c r="CY32">
        <v>280</v>
      </c>
      <c r="CZ32">
        <v>100</v>
      </c>
      <c r="DA32" s="75">
        <f ca="1">INDIRECT(ADDRESS(11+(MATCH(RIGHT(Table13[[#This Row],[spawner_sku]],LEN(Table13[[#This Row],[spawner_sku]])-FIND("/",Table13[[#This Row],[spawner_sku]])),Table1[Entity Prefab],0)),10,1,1,"Entities"))</f>
        <v>25</v>
      </c>
      <c r="DB32" s="75">
        <f ca="1">ROUND((Table13[[#This Row],[XP]]*Table13[[#This Row],[entity_spawned (AVG)]])*(Table13[[#This Row],[activating_chance]]/100),0)</f>
        <v>138</v>
      </c>
      <c r="DC32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2" s="72">
        <v>5</v>
      </c>
      <c r="DE32" s="72">
        <v>6</v>
      </c>
      <c r="DF32" s="72" t="b">
        <v>1</v>
      </c>
      <c r="DH32" t="s">
        <v>226</v>
      </c>
      <c r="DI32">
        <v>1.5</v>
      </c>
      <c r="DJ32">
        <v>150</v>
      </c>
      <c r="DK32">
        <v>80</v>
      </c>
      <c r="DL32" s="75">
        <f ca="1">INDIRECT(ADDRESS(11+(MATCH(RIGHT(Table14[[#This Row],[spawner_sku]],LEN(Table14[[#This Row],[spawner_sku]])-FIND("/",Table14[[#This Row],[spawner_sku]])),Table1[Entity Prefab],0)),10,1,1,"Entities"))</f>
        <v>55</v>
      </c>
      <c r="DM32" s="75">
        <f ca="1">ROUND((Table14[[#This Row],[XP]]*Table14[[#This Row],[entity_spawned (AVG)]])*(Table14[[#This Row],[activating_chance]]/100),0)</f>
        <v>66</v>
      </c>
      <c r="DN3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2" s="72">
        <v>1</v>
      </c>
      <c r="DP32" s="72">
        <v>2</v>
      </c>
      <c r="DQ32" s="72" t="b">
        <v>0</v>
      </c>
      <c r="DS32" t="s">
        <v>226</v>
      </c>
      <c r="DT32">
        <v>2</v>
      </c>
      <c r="DU32">
        <v>130</v>
      </c>
      <c r="DV32">
        <v>100</v>
      </c>
      <c r="DW32" s="75">
        <f ca="1">INDIRECT(ADDRESS(11+(MATCH(RIGHT(Table18[[#This Row],[spawner_sku]],LEN(Table18[[#This Row],[spawner_sku]])-FIND("/",Table18[[#This Row],[spawner_sku]])),Table1[Entity Prefab],0)),10,1,1,"Entities"))</f>
        <v>55</v>
      </c>
      <c r="DX32" s="75">
        <f ca="1">ROUND((Table18[[#This Row],[XP]]*Table18[[#This Row],[entity_spawned (AVG)]])*(Table18[[#This Row],[activating_chance]]/100),0)</f>
        <v>110</v>
      </c>
      <c r="DY32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32">
        <v>2</v>
      </c>
      <c r="EA32">
        <v>2</v>
      </c>
      <c r="EB32" t="b">
        <v>0</v>
      </c>
      <c r="ED32" t="s">
        <v>227</v>
      </c>
      <c r="EE32">
        <v>2</v>
      </c>
      <c r="EF32">
        <v>140</v>
      </c>
      <c r="EG32">
        <v>30</v>
      </c>
      <c r="EH3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32" s="75">
        <f ca="1">ROUND((Table1820[[#This Row],[XP]]*Table1820[[#This Row],[entity_spawned (AVG)]])*(Table1820[[#This Row],[activating_chance]]/100),0)</f>
        <v>15</v>
      </c>
      <c r="EJ3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32">
        <v>2</v>
      </c>
      <c r="EL32">
        <v>3</v>
      </c>
      <c r="EM32" t="b">
        <v>0</v>
      </c>
      <c r="EO32" t="s">
        <v>520</v>
      </c>
      <c r="EP32">
        <v>1.5</v>
      </c>
      <c r="EQ32">
        <v>100</v>
      </c>
      <c r="ER32">
        <v>90</v>
      </c>
      <c r="ES32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ET32" s="75">
        <f ca="1">ROUND((Table182023[[#This Row],[XP]]*Table182023[[#This Row],[entity_spawned (AVG)]])*(Table182023[[#This Row],[activating_chance]]/100),0)</f>
        <v>47</v>
      </c>
      <c r="EU32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EV32" s="152">
        <v>1</v>
      </c>
      <c r="EW32" s="152">
        <v>2</v>
      </c>
      <c r="EX32" s="152" t="b">
        <v>0</v>
      </c>
      <c r="EZ32" t="s">
        <v>517</v>
      </c>
      <c r="FA32">
        <v>1</v>
      </c>
      <c r="FB32">
        <v>80</v>
      </c>
      <c r="FC32">
        <v>100</v>
      </c>
      <c r="FD32" s="75">
        <f ca="1">INDIRECT(ADDRESS(11+(MATCH(RIGHT(Table18202324[[#This Row],[spawner_sku]],LEN(Table18202324[[#This Row],[spawner_sku]])-FIND("/",Table18202324[[#This Row],[spawner_sku]])),Table1[Entity Prefab],0)),10,1,1,"Entities"))</f>
        <v>95</v>
      </c>
      <c r="FE32" s="75">
        <f ca="1">ROUND((Table18202324[[#This Row],[XP]]*Table18202324[[#This Row],[entity_spawned (AVG)]])*(Table18202324[[#This Row],[activating_chance]]/100),0)</f>
        <v>95</v>
      </c>
      <c r="FF32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32">
        <v>1</v>
      </c>
      <c r="FH32">
        <v>1</v>
      </c>
      <c r="FI32" t="b">
        <v>0</v>
      </c>
    </row>
    <row r="33" spans="2:165" x14ac:dyDescent="0.25">
      <c r="B33" s="73" t="s">
        <v>228</v>
      </c>
      <c r="C33">
        <v>10</v>
      </c>
      <c r="D33">
        <v>200</v>
      </c>
      <c r="E33">
        <v>100</v>
      </c>
      <c r="F33" s="75">
        <f ca="1">INDIRECT(ADDRESS(11+(MATCH(RIGHT(Table245[[#This Row],[spawner_sku]],LEN(Table245[[#This Row],[spawner_sku]])-FIND("/",Table245[[#This Row],[spawner_sku]])),Table1[Entity Prefab],0)),10,1,1,"Entities"))</f>
        <v>25</v>
      </c>
      <c r="G33" s="75">
        <f ca="1">ROUND((Table245[[#This Row],[XP]]*Table245[[#This Row],[entity_spawned (AVG)]])*(Table245[[#This Row],[activating_chance]]/100),0)</f>
        <v>250</v>
      </c>
      <c r="H3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3" s="72">
        <v>5</v>
      </c>
      <c r="J33" s="72">
        <v>15</v>
      </c>
      <c r="K33" s="72" t="b">
        <v>1</v>
      </c>
      <c r="M33" t="s">
        <v>227</v>
      </c>
      <c r="N33">
        <v>11.5</v>
      </c>
      <c r="O33">
        <v>280</v>
      </c>
      <c r="P33">
        <v>100</v>
      </c>
      <c r="Q33" s="75">
        <f ca="1">INDIRECT(ADDRESS(11+(MATCH(RIGHT(Table3[[#This Row],[spawner_sku]],LEN(Table3[[#This Row],[spawner_sku]])-FIND("/",Table3[[#This Row],[spawner_sku]])),Table1[Entity Prefab],0)),10,1,1,"Entities"))</f>
        <v>25</v>
      </c>
      <c r="R33" s="75">
        <f ca="1">ROUND((Table3[[#This Row],[XP]]*Table3[[#This Row],[entity_spawned (AVG)]])*(Table3[[#This Row],[activating_chance]]/100),0)</f>
        <v>288</v>
      </c>
      <c r="S33" t="str">
        <f ca="1">INDIRECT(ADDRESS(11+(MATCH(RIGHT(Table3[[#This Row],[spawner_sku]],LEN(Table3[[#This Row],[spawner_sku]])-FIND("/",Table3[[#This Row],[spawner_sku]])),Table28[Entity Prefab],0)),24,1,1,"Entities"))</f>
        <v>no</v>
      </c>
      <c r="T33">
        <v>8</v>
      </c>
      <c r="U33">
        <v>15</v>
      </c>
      <c r="V33" t="b">
        <v>1</v>
      </c>
      <c r="W33" s="72"/>
      <c r="X33" t="s">
        <v>449</v>
      </c>
      <c r="Y33">
        <v>4</v>
      </c>
      <c r="Z33">
        <v>5000</v>
      </c>
      <c r="AA33">
        <v>100</v>
      </c>
      <c r="AB33" s="75">
        <f ca="1">INDIRECT(ADDRESS(11+(MATCH(RIGHT(Table39[[#This Row],[spawner_sku]],LEN(Table39[[#This Row],[spawner_sku]])-FIND("/",Table39[[#This Row],[spawner_sku]])),Table1[Entity Prefab],0)),10,1,1,"Entities"))</f>
        <v>25</v>
      </c>
      <c r="AC33" s="75">
        <f ca="1">ROUND((Table39[[#This Row],[XP]]*Table39[[#This Row],[entity_spawned (AVG)]])*(Table39[[#This Row],[activating_chance]]/100),0)</f>
        <v>100</v>
      </c>
      <c r="AD33" t="str">
        <f ca="1">INDIRECT(ADDRESS(11+(MATCH(RIGHT(Table39[[#This Row],[spawner_sku]],LEN(Table39[[#This Row],[spawner_sku]])-FIND("/",Table39[[#This Row],[spawner_sku]])),Table28[Entity Prefab],0)),24,1,1,"Entities"))</f>
        <v>no</v>
      </c>
      <c r="AE33">
        <v>4</v>
      </c>
      <c r="AF33">
        <v>4</v>
      </c>
      <c r="AG33" t="b">
        <v>0</v>
      </c>
      <c r="AI33" t="s">
        <v>228</v>
      </c>
      <c r="AJ33">
        <v>6</v>
      </c>
      <c r="AK33">
        <v>190</v>
      </c>
      <c r="AL33">
        <v>100</v>
      </c>
      <c r="AM33" s="75">
        <f ca="1">INDIRECT(ADDRESS(11+(MATCH(RIGHT(Table2[[#This Row],[spawner_sku]],LEN(Table2[[#This Row],[spawner_sku]])-FIND("/",Table2[[#This Row],[spawner_sku]])),Table1[Entity Prefab],0)),10,1,1,"Entities"))</f>
        <v>25</v>
      </c>
      <c r="AN33" s="75">
        <f ca="1">ROUND((Table2[[#This Row],[XP]]*Table2[[#This Row],[entity_spawned (AVG)]])*(Table2[[#This Row],[activating_chance]]/100),0)</f>
        <v>150</v>
      </c>
      <c r="AO3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3" s="72">
        <v>5</v>
      </c>
      <c r="AQ33" s="72">
        <v>7</v>
      </c>
      <c r="AR33" s="72" t="b">
        <v>1</v>
      </c>
      <c r="AT33" t="s">
        <v>228</v>
      </c>
      <c r="AU33">
        <v>1</v>
      </c>
      <c r="AV33">
        <v>90</v>
      </c>
      <c r="AW33">
        <v>30</v>
      </c>
      <c r="AX33" s="75">
        <f ca="1">INDIRECT(ADDRESS(11+(MATCH(RIGHT(Table6[[#This Row],[spawner_sku]],LEN(Table6[[#This Row],[spawner_sku]])-FIND("/",Table6[[#This Row],[spawner_sku]])),Table1[Entity Prefab],0)),10,1,1,"Entities"))</f>
        <v>25</v>
      </c>
      <c r="AY33" s="75">
        <f ca="1">ROUND((Table6[[#This Row],[XP]]*Table6[[#This Row],[entity_spawned (AVG)]])*(Table6[[#This Row],[activating_chance]]/100),0)</f>
        <v>8</v>
      </c>
      <c r="AZ33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33">
        <v>1</v>
      </c>
      <c r="BB33">
        <v>1</v>
      </c>
      <c r="BC33" t="b">
        <v>0</v>
      </c>
      <c r="BE33" t="s">
        <v>226</v>
      </c>
      <c r="BF33">
        <v>1</v>
      </c>
      <c r="BG33">
        <v>150</v>
      </c>
      <c r="BH33">
        <v>100</v>
      </c>
      <c r="BI33" s="75">
        <f ca="1">INDIRECT(ADDRESS(11+(MATCH(RIGHT(Table610[[#This Row],[spawner_sku]],LEN(Table610[[#This Row],[spawner_sku]])-FIND("/",Table610[[#This Row],[spawner_sku]])),Table1[Entity Prefab],0)),10,1,1,"Entities"))</f>
        <v>55</v>
      </c>
      <c r="BJ33" s="75">
        <f ca="1">ROUND((Table610[[#This Row],[XP]]*Table610[[#This Row],[entity_spawned (AVG)]])*(Table610[[#This Row],[activating_chance]]/100),0)</f>
        <v>55</v>
      </c>
      <c r="BK33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3">
        <v>1</v>
      </c>
      <c r="BM33">
        <v>1</v>
      </c>
      <c r="BN33" t="b">
        <v>0</v>
      </c>
      <c r="BP33" t="s">
        <v>228</v>
      </c>
      <c r="BQ33">
        <v>5</v>
      </c>
      <c r="BR33">
        <v>220</v>
      </c>
      <c r="BS33">
        <v>100</v>
      </c>
      <c r="BT3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3" s="75">
        <f ca="1">ROUND((Table61011[[#This Row],[XP]]*Table61011[[#This Row],[entity_spawned (AVG)]])*(Table61011[[#This Row],[activating_chance]]/100),0)</f>
        <v>125</v>
      </c>
      <c r="BV3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3" s="72">
        <v>5</v>
      </c>
      <c r="BX33" s="72">
        <v>5</v>
      </c>
      <c r="BY33" s="72" t="b">
        <v>1</v>
      </c>
      <c r="CA33" t="s">
        <v>228</v>
      </c>
      <c r="CB33">
        <v>2.5</v>
      </c>
      <c r="CC33">
        <v>180</v>
      </c>
      <c r="CD33">
        <v>100</v>
      </c>
      <c r="CE33" s="75">
        <f ca="1">INDIRECT(ADDRESS(11+(MATCH(RIGHT(Table11[[#This Row],[spawner_sku]],LEN(Table11[[#This Row],[spawner_sku]])-FIND("/",Table11[[#This Row],[spawner_sku]])),Table1[Entity Prefab],0)),10,1,1,"Entities"))</f>
        <v>25</v>
      </c>
      <c r="CF33">
        <f ca="1">ROUND((Table11[[#This Row],[XP]]*Table11[[#This Row],[entity_spawned (AVG)]])*(Table11[[#This Row],[activating_chance]]/100),0)</f>
        <v>63</v>
      </c>
      <c r="CG33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3" s="72">
        <v>2</v>
      </c>
      <c r="CI33" s="72">
        <v>3</v>
      </c>
      <c r="CJ33" s="72" t="b">
        <v>0</v>
      </c>
      <c r="CL33" t="s">
        <v>227</v>
      </c>
      <c r="CM33">
        <v>9</v>
      </c>
      <c r="CN33">
        <v>280</v>
      </c>
      <c r="CO33">
        <v>100</v>
      </c>
      <c r="CP33" s="75">
        <f ca="1">INDIRECT(ADDRESS(11+(MATCH(RIGHT(Table12[[#This Row],[spawner_sku]],LEN(Table12[[#This Row],[spawner_sku]])-FIND("/",Table12[[#This Row],[spawner_sku]])),Table1[Entity Prefab],0)),10,1,1,"Entities"))</f>
        <v>25</v>
      </c>
      <c r="CQ33" s="75">
        <f ca="1">ROUND((Table12[[#This Row],[XP]]*Table12[[#This Row],[entity_spawned (AVG)]])*(Table12[[#This Row],[activating_chance]]/100),0)</f>
        <v>225</v>
      </c>
      <c r="CR33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33" s="72">
        <v>8</v>
      </c>
      <c r="CT33" s="72">
        <v>10</v>
      </c>
      <c r="CU33" s="72" t="b">
        <v>1</v>
      </c>
      <c r="CW33" t="s">
        <v>227</v>
      </c>
      <c r="CX33">
        <v>13</v>
      </c>
      <c r="CY33">
        <v>280</v>
      </c>
      <c r="CZ33">
        <v>100</v>
      </c>
      <c r="DA33" s="75">
        <f ca="1">INDIRECT(ADDRESS(11+(MATCH(RIGHT(Table13[[#This Row],[spawner_sku]],LEN(Table13[[#This Row],[spawner_sku]])-FIND("/",Table13[[#This Row],[spawner_sku]])),Table1[Entity Prefab],0)),10,1,1,"Entities"))</f>
        <v>25</v>
      </c>
      <c r="DB33" s="75">
        <f ca="1">ROUND((Table13[[#This Row],[XP]]*Table13[[#This Row],[entity_spawned (AVG)]])*(Table13[[#This Row],[activating_chance]]/100),0)</f>
        <v>325</v>
      </c>
      <c r="DC33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3" s="72">
        <v>12</v>
      </c>
      <c r="DE33" s="72">
        <v>14</v>
      </c>
      <c r="DF33" s="72" t="b">
        <v>1</v>
      </c>
      <c r="DH33" t="s">
        <v>226</v>
      </c>
      <c r="DI33">
        <v>1.5</v>
      </c>
      <c r="DJ33">
        <v>200</v>
      </c>
      <c r="DK33">
        <v>100</v>
      </c>
      <c r="DL33" s="75">
        <f ca="1">INDIRECT(ADDRESS(11+(MATCH(RIGHT(Table14[[#This Row],[spawner_sku]],LEN(Table14[[#This Row],[spawner_sku]])-FIND("/",Table14[[#This Row],[spawner_sku]])),Table1[Entity Prefab],0)),10,1,1,"Entities"))</f>
        <v>55</v>
      </c>
      <c r="DM33" s="75">
        <f ca="1">ROUND((Table14[[#This Row],[XP]]*Table14[[#This Row],[entity_spawned (AVG)]])*(Table14[[#This Row],[activating_chance]]/100),0)</f>
        <v>83</v>
      </c>
      <c r="DN3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3" s="72">
        <v>1</v>
      </c>
      <c r="DP33" s="72">
        <v>2</v>
      </c>
      <c r="DQ33" s="72" t="b">
        <v>0</v>
      </c>
      <c r="DS33" t="s">
        <v>226</v>
      </c>
      <c r="DT33">
        <v>1</v>
      </c>
      <c r="DU33">
        <v>120</v>
      </c>
      <c r="DV33">
        <v>100</v>
      </c>
      <c r="DW33" s="75">
        <f ca="1">INDIRECT(ADDRESS(11+(MATCH(RIGHT(Table18[[#This Row],[spawner_sku]],LEN(Table18[[#This Row],[spawner_sku]])-FIND("/",Table18[[#This Row],[spawner_sku]])),Table1[Entity Prefab],0)),10,1,1,"Entities"))</f>
        <v>55</v>
      </c>
      <c r="DX33" s="75">
        <f ca="1">ROUND((Table18[[#This Row],[XP]]*Table18[[#This Row],[entity_spawned (AVG)]])*(Table18[[#This Row],[activating_chance]]/100),0)</f>
        <v>55</v>
      </c>
      <c r="DY33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33">
        <v>1</v>
      </c>
      <c r="EA33">
        <v>1</v>
      </c>
      <c r="EB33" t="b">
        <v>0</v>
      </c>
      <c r="ED33" t="s">
        <v>227</v>
      </c>
      <c r="EE33">
        <v>4</v>
      </c>
      <c r="EF33">
        <v>140</v>
      </c>
      <c r="EG33">
        <v>100</v>
      </c>
      <c r="EH33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33" s="75">
        <f ca="1">ROUND((Table1820[[#This Row],[XP]]*Table1820[[#This Row],[entity_spawned (AVG)]])*(Table1820[[#This Row],[activating_chance]]/100),0)</f>
        <v>100</v>
      </c>
      <c r="EJ3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33">
        <v>4</v>
      </c>
      <c r="EL33">
        <v>4</v>
      </c>
      <c r="EM33" t="b">
        <v>0</v>
      </c>
      <c r="EO33" t="s">
        <v>7344</v>
      </c>
      <c r="EP33">
        <v>1</v>
      </c>
      <c r="EQ33">
        <v>80</v>
      </c>
      <c r="ER33">
        <v>100</v>
      </c>
      <c r="ES33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ET33" s="75">
        <f ca="1">ROUND((Table182023[[#This Row],[XP]]*Table182023[[#This Row],[entity_spawned (AVG)]])*(Table182023[[#This Row],[activating_chance]]/100),0)</f>
        <v>25</v>
      </c>
      <c r="EU33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33" s="152">
        <v>1</v>
      </c>
      <c r="EW33" s="152">
        <v>1</v>
      </c>
      <c r="EX33" s="152" t="b">
        <v>0</v>
      </c>
      <c r="EZ33" t="s">
        <v>517</v>
      </c>
      <c r="FA33">
        <v>1</v>
      </c>
      <c r="FB33">
        <v>80</v>
      </c>
      <c r="FC33">
        <v>100</v>
      </c>
      <c r="FD33" s="75">
        <f ca="1">INDIRECT(ADDRESS(11+(MATCH(RIGHT(Table18202324[[#This Row],[spawner_sku]],LEN(Table18202324[[#This Row],[spawner_sku]])-FIND("/",Table18202324[[#This Row],[spawner_sku]])),Table1[Entity Prefab],0)),10,1,1,"Entities"))</f>
        <v>95</v>
      </c>
      <c r="FE33" s="75">
        <f ca="1">ROUND((Table18202324[[#This Row],[XP]]*Table18202324[[#This Row],[entity_spawned (AVG)]])*(Table18202324[[#This Row],[activating_chance]]/100),0)</f>
        <v>95</v>
      </c>
      <c r="FF33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33">
        <v>1</v>
      </c>
      <c r="FH33">
        <v>1</v>
      </c>
      <c r="FI33" t="b">
        <v>0</v>
      </c>
    </row>
    <row r="34" spans="2:165" x14ac:dyDescent="0.25">
      <c r="B34" s="73" t="s">
        <v>228</v>
      </c>
      <c r="C34">
        <v>3.5</v>
      </c>
      <c r="D34">
        <v>140</v>
      </c>
      <c r="E34">
        <v>100</v>
      </c>
      <c r="F34" s="75">
        <f ca="1">INDIRECT(ADDRESS(11+(MATCH(RIGHT(Table245[[#This Row],[spawner_sku]],LEN(Table245[[#This Row],[spawner_sku]])-FIND("/",Table245[[#This Row],[spawner_sku]])),Table1[Entity Prefab],0)),10,1,1,"Entities"))</f>
        <v>25</v>
      </c>
      <c r="G34" s="75">
        <f ca="1">ROUND((Table245[[#This Row],[XP]]*Table245[[#This Row],[entity_spawned (AVG)]])*(Table245[[#This Row],[activating_chance]]/100),0)</f>
        <v>88</v>
      </c>
      <c r="H3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4" s="72">
        <v>3</v>
      </c>
      <c r="J34" s="72">
        <v>4</v>
      </c>
      <c r="K34" s="72" t="b">
        <v>0</v>
      </c>
      <c r="M34" t="s">
        <v>228</v>
      </c>
      <c r="N34">
        <v>1.5</v>
      </c>
      <c r="O34">
        <v>200</v>
      </c>
      <c r="P34">
        <v>40</v>
      </c>
      <c r="Q34" s="75">
        <f ca="1">INDIRECT(ADDRESS(11+(MATCH(RIGHT(Table3[[#This Row],[spawner_sku]],LEN(Table3[[#This Row],[spawner_sku]])-FIND("/",Table3[[#This Row],[spawner_sku]])),Table1[Entity Prefab],0)),10,1,1,"Entities"))</f>
        <v>25</v>
      </c>
      <c r="R34" s="75">
        <f ca="1">ROUND((Table3[[#This Row],[XP]]*Table3[[#This Row],[entity_spawned (AVG)]])*(Table3[[#This Row],[activating_chance]]/100),0)</f>
        <v>15</v>
      </c>
      <c r="S34" t="str">
        <f ca="1">INDIRECT(ADDRESS(11+(MATCH(RIGHT(Table3[[#This Row],[spawner_sku]],LEN(Table3[[#This Row],[spawner_sku]])-FIND("/",Table3[[#This Row],[spawner_sku]])),Table28[Entity Prefab],0)),24,1,1,"Entities"))</f>
        <v>no</v>
      </c>
      <c r="T34">
        <v>1</v>
      </c>
      <c r="U34">
        <v>2</v>
      </c>
      <c r="V34" t="b">
        <v>0</v>
      </c>
      <c r="W34" s="72"/>
      <c r="X34" t="s">
        <v>449</v>
      </c>
      <c r="Y34">
        <v>4</v>
      </c>
      <c r="Z34">
        <v>5000</v>
      </c>
      <c r="AA34">
        <v>100</v>
      </c>
      <c r="AB34" s="75">
        <f ca="1">INDIRECT(ADDRESS(11+(MATCH(RIGHT(Table39[[#This Row],[spawner_sku]],LEN(Table39[[#This Row],[spawner_sku]])-FIND("/",Table39[[#This Row],[spawner_sku]])),Table1[Entity Prefab],0)),10,1,1,"Entities"))</f>
        <v>25</v>
      </c>
      <c r="AC34" s="75">
        <f ca="1">ROUND((Table39[[#This Row],[XP]]*Table39[[#This Row],[entity_spawned (AVG)]])*(Table39[[#This Row],[activating_chance]]/100),0)</f>
        <v>100</v>
      </c>
      <c r="AD34" t="str">
        <f ca="1">INDIRECT(ADDRESS(11+(MATCH(RIGHT(Table39[[#This Row],[spawner_sku]],LEN(Table39[[#This Row],[spawner_sku]])-FIND("/",Table39[[#This Row],[spawner_sku]])),Table28[Entity Prefab],0)),24,1,1,"Entities"))</f>
        <v>no</v>
      </c>
      <c r="AE34">
        <v>4</v>
      </c>
      <c r="AF34">
        <v>4</v>
      </c>
      <c r="AG34" t="b">
        <v>0</v>
      </c>
      <c r="AI34" t="s">
        <v>228</v>
      </c>
      <c r="AJ34">
        <v>1</v>
      </c>
      <c r="AK34">
        <v>110</v>
      </c>
      <c r="AL34">
        <v>90</v>
      </c>
      <c r="AM34" s="75">
        <f ca="1">INDIRECT(ADDRESS(11+(MATCH(RIGHT(Table2[[#This Row],[spawner_sku]],LEN(Table2[[#This Row],[spawner_sku]])-FIND("/",Table2[[#This Row],[spawner_sku]])),Table1[Entity Prefab],0)),10,1,1,"Entities"))</f>
        <v>25</v>
      </c>
      <c r="AN34" s="75">
        <f ca="1">ROUND((Table2[[#This Row],[XP]]*Table2[[#This Row],[entity_spawned (AVG)]])*(Table2[[#This Row],[activating_chance]]/100),0)</f>
        <v>23</v>
      </c>
      <c r="AO3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4" s="72">
        <v>1</v>
      </c>
      <c r="AQ34" s="72">
        <v>1</v>
      </c>
      <c r="AR34" s="72" t="b">
        <v>0</v>
      </c>
      <c r="AT34" t="s">
        <v>228</v>
      </c>
      <c r="AU34">
        <v>1</v>
      </c>
      <c r="AV34">
        <v>90</v>
      </c>
      <c r="AW34">
        <v>100</v>
      </c>
      <c r="AX34" s="75">
        <f ca="1">INDIRECT(ADDRESS(11+(MATCH(RIGHT(Table6[[#This Row],[spawner_sku]],LEN(Table6[[#This Row],[spawner_sku]])-FIND("/",Table6[[#This Row],[spawner_sku]])),Table1[Entity Prefab],0)),10,1,1,"Entities"))</f>
        <v>25</v>
      </c>
      <c r="AY34" s="75">
        <f ca="1">ROUND((Table6[[#This Row],[XP]]*Table6[[#This Row],[entity_spawned (AVG)]])*(Table6[[#This Row],[activating_chance]]/100),0)</f>
        <v>25</v>
      </c>
      <c r="AZ34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34">
        <v>1</v>
      </c>
      <c r="BB34">
        <v>1</v>
      </c>
      <c r="BC34" t="b">
        <v>0</v>
      </c>
      <c r="BE34" t="s">
        <v>226</v>
      </c>
      <c r="BF34">
        <v>1</v>
      </c>
      <c r="BG34">
        <v>150</v>
      </c>
      <c r="BH34">
        <v>100</v>
      </c>
      <c r="BI34" s="75">
        <f ca="1">INDIRECT(ADDRESS(11+(MATCH(RIGHT(Table610[[#This Row],[spawner_sku]],LEN(Table610[[#This Row],[spawner_sku]])-FIND("/",Table610[[#This Row],[spawner_sku]])),Table1[Entity Prefab],0)),10,1,1,"Entities"))</f>
        <v>55</v>
      </c>
      <c r="BJ34" s="75">
        <f ca="1">ROUND((Table610[[#This Row],[XP]]*Table610[[#This Row],[entity_spawned (AVG)]])*(Table610[[#This Row],[activating_chance]]/100),0)</f>
        <v>55</v>
      </c>
      <c r="BK34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4">
        <v>1</v>
      </c>
      <c r="BM34">
        <v>1</v>
      </c>
      <c r="BN34" t="b">
        <v>0</v>
      </c>
      <c r="BP34" t="s">
        <v>228</v>
      </c>
      <c r="BQ34">
        <v>5</v>
      </c>
      <c r="BR34">
        <v>220</v>
      </c>
      <c r="BS34">
        <v>100</v>
      </c>
      <c r="BT3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4" s="75">
        <f ca="1">ROUND((Table61011[[#This Row],[XP]]*Table61011[[#This Row],[entity_spawned (AVG)]])*(Table61011[[#This Row],[activating_chance]]/100),0)</f>
        <v>125</v>
      </c>
      <c r="BV3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4" s="72">
        <v>5</v>
      </c>
      <c r="BX34" s="72">
        <v>5</v>
      </c>
      <c r="BY34" s="72" t="b">
        <v>1</v>
      </c>
      <c r="CA34" t="s">
        <v>228</v>
      </c>
      <c r="CB34">
        <v>3.5</v>
      </c>
      <c r="CC34">
        <v>180</v>
      </c>
      <c r="CD34">
        <v>80</v>
      </c>
      <c r="CE34" s="75">
        <f ca="1">INDIRECT(ADDRESS(11+(MATCH(RIGHT(Table11[[#This Row],[spawner_sku]],LEN(Table11[[#This Row],[spawner_sku]])-FIND("/",Table11[[#This Row],[spawner_sku]])),Table1[Entity Prefab],0)),10,1,1,"Entities"))</f>
        <v>25</v>
      </c>
      <c r="CF34">
        <f ca="1">ROUND((Table11[[#This Row],[XP]]*Table11[[#This Row],[entity_spawned (AVG)]])*(Table11[[#This Row],[activating_chance]]/100),0)</f>
        <v>70</v>
      </c>
      <c r="CG34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4" s="72">
        <v>3</v>
      </c>
      <c r="CI34" s="72">
        <v>4</v>
      </c>
      <c r="CJ34" s="72" t="b">
        <v>0</v>
      </c>
      <c r="CL34" t="s">
        <v>227</v>
      </c>
      <c r="CM34">
        <v>7</v>
      </c>
      <c r="CN34">
        <v>280</v>
      </c>
      <c r="CO34">
        <v>100</v>
      </c>
      <c r="CP34" s="75">
        <f ca="1">INDIRECT(ADDRESS(11+(MATCH(RIGHT(Table12[[#This Row],[spawner_sku]],LEN(Table12[[#This Row],[spawner_sku]])-FIND("/",Table12[[#This Row],[spawner_sku]])),Table1[Entity Prefab],0)),10,1,1,"Entities"))</f>
        <v>25</v>
      </c>
      <c r="CQ34" s="75">
        <f ca="1">ROUND((Table12[[#This Row],[XP]]*Table12[[#This Row],[entity_spawned (AVG)]])*(Table12[[#This Row],[activating_chance]]/100),0)</f>
        <v>175</v>
      </c>
      <c r="CR34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34" s="72">
        <v>6</v>
      </c>
      <c r="CT34" s="72">
        <v>8</v>
      </c>
      <c r="CU34" s="72" t="b">
        <v>1</v>
      </c>
      <c r="CW34" t="s">
        <v>227</v>
      </c>
      <c r="CX34">
        <v>1</v>
      </c>
      <c r="CY34">
        <v>280</v>
      </c>
      <c r="CZ34">
        <v>100</v>
      </c>
      <c r="DA34" s="75">
        <f ca="1">INDIRECT(ADDRESS(11+(MATCH(RIGHT(Table13[[#This Row],[spawner_sku]],LEN(Table13[[#This Row],[spawner_sku]])-FIND("/",Table13[[#This Row],[spawner_sku]])),Table1[Entity Prefab],0)),10,1,1,"Entities"))</f>
        <v>25</v>
      </c>
      <c r="DB34" s="75">
        <f ca="1">ROUND((Table13[[#This Row],[XP]]*Table13[[#This Row],[entity_spawned (AVG)]])*(Table13[[#This Row],[activating_chance]]/100),0)</f>
        <v>25</v>
      </c>
      <c r="DC34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4" s="72">
        <v>1</v>
      </c>
      <c r="DE34" s="72">
        <v>1</v>
      </c>
      <c r="DF34" s="72" t="b">
        <v>0</v>
      </c>
      <c r="DH34" t="s">
        <v>226</v>
      </c>
      <c r="DI34">
        <v>2</v>
      </c>
      <c r="DJ34">
        <v>180</v>
      </c>
      <c r="DK34">
        <v>70</v>
      </c>
      <c r="DL34" s="75">
        <f ca="1">INDIRECT(ADDRESS(11+(MATCH(RIGHT(Table14[[#This Row],[spawner_sku]],LEN(Table14[[#This Row],[spawner_sku]])-FIND("/",Table14[[#This Row],[spawner_sku]])),Table1[Entity Prefab],0)),10,1,1,"Entities"))</f>
        <v>55</v>
      </c>
      <c r="DM34" s="75">
        <f ca="1">ROUND((Table14[[#This Row],[XP]]*Table14[[#This Row],[entity_spawned (AVG)]])*(Table14[[#This Row],[activating_chance]]/100),0)</f>
        <v>77</v>
      </c>
      <c r="DN3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4" s="72">
        <v>2</v>
      </c>
      <c r="DP34" s="72">
        <v>2</v>
      </c>
      <c r="DQ34" s="72" t="b">
        <v>0</v>
      </c>
      <c r="DS34" t="s">
        <v>227</v>
      </c>
      <c r="DT34">
        <v>4</v>
      </c>
      <c r="DU34">
        <v>140</v>
      </c>
      <c r="DV34">
        <v>100</v>
      </c>
      <c r="DW34" s="75">
        <f ca="1">INDIRECT(ADDRESS(11+(MATCH(RIGHT(Table18[[#This Row],[spawner_sku]],LEN(Table18[[#This Row],[spawner_sku]])-FIND("/",Table18[[#This Row],[spawner_sku]])),Table1[Entity Prefab],0)),10,1,1,"Entities"))</f>
        <v>25</v>
      </c>
      <c r="DX34" s="75">
        <f ca="1">ROUND((Table18[[#This Row],[XP]]*Table18[[#This Row],[entity_spawned (AVG)]])*(Table18[[#This Row],[activating_chance]]/100),0)</f>
        <v>100</v>
      </c>
      <c r="DY3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34">
        <v>4</v>
      </c>
      <c r="EA34">
        <v>4</v>
      </c>
      <c r="EB34" t="b">
        <v>0</v>
      </c>
      <c r="ED34" t="s">
        <v>227</v>
      </c>
      <c r="EE34">
        <v>1</v>
      </c>
      <c r="EF34">
        <v>140</v>
      </c>
      <c r="EG34">
        <v>100</v>
      </c>
      <c r="EH34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34" s="75">
        <f ca="1">ROUND((Table1820[[#This Row],[XP]]*Table1820[[#This Row],[entity_spawned (AVG)]])*(Table1820[[#This Row],[activating_chance]]/100),0)</f>
        <v>25</v>
      </c>
      <c r="EJ3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34">
        <v>1</v>
      </c>
      <c r="EL34">
        <v>2</v>
      </c>
      <c r="EM34" t="b">
        <v>0</v>
      </c>
      <c r="EO34" t="s">
        <v>7344</v>
      </c>
      <c r="EP34">
        <v>1</v>
      </c>
      <c r="EQ34">
        <v>80</v>
      </c>
      <c r="ER34">
        <v>100</v>
      </c>
      <c r="ES34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ET34" s="75">
        <f ca="1">ROUND((Table182023[[#This Row],[XP]]*Table182023[[#This Row],[entity_spawned (AVG)]])*(Table182023[[#This Row],[activating_chance]]/100),0)</f>
        <v>25</v>
      </c>
      <c r="EU34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34" s="152">
        <v>1</v>
      </c>
      <c r="EW34" s="152">
        <v>1</v>
      </c>
      <c r="EX34" s="152" t="b">
        <v>0</v>
      </c>
      <c r="EZ34" t="s">
        <v>517</v>
      </c>
      <c r="FA34">
        <v>1.5</v>
      </c>
      <c r="FB34">
        <v>80</v>
      </c>
      <c r="FC34">
        <v>100</v>
      </c>
      <c r="FD34" s="75">
        <f ca="1">INDIRECT(ADDRESS(11+(MATCH(RIGHT(Table18202324[[#This Row],[spawner_sku]],LEN(Table18202324[[#This Row],[spawner_sku]])-FIND("/",Table18202324[[#This Row],[spawner_sku]])),Table1[Entity Prefab],0)),10,1,1,"Entities"))</f>
        <v>95</v>
      </c>
      <c r="FE34" s="75">
        <f ca="1">ROUND((Table18202324[[#This Row],[XP]]*Table18202324[[#This Row],[entity_spawned (AVG)]])*(Table18202324[[#This Row],[activating_chance]]/100),0)</f>
        <v>143</v>
      </c>
      <c r="FF34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34">
        <v>1</v>
      </c>
      <c r="FH34">
        <v>2</v>
      </c>
      <c r="FI34" t="b">
        <v>0</v>
      </c>
    </row>
    <row r="35" spans="2:165" x14ac:dyDescent="0.25">
      <c r="B35" s="73" t="s">
        <v>228</v>
      </c>
      <c r="C35">
        <v>2.5</v>
      </c>
      <c r="D35">
        <v>120</v>
      </c>
      <c r="E35">
        <v>100</v>
      </c>
      <c r="F35" s="75">
        <f ca="1">INDIRECT(ADDRESS(11+(MATCH(RIGHT(Table245[[#This Row],[spawner_sku]],LEN(Table245[[#This Row],[spawner_sku]])-FIND("/",Table245[[#This Row],[spawner_sku]])),Table1[Entity Prefab],0)),10,1,1,"Entities"))</f>
        <v>25</v>
      </c>
      <c r="G35" s="75">
        <f ca="1">ROUND((Table245[[#This Row],[XP]]*Table245[[#This Row],[entity_spawned (AVG)]])*(Table245[[#This Row],[activating_chance]]/100),0)</f>
        <v>63</v>
      </c>
      <c r="H3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5" s="72">
        <v>2</v>
      </c>
      <c r="J35" s="72">
        <v>3</v>
      </c>
      <c r="K35" s="72" t="b">
        <v>0</v>
      </c>
      <c r="M35" t="s">
        <v>228</v>
      </c>
      <c r="N35">
        <v>2</v>
      </c>
      <c r="O35">
        <v>130</v>
      </c>
      <c r="P35">
        <v>100</v>
      </c>
      <c r="Q35" s="75">
        <f ca="1">INDIRECT(ADDRESS(11+(MATCH(RIGHT(Table3[[#This Row],[spawner_sku]],LEN(Table3[[#This Row],[spawner_sku]])-FIND("/",Table3[[#This Row],[spawner_sku]])),Table1[Entity Prefab],0)),10,1,1,"Entities"))</f>
        <v>25</v>
      </c>
      <c r="R35" s="75">
        <f ca="1">ROUND((Table3[[#This Row],[XP]]*Table3[[#This Row],[entity_spawned (AVG)]])*(Table3[[#This Row],[activating_chance]]/100),0)</f>
        <v>50</v>
      </c>
      <c r="S35" t="str">
        <f ca="1">INDIRECT(ADDRESS(11+(MATCH(RIGHT(Table3[[#This Row],[spawner_sku]],LEN(Table3[[#This Row],[spawner_sku]])-FIND("/",Table3[[#This Row],[spawner_sku]])),Table28[Entity Prefab],0)),24,1,1,"Entities"))</f>
        <v>no</v>
      </c>
      <c r="T35">
        <v>1</v>
      </c>
      <c r="U35">
        <v>3</v>
      </c>
      <c r="V35" t="b">
        <v>0</v>
      </c>
      <c r="W35" s="72"/>
      <c r="X35" t="s">
        <v>449</v>
      </c>
      <c r="Y35">
        <v>4</v>
      </c>
      <c r="Z35">
        <v>5000</v>
      </c>
      <c r="AA35">
        <v>100</v>
      </c>
      <c r="AB35" s="75">
        <f ca="1">INDIRECT(ADDRESS(11+(MATCH(RIGHT(Table39[[#This Row],[spawner_sku]],LEN(Table39[[#This Row],[spawner_sku]])-FIND("/",Table39[[#This Row],[spawner_sku]])),Table1[Entity Prefab],0)),10,1,1,"Entities"))</f>
        <v>25</v>
      </c>
      <c r="AC35" s="75">
        <f ca="1">ROUND((Table39[[#This Row],[XP]]*Table39[[#This Row],[entity_spawned (AVG)]])*(Table39[[#This Row],[activating_chance]]/100),0)</f>
        <v>100</v>
      </c>
      <c r="AD35" t="str">
        <f ca="1">INDIRECT(ADDRESS(11+(MATCH(RIGHT(Table39[[#This Row],[spawner_sku]],LEN(Table39[[#This Row],[spawner_sku]])-FIND("/",Table39[[#This Row],[spawner_sku]])),Table28[Entity Prefab],0)),24,1,1,"Entities"))</f>
        <v>no</v>
      </c>
      <c r="AE35">
        <v>4</v>
      </c>
      <c r="AF35">
        <v>4</v>
      </c>
      <c r="AG35" t="b">
        <v>0</v>
      </c>
      <c r="AI35" t="s">
        <v>228</v>
      </c>
      <c r="AJ35">
        <v>2.5</v>
      </c>
      <c r="AK35">
        <v>150</v>
      </c>
      <c r="AL35">
        <v>100</v>
      </c>
      <c r="AM35" s="75">
        <f ca="1">INDIRECT(ADDRESS(11+(MATCH(RIGHT(Table2[[#This Row],[spawner_sku]],LEN(Table2[[#This Row],[spawner_sku]])-FIND("/",Table2[[#This Row],[spawner_sku]])),Table1[Entity Prefab],0)),10,1,1,"Entities"))</f>
        <v>25</v>
      </c>
      <c r="AN35" s="75">
        <f ca="1">ROUND((Table2[[#This Row],[XP]]*Table2[[#This Row],[entity_spawned (AVG)]])*(Table2[[#This Row],[activating_chance]]/100),0)</f>
        <v>63</v>
      </c>
      <c r="AO3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5" s="72">
        <v>2</v>
      </c>
      <c r="AQ35" s="72">
        <v>3</v>
      </c>
      <c r="AR35" s="72" t="b">
        <v>0</v>
      </c>
      <c r="AT35" t="s">
        <v>228</v>
      </c>
      <c r="AU35">
        <v>3</v>
      </c>
      <c r="AV35">
        <v>90</v>
      </c>
      <c r="AW35">
        <v>100</v>
      </c>
      <c r="AX35" s="75">
        <f ca="1">INDIRECT(ADDRESS(11+(MATCH(RIGHT(Table6[[#This Row],[spawner_sku]],LEN(Table6[[#This Row],[spawner_sku]])-FIND("/",Table6[[#This Row],[spawner_sku]])),Table1[Entity Prefab],0)),10,1,1,"Entities"))</f>
        <v>25</v>
      </c>
      <c r="AY35" s="75">
        <f ca="1">ROUND((Table6[[#This Row],[XP]]*Table6[[#This Row],[entity_spawned (AVG)]])*(Table6[[#This Row],[activating_chance]]/100),0)</f>
        <v>75</v>
      </c>
      <c r="AZ35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35">
        <v>2</v>
      </c>
      <c r="BB35">
        <v>4</v>
      </c>
      <c r="BC35" t="b">
        <v>0</v>
      </c>
      <c r="BE35" t="s">
        <v>226</v>
      </c>
      <c r="BF35">
        <v>1</v>
      </c>
      <c r="BG35">
        <v>220</v>
      </c>
      <c r="BH35">
        <v>100</v>
      </c>
      <c r="BI35" s="75">
        <f ca="1">INDIRECT(ADDRESS(11+(MATCH(RIGHT(Table610[[#This Row],[spawner_sku]],LEN(Table610[[#This Row],[spawner_sku]])-FIND("/",Table610[[#This Row],[spawner_sku]])),Table1[Entity Prefab],0)),10,1,1,"Entities"))</f>
        <v>55</v>
      </c>
      <c r="BJ35" s="75">
        <f ca="1">ROUND((Table610[[#This Row],[XP]]*Table610[[#This Row],[entity_spawned (AVG)]])*(Table610[[#This Row],[activating_chance]]/100),0)</f>
        <v>55</v>
      </c>
      <c r="BK35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5">
        <v>1</v>
      </c>
      <c r="BM35">
        <v>1</v>
      </c>
      <c r="BN35" t="b">
        <v>0</v>
      </c>
      <c r="BP35" t="s">
        <v>228</v>
      </c>
      <c r="BQ35">
        <v>1</v>
      </c>
      <c r="BR35">
        <v>130</v>
      </c>
      <c r="BS35">
        <v>100</v>
      </c>
      <c r="BT3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5" s="75">
        <f ca="1">ROUND((Table61011[[#This Row],[XP]]*Table61011[[#This Row],[entity_spawned (AVG)]])*(Table61011[[#This Row],[activating_chance]]/100),0)</f>
        <v>25</v>
      </c>
      <c r="BV3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5" s="72">
        <v>1</v>
      </c>
      <c r="BX35" s="72">
        <v>1</v>
      </c>
      <c r="BY35" s="72" t="b">
        <v>0</v>
      </c>
      <c r="CA35" t="s">
        <v>228</v>
      </c>
      <c r="CB35">
        <v>1</v>
      </c>
      <c r="CC35">
        <v>180</v>
      </c>
      <c r="CD35">
        <v>100</v>
      </c>
      <c r="CE35" s="75">
        <f ca="1">INDIRECT(ADDRESS(11+(MATCH(RIGHT(Table11[[#This Row],[spawner_sku]],LEN(Table11[[#This Row],[spawner_sku]])-FIND("/",Table11[[#This Row],[spawner_sku]])),Table1[Entity Prefab],0)),10,1,1,"Entities"))</f>
        <v>25</v>
      </c>
      <c r="CF35">
        <f ca="1">ROUND((Table11[[#This Row],[XP]]*Table11[[#This Row],[entity_spawned (AVG)]])*(Table11[[#This Row],[activating_chance]]/100),0)</f>
        <v>25</v>
      </c>
      <c r="CG35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5" s="72">
        <v>1</v>
      </c>
      <c r="CI35" s="72">
        <v>1</v>
      </c>
      <c r="CJ35" s="72" t="b">
        <v>0</v>
      </c>
      <c r="CL35" t="s">
        <v>227</v>
      </c>
      <c r="CM35">
        <v>9</v>
      </c>
      <c r="CN35">
        <v>280</v>
      </c>
      <c r="CO35">
        <v>80</v>
      </c>
      <c r="CP35" s="75">
        <f ca="1">INDIRECT(ADDRESS(11+(MATCH(RIGHT(Table12[[#This Row],[spawner_sku]],LEN(Table12[[#This Row],[spawner_sku]])-FIND("/",Table12[[#This Row],[spawner_sku]])),Table1[Entity Prefab],0)),10,1,1,"Entities"))</f>
        <v>25</v>
      </c>
      <c r="CQ35" s="75">
        <f ca="1">ROUND((Table12[[#This Row],[XP]]*Table12[[#This Row],[entity_spawned (AVG)]])*(Table12[[#This Row],[activating_chance]]/100),0)</f>
        <v>180</v>
      </c>
      <c r="CR35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35" s="72">
        <v>8</v>
      </c>
      <c r="CT35" s="72">
        <v>10</v>
      </c>
      <c r="CU35" s="72" t="b">
        <v>1</v>
      </c>
      <c r="CW35" t="s">
        <v>227</v>
      </c>
      <c r="CX35">
        <v>11</v>
      </c>
      <c r="CY35">
        <v>280</v>
      </c>
      <c r="CZ35">
        <v>100</v>
      </c>
      <c r="DA35" s="75">
        <f ca="1">INDIRECT(ADDRESS(11+(MATCH(RIGHT(Table13[[#This Row],[spawner_sku]],LEN(Table13[[#This Row],[spawner_sku]])-FIND("/",Table13[[#This Row],[spawner_sku]])),Table1[Entity Prefab],0)),10,1,1,"Entities"))</f>
        <v>25</v>
      </c>
      <c r="DB35" s="75">
        <f ca="1">ROUND((Table13[[#This Row],[XP]]*Table13[[#This Row],[entity_spawned (AVG)]])*(Table13[[#This Row],[activating_chance]]/100),0)</f>
        <v>275</v>
      </c>
      <c r="DC35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5" s="72">
        <v>8</v>
      </c>
      <c r="DE35" s="72">
        <v>14</v>
      </c>
      <c r="DF35" s="72" t="b">
        <v>1</v>
      </c>
      <c r="DH35" t="s">
        <v>226</v>
      </c>
      <c r="DI35">
        <v>1.5</v>
      </c>
      <c r="DJ35">
        <v>200</v>
      </c>
      <c r="DK35">
        <v>30</v>
      </c>
      <c r="DL35" s="75">
        <f ca="1">INDIRECT(ADDRESS(11+(MATCH(RIGHT(Table14[[#This Row],[spawner_sku]],LEN(Table14[[#This Row],[spawner_sku]])-FIND("/",Table14[[#This Row],[spawner_sku]])),Table1[Entity Prefab],0)),10,1,1,"Entities"))</f>
        <v>55</v>
      </c>
      <c r="DM35" s="75">
        <f ca="1">ROUND((Table14[[#This Row],[XP]]*Table14[[#This Row],[entity_spawned (AVG)]])*(Table14[[#This Row],[activating_chance]]/100),0)</f>
        <v>25</v>
      </c>
      <c r="DN3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5" s="72">
        <v>1</v>
      </c>
      <c r="DP35" s="72">
        <v>2</v>
      </c>
      <c r="DQ35" s="72" t="b">
        <v>0</v>
      </c>
      <c r="DS35" t="s">
        <v>227</v>
      </c>
      <c r="DT35">
        <v>9</v>
      </c>
      <c r="DU35">
        <v>180</v>
      </c>
      <c r="DV35">
        <v>80</v>
      </c>
      <c r="DW35" s="75">
        <f ca="1">INDIRECT(ADDRESS(11+(MATCH(RIGHT(Table18[[#This Row],[spawner_sku]],LEN(Table18[[#This Row],[spawner_sku]])-FIND("/",Table18[[#This Row],[spawner_sku]])),Table1[Entity Prefab],0)),10,1,1,"Entities"))</f>
        <v>25</v>
      </c>
      <c r="DX35" s="75">
        <f ca="1">ROUND((Table18[[#This Row],[XP]]*Table18[[#This Row],[entity_spawned (AVG)]])*(Table18[[#This Row],[activating_chance]]/100),0)</f>
        <v>180</v>
      </c>
      <c r="DY3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35">
        <v>8</v>
      </c>
      <c r="EA35">
        <v>10</v>
      </c>
      <c r="EB35" t="b">
        <v>1</v>
      </c>
      <c r="ED35" t="s">
        <v>227</v>
      </c>
      <c r="EE35">
        <v>10</v>
      </c>
      <c r="EF35">
        <v>130</v>
      </c>
      <c r="EG35">
        <v>100</v>
      </c>
      <c r="EH35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35" s="75">
        <f ca="1">ROUND((Table1820[[#This Row],[XP]]*Table1820[[#This Row],[entity_spawned (AVG)]])*(Table1820[[#This Row],[activating_chance]]/100),0)</f>
        <v>250</v>
      </c>
      <c r="EJ3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35">
        <v>8</v>
      </c>
      <c r="EL35">
        <v>12</v>
      </c>
      <c r="EM35" t="b">
        <v>1</v>
      </c>
      <c r="EO35" t="s">
        <v>7344</v>
      </c>
      <c r="EP35">
        <v>1</v>
      </c>
      <c r="EQ35">
        <v>80</v>
      </c>
      <c r="ER35">
        <v>100</v>
      </c>
      <c r="ES35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ET35" s="75">
        <f ca="1">ROUND((Table182023[[#This Row],[XP]]*Table182023[[#This Row],[entity_spawned (AVG)]])*(Table182023[[#This Row],[activating_chance]]/100),0)</f>
        <v>25</v>
      </c>
      <c r="EU35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35" s="152">
        <v>1</v>
      </c>
      <c r="EW35" s="152">
        <v>1</v>
      </c>
      <c r="EX35" s="152" t="b">
        <v>0</v>
      </c>
      <c r="EZ35" t="s">
        <v>517</v>
      </c>
      <c r="FA35">
        <v>1</v>
      </c>
      <c r="FB35">
        <v>80</v>
      </c>
      <c r="FC35">
        <v>100</v>
      </c>
      <c r="FD35" s="75">
        <f ca="1">INDIRECT(ADDRESS(11+(MATCH(RIGHT(Table18202324[[#This Row],[spawner_sku]],LEN(Table18202324[[#This Row],[spawner_sku]])-FIND("/",Table18202324[[#This Row],[spawner_sku]])),Table1[Entity Prefab],0)),10,1,1,"Entities"))</f>
        <v>95</v>
      </c>
      <c r="FE35" s="75">
        <f ca="1">ROUND((Table18202324[[#This Row],[XP]]*Table18202324[[#This Row],[entity_spawned (AVG)]])*(Table18202324[[#This Row],[activating_chance]]/100),0)</f>
        <v>95</v>
      </c>
      <c r="FF35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35">
        <v>1</v>
      </c>
      <c r="FH35">
        <v>1</v>
      </c>
      <c r="FI35" t="b">
        <v>0</v>
      </c>
    </row>
    <row r="36" spans="2:165" x14ac:dyDescent="0.25">
      <c r="B36" s="73" t="s">
        <v>228</v>
      </c>
      <c r="C36">
        <v>1.5</v>
      </c>
      <c r="D36">
        <v>110</v>
      </c>
      <c r="E36">
        <v>100</v>
      </c>
      <c r="F36" s="75">
        <f ca="1">INDIRECT(ADDRESS(11+(MATCH(RIGHT(Table245[[#This Row],[spawner_sku]],LEN(Table245[[#This Row],[spawner_sku]])-FIND("/",Table245[[#This Row],[spawner_sku]])),Table1[Entity Prefab],0)),10,1,1,"Entities"))</f>
        <v>25</v>
      </c>
      <c r="G36" s="75">
        <f ca="1">ROUND((Table245[[#This Row],[XP]]*Table245[[#This Row],[entity_spawned (AVG)]])*(Table245[[#This Row],[activating_chance]]/100),0)</f>
        <v>38</v>
      </c>
      <c r="H3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6" s="72">
        <v>1</v>
      </c>
      <c r="J36" s="72">
        <v>2</v>
      </c>
      <c r="K36" s="72" t="b">
        <v>0</v>
      </c>
      <c r="M36" t="s">
        <v>228</v>
      </c>
      <c r="N36">
        <v>6.5</v>
      </c>
      <c r="O36">
        <v>120</v>
      </c>
      <c r="P36">
        <v>100</v>
      </c>
      <c r="Q36" s="75">
        <f ca="1">INDIRECT(ADDRESS(11+(MATCH(RIGHT(Table3[[#This Row],[spawner_sku]],LEN(Table3[[#This Row],[spawner_sku]])-FIND("/",Table3[[#This Row],[spawner_sku]])),Table1[Entity Prefab],0)),10,1,1,"Entities"))</f>
        <v>25</v>
      </c>
      <c r="R36" s="75">
        <f ca="1">ROUND((Table3[[#This Row],[XP]]*Table3[[#This Row],[entity_spawned (AVG)]])*(Table3[[#This Row],[activating_chance]]/100),0)</f>
        <v>163</v>
      </c>
      <c r="S36" t="str">
        <f ca="1">INDIRECT(ADDRESS(11+(MATCH(RIGHT(Table3[[#This Row],[spawner_sku]],LEN(Table3[[#This Row],[spawner_sku]])-FIND("/",Table3[[#This Row],[spawner_sku]])),Table28[Entity Prefab],0)),24,1,1,"Entities"))</f>
        <v>no</v>
      </c>
      <c r="T36">
        <v>5</v>
      </c>
      <c r="U36">
        <v>8</v>
      </c>
      <c r="V36" t="b">
        <v>1</v>
      </c>
      <c r="W36" s="72"/>
      <c r="X36" t="s">
        <v>395</v>
      </c>
      <c r="Y36">
        <v>2.5</v>
      </c>
      <c r="Z36">
        <v>200</v>
      </c>
      <c r="AA36">
        <v>100</v>
      </c>
      <c r="AB36" s="75">
        <f ca="1">INDIRECT(ADDRESS(11+(MATCH(RIGHT(Table39[[#This Row],[spawner_sku]],LEN(Table39[[#This Row],[spawner_sku]])-FIND("/",Table39[[#This Row],[spawner_sku]])),Table1[Entity Prefab],0)),10,1,1,"Entities"))</f>
        <v>25</v>
      </c>
      <c r="AC36" s="75">
        <f ca="1">ROUND((Table39[[#This Row],[XP]]*Table39[[#This Row],[entity_spawned (AVG)]])*(Table39[[#This Row],[activating_chance]]/100),0)</f>
        <v>63</v>
      </c>
      <c r="AD36" t="str">
        <f ca="1">INDIRECT(ADDRESS(11+(MATCH(RIGHT(Table39[[#This Row],[spawner_sku]],LEN(Table39[[#This Row],[spawner_sku]])-FIND("/",Table39[[#This Row],[spawner_sku]])),Table28[Entity Prefab],0)),24,1,1,"Entities"))</f>
        <v>no</v>
      </c>
      <c r="AE36">
        <v>2</v>
      </c>
      <c r="AF36">
        <v>3</v>
      </c>
      <c r="AG36" t="b">
        <v>0</v>
      </c>
      <c r="AI36" t="s">
        <v>228</v>
      </c>
      <c r="AJ36">
        <v>2.5</v>
      </c>
      <c r="AK36">
        <v>110</v>
      </c>
      <c r="AL36">
        <v>80</v>
      </c>
      <c r="AM36" s="75">
        <f ca="1">INDIRECT(ADDRESS(11+(MATCH(RIGHT(Table2[[#This Row],[spawner_sku]],LEN(Table2[[#This Row],[spawner_sku]])-FIND("/",Table2[[#This Row],[spawner_sku]])),Table1[Entity Prefab],0)),10,1,1,"Entities"))</f>
        <v>25</v>
      </c>
      <c r="AN36" s="75">
        <f ca="1">ROUND((Table2[[#This Row],[XP]]*Table2[[#This Row],[entity_spawned (AVG)]])*(Table2[[#This Row],[activating_chance]]/100),0)</f>
        <v>50</v>
      </c>
      <c r="AO3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6" s="72">
        <v>2</v>
      </c>
      <c r="AQ36" s="72">
        <v>3</v>
      </c>
      <c r="AR36" s="72" t="b">
        <v>0</v>
      </c>
      <c r="AT36" t="s">
        <v>228</v>
      </c>
      <c r="AU36">
        <v>1.5</v>
      </c>
      <c r="AV36">
        <v>60</v>
      </c>
      <c r="AW36">
        <v>100</v>
      </c>
      <c r="AX36" s="75">
        <f ca="1">INDIRECT(ADDRESS(11+(MATCH(RIGHT(Table6[[#This Row],[spawner_sku]],LEN(Table6[[#This Row],[spawner_sku]])-FIND("/",Table6[[#This Row],[spawner_sku]])),Table1[Entity Prefab],0)),10,1,1,"Entities"))</f>
        <v>25</v>
      </c>
      <c r="AY36" s="75">
        <f ca="1">ROUND((Table6[[#This Row],[XP]]*Table6[[#This Row],[entity_spawned (AVG)]])*(Table6[[#This Row],[activating_chance]]/100),0)</f>
        <v>38</v>
      </c>
      <c r="AZ36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36">
        <v>1</v>
      </c>
      <c r="BB36">
        <v>2</v>
      </c>
      <c r="BC36" t="b">
        <v>0</v>
      </c>
      <c r="BE36" t="s">
        <v>226</v>
      </c>
      <c r="BF36">
        <v>1</v>
      </c>
      <c r="BG36">
        <v>220</v>
      </c>
      <c r="BH36">
        <v>100</v>
      </c>
      <c r="BI36" s="75">
        <f ca="1">INDIRECT(ADDRESS(11+(MATCH(RIGHT(Table610[[#This Row],[spawner_sku]],LEN(Table610[[#This Row],[spawner_sku]])-FIND("/",Table610[[#This Row],[spawner_sku]])),Table1[Entity Prefab],0)),10,1,1,"Entities"))</f>
        <v>55</v>
      </c>
      <c r="BJ36" s="75">
        <f ca="1">ROUND((Table610[[#This Row],[XP]]*Table610[[#This Row],[entity_spawned (AVG)]])*(Table610[[#This Row],[activating_chance]]/100),0)</f>
        <v>55</v>
      </c>
      <c r="BK36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6">
        <v>1</v>
      </c>
      <c r="BM36">
        <v>1</v>
      </c>
      <c r="BN36" t="b">
        <v>0</v>
      </c>
      <c r="BP36" t="s">
        <v>228</v>
      </c>
      <c r="BQ36">
        <v>5.5</v>
      </c>
      <c r="BR36">
        <v>200</v>
      </c>
      <c r="BS36">
        <v>100</v>
      </c>
      <c r="BT3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6" s="75">
        <f ca="1">ROUND((Table61011[[#This Row],[XP]]*Table61011[[#This Row],[entity_spawned (AVG)]])*(Table61011[[#This Row],[activating_chance]]/100),0)</f>
        <v>138</v>
      </c>
      <c r="BV3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6" s="72">
        <v>5</v>
      </c>
      <c r="BX36" s="72">
        <v>6</v>
      </c>
      <c r="BY36" s="72" t="b">
        <v>1</v>
      </c>
      <c r="CA36" t="s">
        <v>228</v>
      </c>
      <c r="CB36">
        <v>13</v>
      </c>
      <c r="CC36">
        <v>180</v>
      </c>
      <c r="CD36">
        <v>100</v>
      </c>
      <c r="CE36" s="75">
        <f ca="1">INDIRECT(ADDRESS(11+(MATCH(RIGHT(Table11[[#This Row],[spawner_sku]],LEN(Table11[[#This Row],[spawner_sku]])-FIND("/",Table11[[#This Row],[spawner_sku]])),Table1[Entity Prefab],0)),10,1,1,"Entities"))</f>
        <v>25</v>
      </c>
      <c r="CF36">
        <f ca="1">ROUND((Table11[[#This Row],[XP]]*Table11[[#This Row],[entity_spawned (AVG)]])*(Table11[[#This Row],[activating_chance]]/100),0)</f>
        <v>325</v>
      </c>
      <c r="CG36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6" s="72">
        <v>12</v>
      </c>
      <c r="CI36" s="72">
        <v>14</v>
      </c>
      <c r="CJ36" s="72" t="b">
        <v>1</v>
      </c>
      <c r="CL36" t="s">
        <v>227</v>
      </c>
      <c r="CM36">
        <v>11</v>
      </c>
      <c r="CN36">
        <v>280</v>
      </c>
      <c r="CO36">
        <v>80</v>
      </c>
      <c r="CP36" s="75">
        <f ca="1">INDIRECT(ADDRESS(11+(MATCH(RIGHT(Table12[[#This Row],[spawner_sku]],LEN(Table12[[#This Row],[spawner_sku]])-FIND("/",Table12[[#This Row],[spawner_sku]])),Table1[Entity Prefab],0)),10,1,1,"Entities"))</f>
        <v>25</v>
      </c>
      <c r="CQ36" s="75">
        <f ca="1">ROUND((Table12[[#This Row],[XP]]*Table12[[#This Row],[entity_spawned (AVG)]])*(Table12[[#This Row],[activating_chance]]/100),0)</f>
        <v>220</v>
      </c>
      <c r="CR36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36" s="72">
        <v>10</v>
      </c>
      <c r="CT36" s="72">
        <v>12</v>
      </c>
      <c r="CU36" s="72" t="b">
        <v>1</v>
      </c>
      <c r="CW36" t="s">
        <v>227</v>
      </c>
      <c r="CX36">
        <v>9</v>
      </c>
      <c r="CY36">
        <v>280</v>
      </c>
      <c r="CZ36">
        <v>100</v>
      </c>
      <c r="DA36" s="75">
        <f ca="1">INDIRECT(ADDRESS(11+(MATCH(RIGHT(Table13[[#This Row],[spawner_sku]],LEN(Table13[[#This Row],[spawner_sku]])-FIND("/",Table13[[#This Row],[spawner_sku]])),Table1[Entity Prefab],0)),10,1,1,"Entities"))</f>
        <v>25</v>
      </c>
      <c r="DB36" s="75">
        <f ca="1">ROUND((Table13[[#This Row],[XP]]*Table13[[#This Row],[entity_spawned (AVG)]])*(Table13[[#This Row],[activating_chance]]/100),0)</f>
        <v>225</v>
      </c>
      <c r="DC36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6" s="72">
        <v>8</v>
      </c>
      <c r="DE36" s="72">
        <v>10</v>
      </c>
      <c r="DF36" s="72" t="b">
        <v>1</v>
      </c>
      <c r="DH36" t="s">
        <v>226</v>
      </c>
      <c r="DI36">
        <v>1</v>
      </c>
      <c r="DJ36">
        <v>200</v>
      </c>
      <c r="DK36">
        <v>30</v>
      </c>
      <c r="DL36" s="75">
        <f ca="1">INDIRECT(ADDRESS(11+(MATCH(RIGHT(Table14[[#This Row],[spawner_sku]],LEN(Table14[[#This Row],[spawner_sku]])-FIND("/",Table14[[#This Row],[spawner_sku]])),Table1[Entity Prefab],0)),10,1,1,"Entities"))</f>
        <v>55</v>
      </c>
      <c r="DM36" s="75">
        <f ca="1">ROUND((Table14[[#This Row],[XP]]*Table14[[#This Row],[entity_spawned (AVG)]])*(Table14[[#This Row],[activating_chance]]/100),0)</f>
        <v>17</v>
      </c>
      <c r="DN3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6" s="72">
        <v>1</v>
      </c>
      <c r="DP36" s="72">
        <v>1</v>
      </c>
      <c r="DQ36" s="72" t="b">
        <v>0</v>
      </c>
      <c r="DS36" t="s">
        <v>227</v>
      </c>
      <c r="DT36">
        <v>3</v>
      </c>
      <c r="DU36">
        <v>140</v>
      </c>
      <c r="DV36">
        <v>100</v>
      </c>
      <c r="DW36" s="75">
        <f ca="1">INDIRECT(ADDRESS(11+(MATCH(RIGHT(Table18[[#This Row],[spawner_sku]],LEN(Table18[[#This Row],[spawner_sku]])-FIND("/",Table18[[#This Row],[spawner_sku]])),Table1[Entity Prefab],0)),10,1,1,"Entities"))</f>
        <v>25</v>
      </c>
      <c r="DX36" s="75">
        <f ca="1">ROUND((Table18[[#This Row],[XP]]*Table18[[#This Row],[entity_spawned (AVG)]])*(Table18[[#This Row],[activating_chance]]/100),0)</f>
        <v>75</v>
      </c>
      <c r="DY3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36">
        <v>3</v>
      </c>
      <c r="EA36">
        <v>4</v>
      </c>
      <c r="EB36" t="b">
        <v>0</v>
      </c>
      <c r="ED36" t="s">
        <v>227</v>
      </c>
      <c r="EE36">
        <v>1</v>
      </c>
      <c r="EF36">
        <v>140</v>
      </c>
      <c r="EG36">
        <v>100</v>
      </c>
      <c r="EH36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36" s="75">
        <f ca="1">ROUND((Table1820[[#This Row],[XP]]*Table1820[[#This Row],[entity_spawned (AVG)]])*(Table1820[[#This Row],[activating_chance]]/100),0)</f>
        <v>25</v>
      </c>
      <c r="EJ3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36">
        <v>1</v>
      </c>
      <c r="EL36">
        <v>2</v>
      </c>
      <c r="EM36" t="b">
        <v>0</v>
      </c>
      <c r="EO36" t="s">
        <v>7344</v>
      </c>
      <c r="EP36">
        <v>1</v>
      </c>
      <c r="EQ36">
        <v>80</v>
      </c>
      <c r="ER36">
        <v>100</v>
      </c>
      <c r="ES36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ET36" s="75">
        <f ca="1">ROUND((Table182023[[#This Row],[XP]]*Table182023[[#This Row],[entity_spawned (AVG)]])*(Table182023[[#This Row],[activating_chance]]/100),0)</f>
        <v>25</v>
      </c>
      <c r="EU36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36" s="152">
        <v>1</v>
      </c>
      <c r="EW36" s="152">
        <v>1</v>
      </c>
      <c r="EX36" s="152" t="b">
        <v>0</v>
      </c>
      <c r="EZ36" t="s">
        <v>517</v>
      </c>
      <c r="FA36">
        <v>1.5</v>
      </c>
      <c r="FB36">
        <v>80</v>
      </c>
      <c r="FC36">
        <v>80</v>
      </c>
      <c r="FD36" s="75">
        <f ca="1">INDIRECT(ADDRESS(11+(MATCH(RIGHT(Table18202324[[#This Row],[spawner_sku]],LEN(Table18202324[[#This Row],[spawner_sku]])-FIND("/",Table18202324[[#This Row],[spawner_sku]])),Table1[Entity Prefab],0)),10,1,1,"Entities"))</f>
        <v>95</v>
      </c>
      <c r="FE36" s="75">
        <f ca="1">ROUND((Table18202324[[#This Row],[XP]]*Table18202324[[#This Row],[entity_spawned (AVG)]])*(Table18202324[[#This Row],[activating_chance]]/100),0)</f>
        <v>114</v>
      </c>
      <c r="FF36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36">
        <v>1</v>
      </c>
      <c r="FH36">
        <v>2</v>
      </c>
      <c r="FI36" t="b">
        <v>0</v>
      </c>
    </row>
    <row r="37" spans="2:165" x14ac:dyDescent="0.25">
      <c r="B37" s="73" t="s">
        <v>228</v>
      </c>
      <c r="C37">
        <v>8</v>
      </c>
      <c r="D37">
        <v>200</v>
      </c>
      <c r="E37">
        <v>100</v>
      </c>
      <c r="F37" s="75">
        <f ca="1">INDIRECT(ADDRESS(11+(MATCH(RIGHT(Table245[[#This Row],[spawner_sku]],LEN(Table245[[#This Row],[spawner_sku]])-FIND("/",Table245[[#This Row],[spawner_sku]])),Table1[Entity Prefab],0)),10,1,1,"Entities"))</f>
        <v>25</v>
      </c>
      <c r="G37" s="75">
        <f ca="1">ROUND((Table245[[#This Row],[XP]]*Table245[[#This Row],[entity_spawned (AVG)]])*(Table245[[#This Row],[activating_chance]]/100),0)</f>
        <v>200</v>
      </c>
      <c r="H3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7" s="72">
        <v>6</v>
      </c>
      <c r="J37" s="72">
        <v>10</v>
      </c>
      <c r="K37" s="72" t="b">
        <v>1</v>
      </c>
      <c r="M37" t="s">
        <v>228</v>
      </c>
      <c r="N37">
        <v>10</v>
      </c>
      <c r="O37">
        <v>160</v>
      </c>
      <c r="P37">
        <v>100</v>
      </c>
      <c r="Q37" s="75">
        <f ca="1">INDIRECT(ADDRESS(11+(MATCH(RIGHT(Table3[[#This Row],[spawner_sku]],LEN(Table3[[#This Row],[spawner_sku]])-FIND("/",Table3[[#This Row],[spawner_sku]])),Table1[Entity Prefab],0)),10,1,1,"Entities"))</f>
        <v>25</v>
      </c>
      <c r="R37" s="75">
        <f ca="1">ROUND((Table3[[#This Row],[XP]]*Table3[[#This Row],[entity_spawned (AVG)]])*(Table3[[#This Row],[activating_chance]]/100),0)</f>
        <v>250</v>
      </c>
      <c r="S37" t="str">
        <f ca="1">INDIRECT(ADDRESS(11+(MATCH(RIGHT(Table3[[#This Row],[spawner_sku]],LEN(Table3[[#This Row],[spawner_sku]])-FIND("/",Table3[[#This Row],[spawner_sku]])),Table28[Entity Prefab],0)),24,1,1,"Entities"))</f>
        <v>no</v>
      </c>
      <c r="T37">
        <v>5</v>
      </c>
      <c r="U37">
        <v>15</v>
      </c>
      <c r="V37" t="b">
        <v>1</v>
      </c>
      <c r="W37" s="72"/>
      <c r="X37" t="s">
        <v>395</v>
      </c>
      <c r="Y37">
        <v>2</v>
      </c>
      <c r="Z37">
        <v>200</v>
      </c>
      <c r="AA37">
        <v>100</v>
      </c>
      <c r="AB37" s="75">
        <f ca="1">INDIRECT(ADDRESS(11+(MATCH(RIGHT(Table39[[#This Row],[spawner_sku]],LEN(Table39[[#This Row],[spawner_sku]])-FIND("/",Table39[[#This Row],[spawner_sku]])),Table1[Entity Prefab],0)),10,1,1,"Entities"))</f>
        <v>25</v>
      </c>
      <c r="AC37" s="75">
        <f ca="1">ROUND((Table39[[#This Row],[XP]]*Table39[[#This Row],[entity_spawned (AVG)]])*(Table39[[#This Row],[activating_chance]]/100),0)</f>
        <v>50</v>
      </c>
      <c r="AD37" t="str">
        <f ca="1">INDIRECT(ADDRESS(11+(MATCH(RIGHT(Table39[[#This Row],[spawner_sku]],LEN(Table39[[#This Row],[spawner_sku]])-FIND("/",Table39[[#This Row],[spawner_sku]])),Table28[Entity Prefab],0)),24,1,1,"Entities"))</f>
        <v>no</v>
      </c>
      <c r="AE37">
        <v>2</v>
      </c>
      <c r="AF37">
        <v>2</v>
      </c>
      <c r="AG37" t="b">
        <v>0</v>
      </c>
      <c r="AI37" t="s">
        <v>228</v>
      </c>
      <c r="AJ37">
        <v>6.5</v>
      </c>
      <c r="AK37">
        <v>140</v>
      </c>
      <c r="AL37">
        <v>30</v>
      </c>
      <c r="AM37" s="75">
        <f ca="1">INDIRECT(ADDRESS(11+(MATCH(RIGHT(Table2[[#This Row],[spawner_sku]],LEN(Table2[[#This Row],[spawner_sku]])-FIND("/",Table2[[#This Row],[spawner_sku]])),Table1[Entity Prefab],0)),10,1,1,"Entities"))</f>
        <v>25</v>
      </c>
      <c r="AN37" s="75">
        <f ca="1">ROUND((Table2[[#This Row],[XP]]*Table2[[#This Row],[entity_spawned (AVG)]])*(Table2[[#This Row],[activating_chance]]/100),0)</f>
        <v>49</v>
      </c>
      <c r="AO3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7" s="72">
        <v>5</v>
      </c>
      <c r="AQ37" s="72">
        <v>8</v>
      </c>
      <c r="AR37" s="72" t="b">
        <v>1</v>
      </c>
      <c r="AT37" t="s">
        <v>228</v>
      </c>
      <c r="AU37">
        <v>1</v>
      </c>
      <c r="AV37">
        <v>60</v>
      </c>
      <c r="AW37">
        <v>100</v>
      </c>
      <c r="AX37" s="75">
        <f ca="1">INDIRECT(ADDRESS(11+(MATCH(RIGHT(Table6[[#This Row],[spawner_sku]],LEN(Table6[[#This Row],[spawner_sku]])-FIND("/",Table6[[#This Row],[spawner_sku]])),Table1[Entity Prefab],0)),10,1,1,"Entities"))</f>
        <v>25</v>
      </c>
      <c r="AY37" s="75">
        <f ca="1">ROUND((Table6[[#This Row],[XP]]*Table6[[#This Row],[entity_spawned (AVG)]])*(Table6[[#This Row],[activating_chance]]/100),0)</f>
        <v>25</v>
      </c>
      <c r="AZ37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37">
        <v>1</v>
      </c>
      <c r="BB37">
        <v>1</v>
      </c>
      <c r="BC37" t="b">
        <v>0</v>
      </c>
      <c r="BE37" t="s">
        <v>226</v>
      </c>
      <c r="BF37">
        <v>1.5</v>
      </c>
      <c r="BG37">
        <v>180</v>
      </c>
      <c r="BH37">
        <v>100</v>
      </c>
      <c r="BI37" s="75">
        <f ca="1">INDIRECT(ADDRESS(11+(MATCH(RIGHT(Table610[[#This Row],[spawner_sku]],LEN(Table610[[#This Row],[spawner_sku]])-FIND("/",Table610[[#This Row],[spawner_sku]])),Table1[Entity Prefab],0)),10,1,1,"Entities"))</f>
        <v>55</v>
      </c>
      <c r="BJ37" s="75">
        <f ca="1">ROUND((Table610[[#This Row],[XP]]*Table610[[#This Row],[entity_spawned (AVG)]])*(Table610[[#This Row],[activating_chance]]/100),0)</f>
        <v>83</v>
      </c>
      <c r="BK37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7">
        <v>1</v>
      </c>
      <c r="BM37">
        <v>2</v>
      </c>
      <c r="BN37" t="b">
        <v>0</v>
      </c>
      <c r="BP37" t="s">
        <v>228</v>
      </c>
      <c r="BQ37">
        <v>1</v>
      </c>
      <c r="BR37">
        <v>100</v>
      </c>
      <c r="BS37">
        <v>100</v>
      </c>
      <c r="BT3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7" s="75">
        <f ca="1">ROUND((Table61011[[#This Row],[XP]]*Table61011[[#This Row],[entity_spawned (AVG)]])*(Table61011[[#This Row],[activating_chance]]/100),0)</f>
        <v>25</v>
      </c>
      <c r="BV3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7" s="72">
        <v>1</v>
      </c>
      <c r="BX37" s="72">
        <v>1</v>
      </c>
      <c r="BY37" s="72" t="b">
        <v>0</v>
      </c>
      <c r="CA37" t="s">
        <v>228</v>
      </c>
      <c r="CB37">
        <v>2.5</v>
      </c>
      <c r="CC37">
        <v>180</v>
      </c>
      <c r="CD37">
        <v>100</v>
      </c>
      <c r="CE37" s="75">
        <f ca="1">INDIRECT(ADDRESS(11+(MATCH(RIGHT(Table11[[#This Row],[spawner_sku]],LEN(Table11[[#This Row],[spawner_sku]])-FIND("/",Table11[[#This Row],[spawner_sku]])),Table1[Entity Prefab],0)),10,1,1,"Entities"))</f>
        <v>25</v>
      </c>
      <c r="CF37">
        <f ca="1">ROUND((Table11[[#This Row],[XP]]*Table11[[#This Row],[entity_spawned (AVG)]])*(Table11[[#This Row],[activating_chance]]/100),0)</f>
        <v>63</v>
      </c>
      <c r="CG37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7" s="72">
        <v>2</v>
      </c>
      <c r="CI37" s="72">
        <v>3</v>
      </c>
      <c r="CJ37" s="72" t="b">
        <v>0</v>
      </c>
      <c r="CL37" t="s">
        <v>228</v>
      </c>
      <c r="CM37">
        <v>9</v>
      </c>
      <c r="CN37">
        <v>180</v>
      </c>
      <c r="CO37">
        <v>80</v>
      </c>
      <c r="CP37" s="75">
        <f ca="1">INDIRECT(ADDRESS(11+(MATCH(RIGHT(Table12[[#This Row],[spawner_sku]],LEN(Table12[[#This Row],[spawner_sku]])-FIND("/",Table12[[#This Row],[spawner_sku]])),Table1[Entity Prefab],0)),10,1,1,"Entities"))</f>
        <v>25</v>
      </c>
      <c r="CQ37" s="75">
        <f ca="1">ROUND((Table12[[#This Row],[XP]]*Table12[[#This Row],[entity_spawned (AVG)]])*(Table12[[#This Row],[activating_chance]]/100),0)</f>
        <v>180</v>
      </c>
      <c r="CR37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37" s="72">
        <v>8</v>
      </c>
      <c r="CT37" s="72">
        <v>10</v>
      </c>
      <c r="CU37" s="72" t="b">
        <v>1</v>
      </c>
      <c r="CW37" t="s">
        <v>227</v>
      </c>
      <c r="CX37">
        <v>10</v>
      </c>
      <c r="CY37">
        <v>280</v>
      </c>
      <c r="CZ37">
        <v>100</v>
      </c>
      <c r="DA37" s="75">
        <f ca="1">INDIRECT(ADDRESS(11+(MATCH(RIGHT(Table13[[#This Row],[spawner_sku]],LEN(Table13[[#This Row],[spawner_sku]])-FIND("/",Table13[[#This Row],[spawner_sku]])),Table1[Entity Prefab],0)),10,1,1,"Entities"))</f>
        <v>25</v>
      </c>
      <c r="DB37" s="75">
        <f ca="1">ROUND((Table13[[#This Row],[XP]]*Table13[[#This Row],[entity_spawned (AVG)]])*(Table13[[#This Row],[activating_chance]]/100),0)</f>
        <v>250</v>
      </c>
      <c r="DC37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7" s="72">
        <v>8</v>
      </c>
      <c r="DE37" s="72">
        <v>12</v>
      </c>
      <c r="DF37" s="72" t="b">
        <v>1</v>
      </c>
      <c r="DH37" t="s">
        <v>226</v>
      </c>
      <c r="DI37">
        <v>2</v>
      </c>
      <c r="DJ37">
        <v>260</v>
      </c>
      <c r="DK37">
        <v>10</v>
      </c>
      <c r="DL37" s="75">
        <f ca="1">INDIRECT(ADDRESS(11+(MATCH(RIGHT(Table14[[#This Row],[spawner_sku]],LEN(Table14[[#This Row],[spawner_sku]])-FIND("/",Table14[[#This Row],[spawner_sku]])),Table1[Entity Prefab],0)),10,1,1,"Entities"))</f>
        <v>55</v>
      </c>
      <c r="DM37" s="75">
        <f ca="1">ROUND((Table14[[#This Row],[XP]]*Table14[[#This Row],[entity_spawned (AVG)]])*(Table14[[#This Row],[activating_chance]]/100),0)</f>
        <v>11</v>
      </c>
      <c r="DN3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7" s="72">
        <v>2</v>
      </c>
      <c r="DP37" s="72">
        <v>2</v>
      </c>
      <c r="DQ37" s="72" t="b">
        <v>0</v>
      </c>
      <c r="DS37" t="s">
        <v>227</v>
      </c>
      <c r="DT37">
        <v>7</v>
      </c>
      <c r="DU37">
        <v>160</v>
      </c>
      <c r="DV37">
        <v>30</v>
      </c>
      <c r="DW37" s="75">
        <f ca="1">INDIRECT(ADDRESS(11+(MATCH(RIGHT(Table18[[#This Row],[spawner_sku]],LEN(Table18[[#This Row],[spawner_sku]])-FIND("/",Table18[[#This Row],[spawner_sku]])),Table1[Entity Prefab],0)),10,1,1,"Entities"))</f>
        <v>25</v>
      </c>
      <c r="DX37" s="75">
        <f ca="1">ROUND((Table18[[#This Row],[XP]]*Table18[[#This Row],[entity_spawned (AVG)]])*(Table18[[#This Row],[activating_chance]]/100),0)</f>
        <v>53</v>
      </c>
      <c r="DY3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37">
        <v>6</v>
      </c>
      <c r="EA37">
        <v>8</v>
      </c>
      <c r="EB37" t="b">
        <v>1</v>
      </c>
      <c r="ED37" t="s">
        <v>227</v>
      </c>
      <c r="EE37">
        <v>3</v>
      </c>
      <c r="EF37">
        <v>140</v>
      </c>
      <c r="EG37">
        <v>100</v>
      </c>
      <c r="EH37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37" s="75">
        <f ca="1">ROUND((Table1820[[#This Row],[XP]]*Table1820[[#This Row],[entity_spawned (AVG)]])*(Table1820[[#This Row],[activating_chance]]/100),0)</f>
        <v>75</v>
      </c>
      <c r="EJ3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37">
        <v>3</v>
      </c>
      <c r="EL37">
        <v>4</v>
      </c>
      <c r="EM37" t="b">
        <v>0</v>
      </c>
      <c r="EO37" t="s">
        <v>7344</v>
      </c>
      <c r="EP37">
        <v>1</v>
      </c>
      <c r="EQ37">
        <v>80</v>
      </c>
      <c r="ER37">
        <v>100</v>
      </c>
      <c r="ES37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ET37" s="75">
        <f ca="1">ROUND((Table182023[[#This Row],[XP]]*Table182023[[#This Row],[entity_spawned (AVG)]])*(Table182023[[#This Row],[activating_chance]]/100),0)</f>
        <v>25</v>
      </c>
      <c r="EU37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37" s="152">
        <v>1</v>
      </c>
      <c r="EW37" s="152">
        <v>1</v>
      </c>
      <c r="EX37" s="152" t="b">
        <v>0</v>
      </c>
      <c r="EZ37" t="s">
        <v>520</v>
      </c>
      <c r="FA37">
        <v>1.5</v>
      </c>
      <c r="FB37">
        <v>90</v>
      </c>
      <c r="FC37">
        <v>100</v>
      </c>
      <c r="FD37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FE37" s="75">
        <f ca="1">ROUND((Table18202324[[#This Row],[XP]]*Table18202324[[#This Row],[entity_spawned (AVG)]])*(Table18202324[[#This Row],[activating_chance]]/100),0)</f>
        <v>53</v>
      </c>
      <c r="FF37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37">
        <v>1</v>
      </c>
      <c r="FH37">
        <v>2</v>
      </c>
      <c r="FI37" t="b">
        <v>0</v>
      </c>
    </row>
    <row r="38" spans="2:165" x14ac:dyDescent="0.25">
      <c r="B38" s="73" t="s">
        <v>228</v>
      </c>
      <c r="C38">
        <v>1</v>
      </c>
      <c r="D38">
        <v>60</v>
      </c>
      <c r="E38">
        <v>100</v>
      </c>
      <c r="F38" s="75">
        <f ca="1">INDIRECT(ADDRESS(11+(MATCH(RIGHT(Table245[[#This Row],[spawner_sku]],LEN(Table245[[#This Row],[spawner_sku]])-FIND("/",Table245[[#This Row],[spawner_sku]])),Table1[Entity Prefab],0)),10,1,1,"Entities"))</f>
        <v>25</v>
      </c>
      <c r="G38" s="75">
        <f ca="1">ROUND((Table245[[#This Row],[XP]]*Table245[[#This Row],[entity_spawned (AVG)]])*(Table245[[#This Row],[activating_chance]]/100),0)</f>
        <v>25</v>
      </c>
      <c r="H3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8" s="72">
        <v>1</v>
      </c>
      <c r="J38" s="72">
        <v>1</v>
      </c>
      <c r="K38" s="72" t="b">
        <v>0</v>
      </c>
      <c r="M38" t="s">
        <v>228</v>
      </c>
      <c r="N38">
        <v>2</v>
      </c>
      <c r="O38">
        <v>130</v>
      </c>
      <c r="P38">
        <v>100</v>
      </c>
      <c r="Q38" s="75">
        <f ca="1">INDIRECT(ADDRESS(11+(MATCH(RIGHT(Table3[[#This Row],[spawner_sku]],LEN(Table3[[#This Row],[spawner_sku]])-FIND("/",Table3[[#This Row],[spawner_sku]])),Table1[Entity Prefab],0)),10,1,1,"Entities"))</f>
        <v>25</v>
      </c>
      <c r="R38" s="75">
        <f ca="1">ROUND((Table3[[#This Row],[XP]]*Table3[[#This Row],[entity_spawned (AVG)]])*(Table3[[#This Row],[activating_chance]]/100),0)</f>
        <v>50</v>
      </c>
      <c r="S38" t="str">
        <f ca="1">INDIRECT(ADDRESS(11+(MATCH(RIGHT(Table3[[#This Row],[spawner_sku]],LEN(Table3[[#This Row],[spawner_sku]])-FIND("/",Table3[[#This Row],[spawner_sku]])),Table28[Entity Prefab],0)),24,1,1,"Entities"))</f>
        <v>no</v>
      </c>
      <c r="T38">
        <v>1</v>
      </c>
      <c r="U38">
        <v>3</v>
      </c>
      <c r="V38" t="b">
        <v>0</v>
      </c>
      <c r="W38" s="72"/>
      <c r="X38" t="s">
        <v>395</v>
      </c>
      <c r="Y38">
        <v>3</v>
      </c>
      <c r="Z38">
        <v>220</v>
      </c>
      <c r="AA38">
        <v>100</v>
      </c>
      <c r="AB38" s="75">
        <f ca="1">INDIRECT(ADDRESS(11+(MATCH(RIGHT(Table39[[#This Row],[spawner_sku]],LEN(Table39[[#This Row],[spawner_sku]])-FIND("/",Table39[[#This Row],[spawner_sku]])),Table1[Entity Prefab],0)),10,1,1,"Entities"))</f>
        <v>25</v>
      </c>
      <c r="AC38" s="75">
        <f ca="1">ROUND((Table39[[#This Row],[XP]]*Table39[[#This Row],[entity_spawned (AVG)]])*(Table39[[#This Row],[activating_chance]]/100),0)</f>
        <v>75</v>
      </c>
      <c r="AD38" t="str">
        <f ca="1">INDIRECT(ADDRESS(11+(MATCH(RIGHT(Table39[[#This Row],[spawner_sku]],LEN(Table39[[#This Row],[spawner_sku]])-FIND("/",Table39[[#This Row],[spawner_sku]])),Table28[Entity Prefab],0)),24,1,1,"Entities"))</f>
        <v>no</v>
      </c>
      <c r="AE38">
        <v>3</v>
      </c>
      <c r="AF38">
        <v>3</v>
      </c>
      <c r="AG38" t="b">
        <v>0</v>
      </c>
      <c r="AI38" t="s">
        <v>228</v>
      </c>
      <c r="AJ38">
        <v>1</v>
      </c>
      <c r="AK38">
        <v>120</v>
      </c>
      <c r="AL38">
        <v>100</v>
      </c>
      <c r="AM38" s="75">
        <f ca="1">INDIRECT(ADDRESS(11+(MATCH(RIGHT(Table2[[#This Row],[spawner_sku]],LEN(Table2[[#This Row],[spawner_sku]])-FIND("/",Table2[[#This Row],[spawner_sku]])),Table1[Entity Prefab],0)),10,1,1,"Entities"))</f>
        <v>25</v>
      </c>
      <c r="AN38" s="75">
        <f ca="1">ROUND((Table2[[#This Row],[XP]]*Table2[[#This Row],[entity_spawned (AVG)]])*(Table2[[#This Row],[activating_chance]]/100),0)</f>
        <v>25</v>
      </c>
      <c r="AO3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8" s="72">
        <v>1</v>
      </c>
      <c r="AQ38" s="72">
        <v>1</v>
      </c>
      <c r="AR38" s="72" t="b">
        <v>0</v>
      </c>
      <c r="AT38" t="s">
        <v>228</v>
      </c>
      <c r="AU38">
        <v>1.5</v>
      </c>
      <c r="AV38">
        <v>60</v>
      </c>
      <c r="AW38">
        <v>100</v>
      </c>
      <c r="AX38" s="75">
        <f ca="1">INDIRECT(ADDRESS(11+(MATCH(RIGHT(Table6[[#This Row],[spawner_sku]],LEN(Table6[[#This Row],[spawner_sku]])-FIND("/",Table6[[#This Row],[spawner_sku]])),Table1[Entity Prefab],0)),10,1,1,"Entities"))</f>
        <v>25</v>
      </c>
      <c r="AY38" s="75">
        <f ca="1">ROUND((Table6[[#This Row],[XP]]*Table6[[#This Row],[entity_spawned (AVG)]])*(Table6[[#This Row],[activating_chance]]/100),0)</f>
        <v>38</v>
      </c>
      <c r="AZ38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38">
        <v>1</v>
      </c>
      <c r="BB38">
        <v>2</v>
      </c>
      <c r="BC38" t="b">
        <v>0</v>
      </c>
      <c r="BE38" t="s">
        <v>226</v>
      </c>
      <c r="BF38">
        <v>2</v>
      </c>
      <c r="BG38">
        <v>150</v>
      </c>
      <c r="BH38">
        <v>100</v>
      </c>
      <c r="BI38" s="75">
        <f ca="1">INDIRECT(ADDRESS(11+(MATCH(RIGHT(Table610[[#This Row],[spawner_sku]],LEN(Table610[[#This Row],[spawner_sku]])-FIND("/",Table610[[#This Row],[spawner_sku]])),Table1[Entity Prefab],0)),10,1,1,"Entities"))</f>
        <v>55</v>
      </c>
      <c r="BJ38" s="75">
        <f ca="1">ROUND((Table610[[#This Row],[XP]]*Table610[[#This Row],[entity_spawned (AVG)]])*(Table610[[#This Row],[activating_chance]]/100),0)</f>
        <v>110</v>
      </c>
      <c r="BK38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8">
        <v>2</v>
      </c>
      <c r="BM38">
        <v>2</v>
      </c>
      <c r="BN38" t="b">
        <v>0</v>
      </c>
      <c r="BP38" t="s">
        <v>228</v>
      </c>
      <c r="BQ38">
        <v>1.5</v>
      </c>
      <c r="BR38">
        <v>140</v>
      </c>
      <c r="BS38">
        <v>100</v>
      </c>
      <c r="BT3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8" s="75">
        <f ca="1">ROUND((Table61011[[#This Row],[XP]]*Table61011[[#This Row],[entity_spawned (AVG)]])*(Table61011[[#This Row],[activating_chance]]/100),0)</f>
        <v>38</v>
      </c>
      <c r="BV3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8" s="72">
        <v>1</v>
      </c>
      <c r="BX38" s="72">
        <v>2</v>
      </c>
      <c r="BY38" s="72" t="b">
        <v>0</v>
      </c>
      <c r="CA38" t="s">
        <v>228</v>
      </c>
      <c r="CB38">
        <v>3.5</v>
      </c>
      <c r="CC38">
        <v>180</v>
      </c>
      <c r="CD38">
        <v>100</v>
      </c>
      <c r="CE38" s="75">
        <f ca="1">INDIRECT(ADDRESS(11+(MATCH(RIGHT(Table11[[#This Row],[spawner_sku]],LEN(Table11[[#This Row],[spawner_sku]])-FIND("/",Table11[[#This Row],[spawner_sku]])),Table1[Entity Prefab],0)),10,1,1,"Entities"))</f>
        <v>25</v>
      </c>
      <c r="CF38">
        <f ca="1">ROUND((Table11[[#This Row],[XP]]*Table11[[#This Row],[entity_spawned (AVG)]])*(Table11[[#This Row],[activating_chance]]/100),0)</f>
        <v>88</v>
      </c>
      <c r="CG38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8" s="72">
        <v>3</v>
      </c>
      <c r="CI38" s="72">
        <v>4</v>
      </c>
      <c r="CJ38" s="72" t="b">
        <v>0</v>
      </c>
      <c r="CL38" t="s">
        <v>228</v>
      </c>
      <c r="CM38">
        <v>3.5</v>
      </c>
      <c r="CN38">
        <v>180</v>
      </c>
      <c r="CO38">
        <v>100</v>
      </c>
      <c r="CP38" s="75">
        <f ca="1">INDIRECT(ADDRESS(11+(MATCH(RIGHT(Table12[[#This Row],[spawner_sku]],LEN(Table12[[#This Row],[spawner_sku]])-FIND("/",Table12[[#This Row],[spawner_sku]])),Table1[Entity Prefab],0)),10,1,1,"Entities"))</f>
        <v>25</v>
      </c>
      <c r="CQ38" s="75">
        <f ca="1">ROUND((Table12[[#This Row],[XP]]*Table12[[#This Row],[entity_spawned (AVG)]])*(Table12[[#This Row],[activating_chance]]/100),0)</f>
        <v>88</v>
      </c>
      <c r="CR38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38" s="72">
        <v>3</v>
      </c>
      <c r="CT38" s="72">
        <v>4</v>
      </c>
      <c r="CU38" s="72" t="b">
        <v>0</v>
      </c>
      <c r="CW38" t="s">
        <v>227</v>
      </c>
      <c r="CX38">
        <v>11</v>
      </c>
      <c r="CY38">
        <v>280</v>
      </c>
      <c r="CZ38">
        <v>100</v>
      </c>
      <c r="DA38" s="75">
        <f ca="1">INDIRECT(ADDRESS(11+(MATCH(RIGHT(Table13[[#This Row],[spawner_sku]],LEN(Table13[[#This Row],[spawner_sku]])-FIND("/",Table13[[#This Row],[spawner_sku]])),Table1[Entity Prefab],0)),10,1,1,"Entities"))</f>
        <v>25</v>
      </c>
      <c r="DB38" s="75">
        <f ca="1">ROUND((Table13[[#This Row],[XP]]*Table13[[#This Row],[entity_spawned (AVG)]])*(Table13[[#This Row],[activating_chance]]/100),0)</f>
        <v>275</v>
      </c>
      <c r="DC38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8" s="72">
        <v>10</v>
      </c>
      <c r="DE38" s="72">
        <v>12</v>
      </c>
      <c r="DF38" s="72" t="b">
        <v>1</v>
      </c>
      <c r="DH38" t="s">
        <v>226</v>
      </c>
      <c r="DI38">
        <v>1</v>
      </c>
      <c r="DJ38">
        <v>120</v>
      </c>
      <c r="DK38">
        <v>100</v>
      </c>
      <c r="DL38" s="75">
        <f ca="1">INDIRECT(ADDRESS(11+(MATCH(RIGHT(Table14[[#This Row],[spawner_sku]],LEN(Table14[[#This Row],[spawner_sku]])-FIND("/",Table14[[#This Row],[spawner_sku]])),Table1[Entity Prefab],0)),10,1,1,"Entities"))</f>
        <v>55</v>
      </c>
      <c r="DM38" s="75">
        <f ca="1">ROUND((Table14[[#This Row],[XP]]*Table14[[#This Row],[entity_spawned (AVG)]])*(Table14[[#This Row],[activating_chance]]/100),0)</f>
        <v>55</v>
      </c>
      <c r="DN3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8" s="72">
        <v>1</v>
      </c>
      <c r="DP38" s="72">
        <v>1</v>
      </c>
      <c r="DQ38" s="72" t="b">
        <v>0</v>
      </c>
      <c r="DS38" t="s">
        <v>227</v>
      </c>
      <c r="DT38">
        <v>7</v>
      </c>
      <c r="DU38">
        <v>160</v>
      </c>
      <c r="DV38">
        <v>80</v>
      </c>
      <c r="DW38" s="75">
        <f ca="1">INDIRECT(ADDRESS(11+(MATCH(RIGHT(Table18[[#This Row],[spawner_sku]],LEN(Table18[[#This Row],[spawner_sku]])-FIND("/",Table18[[#This Row],[spawner_sku]])),Table1[Entity Prefab],0)),10,1,1,"Entities"))</f>
        <v>25</v>
      </c>
      <c r="DX38" s="75">
        <f ca="1">ROUND((Table18[[#This Row],[XP]]*Table18[[#This Row],[entity_spawned (AVG)]])*(Table18[[#This Row],[activating_chance]]/100),0)</f>
        <v>140</v>
      </c>
      <c r="DY3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38">
        <v>6</v>
      </c>
      <c r="EA38">
        <v>8</v>
      </c>
      <c r="EB38" t="b">
        <v>1</v>
      </c>
      <c r="ED38" t="s">
        <v>227</v>
      </c>
      <c r="EE38">
        <v>2</v>
      </c>
      <c r="EF38">
        <v>100</v>
      </c>
      <c r="EG38">
        <v>100</v>
      </c>
      <c r="EH38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38" s="75">
        <f ca="1">ROUND((Table1820[[#This Row],[XP]]*Table1820[[#This Row],[entity_spawned (AVG)]])*(Table1820[[#This Row],[activating_chance]]/100),0)</f>
        <v>50</v>
      </c>
      <c r="EJ3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38">
        <v>2</v>
      </c>
      <c r="EL38">
        <v>3</v>
      </c>
      <c r="EM38" t="b">
        <v>0</v>
      </c>
      <c r="EO38" t="s">
        <v>7344</v>
      </c>
      <c r="EP38">
        <v>1</v>
      </c>
      <c r="EQ38">
        <v>80</v>
      </c>
      <c r="ER38">
        <v>100</v>
      </c>
      <c r="ES38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ET38" s="75">
        <f ca="1">ROUND((Table182023[[#This Row],[XP]]*Table182023[[#This Row],[entity_spawned (AVG)]])*(Table182023[[#This Row],[activating_chance]]/100),0)</f>
        <v>25</v>
      </c>
      <c r="EU38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38" s="152">
        <v>1</v>
      </c>
      <c r="EW38" s="152">
        <v>1</v>
      </c>
      <c r="EX38" s="152" t="b">
        <v>0</v>
      </c>
      <c r="EZ38" t="s">
        <v>520</v>
      </c>
      <c r="FA38">
        <v>2.5</v>
      </c>
      <c r="FB38">
        <v>90</v>
      </c>
      <c r="FC38">
        <v>100</v>
      </c>
      <c r="FD38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FE38" s="75">
        <f ca="1">ROUND((Table18202324[[#This Row],[XP]]*Table18202324[[#This Row],[entity_spawned (AVG)]])*(Table18202324[[#This Row],[activating_chance]]/100),0)</f>
        <v>88</v>
      </c>
      <c r="FF38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38">
        <v>2</v>
      </c>
      <c r="FH38">
        <v>3</v>
      </c>
      <c r="FI38" t="b">
        <v>0</v>
      </c>
    </row>
    <row r="39" spans="2:165" x14ac:dyDescent="0.25">
      <c r="B39" s="73" t="s">
        <v>228</v>
      </c>
      <c r="C39">
        <v>2.5</v>
      </c>
      <c r="D39">
        <v>140</v>
      </c>
      <c r="E39">
        <v>60</v>
      </c>
      <c r="F39" s="75">
        <f ca="1">INDIRECT(ADDRESS(11+(MATCH(RIGHT(Table245[[#This Row],[spawner_sku]],LEN(Table245[[#This Row],[spawner_sku]])-FIND("/",Table245[[#This Row],[spawner_sku]])),Table1[Entity Prefab],0)),10,1,1,"Entities"))</f>
        <v>25</v>
      </c>
      <c r="G39" s="75">
        <f ca="1">ROUND((Table245[[#This Row],[XP]]*Table245[[#This Row],[entity_spawned (AVG)]])*(Table245[[#This Row],[activating_chance]]/100),0)</f>
        <v>38</v>
      </c>
      <c r="H3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9" s="72">
        <v>2</v>
      </c>
      <c r="J39" s="72">
        <v>3</v>
      </c>
      <c r="K39" s="72" t="b">
        <v>0</v>
      </c>
      <c r="M39" t="s">
        <v>228</v>
      </c>
      <c r="N39">
        <v>1</v>
      </c>
      <c r="O39">
        <v>200</v>
      </c>
      <c r="P39">
        <v>100</v>
      </c>
      <c r="Q39" s="75">
        <f ca="1">INDIRECT(ADDRESS(11+(MATCH(RIGHT(Table3[[#This Row],[spawner_sku]],LEN(Table3[[#This Row],[spawner_sku]])-FIND("/",Table3[[#This Row],[spawner_sku]])),Table1[Entity Prefab],0)),10,1,1,"Entities"))</f>
        <v>25</v>
      </c>
      <c r="R39" s="75">
        <f ca="1">ROUND((Table3[[#This Row],[XP]]*Table3[[#This Row],[entity_spawned (AVG)]])*(Table3[[#This Row],[activating_chance]]/100),0)</f>
        <v>25</v>
      </c>
      <c r="S39" t="str">
        <f ca="1">INDIRECT(ADDRESS(11+(MATCH(RIGHT(Table3[[#This Row],[spawner_sku]],LEN(Table3[[#This Row],[spawner_sku]])-FIND("/",Table3[[#This Row],[spawner_sku]])),Table28[Entity Prefab],0)),24,1,1,"Entities"))</f>
        <v>no</v>
      </c>
      <c r="T39">
        <v>1</v>
      </c>
      <c r="U39">
        <v>1</v>
      </c>
      <c r="V39" t="b">
        <v>0</v>
      </c>
      <c r="W39" s="72"/>
      <c r="X39" t="s">
        <v>232</v>
      </c>
      <c r="Y39">
        <v>1</v>
      </c>
      <c r="Z39">
        <v>250</v>
      </c>
      <c r="AA39">
        <v>100</v>
      </c>
      <c r="AB39" s="75">
        <f ca="1">INDIRECT(ADDRESS(11+(MATCH(RIGHT(Table39[[#This Row],[spawner_sku]],LEN(Table39[[#This Row],[spawner_sku]])-FIND("/",Table39[[#This Row],[spawner_sku]])),Table1[Entity Prefab],0)),10,1,1,"Entities"))</f>
        <v>143</v>
      </c>
      <c r="AC39" s="75">
        <f ca="1">ROUND((Table39[[#This Row],[XP]]*Table39[[#This Row],[entity_spawned (AVG)]])*(Table39[[#This Row],[activating_chance]]/100),0)</f>
        <v>143</v>
      </c>
      <c r="AD39" t="str">
        <f ca="1">INDIRECT(ADDRESS(11+(MATCH(RIGHT(Table39[[#This Row],[spawner_sku]],LEN(Table39[[#This Row],[spawner_sku]])-FIND("/",Table39[[#This Row],[spawner_sku]])),Table28[Entity Prefab],0)),24,1,1,"Entities"))</f>
        <v>yes</v>
      </c>
      <c r="AE39">
        <v>1</v>
      </c>
      <c r="AF39">
        <v>1</v>
      </c>
      <c r="AG39" t="b">
        <v>0</v>
      </c>
      <c r="AI39" t="s">
        <v>228</v>
      </c>
      <c r="AJ39">
        <v>1</v>
      </c>
      <c r="AK39">
        <v>110</v>
      </c>
      <c r="AL39">
        <v>90</v>
      </c>
      <c r="AM39" s="75">
        <f ca="1">INDIRECT(ADDRESS(11+(MATCH(RIGHT(Table2[[#This Row],[spawner_sku]],LEN(Table2[[#This Row],[spawner_sku]])-FIND("/",Table2[[#This Row],[spawner_sku]])),Table1[Entity Prefab],0)),10,1,1,"Entities"))</f>
        <v>25</v>
      </c>
      <c r="AN39" s="75">
        <f ca="1">ROUND((Table2[[#This Row],[XP]]*Table2[[#This Row],[entity_spawned (AVG)]])*(Table2[[#This Row],[activating_chance]]/100),0)</f>
        <v>23</v>
      </c>
      <c r="AO3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9" s="72">
        <v>1</v>
      </c>
      <c r="AQ39" s="72">
        <v>1</v>
      </c>
      <c r="AR39" s="72" t="b">
        <v>0</v>
      </c>
      <c r="AT39" t="s">
        <v>228</v>
      </c>
      <c r="AU39">
        <v>1</v>
      </c>
      <c r="AV39">
        <v>60</v>
      </c>
      <c r="AW39">
        <v>80</v>
      </c>
      <c r="AX39" s="75">
        <f ca="1">INDIRECT(ADDRESS(11+(MATCH(RIGHT(Table6[[#This Row],[spawner_sku]],LEN(Table6[[#This Row],[spawner_sku]])-FIND("/",Table6[[#This Row],[spawner_sku]])),Table1[Entity Prefab],0)),10,1,1,"Entities"))</f>
        <v>25</v>
      </c>
      <c r="AY39" s="75">
        <f ca="1">ROUND((Table6[[#This Row],[XP]]*Table6[[#This Row],[entity_spawned (AVG)]])*(Table6[[#This Row],[activating_chance]]/100),0)</f>
        <v>20</v>
      </c>
      <c r="AZ39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39">
        <v>1</v>
      </c>
      <c r="BB39">
        <v>1</v>
      </c>
      <c r="BC39" t="b">
        <v>0</v>
      </c>
      <c r="BE39" t="s">
        <v>226</v>
      </c>
      <c r="BF39">
        <v>1</v>
      </c>
      <c r="BG39">
        <v>160</v>
      </c>
      <c r="BH39">
        <v>100</v>
      </c>
      <c r="BI39" s="75">
        <f ca="1">INDIRECT(ADDRESS(11+(MATCH(RIGHT(Table610[[#This Row],[spawner_sku]],LEN(Table610[[#This Row],[spawner_sku]])-FIND("/",Table610[[#This Row],[spawner_sku]])),Table1[Entity Prefab],0)),10,1,1,"Entities"))</f>
        <v>55</v>
      </c>
      <c r="BJ39" s="75">
        <f ca="1">ROUND((Table610[[#This Row],[XP]]*Table610[[#This Row],[entity_spawned (AVG)]])*(Table610[[#This Row],[activating_chance]]/100),0)</f>
        <v>55</v>
      </c>
      <c r="BK39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9">
        <v>1</v>
      </c>
      <c r="BM39">
        <v>1</v>
      </c>
      <c r="BN39" t="b">
        <v>0</v>
      </c>
      <c r="BP39" t="s">
        <v>228</v>
      </c>
      <c r="BQ39">
        <v>3</v>
      </c>
      <c r="BR39">
        <v>200</v>
      </c>
      <c r="BS39">
        <v>100</v>
      </c>
      <c r="BT3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9" s="75">
        <f ca="1">ROUND((Table61011[[#This Row],[XP]]*Table61011[[#This Row],[entity_spawned (AVG)]])*(Table61011[[#This Row],[activating_chance]]/100),0)</f>
        <v>75</v>
      </c>
      <c r="BV3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9" s="72">
        <v>3</v>
      </c>
      <c r="BX39" s="72">
        <v>3</v>
      </c>
      <c r="BY39" s="72" t="b">
        <v>0</v>
      </c>
      <c r="CA39" t="s">
        <v>228</v>
      </c>
      <c r="CB39">
        <v>1</v>
      </c>
      <c r="CC39">
        <v>180</v>
      </c>
      <c r="CD39">
        <v>100</v>
      </c>
      <c r="CE39" s="75">
        <f ca="1">INDIRECT(ADDRESS(11+(MATCH(RIGHT(Table11[[#This Row],[spawner_sku]],LEN(Table11[[#This Row],[spawner_sku]])-FIND("/",Table11[[#This Row],[spawner_sku]])),Table1[Entity Prefab],0)),10,1,1,"Entities"))</f>
        <v>25</v>
      </c>
      <c r="CF39">
        <f ca="1">ROUND((Table11[[#This Row],[XP]]*Table11[[#This Row],[entity_spawned (AVG)]])*(Table11[[#This Row],[activating_chance]]/100),0)</f>
        <v>25</v>
      </c>
      <c r="CG39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9" s="72">
        <v>1</v>
      </c>
      <c r="CI39" s="72">
        <v>1</v>
      </c>
      <c r="CJ39" s="72" t="b">
        <v>0</v>
      </c>
      <c r="CL39" t="s">
        <v>228</v>
      </c>
      <c r="CM39">
        <v>3</v>
      </c>
      <c r="CN39">
        <v>180</v>
      </c>
      <c r="CO39">
        <v>100</v>
      </c>
      <c r="CP39" s="75">
        <f ca="1">INDIRECT(ADDRESS(11+(MATCH(RIGHT(Table12[[#This Row],[spawner_sku]],LEN(Table12[[#This Row],[spawner_sku]])-FIND("/",Table12[[#This Row],[spawner_sku]])),Table1[Entity Prefab],0)),10,1,1,"Entities"))</f>
        <v>25</v>
      </c>
      <c r="CQ39" s="75">
        <f ca="1">ROUND((Table12[[#This Row],[XP]]*Table12[[#This Row],[entity_spawned (AVG)]])*(Table12[[#This Row],[activating_chance]]/100),0)</f>
        <v>75</v>
      </c>
      <c r="CR39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39" s="72">
        <v>2</v>
      </c>
      <c r="CT39" s="72">
        <v>4</v>
      </c>
      <c r="CU39" s="72" t="b">
        <v>0</v>
      </c>
      <c r="CW39" t="s">
        <v>227</v>
      </c>
      <c r="CX39">
        <v>11</v>
      </c>
      <c r="CY39">
        <v>280</v>
      </c>
      <c r="CZ39">
        <v>100</v>
      </c>
      <c r="DA39" s="75">
        <f ca="1">INDIRECT(ADDRESS(11+(MATCH(RIGHT(Table13[[#This Row],[spawner_sku]],LEN(Table13[[#This Row],[spawner_sku]])-FIND("/",Table13[[#This Row],[spawner_sku]])),Table1[Entity Prefab],0)),10,1,1,"Entities"))</f>
        <v>25</v>
      </c>
      <c r="DB39" s="75">
        <f ca="1">ROUND((Table13[[#This Row],[XP]]*Table13[[#This Row],[entity_spawned (AVG)]])*(Table13[[#This Row],[activating_chance]]/100),0)</f>
        <v>275</v>
      </c>
      <c r="DC39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9" s="72">
        <v>10</v>
      </c>
      <c r="DE39" s="72">
        <v>12</v>
      </c>
      <c r="DF39" s="72" t="b">
        <v>1</v>
      </c>
      <c r="DH39" t="s">
        <v>226</v>
      </c>
      <c r="DI39">
        <v>1</v>
      </c>
      <c r="DJ39">
        <v>200</v>
      </c>
      <c r="DK39">
        <v>100</v>
      </c>
      <c r="DL39" s="75">
        <f ca="1">INDIRECT(ADDRESS(11+(MATCH(RIGHT(Table14[[#This Row],[spawner_sku]],LEN(Table14[[#This Row],[spawner_sku]])-FIND("/",Table14[[#This Row],[spawner_sku]])),Table1[Entity Prefab],0)),10,1,1,"Entities"))</f>
        <v>55</v>
      </c>
      <c r="DM39" s="75">
        <f ca="1">ROUND((Table14[[#This Row],[XP]]*Table14[[#This Row],[entity_spawned (AVG)]])*(Table14[[#This Row],[activating_chance]]/100),0)</f>
        <v>55</v>
      </c>
      <c r="DN3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9" s="72">
        <v>1</v>
      </c>
      <c r="DP39" s="72">
        <v>1</v>
      </c>
      <c r="DQ39" s="72" t="b">
        <v>0</v>
      </c>
      <c r="DS39" t="s">
        <v>227</v>
      </c>
      <c r="DT39">
        <v>6</v>
      </c>
      <c r="DU39">
        <v>150</v>
      </c>
      <c r="DV39">
        <v>100</v>
      </c>
      <c r="DW39" s="75">
        <f ca="1">INDIRECT(ADDRESS(11+(MATCH(RIGHT(Table18[[#This Row],[spawner_sku]],LEN(Table18[[#This Row],[spawner_sku]])-FIND("/",Table18[[#This Row],[spawner_sku]])),Table1[Entity Prefab],0)),10,1,1,"Entities"))</f>
        <v>25</v>
      </c>
      <c r="DX39" s="75">
        <f ca="1">ROUND((Table18[[#This Row],[XP]]*Table18[[#This Row],[entity_spawned (AVG)]])*(Table18[[#This Row],[activating_chance]]/100),0)</f>
        <v>150</v>
      </c>
      <c r="DY3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39">
        <v>5</v>
      </c>
      <c r="EA39">
        <v>8</v>
      </c>
      <c r="EB39" t="b">
        <v>1</v>
      </c>
      <c r="ED39" t="s">
        <v>227</v>
      </c>
      <c r="EE39">
        <v>3</v>
      </c>
      <c r="EF39">
        <v>140</v>
      </c>
      <c r="EG39">
        <v>100</v>
      </c>
      <c r="EH3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39" s="75">
        <f ca="1">ROUND((Table1820[[#This Row],[XP]]*Table1820[[#This Row],[entity_spawned (AVG)]])*(Table1820[[#This Row],[activating_chance]]/100),0)</f>
        <v>75</v>
      </c>
      <c r="EJ3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39">
        <v>3</v>
      </c>
      <c r="EL39">
        <v>4</v>
      </c>
      <c r="EM39" t="b">
        <v>0</v>
      </c>
      <c r="EO39" t="s">
        <v>7344</v>
      </c>
      <c r="EP39">
        <v>1</v>
      </c>
      <c r="EQ39">
        <v>80</v>
      </c>
      <c r="ER39">
        <v>100</v>
      </c>
      <c r="ES39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ET39" s="75">
        <f ca="1">ROUND((Table182023[[#This Row],[XP]]*Table182023[[#This Row],[entity_spawned (AVG)]])*(Table182023[[#This Row],[activating_chance]]/100),0)</f>
        <v>25</v>
      </c>
      <c r="EU39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39" s="152">
        <v>1</v>
      </c>
      <c r="EW39" s="152">
        <v>1</v>
      </c>
      <c r="EX39" s="152" t="b">
        <v>0</v>
      </c>
      <c r="EZ39" t="s">
        <v>520</v>
      </c>
      <c r="FA39">
        <v>2</v>
      </c>
      <c r="FB39">
        <v>90</v>
      </c>
      <c r="FC39">
        <v>100</v>
      </c>
      <c r="FD39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FE39" s="75">
        <f ca="1">ROUND((Table18202324[[#This Row],[XP]]*Table18202324[[#This Row],[entity_spawned (AVG)]])*(Table18202324[[#This Row],[activating_chance]]/100),0)</f>
        <v>70</v>
      </c>
      <c r="FF39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39">
        <v>1</v>
      </c>
      <c r="FH39">
        <v>3</v>
      </c>
      <c r="FI39" t="b">
        <v>0</v>
      </c>
    </row>
    <row r="40" spans="2:165" x14ac:dyDescent="0.25">
      <c r="B40" s="73" t="s">
        <v>228</v>
      </c>
      <c r="C40">
        <v>1</v>
      </c>
      <c r="D40">
        <v>80</v>
      </c>
      <c r="E40">
        <v>100</v>
      </c>
      <c r="F40" s="75">
        <f ca="1">INDIRECT(ADDRESS(11+(MATCH(RIGHT(Table245[[#This Row],[spawner_sku]],LEN(Table245[[#This Row],[spawner_sku]])-FIND("/",Table245[[#This Row],[spawner_sku]])),Table1[Entity Prefab],0)),10,1,1,"Entities"))</f>
        <v>25</v>
      </c>
      <c r="G40" s="75">
        <f ca="1">ROUND((Table245[[#This Row],[XP]]*Table245[[#This Row],[entity_spawned (AVG)]])*(Table245[[#This Row],[activating_chance]]/100),0)</f>
        <v>25</v>
      </c>
      <c r="H4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0" s="72">
        <v>1</v>
      </c>
      <c r="J40" s="72">
        <v>1</v>
      </c>
      <c r="K40" s="72" t="b">
        <v>0</v>
      </c>
      <c r="M40" t="s">
        <v>228</v>
      </c>
      <c r="N40">
        <v>2</v>
      </c>
      <c r="O40">
        <v>130</v>
      </c>
      <c r="P40">
        <v>100</v>
      </c>
      <c r="Q40" s="75">
        <f ca="1">INDIRECT(ADDRESS(11+(MATCH(RIGHT(Table3[[#This Row],[spawner_sku]],LEN(Table3[[#This Row],[spawner_sku]])-FIND("/",Table3[[#This Row],[spawner_sku]])),Table1[Entity Prefab],0)),10,1,1,"Entities"))</f>
        <v>25</v>
      </c>
      <c r="R40" s="75">
        <f ca="1">ROUND((Table3[[#This Row],[XP]]*Table3[[#This Row],[entity_spawned (AVG)]])*(Table3[[#This Row],[activating_chance]]/100),0)</f>
        <v>50</v>
      </c>
      <c r="S40" t="str">
        <f ca="1">INDIRECT(ADDRESS(11+(MATCH(RIGHT(Table3[[#This Row],[spawner_sku]],LEN(Table3[[#This Row],[spawner_sku]])-FIND("/",Table3[[#This Row],[spawner_sku]])),Table28[Entity Prefab],0)),24,1,1,"Entities"))</f>
        <v>no</v>
      </c>
      <c r="T40">
        <v>1</v>
      </c>
      <c r="U40">
        <v>3</v>
      </c>
      <c r="V40" t="b">
        <v>0</v>
      </c>
      <c r="W40" s="72"/>
      <c r="X40" t="s">
        <v>232</v>
      </c>
      <c r="Y40">
        <v>1</v>
      </c>
      <c r="Z40">
        <v>250</v>
      </c>
      <c r="AA40">
        <v>100</v>
      </c>
      <c r="AB40" s="75">
        <f ca="1">INDIRECT(ADDRESS(11+(MATCH(RIGHT(Table39[[#This Row],[spawner_sku]],LEN(Table39[[#This Row],[spawner_sku]])-FIND("/",Table39[[#This Row],[spawner_sku]])),Table1[Entity Prefab],0)),10,1,1,"Entities"))</f>
        <v>143</v>
      </c>
      <c r="AC40" s="75">
        <f ca="1">ROUND((Table39[[#This Row],[XP]]*Table39[[#This Row],[entity_spawned (AVG)]])*(Table39[[#This Row],[activating_chance]]/100),0)</f>
        <v>143</v>
      </c>
      <c r="AD40" t="str">
        <f ca="1">INDIRECT(ADDRESS(11+(MATCH(RIGHT(Table39[[#This Row],[spawner_sku]],LEN(Table39[[#This Row],[spawner_sku]])-FIND("/",Table39[[#This Row],[spawner_sku]])),Table28[Entity Prefab],0)),24,1,1,"Entities"))</f>
        <v>yes</v>
      </c>
      <c r="AE40">
        <v>1</v>
      </c>
      <c r="AF40">
        <v>1</v>
      </c>
      <c r="AG40" t="b">
        <v>0</v>
      </c>
      <c r="AI40" t="s">
        <v>228</v>
      </c>
      <c r="AJ40">
        <v>2</v>
      </c>
      <c r="AK40">
        <v>110</v>
      </c>
      <c r="AL40">
        <v>100</v>
      </c>
      <c r="AM40" s="75">
        <f ca="1">INDIRECT(ADDRESS(11+(MATCH(RIGHT(Table2[[#This Row],[spawner_sku]],LEN(Table2[[#This Row],[spawner_sku]])-FIND("/",Table2[[#This Row],[spawner_sku]])),Table1[Entity Prefab],0)),10,1,1,"Entities"))</f>
        <v>25</v>
      </c>
      <c r="AN40" s="75">
        <f ca="1">ROUND((Table2[[#This Row],[XP]]*Table2[[#This Row],[entity_spawned (AVG)]])*(Table2[[#This Row],[activating_chance]]/100),0)</f>
        <v>50</v>
      </c>
      <c r="AO4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0" s="72">
        <v>1</v>
      </c>
      <c r="AQ40" s="72">
        <v>3</v>
      </c>
      <c r="AR40" s="72" t="b">
        <v>0</v>
      </c>
      <c r="AT40" t="s">
        <v>228</v>
      </c>
      <c r="AU40">
        <v>1</v>
      </c>
      <c r="AV40">
        <v>90</v>
      </c>
      <c r="AW40">
        <v>100</v>
      </c>
      <c r="AX40" s="75">
        <f ca="1">INDIRECT(ADDRESS(11+(MATCH(RIGHT(Table6[[#This Row],[spawner_sku]],LEN(Table6[[#This Row],[spawner_sku]])-FIND("/",Table6[[#This Row],[spawner_sku]])),Table1[Entity Prefab],0)),10,1,1,"Entities"))</f>
        <v>25</v>
      </c>
      <c r="AY40" s="75">
        <f ca="1">ROUND((Table6[[#This Row],[XP]]*Table6[[#This Row],[entity_spawned (AVG)]])*(Table6[[#This Row],[activating_chance]]/100),0)</f>
        <v>25</v>
      </c>
      <c r="AZ40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40">
        <v>1</v>
      </c>
      <c r="BB40">
        <v>1</v>
      </c>
      <c r="BC40" t="b">
        <v>0</v>
      </c>
      <c r="BE40" t="s">
        <v>227</v>
      </c>
      <c r="BF40">
        <v>6.5</v>
      </c>
      <c r="BG40">
        <v>120</v>
      </c>
      <c r="BH40">
        <v>100</v>
      </c>
      <c r="BI40" s="75">
        <f ca="1">INDIRECT(ADDRESS(11+(MATCH(RIGHT(Table610[[#This Row],[spawner_sku]],LEN(Table610[[#This Row],[spawner_sku]])-FIND("/",Table610[[#This Row],[spawner_sku]])),Table1[Entity Prefab],0)),10,1,1,"Entities"))</f>
        <v>25</v>
      </c>
      <c r="BJ40" s="75">
        <f ca="1">ROUND((Table610[[#This Row],[XP]]*Table610[[#This Row],[entity_spawned (AVG)]])*(Table610[[#This Row],[activating_chance]]/100),0)</f>
        <v>163</v>
      </c>
      <c r="BK40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0">
        <v>5</v>
      </c>
      <c r="BM40">
        <v>8</v>
      </c>
      <c r="BN40" t="b">
        <v>1</v>
      </c>
      <c r="BP40" t="s">
        <v>228</v>
      </c>
      <c r="BQ40">
        <v>5</v>
      </c>
      <c r="BR40">
        <v>220</v>
      </c>
      <c r="BS40">
        <v>100</v>
      </c>
      <c r="BT4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0" s="75">
        <f ca="1">ROUND((Table61011[[#This Row],[XP]]*Table61011[[#This Row],[entity_spawned (AVG)]])*(Table61011[[#This Row],[activating_chance]]/100),0)</f>
        <v>125</v>
      </c>
      <c r="BV4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0" s="72">
        <v>5</v>
      </c>
      <c r="BX40" s="72">
        <v>5</v>
      </c>
      <c r="BY40" s="72" t="b">
        <v>1</v>
      </c>
      <c r="CA40" t="s">
        <v>228</v>
      </c>
      <c r="CB40">
        <v>1.5</v>
      </c>
      <c r="CC40">
        <v>180</v>
      </c>
      <c r="CD40">
        <v>30</v>
      </c>
      <c r="CE40" s="75">
        <f ca="1">INDIRECT(ADDRESS(11+(MATCH(RIGHT(Table11[[#This Row],[spawner_sku]],LEN(Table11[[#This Row],[spawner_sku]])-FIND("/",Table11[[#This Row],[spawner_sku]])),Table1[Entity Prefab],0)),10,1,1,"Entities"))</f>
        <v>25</v>
      </c>
      <c r="CF40">
        <f ca="1">ROUND((Table11[[#This Row],[XP]]*Table11[[#This Row],[entity_spawned (AVG)]])*(Table11[[#This Row],[activating_chance]]/100),0)</f>
        <v>11</v>
      </c>
      <c r="CG40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40" s="72">
        <v>1</v>
      </c>
      <c r="CI40" s="72">
        <v>2</v>
      </c>
      <c r="CJ40" s="72" t="b">
        <v>0</v>
      </c>
      <c r="CL40" t="s">
        <v>228</v>
      </c>
      <c r="CM40">
        <v>1</v>
      </c>
      <c r="CN40">
        <v>180</v>
      </c>
      <c r="CO40">
        <v>100</v>
      </c>
      <c r="CP40" s="75">
        <f ca="1">INDIRECT(ADDRESS(11+(MATCH(RIGHT(Table12[[#This Row],[spawner_sku]],LEN(Table12[[#This Row],[spawner_sku]])-FIND("/",Table12[[#This Row],[spawner_sku]])),Table1[Entity Prefab],0)),10,1,1,"Entities"))</f>
        <v>25</v>
      </c>
      <c r="CQ40" s="75">
        <f ca="1">ROUND((Table12[[#This Row],[XP]]*Table12[[#This Row],[entity_spawned (AVG)]])*(Table12[[#This Row],[activating_chance]]/100),0)</f>
        <v>25</v>
      </c>
      <c r="CR40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40" s="72">
        <v>1</v>
      </c>
      <c r="CT40" s="72">
        <v>1</v>
      </c>
      <c r="CU40" s="72" t="b">
        <v>0</v>
      </c>
      <c r="CW40" t="s">
        <v>227</v>
      </c>
      <c r="CX40">
        <v>9</v>
      </c>
      <c r="CY40">
        <v>280</v>
      </c>
      <c r="CZ40">
        <v>100</v>
      </c>
      <c r="DA40" s="75">
        <f ca="1">INDIRECT(ADDRESS(11+(MATCH(RIGHT(Table13[[#This Row],[spawner_sku]],LEN(Table13[[#This Row],[spawner_sku]])-FIND("/",Table13[[#This Row],[spawner_sku]])),Table1[Entity Prefab],0)),10,1,1,"Entities"))</f>
        <v>25</v>
      </c>
      <c r="DB40" s="75">
        <f ca="1">ROUND((Table13[[#This Row],[XP]]*Table13[[#This Row],[entity_spawned (AVG)]])*(Table13[[#This Row],[activating_chance]]/100),0)</f>
        <v>225</v>
      </c>
      <c r="DC40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40" s="72">
        <v>8</v>
      </c>
      <c r="DE40" s="72">
        <v>10</v>
      </c>
      <c r="DF40" s="72" t="b">
        <v>1</v>
      </c>
      <c r="DH40" t="s">
        <v>226</v>
      </c>
      <c r="DI40">
        <v>1</v>
      </c>
      <c r="DJ40">
        <v>150</v>
      </c>
      <c r="DK40">
        <v>30</v>
      </c>
      <c r="DL40" s="75">
        <f ca="1">INDIRECT(ADDRESS(11+(MATCH(RIGHT(Table14[[#This Row],[spawner_sku]],LEN(Table14[[#This Row],[spawner_sku]])-FIND("/",Table14[[#This Row],[spawner_sku]])),Table1[Entity Prefab],0)),10,1,1,"Entities"))</f>
        <v>55</v>
      </c>
      <c r="DM40" s="75">
        <f ca="1">ROUND((Table14[[#This Row],[XP]]*Table14[[#This Row],[entity_spawned (AVG)]])*(Table14[[#This Row],[activating_chance]]/100),0)</f>
        <v>17</v>
      </c>
      <c r="DN4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40" s="72">
        <v>1</v>
      </c>
      <c r="DP40" s="72">
        <v>1</v>
      </c>
      <c r="DQ40" s="72" t="b">
        <v>0</v>
      </c>
      <c r="DS40" t="s">
        <v>227</v>
      </c>
      <c r="DT40">
        <v>4</v>
      </c>
      <c r="DU40">
        <v>120</v>
      </c>
      <c r="DV40">
        <v>100</v>
      </c>
      <c r="DW40" s="75">
        <f ca="1">INDIRECT(ADDRESS(11+(MATCH(RIGHT(Table18[[#This Row],[spawner_sku]],LEN(Table18[[#This Row],[spawner_sku]])-FIND("/",Table18[[#This Row],[spawner_sku]])),Table1[Entity Prefab],0)),10,1,1,"Entities"))</f>
        <v>25</v>
      </c>
      <c r="DX40" s="75">
        <f ca="1">ROUND((Table18[[#This Row],[XP]]*Table18[[#This Row],[entity_spawned (AVG)]])*(Table18[[#This Row],[activating_chance]]/100),0)</f>
        <v>100</v>
      </c>
      <c r="DY4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40">
        <v>4</v>
      </c>
      <c r="EA40">
        <v>4</v>
      </c>
      <c r="EB40" t="b">
        <v>0</v>
      </c>
      <c r="ED40" t="s">
        <v>227</v>
      </c>
      <c r="EE40">
        <v>3</v>
      </c>
      <c r="EF40">
        <v>140</v>
      </c>
      <c r="EG40">
        <v>100</v>
      </c>
      <c r="EH40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40" s="75">
        <f ca="1">ROUND((Table1820[[#This Row],[XP]]*Table1820[[#This Row],[entity_spawned (AVG)]])*(Table1820[[#This Row],[activating_chance]]/100),0)</f>
        <v>75</v>
      </c>
      <c r="EJ4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40">
        <v>2</v>
      </c>
      <c r="EL40">
        <v>4</v>
      </c>
      <c r="EM40" t="b">
        <v>0</v>
      </c>
      <c r="EO40" t="s">
        <v>246</v>
      </c>
      <c r="EP40">
        <v>1</v>
      </c>
      <c r="EQ40">
        <v>500</v>
      </c>
      <c r="ER40">
        <v>80</v>
      </c>
      <c r="ES40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ET40" s="75">
        <f ca="1">ROUND((Table182023[[#This Row],[XP]]*Table182023[[#This Row],[entity_spawned (AVG)]])*(Table182023[[#This Row],[activating_chance]]/100),0)</f>
        <v>20</v>
      </c>
      <c r="EU40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40" s="152">
        <v>1</v>
      </c>
      <c r="EW40" s="152">
        <v>1</v>
      </c>
      <c r="EX40" s="152" t="b">
        <v>0</v>
      </c>
      <c r="EZ40" t="s">
        <v>520</v>
      </c>
      <c r="FA40">
        <v>1.5</v>
      </c>
      <c r="FB40">
        <v>90</v>
      </c>
      <c r="FC40">
        <v>100</v>
      </c>
      <c r="FD40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FE40" s="75">
        <f ca="1">ROUND((Table18202324[[#This Row],[XP]]*Table18202324[[#This Row],[entity_spawned (AVG)]])*(Table18202324[[#This Row],[activating_chance]]/100),0)</f>
        <v>53</v>
      </c>
      <c r="FF40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40">
        <v>1</v>
      </c>
      <c r="FH40">
        <v>2</v>
      </c>
      <c r="FI40" t="b">
        <v>0</v>
      </c>
    </row>
    <row r="41" spans="2:165" x14ac:dyDescent="0.25">
      <c r="B41" s="73" t="s">
        <v>228</v>
      </c>
      <c r="C41">
        <v>1</v>
      </c>
      <c r="D41">
        <v>80</v>
      </c>
      <c r="E41">
        <v>100</v>
      </c>
      <c r="F41" s="75">
        <f ca="1">INDIRECT(ADDRESS(11+(MATCH(RIGHT(Table245[[#This Row],[spawner_sku]],LEN(Table245[[#This Row],[spawner_sku]])-FIND("/",Table245[[#This Row],[spawner_sku]])),Table1[Entity Prefab],0)),10,1,1,"Entities"))</f>
        <v>25</v>
      </c>
      <c r="G41" s="75">
        <f ca="1">ROUND((Table245[[#This Row],[XP]]*Table245[[#This Row],[entity_spawned (AVG)]])*(Table245[[#This Row],[activating_chance]]/100),0)</f>
        <v>25</v>
      </c>
      <c r="H4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1" s="72">
        <v>1</v>
      </c>
      <c r="J41" s="72">
        <v>1</v>
      </c>
      <c r="K41" s="72" t="b">
        <v>0</v>
      </c>
      <c r="M41" t="s">
        <v>228</v>
      </c>
      <c r="N41">
        <v>1</v>
      </c>
      <c r="O41">
        <v>80</v>
      </c>
      <c r="P41">
        <v>30</v>
      </c>
      <c r="Q41" s="75">
        <f ca="1">INDIRECT(ADDRESS(11+(MATCH(RIGHT(Table3[[#This Row],[spawner_sku]],LEN(Table3[[#This Row],[spawner_sku]])-FIND("/",Table3[[#This Row],[spawner_sku]])),Table1[Entity Prefab],0)),10,1,1,"Entities"))</f>
        <v>25</v>
      </c>
      <c r="R41" s="75">
        <f ca="1">ROUND((Table3[[#This Row],[XP]]*Table3[[#This Row],[entity_spawned (AVG)]])*(Table3[[#This Row],[activating_chance]]/100),0)</f>
        <v>8</v>
      </c>
      <c r="S41" t="str">
        <f ca="1">INDIRECT(ADDRESS(11+(MATCH(RIGHT(Table3[[#This Row],[spawner_sku]],LEN(Table3[[#This Row],[spawner_sku]])-FIND("/",Table3[[#This Row],[spawner_sku]])),Table28[Entity Prefab],0)),24,1,1,"Entities"))</f>
        <v>no</v>
      </c>
      <c r="T41">
        <v>1</v>
      </c>
      <c r="U41">
        <v>1</v>
      </c>
      <c r="V41" t="b">
        <v>0</v>
      </c>
      <c r="W41" s="72"/>
      <c r="X41" t="s">
        <v>232</v>
      </c>
      <c r="Y41">
        <v>1</v>
      </c>
      <c r="Z41">
        <v>250</v>
      </c>
      <c r="AA41">
        <v>100</v>
      </c>
      <c r="AB41" s="75">
        <f ca="1">INDIRECT(ADDRESS(11+(MATCH(RIGHT(Table39[[#This Row],[spawner_sku]],LEN(Table39[[#This Row],[spawner_sku]])-FIND("/",Table39[[#This Row],[spawner_sku]])),Table1[Entity Prefab],0)),10,1,1,"Entities"))</f>
        <v>143</v>
      </c>
      <c r="AC41" s="75">
        <f ca="1">ROUND((Table39[[#This Row],[XP]]*Table39[[#This Row],[entity_spawned (AVG)]])*(Table39[[#This Row],[activating_chance]]/100),0)</f>
        <v>143</v>
      </c>
      <c r="AD41" t="str">
        <f ca="1">INDIRECT(ADDRESS(11+(MATCH(RIGHT(Table39[[#This Row],[spawner_sku]],LEN(Table39[[#This Row],[spawner_sku]])-FIND("/",Table39[[#This Row],[spawner_sku]])),Table28[Entity Prefab],0)),24,1,1,"Entities"))</f>
        <v>yes</v>
      </c>
      <c r="AE41">
        <v>1</v>
      </c>
      <c r="AF41">
        <v>1</v>
      </c>
      <c r="AG41" t="b">
        <v>0</v>
      </c>
      <c r="AI41" t="s">
        <v>228</v>
      </c>
      <c r="AJ41">
        <v>3.5</v>
      </c>
      <c r="AK41">
        <v>170</v>
      </c>
      <c r="AL41">
        <v>100</v>
      </c>
      <c r="AM41" s="75">
        <f ca="1">INDIRECT(ADDRESS(11+(MATCH(RIGHT(Table2[[#This Row],[spawner_sku]],LEN(Table2[[#This Row],[spawner_sku]])-FIND("/",Table2[[#This Row],[spawner_sku]])),Table1[Entity Prefab],0)),10,1,1,"Entities"))</f>
        <v>25</v>
      </c>
      <c r="AN41" s="75">
        <f ca="1">ROUND((Table2[[#This Row],[XP]]*Table2[[#This Row],[entity_spawned (AVG)]])*(Table2[[#This Row],[activating_chance]]/100),0)</f>
        <v>88</v>
      </c>
      <c r="AO4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1" s="72">
        <v>3</v>
      </c>
      <c r="AQ41" s="72">
        <v>4</v>
      </c>
      <c r="AR41" s="72" t="b">
        <v>0</v>
      </c>
      <c r="AT41" t="s">
        <v>228</v>
      </c>
      <c r="AU41">
        <v>3</v>
      </c>
      <c r="AV41">
        <v>90</v>
      </c>
      <c r="AW41">
        <v>100</v>
      </c>
      <c r="AX41" s="75">
        <f ca="1">INDIRECT(ADDRESS(11+(MATCH(RIGHT(Table6[[#This Row],[spawner_sku]],LEN(Table6[[#This Row],[spawner_sku]])-FIND("/",Table6[[#This Row],[spawner_sku]])),Table1[Entity Prefab],0)),10,1,1,"Entities"))</f>
        <v>25</v>
      </c>
      <c r="AY41" s="75">
        <f ca="1">ROUND((Table6[[#This Row],[XP]]*Table6[[#This Row],[entity_spawned (AVG)]])*(Table6[[#This Row],[activating_chance]]/100),0)</f>
        <v>75</v>
      </c>
      <c r="AZ41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41">
        <v>2</v>
      </c>
      <c r="BB41">
        <v>4</v>
      </c>
      <c r="BC41" t="b">
        <v>0</v>
      </c>
      <c r="BE41" t="s">
        <v>227</v>
      </c>
      <c r="BF41">
        <v>6.5</v>
      </c>
      <c r="BG41">
        <v>120</v>
      </c>
      <c r="BH41">
        <v>100</v>
      </c>
      <c r="BI41" s="75">
        <f ca="1">INDIRECT(ADDRESS(11+(MATCH(RIGHT(Table610[[#This Row],[spawner_sku]],LEN(Table610[[#This Row],[spawner_sku]])-FIND("/",Table610[[#This Row],[spawner_sku]])),Table1[Entity Prefab],0)),10,1,1,"Entities"))</f>
        <v>25</v>
      </c>
      <c r="BJ41" s="75">
        <f ca="1">ROUND((Table610[[#This Row],[XP]]*Table610[[#This Row],[entity_spawned (AVG)]])*(Table610[[#This Row],[activating_chance]]/100),0)</f>
        <v>163</v>
      </c>
      <c r="BK41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1">
        <v>5</v>
      </c>
      <c r="BM41">
        <v>8</v>
      </c>
      <c r="BN41" t="b">
        <v>1</v>
      </c>
      <c r="BP41" t="s">
        <v>228</v>
      </c>
      <c r="BQ41">
        <v>5</v>
      </c>
      <c r="BR41">
        <v>220</v>
      </c>
      <c r="BS41">
        <v>80</v>
      </c>
      <c r="BT4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1" s="75">
        <f ca="1">ROUND((Table61011[[#This Row],[XP]]*Table61011[[#This Row],[entity_spawned (AVG)]])*(Table61011[[#This Row],[activating_chance]]/100),0)</f>
        <v>100</v>
      </c>
      <c r="BV4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1" s="72">
        <v>5</v>
      </c>
      <c r="BX41" s="72">
        <v>5</v>
      </c>
      <c r="BY41" s="72" t="b">
        <v>1</v>
      </c>
      <c r="CA41" t="s">
        <v>228</v>
      </c>
      <c r="CB41">
        <v>3.5</v>
      </c>
      <c r="CC41">
        <v>180</v>
      </c>
      <c r="CD41">
        <v>100</v>
      </c>
      <c r="CE41" s="75">
        <f ca="1">INDIRECT(ADDRESS(11+(MATCH(RIGHT(Table11[[#This Row],[spawner_sku]],LEN(Table11[[#This Row],[spawner_sku]])-FIND("/",Table11[[#This Row],[spawner_sku]])),Table1[Entity Prefab],0)),10,1,1,"Entities"))</f>
        <v>25</v>
      </c>
      <c r="CF41">
        <f ca="1">ROUND((Table11[[#This Row],[XP]]*Table11[[#This Row],[entity_spawned (AVG)]])*(Table11[[#This Row],[activating_chance]]/100),0)</f>
        <v>88</v>
      </c>
      <c r="CG41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41" s="72">
        <v>3</v>
      </c>
      <c r="CI41" s="72">
        <v>4</v>
      </c>
      <c r="CJ41" s="72" t="b">
        <v>0</v>
      </c>
      <c r="CL41" t="s">
        <v>228</v>
      </c>
      <c r="CM41">
        <v>3</v>
      </c>
      <c r="CN41">
        <v>180</v>
      </c>
      <c r="CO41">
        <v>100</v>
      </c>
      <c r="CP41" s="75">
        <f ca="1">INDIRECT(ADDRESS(11+(MATCH(RIGHT(Table12[[#This Row],[spawner_sku]],LEN(Table12[[#This Row],[spawner_sku]])-FIND("/",Table12[[#This Row],[spawner_sku]])),Table1[Entity Prefab],0)),10,1,1,"Entities"))</f>
        <v>25</v>
      </c>
      <c r="CQ41" s="75">
        <f ca="1">ROUND((Table12[[#This Row],[XP]]*Table12[[#This Row],[entity_spawned (AVG)]])*(Table12[[#This Row],[activating_chance]]/100),0)</f>
        <v>75</v>
      </c>
      <c r="CR41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41" s="72">
        <v>2</v>
      </c>
      <c r="CT41" s="72">
        <v>4</v>
      </c>
      <c r="CU41" s="72" t="b">
        <v>0</v>
      </c>
      <c r="CW41" t="s">
        <v>227</v>
      </c>
      <c r="CX41">
        <v>11</v>
      </c>
      <c r="CY41">
        <v>280</v>
      </c>
      <c r="CZ41">
        <v>100</v>
      </c>
      <c r="DA41" s="75">
        <f ca="1">INDIRECT(ADDRESS(11+(MATCH(RIGHT(Table13[[#This Row],[spawner_sku]],LEN(Table13[[#This Row],[spawner_sku]])-FIND("/",Table13[[#This Row],[spawner_sku]])),Table1[Entity Prefab],0)),10,1,1,"Entities"))</f>
        <v>25</v>
      </c>
      <c r="DB41" s="75">
        <f ca="1">ROUND((Table13[[#This Row],[XP]]*Table13[[#This Row],[entity_spawned (AVG)]])*(Table13[[#This Row],[activating_chance]]/100),0)</f>
        <v>275</v>
      </c>
      <c r="DC41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41" s="72">
        <v>10</v>
      </c>
      <c r="DE41" s="72">
        <v>12</v>
      </c>
      <c r="DF41" s="72" t="b">
        <v>1</v>
      </c>
      <c r="DH41" t="s">
        <v>226</v>
      </c>
      <c r="DI41">
        <v>1</v>
      </c>
      <c r="DJ41">
        <v>260</v>
      </c>
      <c r="DK41">
        <v>30</v>
      </c>
      <c r="DL41" s="75">
        <f ca="1">INDIRECT(ADDRESS(11+(MATCH(RIGHT(Table14[[#This Row],[spawner_sku]],LEN(Table14[[#This Row],[spawner_sku]])-FIND("/",Table14[[#This Row],[spawner_sku]])),Table1[Entity Prefab],0)),10,1,1,"Entities"))</f>
        <v>55</v>
      </c>
      <c r="DM41" s="75">
        <f ca="1">ROUND((Table14[[#This Row],[XP]]*Table14[[#This Row],[entity_spawned (AVG)]])*(Table14[[#This Row],[activating_chance]]/100),0)</f>
        <v>17</v>
      </c>
      <c r="DN4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41" s="72">
        <v>1</v>
      </c>
      <c r="DP41" s="72">
        <v>1</v>
      </c>
      <c r="DQ41" s="72" t="b">
        <v>0</v>
      </c>
      <c r="DS41" t="s">
        <v>227</v>
      </c>
      <c r="DT41">
        <v>7</v>
      </c>
      <c r="DU41">
        <v>160</v>
      </c>
      <c r="DV41">
        <v>100</v>
      </c>
      <c r="DW41" s="75">
        <f ca="1">INDIRECT(ADDRESS(11+(MATCH(RIGHT(Table18[[#This Row],[spawner_sku]],LEN(Table18[[#This Row],[spawner_sku]])-FIND("/",Table18[[#This Row],[spawner_sku]])),Table1[Entity Prefab],0)),10,1,1,"Entities"))</f>
        <v>25</v>
      </c>
      <c r="DX41" s="75">
        <f ca="1">ROUND((Table18[[#This Row],[XP]]*Table18[[#This Row],[entity_spawned (AVG)]])*(Table18[[#This Row],[activating_chance]]/100),0)</f>
        <v>175</v>
      </c>
      <c r="DY4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41">
        <v>6</v>
      </c>
      <c r="EA41">
        <v>8</v>
      </c>
      <c r="EB41" t="b">
        <v>1</v>
      </c>
      <c r="ED41" t="s">
        <v>227</v>
      </c>
      <c r="EE41">
        <v>7</v>
      </c>
      <c r="EF41">
        <v>160</v>
      </c>
      <c r="EG41">
        <v>30</v>
      </c>
      <c r="EH41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41" s="75">
        <f ca="1">ROUND((Table1820[[#This Row],[XP]]*Table1820[[#This Row],[entity_spawned (AVG)]])*(Table1820[[#This Row],[activating_chance]]/100),0)</f>
        <v>53</v>
      </c>
      <c r="EJ4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41">
        <v>6</v>
      </c>
      <c r="EL41">
        <v>8</v>
      </c>
      <c r="EM41" t="b">
        <v>1</v>
      </c>
      <c r="EO41" t="s">
        <v>246</v>
      </c>
      <c r="EP41">
        <v>1</v>
      </c>
      <c r="EQ41">
        <v>500</v>
      </c>
      <c r="ER41">
        <v>80</v>
      </c>
      <c r="ES41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ET41" s="75">
        <f ca="1">ROUND((Table182023[[#This Row],[XP]]*Table182023[[#This Row],[entity_spawned (AVG)]])*(Table182023[[#This Row],[activating_chance]]/100),0)</f>
        <v>20</v>
      </c>
      <c r="EU41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41" s="152">
        <v>1</v>
      </c>
      <c r="EW41" s="152">
        <v>1</v>
      </c>
      <c r="EX41" s="152" t="b">
        <v>0</v>
      </c>
      <c r="EZ41" t="s">
        <v>520</v>
      </c>
      <c r="FA41">
        <v>2.5</v>
      </c>
      <c r="FB41">
        <v>90</v>
      </c>
      <c r="FC41">
        <v>100</v>
      </c>
      <c r="FD41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FE41" s="75">
        <f ca="1">ROUND((Table18202324[[#This Row],[XP]]*Table18202324[[#This Row],[entity_spawned (AVG)]])*(Table18202324[[#This Row],[activating_chance]]/100),0)</f>
        <v>88</v>
      </c>
      <c r="FF41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41">
        <v>2</v>
      </c>
      <c r="FH41">
        <v>3</v>
      </c>
      <c r="FI41" t="b">
        <v>0</v>
      </c>
    </row>
    <row r="42" spans="2:165" x14ac:dyDescent="0.25">
      <c r="B42" s="73" t="s">
        <v>228</v>
      </c>
      <c r="C42">
        <v>7</v>
      </c>
      <c r="D42">
        <v>170</v>
      </c>
      <c r="E42">
        <v>100</v>
      </c>
      <c r="F42" s="75">
        <f ca="1">INDIRECT(ADDRESS(11+(MATCH(RIGHT(Table245[[#This Row],[spawner_sku]],LEN(Table245[[#This Row],[spawner_sku]])-FIND("/",Table245[[#This Row],[spawner_sku]])),Table1[Entity Prefab],0)),10,1,1,"Entities"))</f>
        <v>25</v>
      </c>
      <c r="G42" s="75">
        <f ca="1">ROUND((Table245[[#This Row],[XP]]*Table245[[#This Row],[entity_spawned (AVG)]])*(Table245[[#This Row],[activating_chance]]/100),0)</f>
        <v>175</v>
      </c>
      <c r="H4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2" s="72">
        <v>6</v>
      </c>
      <c r="J42" s="72">
        <v>8</v>
      </c>
      <c r="K42" s="72" t="b">
        <v>1</v>
      </c>
      <c r="M42" t="s">
        <v>228</v>
      </c>
      <c r="N42">
        <v>1</v>
      </c>
      <c r="O42">
        <v>70</v>
      </c>
      <c r="P42">
        <v>100</v>
      </c>
      <c r="Q42" s="75">
        <f ca="1">INDIRECT(ADDRESS(11+(MATCH(RIGHT(Table3[[#This Row],[spawner_sku]],LEN(Table3[[#This Row],[spawner_sku]])-FIND("/",Table3[[#This Row],[spawner_sku]])),Table1[Entity Prefab],0)),10,1,1,"Entities"))</f>
        <v>25</v>
      </c>
      <c r="R42" s="75">
        <f ca="1">ROUND((Table3[[#This Row],[XP]]*Table3[[#This Row],[entity_spawned (AVG)]])*(Table3[[#This Row],[activating_chance]]/100),0)</f>
        <v>25</v>
      </c>
      <c r="S42" t="str">
        <f ca="1">INDIRECT(ADDRESS(11+(MATCH(RIGHT(Table3[[#This Row],[spawner_sku]],LEN(Table3[[#This Row],[spawner_sku]])-FIND("/",Table3[[#This Row],[spawner_sku]])),Table28[Entity Prefab],0)),24,1,1,"Entities"))</f>
        <v>no</v>
      </c>
      <c r="T42">
        <v>1</v>
      </c>
      <c r="U42">
        <v>1</v>
      </c>
      <c r="V42" t="b">
        <v>0</v>
      </c>
      <c r="W42" s="72"/>
      <c r="X42" t="s">
        <v>336</v>
      </c>
      <c r="Y42">
        <v>1</v>
      </c>
      <c r="Z42">
        <v>300</v>
      </c>
      <c r="AA42">
        <v>100</v>
      </c>
      <c r="AB42" s="75">
        <f ca="1">INDIRECT(ADDRESS(11+(MATCH(RIGHT(Table39[[#This Row],[spawner_sku]],LEN(Table39[[#This Row],[spawner_sku]])-FIND("/",Table39[[#This Row],[spawner_sku]])),Table1[Entity Prefab],0)),10,1,1,"Entities"))</f>
        <v>195</v>
      </c>
      <c r="AC42" s="75">
        <f ca="1">ROUND((Table39[[#This Row],[XP]]*Table39[[#This Row],[entity_spawned (AVG)]])*(Table39[[#This Row],[activating_chance]]/100),0)</f>
        <v>195</v>
      </c>
      <c r="AD42" t="str">
        <f ca="1">INDIRECT(ADDRESS(11+(MATCH(RIGHT(Table39[[#This Row],[spawner_sku]],LEN(Table39[[#This Row],[spawner_sku]])-FIND("/",Table39[[#This Row],[spawner_sku]])),Table28[Entity Prefab],0)),24,1,1,"Entities"))</f>
        <v>yes</v>
      </c>
      <c r="AE42">
        <v>1</v>
      </c>
      <c r="AF42">
        <v>1</v>
      </c>
      <c r="AG42" t="b">
        <v>0</v>
      </c>
      <c r="AI42" t="s">
        <v>228</v>
      </c>
      <c r="AJ42">
        <v>3.5</v>
      </c>
      <c r="AK42">
        <v>100</v>
      </c>
      <c r="AL42">
        <v>100</v>
      </c>
      <c r="AM42" s="75">
        <f ca="1">INDIRECT(ADDRESS(11+(MATCH(RIGHT(Table2[[#This Row],[spawner_sku]],LEN(Table2[[#This Row],[spawner_sku]])-FIND("/",Table2[[#This Row],[spawner_sku]])),Table1[Entity Prefab],0)),10,1,1,"Entities"))</f>
        <v>25</v>
      </c>
      <c r="AN42" s="75">
        <f ca="1">ROUND((Table2[[#This Row],[XP]]*Table2[[#This Row],[entity_spawned (AVG)]])*(Table2[[#This Row],[activating_chance]]/100),0)</f>
        <v>88</v>
      </c>
      <c r="AO4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2" s="72">
        <v>3</v>
      </c>
      <c r="AQ42" s="72">
        <v>4</v>
      </c>
      <c r="AR42" s="72" t="b">
        <v>0</v>
      </c>
      <c r="AT42" t="s">
        <v>228</v>
      </c>
      <c r="AU42">
        <v>1</v>
      </c>
      <c r="AV42">
        <v>60</v>
      </c>
      <c r="AW42">
        <v>100</v>
      </c>
      <c r="AX42" s="75">
        <f ca="1">INDIRECT(ADDRESS(11+(MATCH(RIGHT(Table6[[#This Row],[spawner_sku]],LEN(Table6[[#This Row],[spawner_sku]])-FIND("/",Table6[[#This Row],[spawner_sku]])),Table1[Entity Prefab],0)),10,1,1,"Entities"))</f>
        <v>25</v>
      </c>
      <c r="AY42" s="75">
        <f ca="1">ROUND((Table6[[#This Row],[XP]]*Table6[[#This Row],[entity_spawned (AVG)]])*(Table6[[#This Row],[activating_chance]]/100),0)</f>
        <v>25</v>
      </c>
      <c r="AZ42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42">
        <v>1</v>
      </c>
      <c r="BB42">
        <v>1</v>
      </c>
      <c r="BC42" t="b">
        <v>0</v>
      </c>
      <c r="BE42" t="s">
        <v>227</v>
      </c>
      <c r="BF42">
        <v>6.5</v>
      </c>
      <c r="BG42">
        <v>120</v>
      </c>
      <c r="BH42">
        <v>100</v>
      </c>
      <c r="BI42" s="75">
        <f ca="1">INDIRECT(ADDRESS(11+(MATCH(RIGHT(Table610[[#This Row],[spawner_sku]],LEN(Table610[[#This Row],[spawner_sku]])-FIND("/",Table610[[#This Row],[spawner_sku]])),Table1[Entity Prefab],0)),10,1,1,"Entities"))</f>
        <v>25</v>
      </c>
      <c r="BJ42" s="75">
        <f ca="1">ROUND((Table610[[#This Row],[XP]]*Table610[[#This Row],[entity_spawned (AVG)]])*(Table610[[#This Row],[activating_chance]]/100),0)</f>
        <v>163</v>
      </c>
      <c r="BK42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2">
        <v>5</v>
      </c>
      <c r="BM42">
        <v>8</v>
      </c>
      <c r="BN42" t="b">
        <v>1</v>
      </c>
      <c r="BP42" t="s">
        <v>228</v>
      </c>
      <c r="BQ42">
        <v>1.5</v>
      </c>
      <c r="BR42">
        <v>140</v>
      </c>
      <c r="BS42">
        <v>100</v>
      </c>
      <c r="BT4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2" s="75">
        <f ca="1">ROUND((Table61011[[#This Row],[XP]]*Table61011[[#This Row],[entity_spawned (AVG)]])*(Table61011[[#This Row],[activating_chance]]/100),0)</f>
        <v>38</v>
      </c>
      <c r="BV4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" s="72">
        <v>1</v>
      </c>
      <c r="BX42" s="72">
        <v>2</v>
      </c>
      <c r="BY42" s="72" t="b">
        <v>0</v>
      </c>
      <c r="CA42" t="s">
        <v>228</v>
      </c>
      <c r="CB42">
        <v>10</v>
      </c>
      <c r="CC42">
        <v>180</v>
      </c>
      <c r="CD42">
        <v>100</v>
      </c>
      <c r="CE42" s="75">
        <f ca="1">INDIRECT(ADDRESS(11+(MATCH(RIGHT(Table11[[#This Row],[spawner_sku]],LEN(Table11[[#This Row],[spawner_sku]])-FIND("/",Table11[[#This Row],[spawner_sku]])),Table1[Entity Prefab],0)),10,1,1,"Entities"))</f>
        <v>25</v>
      </c>
      <c r="CF42">
        <f ca="1">ROUND((Table11[[#This Row],[XP]]*Table11[[#This Row],[entity_spawned (AVG)]])*(Table11[[#This Row],[activating_chance]]/100),0)</f>
        <v>250</v>
      </c>
      <c r="CG42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42" s="72">
        <v>10</v>
      </c>
      <c r="CI42" s="72">
        <v>10</v>
      </c>
      <c r="CJ42" s="72" t="b">
        <v>1</v>
      </c>
      <c r="CL42" t="s">
        <v>228</v>
      </c>
      <c r="CM42">
        <v>1.5</v>
      </c>
      <c r="CN42">
        <v>180</v>
      </c>
      <c r="CO42">
        <v>30</v>
      </c>
      <c r="CP42" s="75">
        <f ca="1">INDIRECT(ADDRESS(11+(MATCH(RIGHT(Table12[[#This Row],[spawner_sku]],LEN(Table12[[#This Row],[spawner_sku]])-FIND("/",Table12[[#This Row],[spawner_sku]])),Table1[Entity Prefab],0)),10,1,1,"Entities"))</f>
        <v>25</v>
      </c>
      <c r="CQ42" s="75">
        <f ca="1">ROUND((Table12[[#This Row],[XP]]*Table12[[#This Row],[entity_spawned (AVG)]])*(Table12[[#This Row],[activating_chance]]/100),0)</f>
        <v>11</v>
      </c>
      <c r="CR42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42" s="72">
        <v>1</v>
      </c>
      <c r="CT42" s="72">
        <v>2</v>
      </c>
      <c r="CU42" s="72" t="b">
        <v>0</v>
      </c>
      <c r="CW42" t="s">
        <v>227</v>
      </c>
      <c r="CX42">
        <v>11</v>
      </c>
      <c r="CY42">
        <v>280</v>
      </c>
      <c r="CZ42">
        <v>100</v>
      </c>
      <c r="DA42" s="75">
        <f ca="1">INDIRECT(ADDRESS(11+(MATCH(RIGHT(Table13[[#This Row],[spawner_sku]],LEN(Table13[[#This Row],[spawner_sku]])-FIND("/",Table13[[#This Row],[spawner_sku]])),Table1[Entity Prefab],0)),10,1,1,"Entities"))</f>
        <v>25</v>
      </c>
      <c r="DB42" s="75">
        <f ca="1">ROUND((Table13[[#This Row],[XP]]*Table13[[#This Row],[entity_spawned (AVG)]])*(Table13[[#This Row],[activating_chance]]/100),0)</f>
        <v>275</v>
      </c>
      <c r="DC42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42" s="72">
        <v>10</v>
      </c>
      <c r="DE42" s="72">
        <v>12</v>
      </c>
      <c r="DF42" s="72" t="b">
        <v>1</v>
      </c>
      <c r="DH42" t="s">
        <v>226</v>
      </c>
      <c r="DI42">
        <v>1</v>
      </c>
      <c r="DJ42">
        <v>160</v>
      </c>
      <c r="DK42">
        <v>30</v>
      </c>
      <c r="DL42" s="75">
        <f ca="1">INDIRECT(ADDRESS(11+(MATCH(RIGHT(Table14[[#This Row],[spawner_sku]],LEN(Table14[[#This Row],[spawner_sku]])-FIND("/",Table14[[#This Row],[spawner_sku]])),Table1[Entity Prefab],0)),10,1,1,"Entities"))</f>
        <v>55</v>
      </c>
      <c r="DM42" s="75">
        <f ca="1">ROUND((Table14[[#This Row],[XP]]*Table14[[#This Row],[entity_spawned (AVG)]])*(Table14[[#This Row],[activating_chance]]/100),0)</f>
        <v>17</v>
      </c>
      <c r="DN4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42" s="72">
        <v>1</v>
      </c>
      <c r="DP42" s="72">
        <v>1</v>
      </c>
      <c r="DQ42" s="72" t="b">
        <v>0</v>
      </c>
      <c r="DS42" t="s">
        <v>227</v>
      </c>
      <c r="DT42">
        <v>3</v>
      </c>
      <c r="DU42">
        <v>140</v>
      </c>
      <c r="DV42">
        <v>100</v>
      </c>
      <c r="DW42" s="75">
        <f ca="1">INDIRECT(ADDRESS(11+(MATCH(RIGHT(Table18[[#This Row],[spawner_sku]],LEN(Table18[[#This Row],[spawner_sku]])-FIND("/",Table18[[#This Row],[spawner_sku]])),Table1[Entity Prefab],0)),10,1,1,"Entities"))</f>
        <v>25</v>
      </c>
      <c r="DX42" s="75">
        <f ca="1">ROUND((Table18[[#This Row],[XP]]*Table18[[#This Row],[entity_spawned (AVG)]])*(Table18[[#This Row],[activating_chance]]/100),0)</f>
        <v>75</v>
      </c>
      <c r="DY4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42">
        <v>2</v>
      </c>
      <c r="EA42">
        <v>4</v>
      </c>
      <c r="EB42" t="b">
        <v>0</v>
      </c>
      <c r="ED42" t="s">
        <v>227</v>
      </c>
      <c r="EE42">
        <v>2</v>
      </c>
      <c r="EF42">
        <v>140</v>
      </c>
      <c r="EG42">
        <v>100</v>
      </c>
      <c r="EH4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42" s="75">
        <f ca="1">ROUND((Table1820[[#This Row],[XP]]*Table1820[[#This Row],[entity_spawned (AVG)]])*(Table1820[[#This Row],[activating_chance]]/100),0)</f>
        <v>50</v>
      </c>
      <c r="EJ4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42">
        <v>2</v>
      </c>
      <c r="EL42">
        <v>3</v>
      </c>
      <c r="EM42" t="b">
        <v>0</v>
      </c>
      <c r="EO42" t="s">
        <v>246</v>
      </c>
      <c r="EP42">
        <v>1</v>
      </c>
      <c r="EQ42">
        <v>500</v>
      </c>
      <c r="ER42">
        <v>80</v>
      </c>
      <c r="ES42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ET42" s="75">
        <f ca="1">ROUND((Table182023[[#This Row],[XP]]*Table182023[[#This Row],[entity_spawned (AVG)]])*(Table182023[[#This Row],[activating_chance]]/100),0)</f>
        <v>20</v>
      </c>
      <c r="EU42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42" s="152">
        <v>1</v>
      </c>
      <c r="EW42" s="152">
        <v>1</v>
      </c>
      <c r="EX42" s="152" t="b">
        <v>0</v>
      </c>
      <c r="EZ42" t="s">
        <v>520</v>
      </c>
      <c r="FA42">
        <v>2.5</v>
      </c>
      <c r="FB42">
        <v>90</v>
      </c>
      <c r="FC42">
        <v>100</v>
      </c>
      <c r="FD42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FE42" s="75">
        <f ca="1">ROUND((Table18202324[[#This Row],[XP]]*Table18202324[[#This Row],[entity_spawned (AVG)]])*(Table18202324[[#This Row],[activating_chance]]/100),0)</f>
        <v>88</v>
      </c>
      <c r="FF42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42">
        <v>2</v>
      </c>
      <c r="FH42">
        <v>3</v>
      </c>
      <c r="FI42" t="b">
        <v>0</v>
      </c>
    </row>
    <row r="43" spans="2:165" x14ac:dyDescent="0.25">
      <c r="B43" s="73" t="s">
        <v>228</v>
      </c>
      <c r="C43">
        <v>1</v>
      </c>
      <c r="D43">
        <v>80</v>
      </c>
      <c r="E43">
        <v>100</v>
      </c>
      <c r="F43" s="75">
        <f ca="1">INDIRECT(ADDRESS(11+(MATCH(RIGHT(Table245[[#This Row],[spawner_sku]],LEN(Table245[[#This Row],[spawner_sku]])-FIND("/",Table245[[#This Row],[spawner_sku]])),Table1[Entity Prefab],0)),10,1,1,"Entities"))</f>
        <v>25</v>
      </c>
      <c r="G43" s="75">
        <f ca="1">ROUND((Table245[[#This Row],[XP]]*Table245[[#This Row],[entity_spawned (AVG)]])*(Table245[[#This Row],[activating_chance]]/100),0)</f>
        <v>25</v>
      </c>
      <c r="H4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3" s="72">
        <v>1</v>
      </c>
      <c r="J43" s="72">
        <v>1</v>
      </c>
      <c r="K43" s="72" t="b">
        <v>0</v>
      </c>
      <c r="M43" t="s">
        <v>228</v>
      </c>
      <c r="N43">
        <v>13</v>
      </c>
      <c r="O43">
        <v>210</v>
      </c>
      <c r="P43">
        <v>30</v>
      </c>
      <c r="Q43" s="75">
        <f ca="1">INDIRECT(ADDRESS(11+(MATCH(RIGHT(Table3[[#This Row],[spawner_sku]],LEN(Table3[[#This Row],[spawner_sku]])-FIND("/",Table3[[#This Row],[spawner_sku]])),Table1[Entity Prefab],0)),10,1,1,"Entities"))</f>
        <v>25</v>
      </c>
      <c r="R43" s="75">
        <f ca="1">ROUND((Table3[[#This Row],[XP]]*Table3[[#This Row],[entity_spawned (AVG)]])*(Table3[[#This Row],[activating_chance]]/100),0)</f>
        <v>98</v>
      </c>
      <c r="S43" t="str">
        <f ca="1">INDIRECT(ADDRESS(11+(MATCH(RIGHT(Table3[[#This Row],[spawner_sku]],LEN(Table3[[#This Row],[spawner_sku]])-FIND("/",Table3[[#This Row],[spawner_sku]])),Table28[Entity Prefab],0)),24,1,1,"Entities"))</f>
        <v>no</v>
      </c>
      <c r="T43">
        <v>10</v>
      </c>
      <c r="U43">
        <v>16</v>
      </c>
      <c r="V43" t="b">
        <v>1</v>
      </c>
      <c r="W43" s="72"/>
      <c r="X43" t="s">
        <v>336</v>
      </c>
      <c r="Y43">
        <v>1</v>
      </c>
      <c r="Z43">
        <v>300</v>
      </c>
      <c r="AA43">
        <v>100</v>
      </c>
      <c r="AB43" s="75">
        <f ca="1">INDIRECT(ADDRESS(11+(MATCH(RIGHT(Table39[[#This Row],[spawner_sku]],LEN(Table39[[#This Row],[spawner_sku]])-FIND("/",Table39[[#This Row],[spawner_sku]])),Table1[Entity Prefab],0)),10,1,1,"Entities"))</f>
        <v>195</v>
      </c>
      <c r="AC43" s="75">
        <f ca="1">ROUND((Table39[[#This Row],[XP]]*Table39[[#This Row],[entity_spawned (AVG)]])*(Table39[[#This Row],[activating_chance]]/100),0)</f>
        <v>195</v>
      </c>
      <c r="AD43" t="str">
        <f ca="1">INDIRECT(ADDRESS(11+(MATCH(RIGHT(Table39[[#This Row],[spawner_sku]],LEN(Table39[[#This Row],[spawner_sku]])-FIND("/",Table39[[#This Row],[spawner_sku]])),Table28[Entity Prefab],0)),24,1,1,"Entities"))</f>
        <v>yes</v>
      </c>
      <c r="AE43">
        <v>1</v>
      </c>
      <c r="AF43">
        <v>1</v>
      </c>
      <c r="AG43" t="b">
        <v>0</v>
      </c>
      <c r="AI43" t="s">
        <v>228</v>
      </c>
      <c r="AJ43">
        <v>1</v>
      </c>
      <c r="AK43">
        <v>120</v>
      </c>
      <c r="AL43">
        <v>100</v>
      </c>
      <c r="AM43" s="75">
        <f ca="1">INDIRECT(ADDRESS(11+(MATCH(RIGHT(Table2[[#This Row],[spawner_sku]],LEN(Table2[[#This Row],[spawner_sku]])-FIND("/",Table2[[#This Row],[spawner_sku]])),Table1[Entity Prefab],0)),10,1,1,"Entities"))</f>
        <v>25</v>
      </c>
      <c r="AN43" s="75">
        <f ca="1">ROUND((Table2[[#This Row],[XP]]*Table2[[#This Row],[entity_spawned (AVG)]])*(Table2[[#This Row],[activating_chance]]/100),0)</f>
        <v>25</v>
      </c>
      <c r="AO4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3" s="72">
        <v>1</v>
      </c>
      <c r="AQ43" s="72">
        <v>1</v>
      </c>
      <c r="AR43" s="72" t="b">
        <v>0</v>
      </c>
      <c r="AT43" t="s">
        <v>228</v>
      </c>
      <c r="AU43">
        <v>1.5</v>
      </c>
      <c r="AV43">
        <v>90</v>
      </c>
      <c r="AW43">
        <v>100</v>
      </c>
      <c r="AX43" s="75">
        <f ca="1">INDIRECT(ADDRESS(11+(MATCH(RIGHT(Table6[[#This Row],[spawner_sku]],LEN(Table6[[#This Row],[spawner_sku]])-FIND("/",Table6[[#This Row],[spawner_sku]])),Table1[Entity Prefab],0)),10,1,1,"Entities"))</f>
        <v>25</v>
      </c>
      <c r="AY43" s="75">
        <f ca="1">ROUND((Table6[[#This Row],[XP]]*Table6[[#This Row],[entity_spawned (AVG)]])*(Table6[[#This Row],[activating_chance]]/100),0)</f>
        <v>38</v>
      </c>
      <c r="AZ43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43">
        <v>1</v>
      </c>
      <c r="BB43">
        <v>2</v>
      </c>
      <c r="BC43" t="b">
        <v>0</v>
      </c>
      <c r="BE43" t="s">
        <v>227</v>
      </c>
      <c r="BF43">
        <v>6.5</v>
      </c>
      <c r="BG43">
        <v>110</v>
      </c>
      <c r="BH43">
        <v>100</v>
      </c>
      <c r="BI43" s="75">
        <f ca="1">INDIRECT(ADDRESS(11+(MATCH(RIGHT(Table610[[#This Row],[spawner_sku]],LEN(Table610[[#This Row],[spawner_sku]])-FIND("/",Table610[[#This Row],[spawner_sku]])),Table1[Entity Prefab],0)),10,1,1,"Entities"))</f>
        <v>25</v>
      </c>
      <c r="BJ43" s="75">
        <f ca="1">ROUND((Table610[[#This Row],[XP]]*Table610[[#This Row],[entity_spawned (AVG)]])*(Table610[[#This Row],[activating_chance]]/100),0)</f>
        <v>163</v>
      </c>
      <c r="BK43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3">
        <v>5</v>
      </c>
      <c r="BM43">
        <v>8</v>
      </c>
      <c r="BN43" t="b">
        <v>1</v>
      </c>
      <c r="BP43" t="s">
        <v>228</v>
      </c>
      <c r="BQ43">
        <v>3.5</v>
      </c>
      <c r="BR43">
        <v>210</v>
      </c>
      <c r="BS43">
        <v>100</v>
      </c>
      <c r="BT4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3" s="75">
        <f ca="1">ROUND((Table61011[[#This Row],[XP]]*Table61011[[#This Row],[entity_spawned (AVG)]])*(Table61011[[#This Row],[activating_chance]]/100),0)</f>
        <v>88</v>
      </c>
      <c r="BV4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3" s="72">
        <v>3</v>
      </c>
      <c r="BX43" s="72">
        <v>4</v>
      </c>
      <c r="BY43" s="72" t="b">
        <v>0</v>
      </c>
      <c r="CA43" t="s">
        <v>228</v>
      </c>
      <c r="CB43">
        <v>2.5</v>
      </c>
      <c r="CC43">
        <v>180</v>
      </c>
      <c r="CD43">
        <v>100</v>
      </c>
      <c r="CE43" s="75">
        <f ca="1">INDIRECT(ADDRESS(11+(MATCH(RIGHT(Table11[[#This Row],[spawner_sku]],LEN(Table11[[#This Row],[spawner_sku]])-FIND("/",Table11[[#This Row],[spawner_sku]])),Table1[Entity Prefab],0)),10,1,1,"Entities"))</f>
        <v>25</v>
      </c>
      <c r="CF43">
        <f ca="1">ROUND((Table11[[#This Row],[XP]]*Table11[[#This Row],[entity_spawned (AVG)]])*(Table11[[#This Row],[activating_chance]]/100),0)</f>
        <v>63</v>
      </c>
      <c r="CG43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43" s="72">
        <v>1</v>
      </c>
      <c r="CI43" s="72">
        <v>4</v>
      </c>
      <c r="CJ43" s="72" t="b">
        <v>0</v>
      </c>
      <c r="CL43" t="s">
        <v>228</v>
      </c>
      <c r="CM43">
        <v>3</v>
      </c>
      <c r="CN43">
        <v>180</v>
      </c>
      <c r="CO43">
        <v>100</v>
      </c>
      <c r="CP43" s="75">
        <f ca="1">INDIRECT(ADDRESS(11+(MATCH(RIGHT(Table12[[#This Row],[spawner_sku]],LEN(Table12[[#This Row],[spawner_sku]])-FIND("/",Table12[[#This Row],[spawner_sku]])),Table1[Entity Prefab],0)),10,1,1,"Entities"))</f>
        <v>25</v>
      </c>
      <c r="CQ43" s="75">
        <f ca="1">ROUND((Table12[[#This Row],[XP]]*Table12[[#This Row],[entity_spawned (AVG)]])*(Table12[[#This Row],[activating_chance]]/100),0)</f>
        <v>75</v>
      </c>
      <c r="CR43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43" s="72">
        <v>2</v>
      </c>
      <c r="CT43" s="72">
        <v>4</v>
      </c>
      <c r="CU43" s="72" t="b">
        <v>0</v>
      </c>
      <c r="CW43" t="s">
        <v>227</v>
      </c>
      <c r="CX43">
        <v>9</v>
      </c>
      <c r="CY43">
        <v>280</v>
      </c>
      <c r="CZ43">
        <v>100</v>
      </c>
      <c r="DA43" s="75">
        <f ca="1">INDIRECT(ADDRESS(11+(MATCH(RIGHT(Table13[[#This Row],[spawner_sku]],LEN(Table13[[#This Row],[spawner_sku]])-FIND("/",Table13[[#This Row],[spawner_sku]])),Table1[Entity Prefab],0)),10,1,1,"Entities"))</f>
        <v>25</v>
      </c>
      <c r="DB43" s="75">
        <f ca="1">ROUND((Table13[[#This Row],[XP]]*Table13[[#This Row],[entity_spawned (AVG)]])*(Table13[[#This Row],[activating_chance]]/100),0)</f>
        <v>225</v>
      </c>
      <c r="DC43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43" s="72">
        <v>8</v>
      </c>
      <c r="DE43" s="72">
        <v>10</v>
      </c>
      <c r="DF43" s="72" t="b">
        <v>1</v>
      </c>
      <c r="DH43" t="s">
        <v>226</v>
      </c>
      <c r="DI43">
        <v>3</v>
      </c>
      <c r="DJ43">
        <v>160</v>
      </c>
      <c r="DK43">
        <v>100</v>
      </c>
      <c r="DL43" s="75">
        <f ca="1">INDIRECT(ADDRESS(11+(MATCH(RIGHT(Table14[[#This Row],[spawner_sku]],LEN(Table14[[#This Row],[spawner_sku]])-FIND("/",Table14[[#This Row],[spawner_sku]])),Table1[Entity Prefab],0)),10,1,1,"Entities"))</f>
        <v>55</v>
      </c>
      <c r="DM43" s="75">
        <f ca="1">ROUND((Table14[[#This Row],[XP]]*Table14[[#This Row],[entity_spawned (AVG)]])*(Table14[[#This Row],[activating_chance]]/100),0)</f>
        <v>165</v>
      </c>
      <c r="DN4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43" s="72">
        <v>3</v>
      </c>
      <c r="DP43" s="72">
        <v>3</v>
      </c>
      <c r="DQ43" s="72" t="b">
        <v>0</v>
      </c>
      <c r="DS43" t="s">
        <v>227</v>
      </c>
      <c r="DT43">
        <v>7</v>
      </c>
      <c r="DU43">
        <v>160</v>
      </c>
      <c r="DV43">
        <v>30</v>
      </c>
      <c r="DW43" s="75">
        <f ca="1">INDIRECT(ADDRESS(11+(MATCH(RIGHT(Table18[[#This Row],[spawner_sku]],LEN(Table18[[#This Row],[spawner_sku]])-FIND("/",Table18[[#This Row],[spawner_sku]])),Table1[Entity Prefab],0)),10,1,1,"Entities"))</f>
        <v>25</v>
      </c>
      <c r="DX43" s="75">
        <f ca="1">ROUND((Table18[[#This Row],[XP]]*Table18[[#This Row],[entity_spawned (AVG)]])*(Table18[[#This Row],[activating_chance]]/100),0)</f>
        <v>53</v>
      </c>
      <c r="DY4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43">
        <v>6</v>
      </c>
      <c r="EA43">
        <v>8</v>
      </c>
      <c r="EB43" t="b">
        <v>1</v>
      </c>
      <c r="ED43" t="s">
        <v>227</v>
      </c>
      <c r="EE43">
        <v>2</v>
      </c>
      <c r="EF43">
        <v>140</v>
      </c>
      <c r="EG43">
        <v>100</v>
      </c>
      <c r="EH43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43" s="75">
        <f ca="1">ROUND((Table1820[[#This Row],[XP]]*Table1820[[#This Row],[entity_spawned (AVG)]])*(Table1820[[#This Row],[activating_chance]]/100),0)</f>
        <v>50</v>
      </c>
      <c r="EJ4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43">
        <v>2</v>
      </c>
      <c r="EL43">
        <v>3</v>
      </c>
      <c r="EM43" t="b">
        <v>0</v>
      </c>
      <c r="EO43" t="s">
        <v>246</v>
      </c>
      <c r="EP43">
        <v>1</v>
      </c>
      <c r="EQ43">
        <v>500</v>
      </c>
      <c r="ER43">
        <v>80</v>
      </c>
      <c r="ES43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ET43" s="75">
        <f ca="1">ROUND((Table182023[[#This Row],[XP]]*Table182023[[#This Row],[entity_spawned (AVG)]])*(Table182023[[#This Row],[activating_chance]]/100),0)</f>
        <v>20</v>
      </c>
      <c r="EU43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43" s="152">
        <v>1</v>
      </c>
      <c r="EW43" s="152">
        <v>1</v>
      </c>
      <c r="EX43" s="152" t="b">
        <v>0</v>
      </c>
      <c r="EZ43" t="s">
        <v>520</v>
      </c>
      <c r="FA43">
        <v>2.5</v>
      </c>
      <c r="FB43">
        <v>90</v>
      </c>
      <c r="FC43">
        <v>100</v>
      </c>
      <c r="FD43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FE43" s="75">
        <f ca="1">ROUND((Table18202324[[#This Row],[XP]]*Table18202324[[#This Row],[entity_spawned (AVG)]])*(Table18202324[[#This Row],[activating_chance]]/100),0)</f>
        <v>88</v>
      </c>
      <c r="FF43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43">
        <v>2</v>
      </c>
      <c r="FH43">
        <v>3</v>
      </c>
      <c r="FI43" t="b">
        <v>0</v>
      </c>
    </row>
    <row r="44" spans="2:165" x14ac:dyDescent="0.25">
      <c r="B44" s="73" t="s">
        <v>228</v>
      </c>
      <c r="C44">
        <v>1</v>
      </c>
      <c r="D44">
        <v>80</v>
      </c>
      <c r="E44">
        <v>100</v>
      </c>
      <c r="F44" s="75">
        <f ca="1">INDIRECT(ADDRESS(11+(MATCH(RIGHT(Table245[[#This Row],[spawner_sku]],LEN(Table245[[#This Row],[spawner_sku]])-FIND("/",Table245[[#This Row],[spawner_sku]])),Table1[Entity Prefab],0)),10,1,1,"Entities"))</f>
        <v>25</v>
      </c>
      <c r="G44" s="75">
        <f ca="1">ROUND((Table245[[#This Row],[XP]]*Table245[[#This Row],[entity_spawned (AVG)]])*(Table245[[#This Row],[activating_chance]]/100),0)</f>
        <v>25</v>
      </c>
      <c r="H4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4" s="72">
        <v>1</v>
      </c>
      <c r="J44" s="72">
        <v>1</v>
      </c>
      <c r="K44" s="72" t="b">
        <v>0</v>
      </c>
      <c r="M44" t="s">
        <v>228</v>
      </c>
      <c r="N44">
        <v>1.5</v>
      </c>
      <c r="O44">
        <v>80</v>
      </c>
      <c r="P44">
        <v>80</v>
      </c>
      <c r="Q44" s="75">
        <f ca="1">INDIRECT(ADDRESS(11+(MATCH(RIGHT(Table3[[#This Row],[spawner_sku]],LEN(Table3[[#This Row],[spawner_sku]])-FIND("/",Table3[[#This Row],[spawner_sku]])),Table1[Entity Prefab],0)),10,1,1,"Entities"))</f>
        <v>25</v>
      </c>
      <c r="R44" s="75">
        <f ca="1">ROUND((Table3[[#This Row],[XP]]*Table3[[#This Row],[entity_spawned (AVG)]])*(Table3[[#This Row],[activating_chance]]/100),0)</f>
        <v>30</v>
      </c>
      <c r="S44" t="str">
        <f ca="1">INDIRECT(ADDRESS(11+(MATCH(RIGHT(Table3[[#This Row],[spawner_sku]],LEN(Table3[[#This Row],[spawner_sku]])-FIND("/",Table3[[#This Row],[spawner_sku]])),Table28[Entity Prefab],0)),24,1,1,"Entities"))</f>
        <v>no</v>
      </c>
      <c r="T44">
        <v>1</v>
      </c>
      <c r="U44">
        <v>2</v>
      </c>
      <c r="V44" t="b">
        <v>0</v>
      </c>
      <c r="W44" s="72"/>
      <c r="X44" t="s">
        <v>402</v>
      </c>
      <c r="Y44">
        <v>1</v>
      </c>
      <c r="Z44">
        <v>340</v>
      </c>
      <c r="AA44">
        <v>100</v>
      </c>
      <c r="AB44" s="75">
        <f ca="1">INDIRECT(ADDRESS(11+(MATCH(RIGHT(Table39[[#This Row],[spawner_sku]],LEN(Table39[[#This Row],[spawner_sku]])-FIND("/",Table39[[#This Row],[spawner_sku]])),Table1[Entity Prefab],0)),10,1,1,"Entities"))</f>
        <v>263</v>
      </c>
      <c r="AC44" s="75">
        <f ca="1">ROUND((Table39[[#This Row],[XP]]*Table39[[#This Row],[entity_spawned (AVG)]])*(Table39[[#This Row],[activating_chance]]/100),0)</f>
        <v>263</v>
      </c>
      <c r="AD44" t="str">
        <f ca="1">INDIRECT(ADDRESS(11+(MATCH(RIGHT(Table39[[#This Row],[spawner_sku]],LEN(Table39[[#This Row],[spawner_sku]])-FIND("/",Table39[[#This Row],[spawner_sku]])),Table28[Entity Prefab],0)),24,1,1,"Entities"))</f>
        <v>yes</v>
      </c>
      <c r="AE44">
        <v>1</v>
      </c>
      <c r="AF44">
        <v>1</v>
      </c>
      <c r="AG44" t="b">
        <v>0</v>
      </c>
      <c r="AI44" t="s">
        <v>228</v>
      </c>
      <c r="AJ44">
        <v>1.5</v>
      </c>
      <c r="AK44">
        <v>90</v>
      </c>
      <c r="AL44">
        <v>100</v>
      </c>
      <c r="AM44" s="75">
        <f ca="1">INDIRECT(ADDRESS(11+(MATCH(RIGHT(Table2[[#This Row],[spawner_sku]],LEN(Table2[[#This Row],[spawner_sku]])-FIND("/",Table2[[#This Row],[spawner_sku]])),Table1[Entity Prefab],0)),10,1,1,"Entities"))</f>
        <v>25</v>
      </c>
      <c r="AN44" s="75">
        <f ca="1">ROUND((Table2[[#This Row],[XP]]*Table2[[#This Row],[entity_spawned (AVG)]])*(Table2[[#This Row],[activating_chance]]/100),0)</f>
        <v>38</v>
      </c>
      <c r="AO4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4" s="72">
        <v>1</v>
      </c>
      <c r="AQ44" s="72">
        <v>2</v>
      </c>
      <c r="AR44" s="72" t="b">
        <v>0</v>
      </c>
      <c r="AT44" t="s">
        <v>228</v>
      </c>
      <c r="AU44">
        <v>1</v>
      </c>
      <c r="AV44">
        <v>60</v>
      </c>
      <c r="AW44">
        <v>100</v>
      </c>
      <c r="AX44" s="75">
        <f ca="1">INDIRECT(ADDRESS(11+(MATCH(RIGHT(Table6[[#This Row],[spawner_sku]],LEN(Table6[[#This Row],[spawner_sku]])-FIND("/",Table6[[#This Row],[spawner_sku]])),Table1[Entity Prefab],0)),10,1,1,"Entities"))</f>
        <v>25</v>
      </c>
      <c r="AY44" s="75">
        <f ca="1">ROUND((Table6[[#This Row],[XP]]*Table6[[#This Row],[entity_spawned (AVG)]])*(Table6[[#This Row],[activating_chance]]/100),0)</f>
        <v>25</v>
      </c>
      <c r="AZ44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44">
        <v>1</v>
      </c>
      <c r="BB44">
        <v>1</v>
      </c>
      <c r="BC44" t="b">
        <v>0</v>
      </c>
      <c r="BE44" t="s">
        <v>227</v>
      </c>
      <c r="BF44">
        <v>6.5</v>
      </c>
      <c r="BG44">
        <v>120</v>
      </c>
      <c r="BH44">
        <v>100</v>
      </c>
      <c r="BI44" s="75">
        <f ca="1">INDIRECT(ADDRESS(11+(MATCH(RIGHT(Table610[[#This Row],[spawner_sku]],LEN(Table610[[#This Row],[spawner_sku]])-FIND("/",Table610[[#This Row],[spawner_sku]])),Table1[Entity Prefab],0)),10,1,1,"Entities"))</f>
        <v>25</v>
      </c>
      <c r="BJ44" s="75">
        <f ca="1">ROUND((Table610[[#This Row],[XP]]*Table610[[#This Row],[entity_spawned (AVG)]])*(Table610[[#This Row],[activating_chance]]/100),0)</f>
        <v>163</v>
      </c>
      <c r="BK44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4">
        <v>5</v>
      </c>
      <c r="BM44">
        <v>8</v>
      </c>
      <c r="BN44" t="b">
        <v>1</v>
      </c>
      <c r="BP44" t="s">
        <v>228</v>
      </c>
      <c r="BQ44">
        <v>5</v>
      </c>
      <c r="BR44">
        <v>200</v>
      </c>
      <c r="BS44">
        <v>100</v>
      </c>
      <c r="BT4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4" s="75">
        <f ca="1">ROUND((Table61011[[#This Row],[XP]]*Table61011[[#This Row],[entity_spawned (AVG)]])*(Table61011[[#This Row],[activating_chance]]/100),0)</f>
        <v>125</v>
      </c>
      <c r="BV4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" s="72">
        <v>5</v>
      </c>
      <c r="BX44" s="72">
        <v>5</v>
      </c>
      <c r="BY44" s="72" t="b">
        <v>1</v>
      </c>
      <c r="CA44" t="s">
        <v>228</v>
      </c>
      <c r="CB44">
        <v>3</v>
      </c>
      <c r="CC44">
        <v>180</v>
      </c>
      <c r="CD44">
        <v>100</v>
      </c>
      <c r="CE44" s="75">
        <f ca="1">INDIRECT(ADDRESS(11+(MATCH(RIGHT(Table11[[#This Row],[spawner_sku]],LEN(Table11[[#This Row],[spawner_sku]])-FIND("/",Table11[[#This Row],[spawner_sku]])),Table1[Entity Prefab],0)),10,1,1,"Entities"))</f>
        <v>25</v>
      </c>
      <c r="CF44">
        <f ca="1">ROUND((Table11[[#This Row],[XP]]*Table11[[#This Row],[entity_spawned (AVG)]])*(Table11[[#This Row],[activating_chance]]/100),0)</f>
        <v>75</v>
      </c>
      <c r="CG44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44" s="72">
        <v>2</v>
      </c>
      <c r="CI44" s="72">
        <v>4</v>
      </c>
      <c r="CJ44" s="72" t="b">
        <v>0</v>
      </c>
      <c r="CL44" t="s">
        <v>228</v>
      </c>
      <c r="CM44">
        <v>1.5</v>
      </c>
      <c r="CN44">
        <v>180</v>
      </c>
      <c r="CO44">
        <v>100</v>
      </c>
      <c r="CP44" s="75">
        <f ca="1">INDIRECT(ADDRESS(11+(MATCH(RIGHT(Table12[[#This Row],[spawner_sku]],LEN(Table12[[#This Row],[spawner_sku]])-FIND("/",Table12[[#This Row],[spawner_sku]])),Table1[Entity Prefab],0)),10,1,1,"Entities"))</f>
        <v>25</v>
      </c>
      <c r="CQ44" s="75">
        <f ca="1">ROUND((Table12[[#This Row],[XP]]*Table12[[#This Row],[entity_spawned (AVG)]])*(Table12[[#This Row],[activating_chance]]/100),0)</f>
        <v>38</v>
      </c>
      <c r="CR44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44" s="72">
        <v>1</v>
      </c>
      <c r="CT44" s="72">
        <v>2</v>
      </c>
      <c r="CU44" s="72" t="b">
        <v>0</v>
      </c>
      <c r="CW44" t="s">
        <v>227</v>
      </c>
      <c r="CX44">
        <v>10</v>
      </c>
      <c r="CY44">
        <v>280</v>
      </c>
      <c r="CZ44">
        <v>100</v>
      </c>
      <c r="DA44" s="75">
        <f ca="1">INDIRECT(ADDRESS(11+(MATCH(RIGHT(Table13[[#This Row],[spawner_sku]],LEN(Table13[[#This Row],[spawner_sku]])-FIND("/",Table13[[#This Row],[spawner_sku]])),Table1[Entity Prefab],0)),10,1,1,"Entities"))</f>
        <v>25</v>
      </c>
      <c r="DB44" s="75">
        <f ca="1">ROUND((Table13[[#This Row],[XP]]*Table13[[#This Row],[entity_spawned (AVG)]])*(Table13[[#This Row],[activating_chance]]/100),0)</f>
        <v>250</v>
      </c>
      <c r="DC44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44" s="72">
        <v>8</v>
      </c>
      <c r="DE44" s="72">
        <v>12</v>
      </c>
      <c r="DF44" s="72" t="b">
        <v>1</v>
      </c>
      <c r="DH44" t="s">
        <v>226</v>
      </c>
      <c r="DI44">
        <v>2</v>
      </c>
      <c r="DJ44">
        <v>180</v>
      </c>
      <c r="DK44">
        <v>70</v>
      </c>
      <c r="DL44" s="75">
        <f ca="1">INDIRECT(ADDRESS(11+(MATCH(RIGHT(Table14[[#This Row],[spawner_sku]],LEN(Table14[[#This Row],[spawner_sku]])-FIND("/",Table14[[#This Row],[spawner_sku]])),Table1[Entity Prefab],0)),10,1,1,"Entities"))</f>
        <v>55</v>
      </c>
      <c r="DM44" s="75">
        <f ca="1">ROUND((Table14[[#This Row],[XP]]*Table14[[#This Row],[entity_spawned (AVG)]])*(Table14[[#This Row],[activating_chance]]/100),0)</f>
        <v>77</v>
      </c>
      <c r="DN4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44" s="72">
        <v>2</v>
      </c>
      <c r="DP44" s="72">
        <v>2</v>
      </c>
      <c r="DQ44" s="72" t="b">
        <v>0</v>
      </c>
      <c r="DS44" t="s">
        <v>227</v>
      </c>
      <c r="DT44">
        <v>3</v>
      </c>
      <c r="DU44">
        <v>140</v>
      </c>
      <c r="DV44">
        <v>100</v>
      </c>
      <c r="DW44" s="75">
        <f ca="1">INDIRECT(ADDRESS(11+(MATCH(RIGHT(Table18[[#This Row],[spawner_sku]],LEN(Table18[[#This Row],[spawner_sku]])-FIND("/",Table18[[#This Row],[spawner_sku]])),Table1[Entity Prefab],0)),10,1,1,"Entities"))</f>
        <v>25</v>
      </c>
      <c r="DX44" s="75">
        <f ca="1">ROUND((Table18[[#This Row],[XP]]*Table18[[#This Row],[entity_spawned (AVG)]])*(Table18[[#This Row],[activating_chance]]/100),0)</f>
        <v>75</v>
      </c>
      <c r="DY4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44">
        <v>2</v>
      </c>
      <c r="EA44">
        <v>4</v>
      </c>
      <c r="EB44" t="b">
        <v>0</v>
      </c>
      <c r="ED44" t="s">
        <v>227</v>
      </c>
      <c r="EE44">
        <v>3</v>
      </c>
      <c r="EF44">
        <v>140</v>
      </c>
      <c r="EG44">
        <v>100</v>
      </c>
      <c r="EH44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44" s="75">
        <f ca="1">ROUND((Table1820[[#This Row],[XP]]*Table1820[[#This Row],[entity_spawned (AVG)]])*(Table1820[[#This Row],[activating_chance]]/100),0)</f>
        <v>75</v>
      </c>
      <c r="EJ4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44">
        <v>3</v>
      </c>
      <c r="EL44">
        <v>4</v>
      </c>
      <c r="EM44" t="b">
        <v>0</v>
      </c>
      <c r="EO44" t="s">
        <v>490</v>
      </c>
      <c r="EP44">
        <v>1</v>
      </c>
      <c r="EQ44">
        <v>110</v>
      </c>
      <c r="ER44">
        <v>100</v>
      </c>
      <c r="ES44" s="75">
        <f ca="1">INDIRECT(ADDRESS(11+(MATCH(RIGHT(Table182023[[#This Row],[spawner_sku]],LEN(Table182023[[#This Row],[spawner_sku]])-FIND("/",Table182023[[#This Row],[spawner_sku]])),Table1[Entity Prefab],0)),10,1,1,"Entities"))</f>
        <v>28</v>
      </c>
      <c r="ET44" s="75">
        <f ca="1">ROUND((Table182023[[#This Row],[XP]]*Table182023[[#This Row],[entity_spawned (AVG)]])*(Table182023[[#This Row],[activating_chance]]/100),0)</f>
        <v>28</v>
      </c>
      <c r="EU44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44" s="152">
        <v>1</v>
      </c>
      <c r="EW44" s="152">
        <v>1</v>
      </c>
      <c r="EX44" s="152" t="b">
        <v>0</v>
      </c>
      <c r="EZ44" t="s">
        <v>520</v>
      </c>
      <c r="FA44">
        <v>2.5</v>
      </c>
      <c r="FB44">
        <v>90</v>
      </c>
      <c r="FC44">
        <v>100</v>
      </c>
      <c r="FD44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FE44" s="75">
        <f ca="1">ROUND((Table18202324[[#This Row],[XP]]*Table18202324[[#This Row],[entity_spawned (AVG)]])*(Table18202324[[#This Row],[activating_chance]]/100),0)</f>
        <v>88</v>
      </c>
      <c r="FF44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44">
        <v>2</v>
      </c>
      <c r="FH44">
        <v>3</v>
      </c>
      <c r="FI44" t="b">
        <v>0</v>
      </c>
    </row>
    <row r="45" spans="2:165" x14ac:dyDescent="0.25">
      <c r="B45" s="73" t="s">
        <v>228</v>
      </c>
      <c r="C45">
        <v>1.5</v>
      </c>
      <c r="D45">
        <v>80</v>
      </c>
      <c r="E45">
        <v>100</v>
      </c>
      <c r="F45" s="75">
        <f ca="1">INDIRECT(ADDRESS(11+(MATCH(RIGHT(Table245[[#This Row],[spawner_sku]],LEN(Table245[[#This Row],[spawner_sku]])-FIND("/",Table245[[#This Row],[spawner_sku]])),Table1[Entity Prefab],0)),10,1,1,"Entities"))</f>
        <v>25</v>
      </c>
      <c r="G45" s="75">
        <f ca="1">ROUND((Table245[[#This Row],[XP]]*Table245[[#This Row],[entity_spawned (AVG)]])*(Table245[[#This Row],[activating_chance]]/100),0)</f>
        <v>38</v>
      </c>
      <c r="H4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5" s="72">
        <v>1</v>
      </c>
      <c r="J45" s="72">
        <v>2</v>
      </c>
      <c r="K45" s="72" t="b">
        <v>0</v>
      </c>
      <c r="M45" t="s">
        <v>228</v>
      </c>
      <c r="N45">
        <v>1</v>
      </c>
      <c r="O45">
        <v>200</v>
      </c>
      <c r="P45">
        <v>80</v>
      </c>
      <c r="Q45" s="75">
        <f ca="1">INDIRECT(ADDRESS(11+(MATCH(RIGHT(Table3[[#This Row],[spawner_sku]],LEN(Table3[[#This Row],[spawner_sku]])-FIND("/",Table3[[#This Row],[spawner_sku]])),Table1[Entity Prefab],0)),10,1,1,"Entities"))</f>
        <v>25</v>
      </c>
      <c r="R45" s="75">
        <f ca="1">ROUND((Table3[[#This Row],[XP]]*Table3[[#This Row],[entity_spawned (AVG)]])*(Table3[[#This Row],[activating_chance]]/100),0)</f>
        <v>20</v>
      </c>
      <c r="S45" t="str">
        <f ca="1">INDIRECT(ADDRESS(11+(MATCH(RIGHT(Table3[[#This Row],[spawner_sku]],LEN(Table3[[#This Row],[spawner_sku]])-FIND("/",Table3[[#This Row],[spawner_sku]])),Table28[Entity Prefab],0)),24,1,1,"Entities"))</f>
        <v>no</v>
      </c>
      <c r="T45">
        <v>1</v>
      </c>
      <c r="U45">
        <v>1</v>
      </c>
      <c r="V45" t="b">
        <v>0</v>
      </c>
      <c r="W45" s="72"/>
      <c r="X45" t="s">
        <v>469</v>
      </c>
      <c r="Y45">
        <v>1</v>
      </c>
      <c r="Z45">
        <v>220</v>
      </c>
      <c r="AA45">
        <v>100</v>
      </c>
      <c r="AB45" s="75">
        <f ca="1">INDIRECT(ADDRESS(11+(MATCH(RIGHT(Table39[[#This Row],[spawner_sku]],LEN(Table39[[#This Row],[spawner_sku]])-FIND("/",Table39[[#This Row],[spawner_sku]])),Table1[Entity Prefab],0)),10,1,1,"Entities"))</f>
        <v>50</v>
      </c>
      <c r="AC45" s="75">
        <f ca="1">ROUND((Table39[[#This Row],[XP]]*Table39[[#This Row],[entity_spawned (AVG)]])*(Table39[[#This Row],[activating_chance]]/100),0)</f>
        <v>50</v>
      </c>
      <c r="AD45" t="str">
        <f ca="1">INDIRECT(ADDRESS(11+(MATCH(RIGHT(Table39[[#This Row],[spawner_sku]],LEN(Table39[[#This Row],[spawner_sku]])-FIND("/",Table39[[#This Row],[spawner_sku]])),Table28[Entity Prefab],0)),24,1,1,"Entities"))</f>
        <v>yes</v>
      </c>
      <c r="AE45">
        <v>1</v>
      </c>
      <c r="AF45">
        <v>1</v>
      </c>
      <c r="AG45" t="b">
        <v>0</v>
      </c>
      <c r="AI45" t="s">
        <v>228</v>
      </c>
      <c r="AJ45">
        <v>3.5</v>
      </c>
      <c r="AK45">
        <v>120</v>
      </c>
      <c r="AL45">
        <v>100</v>
      </c>
      <c r="AM45" s="75">
        <f ca="1">INDIRECT(ADDRESS(11+(MATCH(RIGHT(Table2[[#This Row],[spawner_sku]],LEN(Table2[[#This Row],[spawner_sku]])-FIND("/",Table2[[#This Row],[spawner_sku]])),Table1[Entity Prefab],0)),10,1,1,"Entities"))</f>
        <v>25</v>
      </c>
      <c r="AN45" s="75">
        <f ca="1">ROUND((Table2[[#This Row],[XP]]*Table2[[#This Row],[entity_spawned (AVG)]])*(Table2[[#This Row],[activating_chance]]/100),0)</f>
        <v>88</v>
      </c>
      <c r="AO4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5" s="72">
        <v>3</v>
      </c>
      <c r="AQ45" s="72">
        <v>4</v>
      </c>
      <c r="AR45" s="72" t="b">
        <v>0</v>
      </c>
      <c r="AT45" t="s">
        <v>228</v>
      </c>
      <c r="AU45">
        <v>2.5</v>
      </c>
      <c r="AV45">
        <v>90</v>
      </c>
      <c r="AW45">
        <v>100</v>
      </c>
      <c r="AX45" s="75">
        <f ca="1">INDIRECT(ADDRESS(11+(MATCH(RIGHT(Table6[[#This Row],[spawner_sku]],LEN(Table6[[#This Row],[spawner_sku]])-FIND("/",Table6[[#This Row],[spawner_sku]])),Table1[Entity Prefab],0)),10,1,1,"Entities"))</f>
        <v>25</v>
      </c>
      <c r="AY45" s="75">
        <f ca="1">ROUND((Table6[[#This Row],[XP]]*Table6[[#This Row],[entity_spawned (AVG)]])*(Table6[[#This Row],[activating_chance]]/100),0)</f>
        <v>63</v>
      </c>
      <c r="AZ45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45">
        <v>2</v>
      </c>
      <c r="BB45">
        <v>3</v>
      </c>
      <c r="BC45" t="b">
        <v>0</v>
      </c>
      <c r="BE45" t="s">
        <v>227</v>
      </c>
      <c r="BF45">
        <v>3.5</v>
      </c>
      <c r="BG45">
        <v>110</v>
      </c>
      <c r="BH45">
        <v>100</v>
      </c>
      <c r="BI45" s="75">
        <f ca="1">INDIRECT(ADDRESS(11+(MATCH(RIGHT(Table610[[#This Row],[spawner_sku]],LEN(Table610[[#This Row],[spawner_sku]])-FIND("/",Table610[[#This Row],[spawner_sku]])),Table1[Entity Prefab],0)),10,1,1,"Entities"))</f>
        <v>25</v>
      </c>
      <c r="BJ45" s="75">
        <f ca="1">ROUND((Table610[[#This Row],[XP]]*Table610[[#This Row],[entity_spawned (AVG)]])*(Table610[[#This Row],[activating_chance]]/100),0)</f>
        <v>88</v>
      </c>
      <c r="BK45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5">
        <v>3</v>
      </c>
      <c r="BM45">
        <v>4</v>
      </c>
      <c r="BN45" t="b">
        <v>0</v>
      </c>
      <c r="BP45" t="s">
        <v>228</v>
      </c>
      <c r="BQ45">
        <v>9</v>
      </c>
      <c r="BR45">
        <v>160</v>
      </c>
      <c r="BS45">
        <v>100</v>
      </c>
      <c r="BT4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5" s="75">
        <f ca="1">ROUND((Table61011[[#This Row],[XP]]*Table61011[[#This Row],[entity_spawned (AVG)]])*(Table61011[[#This Row],[activating_chance]]/100),0)</f>
        <v>225</v>
      </c>
      <c r="BV4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" s="72">
        <v>8</v>
      </c>
      <c r="BX45" s="72">
        <v>10</v>
      </c>
      <c r="BY45" s="72" t="b">
        <v>1</v>
      </c>
      <c r="CA45" t="s">
        <v>228</v>
      </c>
      <c r="CB45">
        <v>2.5</v>
      </c>
      <c r="CC45">
        <v>180</v>
      </c>
      <c r="CD45">
        <v>100</v>
      </c>
      <c r="CE45" s="75">
        <f ca="1">INDIRECT(ADDRESS(11+(MATCH(RIGHT(Table11[[#This Row],[spawner_sku]],LEN(Table11[[#This Row],[spawner_sku]])-FIND("/",Table11[[#This Row],[spawner_sku]])),Table1[Entity Prefab],0)),10,1,1,"Entities"))</f>
        <v>25</v>
      </c>
      <c r="CF45">
        <f ca="1">ROUND((Table11[[#This Row],[XP]]*Table11[[#This Row],[entity_spawned (AVG)]])*(Table11[[#This Row],[activating_chance]]/100),0)</f>
        <v>63</v>
      </c>
      <c r="CG45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45" s="72">
        <v>1</v>
      </c>
      <c r="CI45" s="72">
        <v>4</v>
      </c>
      <c r="CJ45" s="72" t="b">
        <v>0</v>
      </c>
      <c r="CL45" t="s">
        <v>228</v>
      </c>
      <c r="CM45">
        <v>3.5</v>
      </c>
      <c r="CN45">
        <v>180</v>
      </c>
      <c r="CO45">
        <v>100</v>
      </c>
      <c r="CP45" s="75">
        <f ca="1">INDIRECT(ADDRESS(11+(MATCH(RIGHT(Table12[[#This Row],[spawner_sku]],LEN(Table12[[#This Row],[spawner_sku]])-FIND("/",Table12[[#This Row],[spawner_sku]])),Table1[Entity Prefab],0)),10,1,1,"Entities"))</f>
        <v>25</v>
      </c>
      <c r="CQ45" s="75">
        <f ca="1">ROUND((Table12[[#This Row],[XP]]*Table12[[#This Row],[entity_spawned (AVG)]])*(Table12[[#This Row],[activating_chance]]/100),0)</f>
        <v>88</v>
      </c>
      <c r="CR45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45" s="72">
        <v>3</v>
      </c>
      <c r="CT45" s="72">
        <v>4</v>
      </c>
      <c r="CU45" s="72" t="b">
        <v>0</v>
      </c>
      <c r="CW45" t="s">
        <v>227</v>
      </c>
      <c r="CX45">
        <v>5.5</v>
      </c>
      <c r="CY45">
        <v>280</v>
      </c>
      <c r="CZ45">
        <v>100</v>
      </c>
      <c r="DA45" s="75">
        <f ca="1">INDIRECT(ADDRESS(11+(MATCH(RIGHT(Table13[[#This Row],[spawner_sku]],LEN(Table13[[#This Row],[spawner_sku]])-FIND("/",Table13[[#This Row],[spawner_sku]])),Table1[Entity Prefab],0)),10,1,1,"Entities"))</f>
        <v>25</v>
      </c>
      <c r="DB45" s="75">
        <f ca="1">ROUND((Table13[[#This Row],[XP]]*Table13[[#This Row],[entity_spawned (AVG)]])*(Table13[[#This Row],[activating_chance]]/100),0)</f>
        <v>138</v>
      </c>
      <c r="DC45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45" s="72">
        <v>5</v>
      </c>
      <c r="DE45" s="72">
        <v>6</v>
      </c>
      <c r="DF45" s="72" t="b">
        <v>1</v>
      </c>
      <c r="DH45" t="s">
        <v>226</v>
      </c>
      <c r="DI45">
        <v>2</v>
      </c>
      <c r="DJ45">
        <v>200</v>
      </c>
      <c r="DK45">
        <v>70</v>
      </c>
      <c r="DL45" s="75">
        <f ca="1">INDIRECT(ADDRESS(11+(MATCH(RIGHT(Table14[[#This Row],[spawner_sku]],LEN(Table14[[#This Row],[spawner_sku]])-FIND("/",Table14[[#This Row],[spawner_sku]])),Table1[Entity Prefab],0)),10,1,1,"Entities"))</f>
        <v>55</v>
      </c>
      <c r="DM45" s="75">
        <f ca="1">ROUND((Table14[[#This Row],[XP]]*Table14[[#This Row],[entity_spawned (AVG)]])*(Table14[[#This Row],[activating_chance]]/100),0)</f>
        <v>77</v>
      </c>
      <c r="DN4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45" s="72">
        <v>2</v>
      </c>
      <c r="DP45" s="72">
        <v>2</v>
      </c>
      <c r="DQ45" s="72" t="b">
        <v>0</v>
      </c>
      <c r="DS45" t="s">
        <v>227</v>
      </c>
      <c r="DT45">
        <v>4</v>
      </c>
      <c r="DU45">
        <v>120</v>
      </c>
      <c r="DV45">
        <v>100</v>
      </c>
      <c r="DW45" s="75">
        <f ca="1">INDIRECT(ADDRESS(11+(MATCH(RIGHT(Table18[[#This Row],[spawner_sku]],LEN(Table18[[#This Row],[spawner_sku]])-FIND("/",Table18[[#This Row],[spawner_sku]])),Table1[Entity Prefab],0)),10,1,1,"Entities"))</f>
        <v>25</v>
      </c>
      <c r="DX45" s="75">
        <f ca="1">ROUND((Table18[[#This Row],[XP]]*Table18[[#This Row],[entity_spawned (AVG)]])*(Table18[[#This Row],[activating_chance]]/100),0)</f>
        <v>100</v>
      </c>
      <c r="DY4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45">
        <v>4</v>
      </c>
      <c r="EA45">
        <v>4</v>
      </c>
      <c r="EB45" t="b">
        <v>0</v>
      </c>
      <c r="ED45" t="s">
        <v>227</v>
      </c>
      <c r="EE45">
        <v>7</v>
      </c>
      <c r="EF45">
        <v>160</v>
      </c>
      <c r="EG45">
        <v>100</v>
      </c>
      <c r="EH45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45" s="75">
        <f ca="1">ROUND((Table1820[[#This Row],[XP]]*Table1820[[#This Row],[entity_spawned (AVG)]])*(Table1820[[#This Row],[activating_chance]]/100),0)</f>
        <v>175</v>
      </c>
      <c r="EJ4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45">
        <v>6</v>
      </c>
      <c r="EL45">
        <v>8</v>
      </c>
      <c r="EM45" t="b">
        <v>1</v>
      </c>
      <c r="EO45" t="s">
        <v>490</v>
      </c>
      <c r="EP45">
        <v>1</v>
      </c>
      <c r="EQ45">
        <v>110</v>
      </c>
      <c r="ER45">
        <v>100</v>
      </c>
      <c r="ES45" s="75">
        <f ca="1">INDIRECT(ADDRESS(11+(MATCH(RIGHT(Table182023[[#This Row],[spawner_sku]],LEN(Table182023[[#This Row],[spawner_sku]])-FIND("/",Table182023[[#This Row],[spawner_sku]])),Table1[Entity Prefab],0)),10,1,1,"Entities"))</f>
        <v>28</v>
      </c>
      <c r="ET45" s="75">
        <f ca="1">ROUND((Table182023[[#This Row],[XP]]*Table182023[[#This Row],[entity_spawned (AVG)]])*(Table182023[[#This Row],[activating_chance]]/100),0)</f>
        <v>28</v>
      </c>
      <c r="EU45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45" s="152">
        <v>1</v>
      </c>
      <c r="EW45" s="152">
        <v>1</v>
      </c>
      <c r="EX45" s="152" t="b">
        <v>0</v>
      </c>
      <c r="EZ45" t="s">
        <v>520</v>
      </c>
      <c r="FA45">
        <v>2.5</v>
      </c>
      <c r="FB45">
        <v>90</v>
      </c>
      <c r="FC45">
        <v>100</v>
      </c>
      <c r="FD45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FE45" s="75">
        <f ca="1">ROUND((Table18202324[[#This Row],[XP]]*Table18202324[[#This Row],[entity_spawned (AVG)]])*(Table18202324[[#This Row],[activating_chance]]/100),0)</f>
        <v>88</v>
      </c>
      <c r="FF45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45">
        <v>2</v>
      </c>
      <c r="FH45">
        <v>3</v>
      </c>
      <c r="FI45" t="b">
        <v>0</v>
      </c>
    </row>
    <row r="46" spans="2:165" x14ac:dyDescent="0.25">
      <c r="B46" s="73" t="s">
        <v>228</v>
      </c>
      <c r="C46">
        <v>3.5</v>
      </c>
      <c r="D46">
        <v>160</v>
      </c>
      <c r="E46">
        <v>80</v>
      </c>
      <c r="F46" s="75">
        <f ca="1">INDIRECT(ADDRESS(11+(MATCH(RIGHT(Table245[[#This Row],[spawner_sku]],LEN(Table245[[#This Row],[spawner_sku]])-FIND("/",Table245[[#This Row],[spawner_sku]])),Table1[Entity Prefab],0)),10,1,1,"Entities"))</f>
        <v>25</v>
      </c>
      <c r="G46" s="75">
        <f ca="1">ROUND((Table245[[#This Row],[XP]]*Table245[[#This Row],[entity_spawned (AVG)]])*(Table245[[#This Row],[activating_chance]]/100),0)</f>
        <v>70</v>
      </c>
      <c r="H4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6" s="72">
        <v>3</v>
      </c>
      <c r="J46" s="72">
        <v>4</v>
      </c>
      <c r="K46" s="72" t="b">
        <v>0</v>
      </c>
      <c r="M46" t="s">
        <v>228</v>
      </c>
      <c r="N46">
        <v>1</v>
      </c>
      <c r="O46">
        <v>200</v>
      </c>
      <c r="P46">
        <v>100</v>
      </c>
      <c r="Q46" s="75">
        <f ca="1">INDIRECT(ADDRESS(11+(MATCH(RIGHT(Table3[[#This Row],[spawner_sku]],LEN(Table3[[#This Row],[spawner_sku]])-FIND("/",Table3[[#This Row],[spawner_sku]])),Table1[Entity Prefab],0)),10,1,1,"Entities"))</f>
        <v>25</v>
      </c>
      <c r="R46" s="75">
        <f ca="1">ROUND((Table3[[#This Row],[XP]]*Table3[[#This Row],[entity_spawned (AVG)]])*(Table3[[#This Row],[activating_chance]]/100),0)</f>
        <v>25</v>
      </c>
      <c r="S46" t="str">
        <f ca="1">INDIRECT(ADDRESS(11+(MATCH(RIGHT(Table3[[#This Row],[spawner_sku]],LEN(Table3[[#This Row],[spawner_sku]])-FIND("/",Table3[[#This Row],[spawner_sku]])),Table28[Entity Prefab],0)),24,1,1,"Entities"))</f>
        <v>no</v>
      </c>
      <c r="T46">
        <v>1</v>
      </c>
      <c r="U46">
        <v>1</v>
      </c>
      <c r="V46" t="b">
        <v>0</v>
      </c>
      <c r="W46" s="72"/>
      <c r="X46" t="s">
        <v>470</v>
      </c>
      <c r="Y46">
        <v>1</v>
      </c>
      <c r="Z46">
        <v>240</v>
      </c>
      <c r="AA46">
        <v>100</v>
      </c>
      <c r="AB46" s="75">
        <f ca="1">INDIRECT(ADDRESS(11+(MATCH(RIGHT(Table39[[#This Row],[spawner_sku]],LEN(Table39[[#This Row],[spawner_sku]])-FIND("/",Table39[[#This Row],[spawner_sku]])),Table1[Entity Prefab],0)),10,1,1,"Entities"))</f>
        <v>83</v>
      </c>
      <c r="AC46" s="75">
        <f ca="1">ROUND((Table39[[#This Row],[XP]]*Table39[[#This Row],[entity_spawned (AVG)]])*(Table39[[#This Row],[activating_chance]]/100),0)</f>
        <v>83</v>
      </c>
      <c r="AD46" t="str">
        <f ca="1">INDIRECT(ADDRESS(11+(MATCH(RIGHT(Table39[[#This Row],[spawner_sku]],LEN(Table39[[#This Row],[spawner_sku]])-FIND("/",Table39[[#This Row],[spawner_sku]])),Table28[Entity Prefab],0)),24,1,1,"Entities"))</f>
        <v>yes</v>
      </c>
      <c r="AE46">
        <v>1</v>
      </c>
      <c r="AF46">
        <v>1</v>
      </c>
      <c r="AG46" t="b">
        <v>0</v>
      </c>
      <c r="AI46" t="s">
        <v>228</v>
      </c>
      <c r="AJ46">
        <v>1</v>
      </c>
      <c r="AK46">
        <v>80</v>
      </c>
      <c r="AL46">
        <v>100</v>
      </c>
      <c r="AM46" s="75">
        <f ca="1">INDIRECT(ADDRESS(11+(MATCH(RIGHT(Table2[[#This Row],[spawner_sku]],LEN(Table2[[#This Row],[spawner_sku]])-FIND("/",Table2[[#This Row],[spawner_sku]])),Table1[Entity Prefab],0)),10,1,1,"Entities"))</f>
        <v>25</v>
      </c>
      <c r="AN46" s="75">
        <f ca="1">ROUND((Table2[[#This Row],[XP]]*Table2[[#This Row],[entity_spawned (AVG)]])*(Table2[[#This Row],[activating_chance]]/100),0)</f>
        <v>25</v>
      </c>
      <c r="AO4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6" s="72">
        <v>1</v>
      </c>
      <c r="AQ46" s="72">
        <v>1</v>
      </c>
      <c r="AR46" s="72" t="b">
        <v>0</v>
      </c>
      <c r="AT46" t="s">
        <v>228</v>
      </c>
      <c r="AU46">
        <v>1.5</v>
      </c>
      <c r="AV46">
        <v>90</v>
      </c>
      <c r="AW46">
        <v>30</v>
      </c>
      <c r="AX46" s="75">
        <f ca="1">INDIRECT(ADDRESS(11+(MATCH(RIGHT(Table6[[#This Row],[spawner_sku]],LEN(Table6[[#This Row],[spawner_sku]])-FIND("/",Table6[[#This Row],[spawner_sku]])),Table1[Entity Prefab],0)),10,1,1,"Entities"))</f>
        <v>25</v>
      </c>
      <c r="AY46" s="75">
        <f ca="1">ROUND((Table6[[#This Row],[XP]]*Table6[[#This Row],[entity_spawned (AVG)]])*(Table6[[#This Row],[activating_chance]]/100),0)</f>
        <v>11</v>
      </c>
      <c r="AZ46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46">
        <v>1</v>
      </c>
      <c r="BB46">
        <v>2</v>
      </c>
      <c r="BC46" t="b">
        <v>0</v>
      </c>
      <c r="BE46" t="s">
        <v>227</v>
      </c>
      <c r="BF46">
        <v>3</v>
      </c>
      <c r="BG46">
        <v>110</v>
      </c>
      <c r="BH46">
        <v>100</v>
      </c>
      <c r="BI46" s="75">
        <f ca="1">INDIRECT(ADDRESS(11+(MATCH(RIGHT(Table610[[#This Row],[spawner_sku]],LEN(Table610[[#This Row],[spawner_sku]])-FIND("/",Table610[[#This Row],[spawner_sku]])),Table1[Entity Prefab],0)),10,1,1,"Entities"))</f>
        <v>25</v>
      </c>
      <c r="BJ46" s="75">
        <f ca="1">ROUND((Table610[[#This Row],[XP]]*Table610[[#This Row],[entity_spawned (AVG)]])*(Table610[[#This Row],[activating_chance]]/100),0)</f>
        <v>75</v>
      </c>
      <c r="BK46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6">
        <v>2</v>
      </c>
      <c r="BM46">
        <v>4</v>
      </c>
      <c r="BN46" t="b">
        <v>0</v>
      </c>
      <c r="BP46" t="s">
        <v>228</v>
      </c>
      <c r="BQ46">
        <v>3.5</v>
      </c>
      <c r="BR46">
        <v>210</v>
      </c>
      <c r="BS46">
        <v>100</v>
      </c>
      <c r="BT4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6" s="75">
        <f ca="1">ROUND((Table61011[[#This Row],[XP]]*Table61011[[#This Row],[entity_spawned (AVG)]])*(Table61011[[#This Row],[activating_chance]]/100),0)</f>
        <v>88</v>
      </c>
      <c r="BV4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" s="72">
        <v>3</v>
      </c>
      <c r="BX46" s="72">
        <v>4</v>
      </c>
      <c r="BY46" s="72" t="b">
        <v>0</v>
      </c>
      <c r="CA46" t="s">
        <v>228</v>
      </c>
      <c r="CB46">
        <v>3.5</v>
      </c>
      <c r="CC46">
        <v>180</v>
      </c>
      <c r="CD46">
        <v>80</v>
      </c>
      <c r="CE46" s="75">
        <f ca="1">INDIRECT(ADDRESS(11+(MATCH(RIGHT(Table11[[#This Row],[spawner_sku]],LEN(Table11[[#This Row],[spawner_sku]])-FIND("/",Table11[[#This Row],[spawner_sku]])),Table1[Entity Prefab],0)),10,1,1,"Entities"))</f>
        <v>25</v>
      </c>
      <c r="CF46">
        <f ca="1">ROUND((Table11[[#This Row],[XP]]*Table11[[#This Row],[entity_spawned (AVG)]])*(Table11[[#This Row],[activating_chance]]/100),0)</f>
        <v>70</v>
      </c>
      <c r="CG46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46" s="72">
        <v>3</v>
      </c>
      <c r="CI46" s="72">
        <v>4</v>
      </c>
      <c r="CJ46" s="72" t="b">
        <v>0</v>
      </c>
      <c r="CL46" t="s">
        <v>228</v>
      </c>
      <c r="CM46">
        <v>2.5</v>
      </c>
      <c r="CN46">
        <v>180</v>
      </c>
      <c r="CO46">
        <v>80</v>
      </c>
      <c r="CP46" s="75">
        <f ca="1">INDIRECT(ADDRESS(11+(MATCH(RIGHT(Table12[[#This Row],[spawner_sku]],LEN(Table12[[#This Row],[spawner_sku]])-FIND("/",Table12[[#This Row],[spawner_sku]])),Table1[Entity Prefab],0)),10,1,1,"Entities"))</f>
        <v>25</v>
      </c>
      <c r="CQ46" s="75">
        <f ca="1">ROUND((Table12[[#This Row],[XP]]*Table12[[#This Row],[entity_spawned (AVG)]])*(Table12[[#This Row],[activating_chance]]/100),0)</f>
        <v>50</v>
      </c>
      <c r="CR46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46" s="72">
        <v>2</v>
      </c>
      <c r="CT46" s="72">
        <v>3</v>
      </c>
      <c r="CU46" s="72" t="b">
        <v>0</v>
      </c>
      <c r="CW46" t="s">
        <v>449</v>
      </c>
      <c r="CX46">
        <v>8</v>
      </c>
      <c r="CY46">
        <v>5000</v>
      </c>
      <c r="CZ46">
        <v>100</v>
      </c>
      <c r="DA46" s="75">
        <f ca="1">INDIRECT(ADDRESS(11+(MATCH(RIGHT(Table13[[#This Row],[spawner_sku]],LEN(Table13[[#This Row],[spawner_sku]])-FIND("/",Table13[[#This Row],[spawner_sku]])),Table1[Entity Prefab],0)),10,1,1,"Entities"))</f>
        <v>25</v>
      </c>
      <c r="DB46" s="75">
        <f ca="1">ROUND((Table13[[#This Row],[XP]]*Table13[[#This Row],[entity_spawned (AVG)]])*(Table13[[#This Row],[activating_chance]]/100),0)</f>
        <v>200</v>
      </c>
      <c r="DC46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46" s="72">
        <v>6</v>
      </c>
      <c r="DE46" s="72">
        <v>10</v>
      </c>
      <c r="DF46" s="72" t="b">
        <v>1</v>
      </c>
      <c r="DH46" t="s">
        <v>226</v>
      </c>
      <c r="DI46">
        <v>1</v>
      </c>
      <c r="DJ46">
        <v>200</v>
      </c>
      <c r="DK46">
        <v>100</v>
      </c>
      <c r="DL46" s="75">
        <f ca="1">INDIRECT(ADDRESS(11+(MATCH(RIGHT(Table14[[#This Row],[spawner_sku]],LEN(Table14[[#This Row],[spawner_sku]])-FIND("/",Table14[[#This Row],[spawner_sku]])),Table1[Entity Prefab],0)),10,1,1,"Entities"))</f>
        <v>55</v>
      </c>
      <c r="DM46" s="75">
        <f ca="1">ROUND((Table14[[#This Row],[XP]]*Table14[[#This Row],[entity_spawned (AVG)]])*(Table14[[#This Row],[activating_chance]]/100),0)</f>
        <v>55</v>
      </c>
      <c r="DN4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46" s="72">
        <v>1</v>
      </c>
      <c r="DP46" s="72">
        <v>1</v>
      </c>
      <c r="DQ46" s="72" t="b">
        <v>0</v>
      </c>
      <c r="DS46" t="s">
        <v>227</v>
      </c>
      <c r="DT46">
        <v>7</v>
      </c>
      <c r="DU46">
        <v>150</v>
      </c>
      <c r="DV46">
        <v>100</v>
      </c>
      <c r="DW46" s="75">
        <f ca="1">INDIRECT(ADDRESS(11+(MATCH(RIGHT(Table18[[#This Row],[spawner_sku]],LEN(Table18[[#This Row],[spawner_sku]])-FIND("/",Table18[[#This Row],[spawner_sku]])),Table1[Entity Prefab],0)),10,1,1,"Entities"))</f>
        <v>25</v>
      </c>
      <c r="DX46" s="75">
        <f ca="1">ROUND((Table18[[#This Row],[XP]]*Table18[[#This Row],[entity_spawned (AVG)]])*(Table18[[#This Row],[activating_chance]]/100),0)</f>
        <v>175</v>
      </c>
      <c r="DY4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46">
        <v>6</v>
      </c>
      <c r="EA46">
        <v>8</v>
      </c>
      <c r="EB46" t="b">
        <v>1</v>
      </c>
      <c r="ED46" t="s">
        <v>227</v>
      </c>
      <c r="EE46">
        <v>3</v>
      </c>
      <c r="EF46">
        <v>140</v>
      </c>
      <c r="EG46">
        <v>100</v>
      </c>
      <c r="EH46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46" s="75">
        <f ca="1">ROUND((Table1820[[#This Row],[XP]]*Table1820[[#This Row],[entity_spawned (AVG)]])*(Table1820[[#This Row],[activating_chance]]/100),0)</f>
        <v>75</v>
      </c>
      <c r="EJ4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46">
        <v>3</v>
      </c>
      <c r="EL46">
        <v>4</v>
      </c>
      <c r="EM46" t="b">
        <v>0</v>
      </c>
      <c r="EO46" t="s">
        <v>490</v>
      </c>
      <c r="EP46">
        <v>1</v>
      </c>
      <c r="EQ46">
        <v>110</v>
      </c>
      <c r="ER46">
        <v>100</v>
      </c>
      <c r="ES46" s="75">
        <f ca="1">INDIRECT(ADDRESS(11+(MATCH(RIGHT(Table182023[[#This Row],[spawner_sku]],LEN(Table182023[[#This Row],[spawner_sku]])-FIND("/",Table182023[[#This Row],[spawner_sku]])),Table1[Entity Prefab],0)),10,1,1,"Entities"))</f>
        <v>28</v>
      </c>
      <c r="ET46" s="75">
        <f ca="1">ROUND((Table182023[[#This Row],[XP]]*Table182023[[#This Row],[entity_spawned (AVG)]])*(Table182023[[#This Row],[activating_chance]]/100),0)</f>
        <v>28</v>
      </c>
      <c r="EU46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46" s="152">
        <v>1</v>
      </c>
      <c r="EW46" s="152">
        <v>1</v>
      </c>
      <c r="EX46" s="152" t="b">
        <v>0</v>
      </c>
      <c r="EZ46" t="s">
        <v>520</v>
      </c>
      <c r="FA46">
        <v>2</v>
      </c>
      <c r="FB46">
        <v>90</v>
      </c>
      <c r="FC46">
        <v>100</v>
      </c>
      <c r="FD46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FE46" s="75">
        <f ca="1">ROUND((Table18202324[[#This Row],[XP]]*Table18202324[[#This Row],[entity_spawned (AVG)]])*(Table18202324[[#This Row],[activating_chance]]/100),0)</f>
        <v>70</v>
      </c>
      <c r="FF46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46">
        <v>1</v>
      </c>
      <c r="FH46">
        <v>3</v>
      </c>
      <c r="FI46" t="b">
        <v>0</v>
      </c>
    </row>
    <row r="47" spans="2:165" x14ac:dyDescent="0.25">
      <c r="B47" s="73" t="s">
        <v>228</v>
      </c>
      <c r="C47">
        <v>1</v>
      </c>
      <c r="D47">
        <v>70</v>
      </c>
      <c r="E47">
        <v>100</v>
      </c>
      <c r="F47" s="75">
        <f ca="1">INDIRECT(ADDRESS(11+(MATCH(RIGHT(Table245[[#This Row],[spawner_sku]],LEN(Table245[[#This Row],[spawner_sku]])-FIND("/",Table245[[#This Row],[spawner_sku]])),Table1[Entity Prefab],0)),10,1,1,"Entities"))</f>
        <v>25</v>
      </c>
      <c r="G47" s="75">
        <f ca="1">ROUND((Table245[[#This Row],[XP]]*Table245[[#This Row],[entity_spawned (AVG)]])*(Table245[[#This Row],[activating_chance]]/100),0)</f>
        <v>25</v>
      </c>
      <c r="H4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7" s="72">
        <v>1</v>
      </c>
      <c r="J47" s="72">
        <v>1</v>
      </c>
      <c r="K47" s="72" t="b">
        <v>0</v>
      </c>
      <c r="M47" t="s">
        <v>228</v>
      </c>
      <c r="N47">
        <v>1</v>
      </c>
      <c r="O47">
        <v>90</v>
      </c>
      <c r="P47">
        <v>100</v>
      </c>
      <c r="Q47" s="75">
        <f ca="1">INDIRECT(ADDRESS(11+(MATCH(RIGHT(Table3[[#This Row],[spawner_sku]],LEN(Table3[[#This Row],[spawner_sku]])-FIND("/",Table3[[#This Row],[spawner_sku]])),Table1[Entity Prefab],0)),10,1,1,"Entities"))</f>
        <v>25</v>
      </c>
      <c r="R47" s="75">
        <f ca="1">ROUND((Table3[[#This Row],[XP]]*Table3[[#This Row],[entity_spawned (AVG)]])*(Table3[[#This Row],[activating_chance]]/100),0)</f>
        <v>25</v>
      </c>
      <c r="S47" t="str">
        <f ca="1">INDIRECT(ADDRESS(11+(MATCH(RIGHT(Table3[[#This Row],[spawner_sku]],LEN(Table3[[#This Row],[spawner_sku]])-FIND("/",Table3[[#This Row],[spawner_sku]])),Table28[Entity Prefab],0)),24,1,1,"Entities"))</f>
        <v>no</v>
      </c>
      <c r="T47">
        <v>1</v>
      </c>
      <c r="U47">
        <v>1</v>
      </c>
      <c r="V47" t="b">
        <v>0</v>
      </c>
      <c r="W47" s="72"/>
      <c r="X47" t="s">
        <v>390</v>
      </c>
      <c r="Y47">
        <v>1</v>
      </c>
      <c r="Z47">
        <v>120</v>
      </c>
      <c r="AA47">
        <v>100</v>
      </c>
      <c r="AB47" s="75">
        <f ca="1">INDIRECT(ADDRESS(11+(MATCH(RIGHT(Table39[[#This Row],[spawner_sku]],LEN(Table39[[#This Row],[spawner_sku]])-FIND("/",Table39[[#This Row],[spawner_sku]])),Table1[Entity Prefab],0)),10,1,1,"Entities"))</f>
        <v>75</v>
      </c>
      <c r="AC47" s="75">
        <f ca="1">ROUND((Table39[[#This Row],[XP]]*Table39[[#This Row],[entity_spawned (AVG)]])*(Table39[[#This Row],[activating_chance]]/100),0)</f>
        <v>75</v>
      </c>
      <c r="AD47" t="str">
        <f ca="1">INDIRECT(ADDRESS(11+(MATCH(RIGHT(Table39[[#This Row],[spawner_sku]],LEN(Table39[[#This Row],[spawner_sku]])-FIND("/",Table39[[#This Row],[spawner_sku]])),Table28[Entity Prefab],0)),24,1,1,"Entities"))</f>
        <v>yes</v>
      </c>
      <c r="AE47">
        <v>1</v>
      </c>
      <c r="AF47">
        <v>1</v>
      </c>
      <c r="AG47" t="b">
        <v>0</v>
      </c>
      <c r="AI47" t="s">
        <v>228</v>
      </c>
      <c r="AJ47">
        <v>2</v>
      </c>
      <c r="AK47">
        <v>100</v>
      </c>
      <c r="AL47">
        <v>100</v>
      </c>
      <c r="AM47" s="75">
        <f ca="1">INDIRECT(ADDRESS(11+(MATCH(RIGHT(Table2[[#This Row],[spawner_sku]],LEN(Table2[[#This Row],[spawner_sku]])-FIND("/",Table2[[#This Row],[spawner_sku]])),Table1[Entity Prefab],0)),10,1,1,"Entities"))</f>
        <v>25</v>
      </c>
      <c r="AN47" s="75">
        <f ca="1">ROUND((Table2[[#This Row],[XP]]*Table2[[#This Row],[entity_spawned (AVG)]])*(Table2[[#This Row],[activating_chance]]/100),0)</f>
        <v>50</v>
      </c>
      <c r="AO4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7" s="72">
        <v>2</v>
      </c>
      <c r="AQ47" s="72">
        <v>2</v>
      </c>
      <c r="AR47" s="72" t="b">
        <v>0</v>
      </c>
      <c r="AT47" t="s">
        <v>228</v>
      </c>
      <c r="AU47">
        <v>2.5</v>
      </c>
      <c r="AV47">
        <v>140</v>
      </c>
      <c r="AW47">
        <v>100</v>
      </c>
      <c r="AX47" s="75">
        <f ca="1">INDIRECT(ADDRESS(11+(MATCH(RIGHT(Table6[[#This Row],[spawner_sku]],LEN(Table6[[#This Row],[spawner_sku]])-FIND("/",Table6[[#This Row],[spawner_sku]])),Table1[Entity Prefab],0)),10,1,1,"Entities"))</f>
        <v>25</v>
      </c>
      <c r="AY47" s="75">
        <f ca="1">ROUND((Table6[[#This Row],[XP]]*Table6[[#This Row],[entity_spawned (AVG)]])*(Table6[[#This Row],[activating_chance]]/100),0)</f>
        <v>63</v>
      </c>
      <c r="AZ47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47">
        <v>2</v>
      </c>
      <c r="BB47">
        <v>3</v>
      </c>
      <c r="BC47" t="b">
        <v>0</v>
      </c>
      <c r="BE47" t="s">
        <v>227</v>
      </c>
      <c r="BF47">
        <v>6.5</v>
      </c>
      <c r="BG47">
        <v>120</v>
      </c>
      <c r="BH47">
        <v>100</v>
      </c>
      <c r="BI47" s="75">
        <f ca="1">INDIRECT(ADDRESS(11+(MATCH(RIGHT(Table610[[#This Row],[spawner_sku]],LEN(Table610[[#This Row],[spawner_sku]])-FIND("/",Table610[[#This Row],[spawner_sku]])),Table1[Entity Prefab],0)),10,1,1,"Entities"))</f>
        <v>25</v>
      </c>
      <c r="BJ47" s="75">
        <f ca="1">ROUND((Table610[[#This Row],[XP]]*Table610[[#This Row],[entity_spawned (AVG)]])*(Table610[[#This Row],[activating_chance]]/100),0)</f>
        <v>163</v>
      </c>
      <c r="BK47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7">
        <v>5</v>
      </c>
      <c r="BM47">
        <v>8</v>
      </c>
      <c r="BN47" t="b">
        <v>1</v>
      </c>
      <c r="BP47" t="s">
        <v>228</v>
      </c>
      <c r="BQ47">
        <v>1.5</v>
      </c>
      <c r="BR47">
        <v>110</v>
      </c>
      <c r="BS47">
        <v>100</v>
      </c>
      <c r="BT4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7" s="75">
        <f ca="1">ROUND((Table61011[[#This Row],[XP]]*Table61011[[#This Row],[entity_spawned (AVG)]])*(Table61011[[#This Row],[activating_chance]]/100),0)</f>
        <v>38</v>
      </c>
      <c r="BV4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" s="72">
        <v>1</v>
      </c>
      <c r="BX47" s="72">
        <v>2</v>
      </c>
      <c r="BY47" s="72" t="b">
        <v>0</v>
      </c>
      <c r="CA47" t="s">
        <v>228</v>
      </c>
      <c r="CB47">
        <v>1.5</v>
      </c>
      <c r="CC47">
        <v>180</v>
      </c>
      <c r="CD47">
        <v>80</v>
      </c>
      <c r="CE47" s="75">
        <f ca="1">INDIRECT(ADDRESS(11+(MATCH(RIGHT(Table11[[#This Row],[spawner_sku]],LEN(Table11[[#This Row],[spawner_sku]])-FIND("/",Table11[[#This Row],[spawner_sku]])),Table1[Entity Prefab],0)),10,1,1,"Entities"))</f>
        <v>25</v>
      </c>
      <c r="CF47">
        <f ca="1">ROUND((Table11[[#This Row],[XP]]*Table11[[#This Row],[entity_spawned (AVG)]])*(Table11[[#This Row],[activating_chance]]/100),0)</f>
        <v>30</v>
      </c>
      <c r="CG47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47" s="72">
        <v>1</v>
      </c>
      <c r="CI47" s="72">
        <v>2</v>
      </c>
      <c r="CJ47" s="72" t="b">
        <v>0</v>
      </c>
      <c r="CL47" t="s">
        <v>228</v>
      </c>
      <c r="CM47">
        <v>2.5</v>
      </c>
      <c r="CN47">
        <v>180</v>
      </c>
      <c r="CO47">
        <v>30</v>
      </c>
      <c r="CP47" s="75">
        <f ca="1">INDIRECT(ADDRESS(11+(MATCH(RIGHT(Table12[[#This Row],[spawner_sku]],LEN(Table12[[#This Row],[spawner_sku]])-FIND("/",Table12[[#This Row],[spawner_sku]])),Table1[Entity Prefab],0)),10,1,1,"Entities"))</f>
        <v>25</v>
      </c>
      <c r="CQ47" s="75">
        <f ca="1">ROUND((Table12[[#This Row],[XP]]*Table12[[#This Row],[entity_spawned (AVG)]])*(Table12[[#This Row],[activating_chance]]/100),0)</f>
        <v>19</v>
      </c>
      <c r="CR47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47" s="72">
        <v>2</v>
      </c>
      <c r="CT47" s="72">
        <v>3</v>
      </c>
      <c r="CU47" s="72" t="b">
        <v>0</v>
      </c>
      <c r="CW47" t="s">
        <v>449</v>
      </c>
      <c r="CX47">
        <v>10</v>
      </c>
      <c r="CY47">
        <v>5000</v>
      </c>
      <c r="CZ47">
        <v>100</v>
      </c>
      <c r="DA47" s="75">
        <f ca="1">INDIRECT(ADDRESS(11+(MATCH(RIGHT(Table13[[#This Row],[spawner_sku]],LEN(Table13[[#This Row],[spawner_sku]])-FIND("/",Table13[[#This Row],[spawner_sku]])),Table1[Entity Prefab],0)),10,1,1,"Entities"))</f>
        <v>25</v>
      </c>
      <c r="DB47" s="75">
        <f ca="1">ROUND((Table13[[#This Row],[XP]]*Table13[[#This Row],[entity_spawned (AVG)]])*(Table13[[#This Row],[activating_chance]]/100),0)</f>
        <v>250</v>
      </c>
      <c r="DC47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47" s="72">
        <v>8</v>
      </c>
      <c r="DE47" s="72">
        <v>12</v>
      </c>
      <c r="DF47" s="72" t="b">
        <v>1</v>
      </c>
      <c r="DH47" t="s">
        <v>226</v>
      </c>
      <c r="DI47">
        <v>1</v>
      </c>
      <c r="DJ47">
        <v>240</v>
      </c>
      <c r="DK47">
        <v>100</v>
      </c>
      <c r="DL47" s="75">
        <f ca="1">INDIRECT(ADDRESS(11+(MATCH(RIGHT(Table14[[#This Row],[spawner_sku]],LEN(Table14[[#This Row],[spawner_sku]])-FIND("/",Table14[[#This Row],[spawner_sku]])),Table1[Entity Prefab],0)),10,1,1,"Entities"))</f>
        <v>55</v>
      </c>
      <c r="DM47" s="75">
        <f ca="1">ROUND((Table14[[#This Row],[XP]]*Table14[[#This Row],[entity_spawned (AVG)]])*(Table14[[#This Row],[activating_chance]]/100),0)</f>
        <v>55</v>
      </c>
      <c r="DN4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47" s="72">
        <v>1</v>
      </c>
      <c r="DP47" s="72">
        <v>1</v>
      </c>
      <c r="DQ47" s="72" t="b">
        <v>0</v>
      </c>
      <c r="DS47" t="s">
        <v>227</v>
      </c>
      <c r="DT47">
        <v>3</v>
      </c>
      <c r="DU47">
        <v>140</v>
      </c>
      <c r="DV47">
        <v>100</v>
      </c>
      <c r="DW47" s="75">
        <f ca="1">INDIRECT(ADDRESS(11+(MATCH(RIGHT(Table18[[#This Row],[spawner_sku]],LEN(Table18[[#This Row],[spawner_sku]])-FIND("/",Table18[[#This Row],[spawner_sku]])),Table1[Entity Prefab],0)),10,1,1,"Entities"))</f>
        <v>25</v>
      </c>
      <c r="DX47" s="75">
        <f ca="1">ROUND((Table18[[#This Row],[XP]]*Table18[[#This Row],[entity_spawned (AVG)]])*(Table18[[#This Row],[activating_chance]]/100),0)</f>
        <v>75</v>
      </c>
      <c r="DY4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47">
        <v>3</v>
      </c>
      <c r="EA47">
        <v>4</v>
      </c>
      <c r="EB47" t="b">
        <v>0</v>
      </c>
      <c r="ED47" t="s">
        <v>227</v>
      </c>
      <c r="EE47">
        <v>3</v>
      </c>
      <c r="EF47">
        <v>140</v>
      </c>
      <c r="EG47">
        <v>100</v>
      </c>
      <c r="EH47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47" s="75">
        <f ca="1">ROUND((Table1820[[#This Row],[XP]]*Table1820[[#This Row],[entity_spawned (AVG)]])*(Table1820[[#This Row],[activating_chance]]/100),0)</f>
        <v>75</v>
      </c>
      <c r="EJ4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47">
        <v>3</v>
      </c>
      <c r="EL47">
        <v>4</v>
      </c>
      <c r="EM47" t="b">
        <v>0</v>
      </c>
      <c r="EO47" t="s">
        <v>490</v>
      </c>
      <c r="EP47">
        <v>1</v>
      </c>
      <c r="EQ47">
        <v>110</v>
      </c>
      <c r="ER47">
        <v>100</v>
      </c>
      <c r="ES47" s="75">
        <f ca="1">INDIRECT(ADDRESS(11+(MATCH(RIGHT(Table182023[[#This Row],[spawner_sku]],LEN(Table182023[[#This Row],[spawner_sku]])-FIND("/",Table182023[[#This Row],[spawner_sku]])),Table1[Entity Prefab],0)),10,1,1,"Entities"))</f>
        <v>28</v>
      </c>
      <c r="ET47" s="75">
        <f ca="1">ROUND((Table182023[[#This Row],[XP]]*Table182023[[#This Row],[entity_spawned (AVG)]])*(Table182023[[#This Row],[activating_chance]]/100),0)</f>
        <v>28</v>
      </c>
      <c r="EU47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47" s="152">
        <v>1</v>
      </c>
      <c r="EW47" s="152">
        <v>1</v>
      </c>
      <c r="EX47" s="152" t="b">
        <v>0</v>
      </c>
      <c r="EZ47" t="s">
        <v>471</v>
      </c>
      <c r="FA47">
        <v>1</v>
      </c>
      <c r="FB47">
        <v>180</v>
      </c>
      <c r="FC47">
        <v>100</v>
      </c>
      <c r="FD47" s="75">
        <f ca="1">INDIRECT(ADDRESS(11+(MATCH(RIGHT(Table18202324[[#This Row],[spawner_sku]],LEN(Table18202324[[#This Row],[spawner_sku]])-FIND("/",Table18202324[[#This Row],[spawner_sku]])),Table1[Entity Prefab],0)),10,1,1,"Entities"))</f>
        <v>105</v>
      </c>
      <c r="FE47" s="75">
        <f ca="1">ROUND((Table18202324[[#This Row],[XP]]*Table18202324[[#This Row],[entity_spawned (AVG)]])*(Table18202324[[#This Row],[activating_chance]]/100),0)</f>
        <v>105</v>
      </c>
      <c r="FF47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47">
        <v>1</v>
      </c>
      <c r="FH47">
        <v>1</v>
      </c>
      <c r="FI47" t="b">
        <v>0</v>
      </c>
    </row>
    <row r="48" spans="2:165" x14ac:dyDescent="0.25">
      <c r="B48" s="73" t="s">
        <v>228</v>
      </c>
      <c r="C48">
        <v>5.5</v>
      </c>
      <c r="D48">
        <v>160</v>
      </c>
      <c r="E48">
        <v>30</v>
      </c>
      <c r="F48" s="75">
        <f ca="1">INDIRECT(ADDRESS(11+(MATCH(RIGHT(Table245[[#This Row],[spawner_sku]],LEN(Table245[[#This Row],[spawner_sku]])-FIND("/",Table245[[#This Row],[spawner_sku]])),Table1[Entity Prefab],0)),10,1,1,"Entities"))</f>
        <v>25</v>
      </c>
      <c r="G48" s="75">
        <f ca="1">ROUND((Table245[[#This Row],[XP]]*Table245[[#This Row],[entity_spawned (AVG)]])*(Table245[[#This Row],[activating_chance]]/100),0)</f>
        <v>41</v>
      </c>
      <c r="H4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8" s="72">
        <v>5</v>
      </c>
      <c r="J48" s="72">
        <v>6</v>
      </c>
      <c r="K48" s="72" t="b">
        <v>1</v>
      </c>
      <c r="M48" t="s">
        <v>228</v>
      </c>
      <c r="N48">
        <v>2</v>
      </c>
      <c r="O48">
        <v>130</v>
      </c>
      <c r="P48">
        <v>100</v>
      </c>
      <c r="Q48" s="75">
        <f ca="1">INDIRECT(ADDRESS(11+(MATCH(RIGHT(Table3[[#This Row],[spawner_sku]],LEN(Table3[[#This Row],[spawner_sku]])-FIND("/",Table3[[#This Row],[spawner_sku]])),Table1[Entity Prefab],0)),10,1,1,"Entities"))</f>
        <v>25</v>
      </c>
      <c r="R48" s="75">
        <f ca="1">ROUND((Table3[[#This Row],[XP]]*Table3[[#This Row],[entity_spawned (AVG)]])*(Table3[[#This Row],[activating_chance]]/100),0)</f>
        <v>50</v>
      </c>
      <c r="S48" t="str">
        <f ca="1">INDIRECT(ADDRESS(11+(MATCH(RIGHT(Table3[[#This Row],[spawner_sku]],LEN(Table3[[#This Row],[spawner_sku]])-FIND("/",Table3[[#This Row],[spawner_sku]])),Table28[Entity Prefab],0)),24,1,1,"Entities"))</f>
        <v>no</v>
      </c>
      <c r="T48">
        <v>1</v>
      </c>
      <c r="U48">
        <v>3</v>
      </c>
      <c r="V48" t="b">
        <v>0</v>
      </c>
      <c r="W48" s="72"/>
      <c r="X48" t="s">
        <v>390</v>
      </c>
      <c r="Y48">
        <v>1</v>
      </c>
      <c r="Z48">
        <v>120</v>
      </c>
      <c r="AA48">
        <v>100</v>
      </c>
      <c r="AB48" s="75">
        <f ca="1">INDIRECT(ADDRESS(11+(MATCH(RIGHT(Table39[[#This Row],[spawner_sku]],LEN(Table39[[#This Row],[spawner_sku]])-FIND("/",Table39[[#This Row],[spawner_sku]])),Table1[Entity Prefab],0)),10,1,1,"Entities"))</f>
        <v>75</v>
      </c>
      <c r="AC48" s="75">
        <f ca="1">ROUND((Table39[[#This Row],[XP]]*Table39[[#This Row],[entity_spawned (AVG)]])*(Table39[[#This Row],[activating_chance]]/100),0)</f>
        <v>75</v>
      </c>
      <c r="AD48" t="str">
        <f ca="1">INDIRECT(ADDRESS(11+(MATCH(RIGHT(Table39[[#This Row],[spawner_sku]],LEN(Table39[[#This Row],[spawner_sku]])-FIND("/",Table39[[#This Row],[spawner_sku]])),Table28[Entity Prefab],0)),24,1,1,"Entities"))</f>
        <v>yes</v>
      </c>
      <c r="AE48">
        <v>1</v>
      </c>
      <c r="AF48">
        <v>1</v>
      </c>
      <c r="AG48" t="b">
        <v>0</v>
      </c>
      <c r="AI48" t="s">
        <v>228</v>
      </c>
      <c r="AJ48">
        <v>9</v>
      </c>
      <c r="AK48">
        <v>200</v>
      </c>
      <c r="AL48">
        <v>40</v>
      </c>
      <c r="AM48" s="75">
        <f ca="1">INDIRECT(ADDRESS(11+(MATCH(RIGHT(Table2[[#This Row],[spawner_sku]],LEN(Table2[[#This Row],[spawner_sku]])-FIND("/",Table2[[#This Row],[spawner_sku]])),Table1[Entity Prefab],0)),10,1,1,"Entities"))</f>
        <v>25</v>
      </c>
      <c r="AN48" s="75">
        <f ca="1">ROUND((Table2[[#This Row],[XP]]*Table2[[#This Row],[entity_spawned (AVG)]])*(Table2[[#This Row],[activating_chance]]/100),0)</f>
        <v>90</v>
      </c>
      <c r="AO4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8" s="72">
        <v>6</v>
      </c>
      <c r="AQ48" s="72">
        <v>12</v>
      </c>
      <c r="AR48" s="72" t="b">
        <v>1</v>
      </c>
      <c r="AT48" t="s">
        <v>228</v>
      </c>
      <c r="AU48">
        <v>1</v>
      </c>
      <c r="AV48">
        <v>90</v>
      </c>
      <c r="AW48">
        <v>100</v>
      </c>
      <c r="AX48" s="75">
        <f ca="1">INDIRECT(ADDRESS(11+(MATCH(RIGHT(Table6[[#This Row],[spawner_sku]],LEN(Table6[[#This Row],[spawner_sku]])-FIND("/",Table6[[#This Row],[spawner_sku]])),Table1[Entity Prefab],0)),10,1,1,"Entities"))</f>
        <v>25</v>
      </c>
      <c r="AY48" s="75">
        <f ca="1">ROUND((Table6[[#This Row],[XP]]*Table6[[#This Row],[entity_spawned (AVG)]])*(Table6[[#This Row],[activating_chance]]/100),0)</f>
        <v>25</v>
      </c>
      <c r="AZ48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48">
        <v>1</v>
      </c>
      <c r="BB48">
        <v>1</v>
      </c>
      <c r="BC48" t="b">
        <v>0</v>
      </c>
      <c r="BE48" t="s">
        <v>227</v>
      </c>
      <c r="BF48">
        <v>6.5</v>
      </c>
      <c r="BG48">
        <v>110</v>
      </c>
      <c r="BH48">
        <v>100</v>
      </c>
      <c r="BI48" s="75">
        <f ca="1">INDIRECT(ADDRESS(11+(MATCH(RIGHT(Table610[[#This Row],[spawner_sku]],LEN(Table610[[#This Row],[spawner_sku]])-FIND("/",Table610[[#This Row],[spawner_sku]])),Table1[Entity Prefab],0)),10,1,1,"Entities"))</f>
        <v>25</v>
      </c>
      <c r="BJ48" s="75">
        <f ca="1">ROUND((Table610[[#This Row],[XP]]*Table610[[#This Row],[entity_spawned (AVG)]])*(Table610[[#This Row],[activating_chance]]/100),0)</f>
        <v>163</v>
      </c>
      <c r="BK48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8">
        <v>5</v>
      </c>
      <c r="BM48">
        <v>8</v>
      </c>
      <c r="BN48" t="b">
        <v>1</v>
      </c>
      <c r="BP48" t="s">
        <v>228</v>
      </c>
      <c r="BQ48">
        <v>3</v>
      </c>
      <c r="BR48">
        <v>170</v>
      </c>
      <c r="BS48">
        <v>100</v>
      </c>
      <c r="BT4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8" s="75">
        <f ca="1">ROUND((Table61011[[#This Row],[XP]]*Table61011[[#This Row],[entity_spawned (AVG)]])*(Table61011[[#This Row],[activating_chance]]/100),0)</f>
        <v>75</v>
      </c>
      <c r="BV4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8" s="72">
        <v>2</v>
      </c>
      <c r="BX48" s="72">
        <v>4</v>
      </c>
      <c r="BY48" s="72" t="b">
        <v>0</v>
      </c>
      <c r="CA48" t="s">
        <v>228</v>
      </c>
      <c r="CB48">
        <v>1.5</v>
      </c>
      <c r="CC48">
        <v>180</v>
      </c>
      <c r="CD48">
        <v>100</v>
      </c>
      <c r="CE48" s="75">
        <f ca="1">INDIRECT(ADDRESS(11+(MATCH(RIGHT(Table11[[#This Row],[spawner_sku]],LEN(Table11[[#This Row],[spawner_sku]])-FIND("/",Table11[[#This Row],[spawner_sku]])),Table1[Entity Prefab],0)),10,1,1,"Entities"))</f>
        <v>25</v>
      </c>
      <c r="CF48">
        <f ca="1">ROUND((Table11[[#This Row],[XP]]*Table11[[#This Row],[entity_spawned (AVG)]])*(Table11[[#This Row],[activating_chance]]/100),0)</f>
        <v>38</v>
      </c>
      <c r="CG48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48" s="72">
        <v>1</v>
      </c>
      <c r="CI48" s="72">
        <v>2</v>
      </c>
      <c r="CJ48" s="72" t="b">
        <v>0</v>
      </c>
      <c r="CL48" t="s">
        <v>228</v>
      </c>
      <c r="CM48">
        <v>1.5</v>
      </c>
      <c r="CN48">
        <v>180</v>
      </c>
      <c r="CO48">
        <v>100</v>
      </c>
      <c r="CP48" s="75">
        <f ca="1">INDIRECT(ADDRESS(11+(MATCH(RIGHT(Table12[[#This Row],[spawner_sku]],LEN(Table12[[#This Row],[spawner_sku]])-FIND("/",Table12[[#This Row],[spawner_sku]])),Table1[Entity Prefab],0)),10,1,1,"Entities"))</f>
        <v>25</v>
      </c>
      <c r="CQ48" s="75">
        <f ca="1">ROUND((Table12[[#This Row],[XP]]*Table12[[#This Row],[entity_spawned (AVG)]])*(Table12[[#This Row],[activating_chance]]/100),0)</f>
        <v>38</v>
      </c>
      <c r="CR48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48" s="72">
        <v>1</v>
      </c>
      <c r="CT48" s="72">
        <v>2</v>
      </c>
      <c r="CU48" s="72" t="b">
        <v>0</v>
      </c>
      <c r="CW48" t="s">
        <v>395</v>
      </c>
      <c r="CX48">
        <v>12</v>
      </c>
      <c r="CY48">
        <v>200</v>
      </c>
      <c r="CZ48">
        <v>100</v>
      </c>
      <c r="DA48" s="75">
        <f ca="1">INDIRECT(ADDRESS(11+(MATCH(RIGHT(Table13[[#This Row],[spawner_sku]],LEN(Table13[[#This Row],[spawner_sku]])-FIND("/",Table13[[#This Row],[spawner_sku]])),Table1[Entity Prefab],0)),10,1,1,"Entities"))</f>
        <v>25</v>
      </c>
      <c r="DB48" s="75">
        <f ca="1">ROUND((Table13[[#This Row],[XP]]*Table13[[#This Row],[entity_spawned (AVG)]])*(Table13[[#This Row],[activating_chance]]/100),0)</f>
        <v>300</v>
      </c>
      <c r="DC48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48" s="72">
        <v>10</v>
      </c>
      <c r="DE48" s="72">
        <v>14</v>
      </c>
      <c r="DF48" s="72" t="b">
        <v>1</v>
      </c>
      <c r="DH48" t="s">
        <v>226</v>
      </c>
      <c r="DI48">
        <v>2</v>
      </c>
      <c r="DJ48">
        <v>220</v>
      </c>
      <c r="DK48">
        <v>70</v>
      </c>
      <c r="DL48" s="75">
        <f ca="1">INDIRECT(ADDRESS(11+(MATCH(RIGHT(Table14[[#This Row],[spawner_sku]],LEN(Table14[[#This Row],[spawner_sku]])-FIND("/",Table14[[#This Row],[spawner_sku]])),Table1[Entity Prefab],0)),10,1,1,"Entities"))</f>
        <v>55</v>
      </c>
      <c r="DM48" s="75">
        <f ca="1">ROUND((Table14[[#This Row],[XP]]*Table14[[#This Row],[entity_spawned (AVG)]])*(Table14[[#This Row],[activating_chance]]/100),0)</f>
        <v>77</v>
      </c>
      <c r="DN4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48" s="72">
        <v>2</v>
      </c>
      <c r="DP48" s="72">
        <v>2</v>
      </c>
      <c r="DQ48" s="72" t="b">
        <v>0</v>
      </c>
      <c r="DS48" t="s">
        <v>227</v>
      </c>
      <c r="DT48">
        <v>7</v>
      </c>
      <c r="DU48">
        <v>160</v>
      </c>
      <c r="DV48">
        <v>100</v>
      </c>
      <c r="DW48" s="75">
        <f ca="1">INDIRECT(ADDRESS(11+(MATCH(RIGHT(Table18[[#This Row],[spawner_sku]],LEN(Table18[[#This Row],[spawner_sku]])-FIND("/",Table18[[#This Row],[spawner_sku]])),Table1[Entity Prefab],0)),10,1,1,"Entities"))</f>
        <v>25</v>
      </c>
      <c r="DX48" s="75">
        <f ca="1">ROUND((Table18[[#This Row],[XP]]*Table18[[#This Row],[entity_spawned (AVG)]])*(Table18[[#This Row],[activating_chance]]/100),0)</f>
        <v>175</v>
      </c>
      <c r="DY4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48">
        <v>6</v>
      </c>
      <c r="EA48">
        <v>8</v>
      </c>
      <c r="EB48" t="b">
        <v>1</v>
      </c>
      <c r="ED48" t="s">
        <v>227</v>
      </c>
      <c r="EE48">
        <v>2</v>
      </c>
      <c r="EF48">
        <v>140</v>
      </c>
      <c r="EG48">
        <v>80</v>
      </c>
      <c r="EH48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48" s="75">
        <f ca="1">ROUND((Table1820[[#This Row],[XP]]*Table1820[[#This Row],[entity_spawned (AVG)]])*(Table1820[[#This Row],[activating_chance]]/100),0)</f>
        <v>40</v>
      </c>
      <c r="EJ4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48">
        <v>2</v>
      </c>
      <c r="EL48">
        <v>3</v>
      </c>
      <c r="EM48" t="b">
        <v>0</v>
      </c>
      <c r="EO48" t="s">
        <v>7350</v>
      </c>
      <c r="EP48">
        <v>1</v>
      </c>
      <c r="EQ48">
        <v>95</v>
      </c>
      <c r="ER48">
        <v>100</v>
      </c>
      <c r="ES48" s="75">
        <f ca="1">INDIRECT(ADDRESS(11+(MATCH(RIGHT(Table182023[[#This Row],[spawner_sku]],LEN(Table182023[[#This Row],[spawner_sku]])-FIND("/",Table182023[[#This Row],[spawner_sku]])),Table1[Entity Prefab],0)),10,1,1,"Entities"))</f>
        <v>95</v>
      </c>
      <c r="ET48" s="75">
        <f ca="1">ROUND((Table182023[[#This Row],[XP]]*Table182023[[#This Row],[entity_spawned (AVG)]])*(Table182023[[#This Row],[activating_chance]]/100),0)</f>
        <v>95</v>
      </c>
      <c r="EU48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48" s="152">
        <v>1</v>
      </c>
      <c r="EW48" s="152">
        <v>1</v>
      </c>
      <c r="EX48" s="152" t="b">
        <v>0</v>
      </c>
      <c r="EZ48" t="s">
        <v>471</v>
      </c>
      <c r="FA48">
        <v>1</v>
      </c>
      <c r="FB48">
        <v>200</v>
      </c>
      <c r="FC48">
        <v>100</v>
      </c>
      <c r="FD48" s="75">
        <f ca="1">INDIRECT(ADDRESS(11+(MATCH(RIGHT(Table18202324[[#This Row],[spawner_sku]],LEN(Table18202324[[#This Row],[spawner_sku]])-FIND("/",Table18202324[[#This Row],[spawner_sku]])),Table1[Entity Prefab],0)),10,1,1,"Entities"))</f>
        <v>105</v>
      </c>
      <c r="FE48" s="75">
        <f ca="1">ROUND((Table18202324[[#This Row],[XP]]*Table18202324[[#This Row],[entity_spawned (AVG)]])*(Table18202324[[#This Row],[activating_chance]]/100),0)</f>
        <v>105</v>
      </c>
      <c r="FF48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48">
        <v>1</v>
      </c>
      <c r="FH48">
        <v>1</v>
      </c>
      <c r="FI48" t="b">
        <v>0</v>
      </c>
    </row>
    <row r="49" spans="2:165" x14ac:dyDescent="0.25">
      <c r="B49" s="73" t="s">
        <v>228</v>
      </c>
      <c r="C49">
        <v>1</v>
      </c>
      <c r="D49">
        <v>75</v>
      </c>
      <c r="E49">
        <v>100</v>
      </c>
      <c r="F49" s="75">
        <f ca="1">INDIRECT(ADDRESS(11+(MATCH(RIGHT(Table245[[#This Row],[spawner_sku]],LEN(Table245[[#This Row],[spawner_sku]])-FIND("/",Table245[[#This Row],[spawner_sku]])),Table1[Entity Prefab],0)),10,1,1,"Entities"))</f>
        <v>25</v>
      </c>
      <c r="G49" s="75">
        <f ca="1">ROUND((Table245[[#This Row],[XP]]*Table245[[#This Row],[entity_spawned (AVG)]])*(Table245[[#This Row],[activating_chance]]/100),0)</f>
        <v>25</v>
      </c>
      <c r="H4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9" s="72">
        <v>1</v>
      </c>
      <c r="J49" s="72">
        <v>1</v>
      </c>
      <c r="K49" s="72" t="b">
        <v>0</v>
      </c>
      <c r="M49" t="s">
        <v>228</v>
      </c>
      <c r="N49">
        <v>3</v>
      </c>
      <c r="O49">
        <v>200</v>
      </c>
      <c r="P49">
        <v>100</v>
      </c>
      <c r="Q49" s="75">
        <f ca="1">INDIRECT(ADDRESS(11+(MATCH(RIGHT(Table3[[#This Row],[spawner_sku]],LEN(Table3[[#This Row],[spawner_sku]])-FIND("/",Table3[[#This Row],[spawner_sku]])),Table1[Entity Prefab],0)),10,1,1,"Entities"))</f>
        <v>25</v>
      </c>
      <c r="R49" s="75">
        <f ca="1">ROUND((Table3[[#This Row],[XP]]*Table3[[#This Row],[entity_spawned (AVG)]])*(Table3[[#This Row],[activating_chance]]/100),0)</f>
        <v>75</v>
      </c>
      <c r="S49" t="str">
        <f ca="1">INDIRECT(ADDRESS(11+(MATCH(RIGHT(Table3[[#This Row],[spawner_sku]],LEN(Table3[[#This Row],[spawner_sku]])-FIND("/",Table3[[#This Row],[spawner_sku]])),Table28[Entity Prefab],0)),24,1,1,"Entities"))</f>
        <v>no</v>
      </c>
      <c r="T49">
        <v>2</v>
      </c>
      <c r="U49">
        <v>4</v>
      </c>
      <c r="V49" t="b">
        <v>0</v>
      </c>
      <c r="W49" s="72"/>
      <c r="X49" t="s">
        <v>390</v>
      </c>
      <c r="Y49">
        <v>1</v>
      </c>
      <c r="Z49">
        <v>120</v>
      </c>
      <c r="AA49">
        <v>100</v>
      </c>
      <c r="AB49" s="75">
        <f ca="1">INDIRECT(ADDRESS(11+(MATCH(RIGHT(Table39[[#This Row],[spawner_sku]],LEN(Table39[[#This Row],[spawner_sku]])-FIND("/",Table39[[#This Row],[spawner_sku]])),Table1[Entity Prefab],0)),10,1,1,"Entities"))</f>
        <v>75</v>
      </c>
      <c r="AC49" s="75">
        <f ca="1">ROUND((Table39[[#This Row],[XP]]*Table39[[#This Row],[entity_spawned (AVG)]])*(Table39[[#This Row],[activating_chance]]/100),0)</f>
        <v>75</v>
      </c>
      <c r="AD49" t="str">
        <f ca="1">INDIRECT(ADDRESS(11+(MATCH(RIGHT(Table39[[#This Row],[spawner_sku]],LEN(Table39[[#This Row],[spawner_sku]])-FIND("/",Table39[[#This Row],[spawner_sku]])),Table28[Entity Prefab],0)),24,1,1,"Entities"))</f>
        <v>yes</v>
      </c>
      <c r="AE49">
        <v>1</v>
      </c>
      <c r="AF49">
        <v>1</v>
      </c>
      <c r="AG49" t="b">
        <v>0</v>
      </c>
      <c r="AI49" t="s">
        <v>228</v>
      </c>
      <c r="AJ49">
        <v>2.5</v>
      </c>
      <c r="AK49">
        <v>150</v>
      </c>
      <c r="AL49">
        <v>100</v>
      </c>
      <c r="AM49" s="75">
        <f ca="1">INDIRECT(ADDRESS(11+(MATCH(RIGHT(Table2[[#This Row],[spawner_sku]],LEN(Table2[[#This Row],[spawner_sku]])-FIND("/",Table2[[#This Row],[spawner_sku]])),Table1[Entity Prefab],0)),10,1,1,"Entities"))</f>
        <v>25</v>
      </c>
      <c r="AN49" s="75">
        <f ca="1">ROUND((Table2[[#This Row],[XP]]*Table2[[#This Row],[entity_spawned (AVG)]])*(Table2[[#This Row],[activating_chance]]/100),0)</f>
        <v>63</v>
      </c>
      <c r="AO4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9" s="72">
        <v>2</v>
      </c>
      <c r="AQ49" s="72">
        <v>3</v>
      </c>
      <c r="AR49" s="72" t="b">
        <v>0</v>
      </c>
      <c r="AT49" t="s">
        <v>228</v>
      </c>
      <c r="AU49">
        <v>1</v>
      </c>
      <c r="AV49">
        <v>90</v>
      </c>
      <c r="AW49">
        <v>100</v>
      </c>
      <c r="AX49" s="75">
        <f ca="1">INDIRECT(ADDRESS(11+(MATCH(RIGHT(Table6[[#This Row],[spawner_sku]],LEN(Table6[[#This Row],[spawner_sku]])-FIND("/",Table6[[#This Row],[spawner_sku]])),Table1[Entity Prefab],0)),10,1,1,"Entities"))</f>
        <v>25</v>
      </c>
      <c r="AY49" s="75">
        <f ca="1">ROUND((Table6[[#This Row],[XP]]*Table6[[#This Row],[entity_spawned (AVG)]])*(Table6[[#This Row],[activating_chance]]/100),0)</f>
        <v>25</v>
      </c>
      <c r="AZ49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49">
        <v>1</v>
      </c>
      <c r="BB49">
        <v>1</v>
      </c>
      <c r="BC49" t="b">
        <v>0</v>
      </c>
      <c r="BE49" t="s">
        <v>227</v>
      </c>
      <c r="BF49">
        <v>6.5</v>
      </c>
      <c r="BG49">
        <v>120</v>
      </c>
      <c r="BH49">
        <v>100</v>
      </c>
      <c r="BI49" s="75">
        <f ca="1">INDIRECT(ADDRESS(11+(MATCH(RIGHT(Table610[[#This Row],[spawner_sku]],LEN(Table610[[#This Row],[spawner_sku]])-FIND("/",Table610[[#This Row],[spawner_sku]])),Table1[Entity Prefab],0)),10,1,1,"Entities"))</f>
        <v>25</v>
      </c>
      <c r="BJ49" s="75">
        <f ca="1">ROUND((Table610[[#This Row],[XP]]*Table610[[#This Row],[entity_spawned (AVG)]])*(Table610[[#This Row],[activating_chance]]/100),0)</f>
        <v>163</v>
      </c>
      <c r="BK49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9">
        <v>5</v>
      </c>
      <c r="BM49">
        <v>8</v>
      </c>
      <c r="BN49" t="b">
        <v>1</v>
      </c>
      <c r="BP49" t="s">
        <v>228</v>
      </c>
      <c r="BQ49">
        <v>1.5</v>
      </c>
      <c r="BR49">
        <v>130</v>
      </c>
      <c r="BS49">
        <v>100</v>
      </c>
      <c r="BT4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9" s="75">
        <f ca="1">ROUND((Table61011[[#This Row],[XP]]*Table61011[[#This Row],[entity_spawned (AVG)]])*(Table61011[[#This Row],[activating_chance]]/100),0)</f>
        <v>38</v>
      </c>
      <c r="BV4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9" s="72">
        <v>1</v>
      </c>
      <c r="BX49" s="72">
        <v>2</v>
      </c>
      <c r="BY49" s="72" t="b">
        <v>0</v>
      </c>
      <c r="CA49" t="s">
        <v>228</v>
      </c>
      <c r="CB49">
        <v>7</v>
      </c>
      <c r="CC49">
        <v>180</v>
      </c>
      <c r="CD49">
        <v>100</v>
      </c>
      <c r="CE49" s="75">
        <f ca="1">INDIRECT(ADDRESS(11+(MATCH(RIGHT(Table11[[#This Row],[spawner_sku]],LEN(Table11[[#This Row],[spawner_sku]])-FIND("/",Table11[[#This Row],[spawner_sku]])),Table1[Entity Prefab],0)),10,1,1,"Entities"))</f>
        <v>25</v>
      </c>
      <c r="CF49">
        <f ca="1">ROUND((Table11[[#This Row],[XP]]*Table11[[#This Row],[entity_spawned (AVG)]])*(Table11[[#This Row],[activating_chance]]/100),0)</f>
        <v>175</v>
      </c>
      <c r="CG49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49" s="72">
        <v>7</v>
      </c>
      <c r="CI49" s="72">
        <v>7</v>
      </c>
      <c r="CJ49" s="72" t="b">
        <v>1</v>
      </c>
      <c r="CL49" t="s">
        <v>228</v>
      </c>
      <c r="CM49">
        <v>1.5</v>
      </c>
      <c r="CN49">
        <v>180</v>
      </c>
      <c r="CO49">
        <v>100</v>
      </c>
      <c r="CP49" s="75">
        <f ca="1">INDIRECT(ADDRESS(11+(MATCH(RIGHT(Table12[[#This Row],[spawner_sku]],LEN(Table12[[#This Row],[spawner_sku]])-FIND("/",Table12[[#This Row],[spawner_sku]])),Table1[Entity Prefab],0)),10,1,1,"Entities"))</f>
        <v>25</v>
      </c>
      <c r="CQ49" s="75">
        <f ca="1">ROUND((Table12[[#This Row],[XP]]*Table12[[#This Row],[entity_spawned (AVG)]])*(Table12[[#This Row],[activating_chance]]/100),0)</f>
        <v>38</v>
      </c>
      <c r="CR49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49" s="72">
        <v>1</v>
      </c>
      <c r="CT49" s="72">
        <v>2</v>
      </c>
      <c r="CU49" s="72" t="b">
        <v>0</v>
      </c>
      <c r="CW49" t="s">
        <v>395</v>
      </c>
      <c r="CX49">
        <v>3.5</v>
      </c>
      <c r="CY49">
        <v>200</v>
      </c>
      <c r="CZ49">
        <v>80</v>
      </c>
      <c r="DA49" s="75">
        <f ca="1">INDIRECT(ADDRESS(11+(MATCH(RIGHT(Table13[[#This Row],[spawner_sku]],LEN(Table13[[#This Row],[spawner_sku]])-FIND("/",Table13[[#This Row],[spawner_sku]])),Table1[Entity Prefab],0)),10,1,1,"Entities"))</f>
        <v>25</v>
      </c>
      <c r="DB49" s="75">
        <f ca="1">ROUND((Table13[[#This Row],[XP]]*Table13[[#This Row],[entity_spawned (AVG)]])*(Table13[[#This Row],[activating_chance]]/100),0)</f>
        <v>70</v>
      </c>
      <c r="DC49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49" s="72">
        <v>3</v>
      </c>
      <c r="DE49" s="72">
        <v>4</v>
      </c>
      <c r="DF49" s="72" t="b">
        <v>0</v>
      </c>
      <c r="DH49" t="s">
        <v>226</v>
      </c>
      <c r="DI49">
        <v>1.5</v>
      </c>
      <c r="DJ49">
        <v>260</v>
      </c>
      <c r="DK49">
        <v>80</v>
      </c>
      <c r="DL49" s="75">
        <f ca="1">INDIRECT(ADDRESS(11+(MATCH(RIGHT(Table14[[#This Row],[spawner_sku]],LEN(Table14[[#This Row],[spawner_sku]])-FIND("/",Table14[[#This Row],[spawner_sku]])),Table1[Entity Prefab],0)),10,1,1,"Entities"))</f>
        <v>55</v>
      </c>
      <c r="DM49" s="75">
        <f ca="1">ROUND((Table14[[#This Row],[XP]]*Table14[[#This Row],[entity_spawned (AVG)]])*(Table14[[#This Row],[activating_chance]]/100),0)</f>
        <v>66</v>
      </c>
      <c r="DN4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49" s="72">
        <v>1</v>
      </c>
      <c r="DP49" s="72">
        <v>2</v>
      </c>
      <c r="DQ49" s="72" t="b">
        <v>0</v>
      </c>
      <c r="DS49" t="s">
        <v>227</v>
      </c>
      <c r="DT49">
        <v>3</v>
      </c>
      <c r="DU49">
        <v>120</v>
      </c>
      <c r="DV49">
        <v>100</v>
      </c>
      <c r="DW49" s="75">
        <f ca="1">INDIRECT(ADDRESS(11+(MATCH(RIGHT(Table18[[#This Row],[spawner_sku]],LEN(Table18[[#This Row],[spawner_sku]])-FIND("/",Table18[[#This Row],[spawner_sku]])),Table1[Entity Prefab],0)),10,1,1,"Entities"))</f>
        <v>25</v>
      </c>
      <c r="DX49" s="75">
        <f ca="1">ROUND((Table18[[#This Row],[XP]]*Table18[[#This Row],[entity_spawned (AVG)]])*(Table18[[#This Row],[activating_chance]]/100),0)</f>
        <v>75</v>
      </c>
      <c r="DY4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49">
        <v>2</v>
      </c>
      <c r="EA49">
        <v>4</v>
      </c>
      <c r="EB49" t="b">
        <v>0</v>
      </c>
      <c r="ED49" t="s">
        <v>227</v>
      </c>
      <c r="EE49">
        <v>2</v>
      </c>
      <c r="EF49">
        <v>140</v>
      </c>
      <c r="EG49">
        <v>30</v>
      </c>
      <c r="EH4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49" s="75">
        <f ca="1">ROUND((Table1820[[#This Row],[XP]]*Table1820[[#This Row],[entity_spawned (AVG)]])*(Table1820[[#This Row],[activating_chance]]/100),0)</f>
        <v>15</v>
      </c>
      <c r="EJ4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49">
        <v>2</v>
      </c>
      <c r="EL49">
        <v>3</v>
      </c>
      <c r="EM49" t="b">
        <v>0</v>
      </c>
      <c r="EO49" t="s">
        <v>7350</v>
      </c>
      <c r="EP49">
        <v>1</v>
      </c>
      <c r="EQ49">
        <v>70</v>
      </c>
      <c r="ER49">
        <v>100</v>
      </c>
      <c r="ES49" s="75">
        <f ca="1">INDIRECT(ADDRESS(11+(MATCH(RIGHT(Table182023[[#This Row],[spawner_sku]],LEN(Table182023[[#This Row],[spawner_sku]])-FIND("/",Table182023[[#This Row],[spawner_sku]])),Table1[Entity Prefab],0)),10,1,1,"Entities"))</f>
        <v>95</v>
      </c>
      <c r="ET49" s="75">
        <f ca="1">ROUND((Table182023[[#This Row],[XP]]*Table182023[[#This Row],[entity_spawned (AVG)]])*(Table182023[[#This Row],[activating_chance]]/100),0)</f>
        <v>95</v>
      </c>
      <c r="EU49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49" s="152">
        <v>1</v>
      </c>
      <c r="EW49" s="152">
        <v>1</v>
      </c>
      <c r="EX49" s="152" t="b">
        <v>0</v>
      </c>
      <c r="EZ49" t="s">
        <v>472</v>
      </c>
      <c r="FA49">
        <v>1</v>
      </c>
      <c r="FB49">
        <v>210</v>
      </c>
      <c r="FC49">
        <v>80</v>
      </c>
      <c r="FD49" s="75">
        <f ca="1">INDIRECT(ADDRESS(11+(MATCH(RIGHT(Table18202324[[#This Row],[spawner_sku]],LEN(Table18202324[[#This Row],[spawner_sku]])-FIND("/",Table18202324[[#This Row],[spawner_sku]])),Table1[Entity Prefab],0)),10,1,1,"Entities"))</f>
        <v>143</v>
      </c>
      <c r="FE49" s="75">
        <f ca="1">ROUND((Table18202324[[#This Row],[XP]]*Table18202324[[#This Row],[entity_spawned (AVG)]])*(Table18202324[[#This Row],[activating_chance]]/100),0)</f>
        <v>114</v>
      </c>
      <c r="FF49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49">
        <v>1</v>
      </c>
      <c r="FH49">
        <v>1</v>
      </c>
      <c r="FI49" t="b">
        <v>0</v>
      </c>
    </row>
    <row r="50" spans="2:165" x14ac:dyDescent="0.25">
      <c r="B50" s="73" t="s">
        <v>228</v>
      </c>
      <c r="C50">
        <v>1</v>
      </c>
      <c r="D50">
        <v>80</v>
      </c>
      <c r="E50">
        <v>100</v>
      </c>
      <c r="F50" s="75">
        <f ca="1">INDIRECT(ADDRESS(11+(MATCH(RIGHT(Table245[[#This Row],[spawner_sku]],LEN(Table245[[#This Row],[spawner_sku]])-FIND("/",Table245[[#This Row],[spawner_sku]])),Table1[Entity Prefab],0)),10,1,1,"Entities"))</f>
        <v>25</v>
      </c>
      <c r="G50" s="75">
        <f ca="1">ROUND((Table245[[#This Row],[XP]]*Table245[[#This Row],[entity_spawned (AVG)]])*(Table245[[#This Row],[activating_chance]]/100),0)</f>
        <v>25</v>
      </c>
      <c r="H5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0" s="72">
        <v>1</v>
      </c>
      <c r="J50" s="72">
        <v>1</v>
      </c>
      <c r="K50" s="72" t="b">
        <v>0</v>
      </c>
      <c r="M50" t="s">
        <v>228</v>
      </c>
      <c r="N50">
        <v>2</v>
      </c>
      <c r="O50">
        <v>110</v>
      </c>
      <c r="P50">
        <v>100</v>
      </c>
      <c r="Q50" s="75">
        <f ca="1">INDIRECT(ADDRESS(11+(MATCH(RIGHT(Table3[[#This Row],[spawner_sku]],LEN(Table3[[#This Row],[spawner_sku]])-FIND("/",Table3[[#This Row],[spawner_sku]])),Table1[Entity Prefab],0)),10,1,1,"Entities"))</f>
        <v>25</v>
      </c>
      <c r="R50" s="75">
        <f ca="1">ROUND((Table3[[#This Row],[XP]]*Table3[[#This Row],[entity_spawned (AVG)]])*(Table3[[#This Row],[activating_chance]]/100),0)</f>
        <v>50</v>
      </c>
      <c r="S50" t="str">
        <f ca="1">INDIRECT(ADDRESS(11+(MATCH(RIGHT(Table3[[#This Row],[spawner_sku]],LEN(Table3[[#This Row],[spawner_sku]])-FIND("/",Table3[[#This Row],[spawner_sku]])),Table28[Entity Prefab],0)),24,1,1,"Entities"))</f>
        <v>no</v>
      </c>
      <c r="T50">
        <v>1</v>
      </c>
      <c r="U50">
        <v>3</v>
      </c>
      <c r="V50" t="b">
        <v>0</v>
      </c>
      <c r="W50" s="72"/>
      <c r="X50" t="s">
        <v>385</v>
      </c>
      <c r="Y50">
        <v>1</v>
      </c>
      <c r="Z50">
        <v>170</v>
      </c>
      <c r="AA50">
        <v>100</v>
      </c>
      <c r="AB50" s="75">
        <f ca="1">INDIRECT(ADDRESS(11+(MATCH(RIGHT(Table39[[#This Row],[spawner_sku]],LEN(Table39[[#This Row],[spawner_sku]])-FIND("/",Table39[[#This Row],[spawner_sku]])),Table1[Entity Prefab],0)),10,1,1,"Entities"))</f>
        <v>75</v>
      </c>
      <c r="AC50" s="75">
        <f ca="1">ROUND((Table39[[#This Row],[XP]]*Table39[[#This Row],[entity_spawned (AVG)]])*(Table39[[#This Row],[activating_chance]]/100),0)</f>
        <v>75</v>
      </c>
      <c r="AD50" t="str">
        <f ca="1">INDIRECT(ADDRESS(11+(MATCH(RIGHT(Table39[[#This Row],[spawner_sku]],LEN(Table39[[#This Row],[spawner_sku]])-FIND("/",Table39[[#This Row],[spawner_sku]])),Table28[Entity Prefab],0)),24,1,1,"Entities"))</f>
        <v>no</v>
      </c>
      <c r="AE50">
        <v>1</v>
      </c>
      <c r="AF50">
        <v>1</v>
      </c>
      <c r="AG50" t="b">
        <v>0</v>
      </c>
      <c r="AI50" t="s">
        <v>228</v>
      </c>
      <c r="AJ50">
        <v>3</v>
      </c>
      <c r="AK50">
        <v>100</v>
      </c>
      <c r="AL50">
        <v>85</v>
      </c>
      <c r="AM50" s="75">
        <f ca="1">INDIRECT(ADDRESS(11+(MATCH(RIGHT(Table2[[#This Row],[spawner_sku]],LEN(Table2[[#This Row],[spawner_sku]])-FIND("/",Table2[[#This Row],[spawner_sku]])),Table1[Entity Prefab],0)),10,1,1,"Entities"))</f>
        <v>25</v>
      </c>
      <c r="AN50" s="75">
        <f ca="1">ROUND((Table2[[#This Row],[XP]]*Table2[[#This Row],[entity_spawned (AVG)]])*(Table2[[#This Row],[activating_chance]]/100),0)</f>
        <v>64</v>
      </c>
      <c r="AO5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50" s="72">
        <v>2</v>
      </c>
      <c r="AQ50" s="72">
        <v>4</v>
      </c>
      <c r="AR50" s="72" t="b">
        <v>0</v>
      </c>
      <c r="AT50" t="s">
        <v>228</v>
      </c>
      <c r="AU50">
        <v>1</v>
      </c>
      <c r="AV50">
        <v>90</v>
      </c>
      <c r="AW50">
        <v>100</v>
      </c>
      <c r="AX50" s="75">
        <f ca="1">INDIRECT(ADDRESS(11+(MATCH(RIGHT(Table6[[#This Row],[spawner_sku]],LEN(Table6[[#This Row],[spawner_sku]])-FIND("/",Table6[[#This Row],[spawner_sku]])),Table1[Entity Prefab],0)),10,1,1,"Entities"))</f>
        <v>25</v>
      </c>
      <c r="AY50" s="75">
        <f ca="1">ROUND((Table6[[#This Row],[XP]]*Table6[[#This Row],[entity_spawned (AVG)]])*(Table6[[#This Row],[activating_chance]]/100),0)</f>
        <v>25</v>
      </c>
      <c r="AZ50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50">
        <v>1</v>
      </c>
      <c r="BB50">
        <v>1</v>
      </c>
      <c r="BC50" t="b">
        <v>0</v>
      </c>
      <c r="BE50" t="s">
        <v>227</v>
      </c>
      <c r="BF50">
        <v>6.5</v>
      </c>
      <c r="BG50">
        <v>120</v>
      </c>
      <c r="BH50">
        <v>100</v>
      </c>
      <c r="BI50" s="75">
        <f ca="1">INDIRECT(ADDRESS(11+(MATCH(RIGHT(Table610[[#This Row],[spawner_sku]],LEN(Table610[[#This Row],[spawner_sku]])-FIND("/",Table610[[#This Row],[spawner_sku]])),Table1[Entity Prefab],0)),10,1,1,"Entities"))</f>
        <v>25</v>
      </c>
      <c r="BJ50" s="75">
        <f ca="1">ROUND((Table610[[#This Row],[XP]]*Table610[[#This Row],[entity_spawned (AVG)]])*(Table610[[#This Row],[activating_chance]]/100),0)</f>
        <v>163</v>
      </c>
      <c r="BK50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0">
        <v>5</v>
      </c>
      <c r="BM50">
        <v>8</v>
      </c>
      <c r="BN50" t="b">
        <v>1</v>
      </c>
      <c r="BP50" t="s">
        <v>228</v>
      </c>
      <c r="BQ50">
        <v>1.5</v>
      </c>
      <c r="BR50">
        <v>120</v>
      </c>
      <c r="BS50">
        <v>100</v>
      </c>
      <c r="BT5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50" s="75">
        <f ca="1">ROUND((Table61011[[#This Row],[XP]]*Table61011[[#This Row],[entity_spawned (AVG)]])*(Table61011[[#This Row],[activating_chance]]/100),0)</f>
        <v>38</v>
      </c>
      <c r="BV5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0" s="72">
        <v>1</v>
      </c>
      <c r="BX50" s="72">
        <v>2</v>
      </c>
      <c r="BY50" s="72" t="b">
        <v>0</v>
      </c>
      <c r="CA50" t="s">
        <v>228</v>
      </c>
      <c r="CB50">
        <v>1.5</v>
      </c>
      <c r="CC50">
        <v>180</v>
      </c>
      <c r="CD50">
        <v>10</v>
      </c>
      <c r="CE50" s="75">
        <f ca="1">INDIRECT(ADDRESS(11+(MATCH(RIGHT(Table11[[#This Row],[spawner_sku]],LEN(Table11[[#This Row],[spawner_sku]])-FIND("/",Table11[[#This Row],[spawner_sku]])),Table1[Entity Prefab],0)),10,1,1,"Entities"))</f>
        <v>25</v>
      </c>
      <c r="CF50">
        <f ca="1">ROUND((Table11[[#This Row],[XP]]*Table11[[#This Row],[entity_spawned (AVG)]])*(Table11[[#This Row],[activating_chance]]/100),0)</f>
        <v>4</v>
      </c>
      <c r="CG50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50" s="72">
        <v>1</v>
      </c>
      <c r="CI50" s="72">
        <v>2</v>
      </c>
      <c r="CJ50" s="72" t="b">
        <v>0</v>
      </c>
      <c r="CL50" t="s">
        <v>228</v>
      </c>
      <c r="CM50">
        <v>1</v>
      </c>
      <c r="CN50">
        <v>180</v>
      </c>
      <c r="CO50">
        <v>100</v>
      </c>
      <c r="CP50" s="75">
        <f ca="1">INDIRECT(ADDRESS(11+(MATCH(RIGHT(Table12[[#This Row],[spawner_sku]],LEN(Table12[[#This Row],[spawner_sku]])-FIND("/",Table12[[#This Row],[spawner_sku]])),Table1[Entity Prefab],0)),10,1,1,"Entities"))</f>
        <v>25</v>
      </c>
      <c r="CQ50" s="75">
        <f ca="1">ROUND((Table12[[#This Row],[XP]]*Table12[[#This Row],[entity_spawned (AVG)]])*(Table12[[#This Row],[activating_chance]]/100),0)</f>
        <v>25</v>
      </c>
      <c r="CR50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50" s="72">
        <v>1</v>
      </c>
      <c r="CT50" s="72">
        <v>1</v>
      </c>
      <c r="CU50" s="72" t="b">
        <v>0</v>
      </c>
      <c r="CW50" t="s">
        <v>395</v>
      </c>
      <c r="CX50">
        <v>5.5</v>
      </c>
      <c r="CY50">
        <v>200</v>
      </c>
      <c r="CZ50">
        <v>100</v>
      </c>
      <c r="DA50" s="75">
        <f ca="1">INDIRECT(ADDRESS(11+(MATCH(RIGHT(Table13[[#This Row],[spawner_sku]],LEN(Table13[[#This Row],[spawner_sku]])-FIND("/",Table13[[#This Row],[spawner_sku]])),Table1[Entity Prefab],0)),10,1,1,"Entities"))</f>
        <v>25</v>
      </c>
      <c r="DB50" s="75">
        <f ca="1">ROUND((Table13[[#This Row],[XP]]*Table13[[#This Row],[entity_spawned (AVG)]])*(Table13[[#This Row],[activating_chance]]/100),0)</f>
        <v>138</v>
      </c>
      <c r="DC50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50" s="72">
        <v>5</v>
      </c>
      <c r="DE50" s="72">
        <v>6</v>
      </c>
      <c r="DF50" s="72" t="b">
        <v>1</v>
      </c>
      <c r="DH50" t="s">
        <v>226</v>
      </c>
      <c r="DI50">
        <v>1</v>
      </c>
      <c r="DJ50">
        <v>100</v>
      </c>
      <c r="DK50">
        <v>80</v>
      </c>
      <c r="DL50" s="75">
        <f ca="1">INDIRECT(ADDRESS(11+(MATCH(RIGHT(Table14[[#This Row],[spawner_sku]],LEN(Table14[[#This Row],[spawner_sku]])-FIND("/",Table14[[#This Row],[spawner_sku]])),Table1[Entity Prefab],0)),10,1,1,"Entities"))</f>
        <v>55</v>
      </c>
      <c r="DM50" s="75">
        <f ca="1">ROUND((Table14[[#This Row],[XP]]*Table14[[#This Row],[entity_spawned (AVG)]])*(Table14[[#This Row],[activating_chance]]/100),0)</f>
        <v>44</v>
      </c>
      <c r="DN5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50" s="72">
        <v>1</v>
      </c>
      <c r="DP50" s="72">
        <v>1</v>
      </c>
      <c r="DQ50" s="72" t="b">
        <v>0</v>
      </c>
      <c r="DS50" t="s">
        <v>227</v>
      </c>
      <c r="DT50">
        <v>3</v>
      </c>
      <c r="DU50">
        <v>140</v>
      </c>
      <c r="DV50">
        <v>100</v>
      </c>
      <c r="DW50" s="75">
        <f ca="1">INDIRECT(ADDRESS(11+(MATCH(RIGHT(Table18[[#This Row],[spawner_sku]],LEN(Table18[[#This Row],[spawner_sku]])-FIND("/",Table18[[#This Row],[spawner_sku]])),Table1[Entity Prefab],0)),10,1,1,"Entities"))</f>
        <v>25</v>
      </c>
      <c r="DX50" s="75">
        <f ca="1">ROUND((Table18[[#This Row],[XP]]*Table18[[#This Row],[entity_spawned (AVG)]])*(Table18[[#This Row],[activating_chance]]/100),0)</f>
        <v>75</v>
      </c>
      <c r="DY5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50">
        <v>3</v>
      </c>
      <c r="EA50">
        <v>4</v>
      </c>
      <c r="EB50" t="b">
        <v>0</v>
      </c>
      <c r="ED50" t="s">
        <v>227</v>
      </c>
      <c r="EE50">
        <v>3</v>
      </c>
      <c r="EF50">
        <v>140</v>
      </c>
      <c r="EG50">
        <v>100</v>
      </c>
      <c r="EH50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50" s="75">
        <f ca="1">ROUND((Table1820[[#This Row],[XP]]*Table1820[[#This Row],[entity_spawned (AVG)]])*(Table1820[[#This Row],[activating_chance]]/100),0)</f>
        <v>75</v>
      </c>
      <c r="EJ5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50">
        <v>3</v>
      </c>
      <c r="EL50">
        <v>4</v>
      </c>
      <c r="EM50" t="b">
        <v>0</v>
      </c>
      <c r="EO50" t="s">
        <v>7352</v>
      </c>
      <c r="EP50">
        <v>1</v>
      </c>
      <c r="EQ50">
        <v>500</v>
      </c>
      <c r="ER50">
        <v>100</v>
      </c>
      <c r="ES50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ET50" s="75">
        <f ca="1">ROUND((Table182023[[#This Row],[XP]]*Table182023[[#This Row],[entity_spawned (AVG)]])*(Table182023[[#This Row],[activating_chance]]/100),0)</f>
        <v>130</v>
      </c>
      <c r="EU50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EV50" s="152">
        <v>1</v>
      </c>
      <c r="EW50" s="152">
        <v>1</v>
      </c>
      <c r="EX50" s="152" t="b">
        <v>0</v>
      </c>
      <c r="EZ50" t="s">
        <v>472</v>
      </c>
      <c r="FA50">
        <v>1</v>
      </c>
      <c r="FB50">
        <v>200</v>
      </c>
      <c r="FC50">
        <v>100</v>
      </c>
      <c r="FD50" s="75">
        <f ca="1">INDIRECT(ADDRESS(11+(MATCH(RIGHT(Table18202324[[#This Row],[spawner_sku]],LEN(Table18202324[[#This Row],[spawner_sku]])-FIND("/",Table18202324[[#This Row],[spawner_sku]])),Table1[Entity Prefab],0)),10,1,1,"Entities"))</f>
        <v>143</v>
      </c>
      <c r="FE50" s="75">
        <f ca="1">ROUND((Table18202324[[#This Row],[XP]]*Table18202324[[#This Row],[entity_spawned (AVG)]])*(Table18202324[[#This Row],[activating_chance]]/100),0)</f>
        <v>143</v>
      </c>
      <c r="FF50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50">
        <v>1</v>
      </c>
      <c r="FH50">
        <v>1</v>
      </c>
      <c r="FI50" t="b">
        <v>0</v>
      </c>
    </row>
    <row r="51" spans="2:165" x14ac:dyDescent="0.25">
      <c r="B51" s="73" t="s">
        <v>228</v>
      </c>
      <c r="C51">
        <v>6.5</v>
      </c>
      <c r="D51">
        <v>140</v>
      </c>
      <c r="E51">
        <v>100</v>
      </c>
      <c r="F51" s="75">
        <f ca="1">INDIRECT(ADDRESS(11+(MATCH(RIGHT(Table245[[#This Row],[spawner_sku]],LEN(Table245[[#This Row],[spawner_sku]])-FIND("/",Table245[[#This Row],[spawner_sku]])),Table1[Entity Prefab],0)),10,1,1,"Entities"))</f>
        <v>25</v>
      </c>
      <c r="G51" s="75">
        <f ca="1">ROUND((Table245[[#This Row],[XP]]*Table245[[#This Row],[entity_spawned (AVG)]])*(Table245[[#This Row],[activating_chance]]/100),0)</f>
        <v>163</v>
      </c>
      <c r="H5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1" s="72">
        <v>5</v>
      </c>
      <c r="J51" s="72">
        <v>8</v>
      </c>
      <c r="K51" s="72" t="b">
        <v>1</v>
      </c>
      <c r="M51" t="s">
        <v>228</v>
      </c>
      <c r="N51">
        <v>6</v>
      </c>
      <c r="O51">
        <v>180</v>
      </c>
      <c r="P51">
        <v>100</v>
      </c>
      <c r="Q51" s="75">
        <f ca="1">INDIRECT(ADDRESS(11+(MATCH(RIGHT(Table3[[#This Row],[spawner_sku]],LEN(Table3[[#This Row],[spawner_sku]])-FIND("/",Table3[[#This Row],[spawner_sku]])),Table1[Entity Prefab],0)),10,1,1,"Entities"))</f>
        <v>25</v>
      </c>
      <c r="R51" s="75">
        <f ca="1">ROUND((Table3[[#This Row],[XP]]*Table3[[#This Row],[entity_spawned (AVG)]])*(Table3[[#This Row],[activating_chance]]/100),0)</f>
        <v>150</v>
      </c>
      <c r="S51" t="str">
        <f ca="1">INDIRECT(ADDRESS(11+(MATCH(RIGHT(Table3[[#This Row],[spawner_sku]],LEN(Table3[[#This Row],[spawner_sku]])-FIND("/",Table3[[#This Row],[spawner_sku]])),Table28[Entity Prefab],0)),24,1,1,"Entities"))</f>
        <v>no</v>
      </c>
      <c r="T51">
        <v>5</v>
      </c>
      <c r="U51">
        <v>7</v>
      </c>
      <c r="V51" t="b">
        <v>1</v>
      </c>
      <c r="W51" s="72"/>
      <c r="X51" t="s">
        <v>385</v>
      </c>
      <c r="Y51">
        <v>1</v>
      </c>
      <c r="Z51">
        <v>170</v>
      </c>
      <c r="AA51">
        <v>100</v>
      </c>
      <c r="AB51" s="75">
        <f ca="1">INDIRECT(ADDRESS(11+(MATCH(RIGHT(Table39[[#This Row],[spawner_sku]],LEN(Table39[[#This Row],[spawner_sku]])-FIND("/",Table39[[#This Row],[spawner_sku]])),Table1[Entity Prefab],0)),10,1,1,"Entities"))</f>
        <v>75</v>
      </c>
      <c r="AC51" s="75">
        <f ca="1">ROUND((Table39[[#This Row],[XP]]*Table39[[#This Row],[entity_spawned (AVG)]])*(Table39[[#This Row],[activating_chance]]/100),0)</f>
        <v>75</v>
      </c>
      <c r="AD51" t="str">
        <f ca="1">INDIRECT(ADDRESS(11+(MATCH(RIGHT(Table39[[#This Row],[spawner_sku]],LEN(Table39[[#This Row],[spawner_sku]])-FIND("/",Table39[[#This Row],[spawner_sku]])),Table28[Entity Prefab],0)),24,1,1,"Entities"))</f>
        <v>no</v>
      </c>
      <c r="AE51">
        <v>1</v>
      </c>
      <c r="AF51">
        <v>1</v>
      </c>
      <c r="AG51" t="b">
        <v>0</v>
      </c>
      <c r="AI51" t="s">
        <v>228</v>
      </c>
      <c r="AJ51">
        <v>1.5</v>
      </c>
      <c r="AK51">
        <v>110</v>
      </c>
      <c r="AL51">
        <v>100</v>
      </c>
      <c r="AM51" s="75">
        <f ca="1">INDIRECT(ADDRESS(11+(MATCH(RIGHT(Table2[[#This Row],[spawner_sku]],LEN(Table2[[#This Row],[spawner_sku]])-FIND("/",Table2[[#This Row],[spawner_sku]])),Table1[Entity Prefab],0)),10,1,1,"Entities"))</f>
        <v>25</v>
      </c>
      <c r="AN51" s="75">
        <f ca="1">ROUND((Table2[[#This Row],[XP]]*Table2[[#This Row],[entity_spawned (AVG)]])*(Table2[[#This Row],[activating_chance]]/100),0)</f>
        <v>38</v>
      </c>
      <c r="AO5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51" s="72">
        <v>1</v>
      </c>
      <c r="AQ51" s="72">
        <v>2</v>
      </c>
      <c r="AR51" s="72" t="b">
        <v>0</v>
      </c>
      <c r="AT51" t="s">
        <v>228</v>
      </c>
      <c r="AU51">
        <v>1</v>
      </c>
      <c r="AV51">
        <v>90</v>
      </c>
      <c r="AW51">
        <v>100</v>
      </c>
      <c r="AX51" s="75">
        <f ca="1">INDIRECT(ADDRESS(11+(MATCH(RIGHT(Table6[[#This Row],[spawner_sku]],LEN(Table6[[#This Row],[spawner_sku]])-FIND("/",Table6[[#This Row],[spawner_sku]])),Table1[Entity Prefab],0)),10,1,1,"Entities"))</f>
        <v>25</v>
      </c>
      <c r="AY51" s="75">
        <f ca="1">ROUND((Table6[[#This Row],[XP]]*Table6[[#This Row],[entity_spawned (AVG)]])*(Table6[[#This Row],[activating_chance]]/100),0)</f>
        <v>25</v>
      </c>
      <c r="AZ51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51">
        <v>1</v>
      </c>
      <c r="BB51">
        <v>1</v>
      </c>
      <c r="BC51" t="b">
        <v>0</v>
      </c>
      <c r="BE51" t="s">
        <v>227</v>
      </c>
      <c r="BF51">
        <v>6.5</v>
      </c>
      <c r="BG51">
        <v>120</v>
      </c>
      <c r="BH51">
        <v>100</v>
      </c>
      <c r="BI51" s="75">
        <f ca="1">INDIRECT(ADDRESS(11+(MATCH(RIGHT(Table610[[#This Row],[spawner_sku]],LEN(Table610[[#This Row],[spawner_sku]])-FIND("/",Table610[[#This Row],[spawner_sku]])),Table1[Entity Prefab],0)),10,1,1,"Entities"))</f>
        <v>25</v>
      </c>
      <c r="BJ51" s="75">
        <f ca="1">ROUND((Table610[[#This Row],[XP]]*Table610[[#This Row],[entity_spawned (AVG)]])*(Table610[[#This Row],[activating_chance]]/100),0)</f>
        <v>163</v>
      </c>
      <c r="BK51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1">
        <v>5</v>
      </c>
      <c r="BM51">
        <v>8</v>
      </c>
      <c r="BN51" t="b">
        <v>1</v>
      </c>
      <c r="BP51" t="s">
        <v>228</v>
      </c>
      <c r="BQ51">
        <v>3</v>
      </c>
      <c r="BR51">
        <v>200</v>
      </c>
      <c r="BS51">
        <v>100</v>
      </c>
      <c r="BT5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51" s="75">
        <f ca="1">ROUND((Table61011[[#This Row],[XP]]*Table61011[[#This Row],[entity_spawned (AVG)]])*(Table61011[[#This Row],[activating_chance]]/100),0)</f>
        <v>75</v>
      </c>
      <c r="BV5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1" s="72">
        <v>3</v>
      </c>
      <c r="BX51" s="72">
        <v>3</v>
      </c>
      <c r="BY51" s="72" t="b">
        <v>0</v>
      </c>
      <c r="CA51" t="s">
        <v>228</v>
      </c>
      <c r="CB51">
        <v>3</v>
      </c>
      <c r="CC51">
        <v>180</v>
      </c>
      <c r="CD51">
        <v>100</v>
      </c>
      <c r="CE51" s="75">
        <f ca="1">INDIRECT(ADDRESS(11+(MATCH(RIGHT(Table11[[#This Row],[spawner_sku]],LEN(Table11[[#This Row],[spawner_sku]])-FIND("/",Table11[[#This Row],[spawner_sku]])),Table1[Entity Prefab],0)),10,1,1,"Entities"))</f>
        <v>25</v>
      </c>
      <c r="CF51">
        <f ca="1">ROUND((Table11[[#This Row],[XP]]*Table11[[#This Row],[entity_spawned (AVG)]])*(Table11[[#This Row],[activating_chance]]/100),0)</f>
        <v>75</v>
      </c>
      <c r="CG51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51" s="72">
        <v>2</v>
      </c>
      <c r="CI51" s="72">
        <v>4</v>
      </c>
      <c r="CJ51" s="72" t="b">
        <v>0</v>
      </c>
      <c r="CL51" t="s">
        <v>228</v>
      </c>
      <c r="CM51">
        <v>1.5</v>
      </c>
      <c r="CN51">
        <v>180</v>
      </c>
      <c r="CO51">
        <v>30</v>
      </c>
      <c r="CP51" s="75">
        <f ca="1">INDIRECT(ADDRESS(11+(MATCH(RIGHT(Table12[[#This Row],[spawner_sku]],LEN(Table12[[#This Row],[spawner_sku]])-FIND("/",Table12[[#This Row],[spawner_sku]])),Table1[Entity Prefab],0)),10,1,1,"Entities"))</f>
        <v>25</v>
      </c>
      <c r="CQ51" s="75">
        <f ca="1">ROUND((Table12[[#This Row],[XP]]*Table12[[#This Row],[entity_spawned (AVG)]])*(Table12[[#This Row],[activating_chance]]/100),0)</f>
        <v>11</v>
      </c>
      <c r="CR51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51" s="72">
        <v>1</v>
      </c>
      <c r="CT51" s="72">
        <v>2</v>
      </c>
      <c r="CU51" s="72" t="b">
        <v>0</v>
      </c>
      <c r="CW51" t="s">
        <v>395</v>
      </c>
      <c r="CX51">
        <v>3</v>
      </c>
      <c r="CY51">
        <v>200</v>
      </c>
      <c r="CZ51">
        <v>100</v>
      </c>
      <c r="DA51" s="75">
        <f ca="1">INDIRECT(ADDRESS(11+(MATCH(RIGHT(Table13[[#This Row],[spawner_sku]],LEN(Table13[[#This Row],[spawner_sku]])-FIND("/",Table13[[#This Row],[spawner_sku]])),Table1[Entity Prefab],0)),10,1,1,"Entities"))</f>
        <v>25</v>
      </c>
      <c r="DB51" s="75">
        <f ca="1">ROUND((Table13[[#This Row],[XP]]*Table13[[#This Row],[entity_spawned (AVG)]])*(Table13[[#This Row],[activating_chance]]/100),0)</f>
        <v>75</v>
      </c>
      <c r="DC51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51" s="72">
        <v>2</v>
      </c>
      <c r="DE51" s="72">
        <v>4</v>
      </c>
      <c r="DF51" s="72" t="b">
        <v>0</v>
      </c>
      <c r="DH51" t="s">
        <v>226</v>
      </c>
      <c r="DI51">
        <v>1.5</v>
      </c>
      <c r="DJ51">
        <v>260</v>
      </c>
      <c r="DK51">
        <v>10</v>
      </c>
      <c r="DL51" s="75">
        <f ca="1">INDIRECT(ADDRESS(11+(MATCH(RIGHT(Table14[[#This Row],[spawner_sku]],LEN(Table14[[#This Row],[spawner_sku]])-FIND("/",Table14[[#This Row],[spawner_sku]])),Table1[Entity Prefab],0)),10,1,1,"Entities"))</f>
        <v>55</v>
      </c>
      <c r="DM51" s="75">
        <f ca="1">ROUND((Table14[[#This Row],[XP]]*Table14[[#This Row],[entity_spawned (AVG)]])*(Table14[[#This Row],[activating_chance]]/100),0)</f>
        <v>8</v>
      </c>
      <c r="DN5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51" s="72">
        <v>1</v>
      </c>
      <c r="DP51" s="72">
        <v>2</v>
      </c>
      <c r="DQ51" s="72" t="b">
        <v>0</v>
      </c>
      <c r="DS51" t="s">
        <v>227</v>
      </c>
      <c r="DT51">
        <v>3</v>
      </c>
      <c r="DU51">
        <v>140</v>
      </c>
      <c r="DV51">
        <v>100</v>
      </c>
      <c r="DW51" s="75">
        <f ca="1">INDIRECT(ADDRESS(11+(MATCH(RIGHT(Table18[[#This Row],[spawner_sku]],LEN(Table18[[#This Row],[spawner_sku]])-FIND("/",Table18[[#This Row],[spawner_sku]])),Table1[Entity Prefab],0)),10,1,1,"Entities"))</f>
        <v>25</v>
      </c>
      <c r="DX51" s="75">
        <f ca="1">ROUND((Table18[[#This Row],[XP]]*Table18[[#This Row],[entity_spawned (AVG)]])*(Table18[[#This Row],[activating_chance]]/100),0)</f>
        <v>75</v>
      </c>
      <c r="DY5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51">
        <v>3</v>
      </c>
      <c r="EA51">
        <v>4</v>
      </c>
      <c r="EB51" t="b">
        <v>0</v>
      </c>
      <c r="ED51" t="s">
        <v>227</v>
      </c>
      <c r="EE51">
        <v>3</v>
      </c>
      <c r="EF51">
        <v>100</v>
      </c>
      <c r="EG51">
        <v>100</v>
      </c>
      <c r="EH51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51" s="75">
        <f ca="1">ROUND((Table1820[[#This Row],[XP]]*Table1820[[#This Row],[entity_spawned (AVG)]])*(Table1820[[#This Row],[activating_chance]]/100),0)</f>
        <v>75</v>
      </c>
      <c r="EJ5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51">
        <v>3</v>
      </c>
      <c r="EL51">
        <v>4</v>
      </c>
      <c r="EM51" t="b">
        <v>0</v>
      </c>
      <c r="EO51" t="s">
        <v>7345</v>
      </c>
      <c r="EP51">
        <v>2.5</v>
      </c>
      <c r="EQ51">
        <v>70</v>
      </c>
      <c r="ER51">
        <v>100</v>
      </c>
      <c r="ES51" s="75">
        <f ca="1">INDIRECT(ADDRESS(11+(MATCH(RIGHT(Table182023[[#This Row],[spawner_sku]],LEN(Table182023[[#This Row],[spawner_sku]])-FIND("/",Table182023[[#This Row],[spawner_sku]])),Table1[Entity Prefab],0)),10,1,1,"Entities"))</f>
        <v>143</v>
      </c>
      <c r="ET51" s="75">
        <f ca="1">ROUND((Table182023[[#This Row],[XP]]*Table182023[[#This Row],[entity_spawned (AVG)]])*(Table182023[[#This Row],[activating_chance]]/100),0)</f>
        <v>358</v>
      </c>
      <c r="EU51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51" s="152">
        <v>2</v>
      </c>
      <c r="EW51" s="152">
        <v>3</v>
      </c>
      <c r="EX51" s="152" t="b">
        <v>0</v>
      </c>
      <c r="EZ51" t="s">
        <v>472</v>
      </c>
      <c r="FA51">
        <v>1</v>
      </c>
      <c r="FB51">
        <v>210</v>
      </c>
      <c r="FC51">
        <v>100</v>
      </c>
      <c r="FD51" s="75">
        <f ca="1">INDIRECT(ADDRESS(11+(MATCH(RIGHT(Table18202324[[#This Row],[spawner_sku]],LEN(Table18202324[[#This Row],[spawner_sku]])-FIND("/",Table18202324[[#This Row],[spawner_sku]])),Table1[Entity Prefab],0)),10,1,1,"Entities"))</f>
        <v>143</v>
      </c>
      <c r="FE51" s="75">
        <f ca="1">ROUND((Table18202324[[#This Row],[XP]]*Table18202324[[#This Row],[entity_spawned (AVG)]])*(Table18202324[[#This Row],[activating_chance]]/100),0)</f>
        <v>143</v>
      </c>
      <c r="FF51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51">
        <v>1</v>
      </c>
      <c r="FH51">
        <v>1</v>
      </c>
      <c r="FI51" t="b">
        <v>0</v>
      </c>
    </row>
    <row r="52" spans="2:165" x14ac:dyDescent="0.25">
      <c r="B52" s="73" t="s">
        <v>228</v>
      </c>
      <c r="C52">
        <v>1</v>
      </c>
      <c r="D52">
        <v>80</v>
      </c>
      <c r="E52">
        <v>80</v>
      </c>
      <c r="F52" s="75">
        <f ca="1">INDIRECT(ADDRESS(11+(MATCH(RIGHT(Table245[[#This Row],[spawner_sku]],LEN(Table245[[#This Row],[spawner_sku]])-FIND("/",Table245[[#This Row],[spawner_sku]])),Table1[Entity Prefab],0)),10,1,1,"Entities"))</f>
        <v>25</v>
      </c>
      <c r="G52" s="75">
        <f ca="1">ROUND((Table245[[#This Row],[XP]]*Table245[[#This Row],[entity_spawned (AVG)]])*(Table245[[#This Row],[activating_chance]]/100),0)</f>
        <v>20</v>
      </c>
      <c r="H5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2" s="72">
        <v>1</v>
      </c>
      <c r="J52" s="72">
        <v>1</v>
      </c>
      <c r="K52" s="72" t="b">
        <v>0</v>
      </c>
      <c r="M52" t="s">
        <v>228</v>
      </c>
      <c r="N52">
        <v>2</v>
      </c>
      <c r="O52">
        <v>110</v>
      </c>
      <c r="P52">
        <v>100</v>
      </c>
      <c r="Q52" s="75">
        <f ca="1">INDIRECT(ADDRESS(11+(MATCH(RIGHT(Table3[[#This Row],[spawner_sku]],LEN(Table3[[#This Row],[spawner_sku]])-FIND("/",Table3[[#This Row],[spawner_sku]])),Table1[Entity Prefab],0)),10,1,1,"Entities"))</f>
        <v>25</v>
      </c>
      <c r="R52" s="75">
        <f ca="1">ROUND((Table3[[#This Row],[XP]]*Table3[[#This Row],[entity_spawned (AVG)]])*(Table3[[#This Row],[activating_chance]]/100),0)</f>
        <v>50</v>
      </c>
      <c r="S52" t="str">
        <f ca="1">INDIRECT(ADDRESS(11+(MATCH(RIGHT(Table3[[#This Row],[spawner_sku]],LEN(Table3[[#This Row],[spawner_sku]])-FIND("/",Table3[[#This Row],[spawner_sku]])),Table28[Entity Prefab],0)),24,1,1,"Entities"))</f>
        <v>no</v>
      </c>
      <c r="T52">
        <v>1</v>
      </c>
      <c r="U52">
        <v>3</v>
      </c>
      <c r="V52" t="b">
        <v>0</v>
      </c>
      <c r="W52" s="72"/>
      <c r="X52" t="s">
        <v>445</v>
      </c>
      <c r="Y52">
        <v>1</v>
      </c>
      <c r="Z52">
        <v>180</v>
      </c>
      <c r="AA52">
        <v>100</v>
      </c>
      <c r="AB52" s="75">
        <f ca="1">INDIRECT(ADDRESS(11+(MATCH(RIGHT(Table39[[#This Row],[spawner_sku]],LEN(Table39[[#This Row],[spawner_sku]])-FIND("/",Table39[[#This Row],[spawner_sku]])),Table1[Entity Prefab],0)),10,1,1,"Entities"))</f>
        <v>0</v>
      </c>
      <c r="AC52" s="75">
        <f ca="1">ROUND((Table39[[#This Row],[XP]]*Table39[[#This Row],[entity_spawned (AVG)]])*(Table39[[#This Row],[activating_chance]]/100),0)</f>
        <v>0</v>
      </c>
      <c r="AD52" t="str">
        <f ca="1">INDIRECT(ADDRESS(11+(MATCH(RIGHT(Table39[[#This Row],[spawner_sku]],LEN(Table39[[#This Row],[spawner_sku]])-FIND("/",Table39[[#This Row],[spawner_sku]])),Table28[Entity Prefab],0)),24,1,1,"Entities"))</f>
        <v>yes</v>
      </c>
      <c r="AE52">
        <v>1</v>
      </c>
      <c r="AF52">
        <v>1</v>
      </c>
      <c r="AG52" t="b">
        <v>0</v>
      </c>
      <c r="AI52" t="s">
        <v>228</v>
      </c>
      <c r="AJ52">
        <v>2</v>
      </c>
      <c r="AK52">
        <v>100</v>
      </c>
      <c r="AL52">
        <v>85</v>
      </c>
      <c r="AM52" s="75">
        <f ca="1">INDIRECT(ADDRESS(11+(MATCH(RIGHT(Table2[[#This Row],[spawner_sku]],LEN(Table2[[#This Row],[spawner_sku]])-FIND("/",Table2[[#This Row],[spawner_sku]])),Table1[Entity Prefab],0)),10,1,1,"Entities"))</f>
        <v>25</v>
      </c>
      <c r="AN52" s="75">
        <f ca="1">ROUND((Table2[[#This Row],[XP]]*Table2[[#This Row],[entity_spawned (AVG)]])*(Table2[[#This Row],[activating_chance]]/100),0)</f>
        <v>43</v>
      </c>
      <c r="AO5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52" s="72">
        <v>1</v>
      </c>
      <c r="AQ52" s="72">
        <v>3</v>
      </c>
      <c r="AR52" s="72" t="b">
        <v>0</v>
      </c>
      <c r="AT52" t="s">
        <v>228</v>
      </c>
      <c r="AU52">
        <v>3</v>
      </c>
      <c r="AV52">
        <v>80</v>
      </c>
      <c r="AW52">
        <v>100</v>
      </c>
      <c r="AX52" s="75">
        <f ca="1">INDIRECT(ADDRESS(11+(MATCH(RIGHT(Table6[[#This Row],[spawner_sku]],LEN(Table6[[#This Row],[spawner_sku]])-FIND("/",Table6[[#This Row],[spawner_sku]])),Table1[Entity Prefab],0)),10,1,1,"Entities"))</f>
        <v>25</v>
      </c>
      <c r="AY52" s="75">
        <f ca="1">ROUND((Table6[[#This Row],[XP]]*Table6[[#This Row],[entity_spawned (AVG)]])*(Table6[[#This Row],[activating_chance]]/100),0)</f>
        <v>75</v>
      </c>
      <c r="AZ52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52">
        <v>2</v>
      </c>
      <c r="BB52">
        <v>4</v>
      </c>
      <c r="BC52" t="b">
        <v>0</v>
      </c>
      <c r="BE52" t="s">
        <v>227</v>
      </c>
      <c r="BF52">
        <v>6.5</v>
      </c>
      <c r="BG52">
        <v>120</v>
      </c>
      <c r="BH52">
        <v>100</v>
      </c>
      <c r="BI52" s="75">
        <f ca="1">INDIRECT(ADDRESS(11+(MATCH(RIGHT(Table610[[#This Row],[spawner_sku]],LEN(Table610[[#This Row],[spawner_sku]])-FIND("/",Table610[[#This Row],[spawner_sku]])),Table1[Entity Prefab],0)),10,1,1,"Entities"))</f>
        <v>25</v>
      </c>
      <c r="BJ52" s="75">
        <f ca="1">ROUND((Table610[[#This Row],[XP]]*Table610[[#This Row],[entity_spawned (AVG)]])*(Table610[[#This Row],[activating_chance]]/100),0)</f>
        <v>163</v>
      </c>
      <c r="BK52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2">
        <v>5</v>
      </c>
      <c r="BM52">
        <v>8</v>
      </c>
      <c r="BN52" t="b">
        <v>1</v>
      </c>
      <c r="BP52" t="s">
        <v>228</v>
      </c>
      <c r="BQ52">
        <v>1</v>
      </c>
      <c r="BR52">
        <v>100</v>
      </c>
      <c r="BS52">
        <v>100</v>
      </c>
      <c r="BT5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52" s="75">
        <f ca="1">ROUND((Table61011[[#This Row],[XP]]*Table61011[[#This Row],[entity_spawned (AVG)]])*(Table61011[[#This Row],[activating_chance]]/100),0)</f>
        <v>25</v>
      </c>
      <c r="BV5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2" s="72">
        <v>1</v>
      </c>
      <c r="BX52" s="72">
        <v>1</v>
      </c>
      <c r="BY52" s="72" t="b">
        <v>0</v>
      </c>
      <c r="CA52" t="s">
        <v>228</v>
      </c>
      <c r="CB52">
        <v>2.5</v>
      </c>
      <c r="CC52">
        <v>180</v>
      </c>
      <c r="CD52">
        <v>100</v>
      </c>
      <c r="CE52" s="75">
        <f ca="1">INDIRECT(ADDRESS(11+(MATCH(RIGHT(Table11[[#This Row],[spawner_sku]],LEN(Table11[[#This Row],[spawner_sku]])-FIND("/",Table11[[#This Row],[spawner_sku]])),Table1[Entity Prefab],0)),10,1,1,"Entities"))</f>
        <v>25</v>
      </c>
      <c r="CF52">
        <f ca="1">ROUND((Table11[[#This Row],[XP]]*Table11[[#This Row],[entity_spawned (AVG)]])*(Table11[[#This Row],[activating_chance]]/100),0)</f>
        <v>63</v>
      </c>
      <c r="CG52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52" s="72">
        <v>1</v>
      </c>
      <c r="CI52" s="72">
        <v>4</v>
      </c>
      <c r="CJ52" s="72" t="b">
        <v>0</v>
      </c>
      <c r="CL52" t="s">
        <v>228</v>
      </c>
      <c r="CM52">
        <v>10</v>
      </c>
      <c r="CN52">
        <v>180</v>
      </c>
      <c r="CO52">
        <v>100</v>
      </c>
      <c r="CP52" s="75">
        <f ca="1">INDIRECT(ADDRESS(11+(MATCH(RIGHT(Table12[[#This Row],[spawner_sku]],LEN(Table12[[#This Row],[spawner_sku]])-FIND("/",Table12[[#This Row],[spawner_sku]])),Table1[Entity Prefab],0)),10,1,1,"Entities"))</f>
        <v>25</v>
      </c>
      <c r="CQ52" s="75">
        <f ca="1">ROUND((Table12[[#This Row],[XP]]*Table12[[#This Row],[entity_spawned (AVG)]])*(Table12[[#This Row],[activating_chance]]/100),0)</f>
        <v>250</v>
      </c>
      <c r="CR52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52" s="72">
        <v>8</v>
      </c>
      <c r="CT52" s="72">
        <v>12</v>
      </c>
      <c r="CU52" s="72" t="b">
        <v>1</v>
      </c>
      <c r="CW52" t="s">
        <v>395</v>
      </c>
      <c r="CX52">
        <v>9</v>
      </c>
      <c r="CY52">
        <v>200</v>
      </c>
      <c r="CZ52">
        <v>30</v>
      </c>
      <c r="DA52" s="75">
        <f ca="1">INDIRECT(ADDRESS(11+(MATCH(RIGHT(Table13[[#This Row],[spawner_sku]],LEN(Table13[[#This Row],[spawner_sku]])-FIND("/",Table13[[#This Row],[spawner_sku]])),Table1[Entity Prefab],0)),10,1,1,"Entities"))</f>
        <v>25</v>
      </c>
      <c r="DB52" s="75">
        <f ca="1">ROUND((Table13[[#This Row],[XP]]*Table13[[#This Row],[entity_spawned (AVG)]])*(Table13[[#This Row],[activating_chance]]/100),0)</f>
        <v>68</v>
      </c>
      <c r="DC52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52" s="72">
        <v>6</v>
      </c>
      <c r="DE52" s="72">
        <v>12</v>
      </c>
      <c r="DF52" s="72" t="b">
        <v>1</v>
      </c>
      <c r="DH52" t="s">
        <v>227</v>
      </c>
      <c r="DI52">
        <v>2.5</v>
      </c>
      <c r="DJ52">
        <v>80</v>
      </c>
      <c r="DK52">
        <v>100</v>
      </c>
      <c r="DL52" s="75">
        <f ca="1">INDIRECT(ADDRESS(11+(MATCH(RIGHT(Table14[[#This Row],[spawner_sku]],LEN(Table14[[#This Row],[spawner_sku]])-FIND("/",Table14[[#This Row],[spawner_sku]])),Table1[Entity Prefab],0)),10,1,1,"Entities"))</f>
        <v>25</v>
      </c>
      <c r="DM52" s="75">
        <f ca="1">ROUND((Table14[[#This Row],[XP]]*Table14[[#This Row],[entity_spawned (AVG)]])*(Table14[[#This Row],[activating_chance]]/100),0)</f>
        <v>63</v>
      </c>
      <c r="DN5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2" s="72">
        <v>2</v>
      </c>
      <c r="DP52" s="72">
        <v>3</v>
      </c>
      <c r="DQ52" s="72" t="b">
        <v>0</v>
      </c>
      <c r="DS52" t="s">
        <v>227</v>
      </c>
      <c r="DT52">
        <v>4</v>
      </c>
      <c r="DU52">
        <v>120</v>
      </c>
      <c r="DV52">
        <v>100</v>
      </c>
      <c r="DW52" s="75">
        <f ca="1">INDIRECT(ADDRESS(11+(MATCH(RIGHT(Table18[[#This Row],[spawner_sku]],LEN(Table18[[#This Row],[spawner_sku]])-FIND("/",Table18[[#This Row],[spawner_sku]])),Table1[Entity Prefab],0)),10,1,1,"Entities"))</f>
        <v>25</v>
      </c>
      <c r="DX52" s="75">
        <f ca="1">ROUND((Table18[[#This Row],[XP]]*Table18[[#This Row],[entity_spawned (AVG)]])*(Table18[[#This Row],[activating_chance]]/100),0)</f>
        <v>100</v>
      </c>
      <c r="DY5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52">
        <v>4</v>
      </c>
      <c r="EA52">
        <v>4</v>
      </c>
      <c r="EB52" t="b">
        <v>0</v>
      </c>
      <c r="ED52" t="s">
        <v>227</v>
      </c>
      <c r="EE52">
        <v>3</v>
      </c>
      <c r="EF52">
        <v>100</v>
      </c>
      <c r="EG52">
        <v>100</v>
      </c>
      <c r="EH5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52" s="75">
        <f ca="1">ROUND((Table1820[[#This Row],[XP]]*Table1820[[#This Row],[entity_spawned (AVG)]])*(Table1820[[#This Row],[activating_chance]]/100),0)</f>
        <v>75</v>
      </c>
      <c r="EJ5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52">
        <v>2</v>
      </c>
      <c r="EL52">
        <v>4</v>
      </c>
      <c r="EM52" t="b">
        <v>0</v>
      </c>
      <c r="EO52" t="s">
        <v>7345</v>
      </c>
      <c r="EP52">
        <v>2</v>
      </c>
      <c r="EQ52">
        <v>60</v>
      </c>
      <c r="ER52">
        <v>100</v>
      </c>
      <c r="ES52" s="75">
        <f ca="1">INDIRECT(ADDRESS(11+(MATCH(RIGHT(Table182023[[#This Row],[spawner_sku]],LEN(Table182023[[#This Row],[spawner_sku]])-FIND("/",Table182023[[#This Row],[spawner_sku]])),Table1[Entity Prefab],0)),10,1,1,"Entities"))</f>
        <v>143</v>
      </c>
      <c r="ET52" s="75">
        <f ca="1">ROUND((Table182023[[#This Row],[XP]]*Table182023[[#This Row],[entity_spawned (AVG)]])*(Table182023[[#This Row],[activating_chance]]/100),0)</f>
        <v>286</v>
      </c>
      <c r="EU52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52" s="152">
        <v>1</v>
      </c>
      <c r="EW52" s="152">
        <v>3</v>
      </c>
      <c r="EX52" s="152" t="b">
        <v>0</v>
      </c>
      <c r="EZ52" t="s">
        <v>473</v>
      </c>
      <c r="FA52">
        <v>1</v>
      </c>
      <c r="FB52">
        <v>220</v>
      </c>
      <c r="FC52">
        <v>80</v>
      </c>
      <c r="FD52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FE52" s="75">
        <f ca="1">ROUND((Table18202324[[#This Row],[XP]]*Table18202324[[#This Row],[entity_spawned (AVG)]])*(Table18202324[[#This Row],[activating_chance]]/100),0)</f>
        <v>104</v>
      </c>
      <c r="FF52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52">
        <v>1</v>
      </c>
      <c r="FH52">
        <v>1</v>
      </c>
      <c r="FI52" t="b">
        <v>0</v>
      </c>
    </row>
    <row r="53" spans="2:165" x14ac:dyDescent="0.25">
      <c r="B53" s="73" t="s">
        <v>228</v>
      </c>
      <c r="C53">
        <v>1.5</v>
      </c>
      <c r="D53">
        <v>100</v>
      </c>
      <c r="E53">
        <v>100</v>
      </c>
      <c r="F53" s="75">
        <f ca="1">INDIRECT(ADDRESS(11+(MATCH(RIGHT(Table245[[#This Row],[spawner_sku]],LEN(Table245[[#This Row],[spawner_sku]])-FIND("/",Table245[[#This Row],[spawner_sku]])),Table1[Entity Prefab],0)),10,1,1,"Entities"))</f>
        <v>25</v>
      </c>
      <c r="G53" s="75">
        <f ca="1">ROUND((Table245[[#This Row],[XP]]*Table245[[#This Row],[entity_spawned (AVG)]])*(Table245[[#This Row],[activating_chance]]/100),0)</f>
        <v>38</v>
      </c>
      <c r="H5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3" s="72">
        <v>1</v>
      </c>
      <c r="J53" s="72">
        <v>2</v>
      </c>
      <c r="K53" s="72" t="b">
        <v>0</v>
      </c>
      <c r="M53" t="s">
        <v>228</v>
      </c>
      <c r="N53">
        <v>6</v>
      </c>
      <c r="O53">
        <v>160</v>
      </c>
      <c r="P53">
        <v>100</v>
      </c>
      <c r="Q53" s="75">
        <f ca="1">INDIRECT(ADDRESS(11+(MATCH(RIGHT(Table3[[#This Row],[spawner_sku]],LEN(Table3[[#This Row],[spawner_sku]])-FIND("/",Table3[[#This Row],[spawner_sku]])),Table1[Entity Prefab],0)),10,1,1,"Entities"))</f>
        <v>25</v>
      </c>
      <c r="R53" s="75">
        <f ca="1">ROUND((Table3[[#This Row],[XP]]*Table3[[#This Row],[entity_spawned (AVG)]])*(Table3[[#This Row],[activating_chance]]/100),0)</f>
        <v>150</v>
      </c>
      <c r="S53" t="str">
        <f ca="1">INDIRECT(ADDRESS(11+(MATCH(RIGHT(Table3[[#This Row],[spawner_sku]],LEN(Table3[[#This Row],[spawner_sku]])-FIND("/",Table3[[#This Row],[spawner_sku]])),Table28[Entity Prefab],0)),24,1,1,"Entities"))</f>
        <v>no</v>
      </c>
      <c r="T53">
        <v>5</v>
      </c>
      <c r="U53">
        <v>7</v>
      </c>
      <c r="V53" t="b">
        <v>1</v>
      </c>
      <c r="W53" s="72"/>
      <c r="X53" t="s">
        <v>445</v>
      </c>
      <c r="Y53">
        <v>1</v>
      </c>
      <c r="Z53">
        <v>180</v>
      </c>
      <c r="AA53">
        <v>100</v>
      </c>
      <c r="AB53" s="75">
        <f ca="1">INDIRECT(ADDRESS(11+(MATCH(RIGHT(Table39[[#This Row],[spawner_sku]],LEN(Table39[[#This Row],[spawner_sku]])-FIND("/",Table39[[#This Row],[spawner_sku]])),Table1[Entity Prefab],0)),10,1,1,"Entities"))</f>
        <v>0</v>
      </c>
      <c r="AC53" s="75">
        <f ca="1">ROUND((Table39[[#This Row],[XP]]*Table39[[#This Row],[entity_spawned (AVG)]])*(Table39[[#This Row],[activating_chance]]/100),0)</f>
        <v>0</v>
      </c>
      <c r="AD53" t="str">
        <f ca="1">INDIRECT(ADDRESS(11+(MATCH(RIGHT(Table39[[#This Row],[spawner_sku]],LEN(Table39[[#This Row],[spawner_sku]])-FIND("/",Table39[[#This Row],[spawner_sku]])),Table28[Entity Prefab],0)),24,1,1,"Entities"))</f>
        <v>yes</v>
      </c>
      <c r="AE53">
        <v>1</v>
      </c>
      <c r="AF53">
        <v>1</v>
      </c>
      <c r="AG53" t="b">
        <v>0</v>
      </c>
      <c r="AI53" t="s">
        <v>228</v>
      </c>
      <c r="AJ53">
        <v>3.5</v>
      </c>
      <c r="AK53">
        <v>120</v>
      </c>
      <c r="AL53">
        <v>100</v>
      </c>
      <c r="AM53" s="75">
        <f ca="1">INDIRECT(ADDRESS(11+(MATCH(RIGHT(Table2[[#This Row],[spawner_sku]],LEN(Table2[[#This Row],[spawner_sku]])-FIND("/",Table2[[#This Row],[spawner_sku]])),Table1[Entity Prefab],0)),10,1,1,"Entities"))</f>
        <v>25</v>
      </c>
      <c r="AN53" s="75">
        <f ca="1">ROUND((Table2[[#This Row],[XP]]*Table2[[#This Row],[entity_spawned (AVG)]])*(Table2[[#This Row],[activating_chance]]/100),0)</f>
        <v>88</v>
      </c>
      <c r="AO5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53" s="72">
        <v>3</v>
      </c>
      <c r="AQ53" s="72">
        <v>4</v>
      </c>
      <c r="AR53" s="72" t="b">
        <v>0</v>
      </c>
      <c r="AT53" t="s">
        <v>228</v>
      </c>
      <c r="AU53">
        <v>1.5</v>
      </c>
      <c r="AV53">
        <v>90</v>
      </c>
      <c r="AW53">
        <v>80</v>
      </c>
      <c r="AX53" s="75">
        <f ca="1">INDIRECT(ADDRESS(11+(MATCH(RIGHT(Table6[[#This Row],[spawner_sku]],LEN(Table6[[#This Row],[spawner_sku]])-FIND("/",Table6[[#This Row],[spawner_sku]])),Table1[Entity Prefab],0)),10,1,1,"Entities"))</f>
        <v>25</v>
      </c>
      <c r="AY53" s="75">
        <f ca="1">ROUND((Table6[[#This Row],[XP]]*Table6[[#This Row],[entity_spawned (AVG)]])*(Table6[[#This Row],[activating_chance]]/100),0)</f>
        <v>30</v>
      </c>
      <c r="AZ53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53">
        <v>1</v>
      </c>
      <c r="BB53">
        <v>2</v>
      </c>
      <c r="BC53" t="b">
        <v>0</v>
      </c>
      <c r="BE53" t="s">
        <v>227</v>
      </c>
      <c r="BF53">
        <v>6.5</v>
      </c>
      <c r="BG53">
        <v>120</v>
      </c>
      <c r="BH53">
        <v>100</v>
      </c>
      <c r="BI53" s="75">
        <f ca="1">INDIRECT(ADDRESS(11+(MATCH(RIGHT(Table610[[#This Row],[spawner_sku]],LEN(Table610[[#This Row],[spawner_sku]])-FIND("/",Table610[[#This Row],[spawner_sku]])),Table1[Entity Prefab],0)),10,1,1,"Entities"))</f>
        <v>25</v>
      </c>
      <c r="BJ53" s="75">
        <f ca="1">ROUND((Table610[[#This Row],[XP]]*Table610[[#This Row],[entity_spawned (AVG)]])*(Table610[[#This Row],[activating_chance]]/100),0)</f>
        <v>163</v>
      </c>
      <c r="BK53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3">
        <v>5</v>
      </c>
      <c r="BM53">
        <v>8</v>
      </c>
      <c r="BN53" t="b">
        <v>1</v>
      </c>
      <c r="BP53" t="s">
        <v>228</v>
      </c>
      <c r="BQ53">
        <v>1.5</v>
      </c>
      <c r="BR53">
        <v>120</v>
      </c>
      <c r="BS53">
        <v>100</v>
      </c>
      <c r="BT5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53" s="75">
        <f ca="1">ROUND((Table61011[[#This Row],[XP]]*Table61011[[#This Row],[entity_spawned (AVG)]])*(Table61011[[#This Row],[activating_chance]]/100),0)</f>
        <v>38</v>
      </c>
      <c r="BV5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3" s="72">
        <v>1</v>
      </c>
      <c r="BX53" s="72">
        <v>2</v>
      </c>
      <c r="BY53" s="72" t="b">
        <v>0</v>
      </c>
      <c r="CA53" t="s">
        <v>228</v>
      </c>
      <c r="CB53">
        <v>1.5</v>
      </c>
      <c r="CC53">
        <v>180</v>
      </c>
      <c r="CD53">
        <v>80</v>
      </c>
      <c r="CE53" s="75">
        <f ca="1">INDIRECT(ADDRESS(11+(MATCH(RIGHT(Table11[[#This Row],[spawner_sku]],LEN(Table11[[#This Row],[spawner_sku]])-FIND("/",Table11[[#This Row],[spawner_sku]])),Table1[Entity Prefab],0)),10,1,1,"Entities"))</f>
        <v>25</v>
      </c>
      <c r="CF53">
        <f ca="1">ROUND((Table11[[#This Row],[XP]]*Table11[[#This Row],[entity_spawned (AVG)]])*(Table11[[#This Row],[activating_chance]]/100),0)</f>
        <v>30</v>
      </c>
      <c r="CG53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53" s="72">
        <v>1</v>
      </c>
      <c r="CI53" s="72">
        <v>2</v>
      </c>
      <c r="CJ53" s="72" t="b">
        <v>0</v>
      </c>
      <c r="CL53" t="s">
        <v>238</v>
      </c>
      <c r="CM53">
        <v>1</v>
      </c>
      <c r="CN53">
        <v>2500</v>
      </c>
      <c r="CO53">
        <v>100</v>
      </c>
      <c r="CP53" s="75">
        <f ca="1">INDIRECT(ADDRESS(11+(MATCH(RIGHT(Table12[[#This Row],[spawner_sku]],LEN(Table12[[#This Row],[spawner_sku]])-FIND("/",Table12[[#This Row],[spawner_sku]])),Table1[Entity Prefab],0)),10,1,1,"Entities"))</f>
        <v>263</v>
      </c>
      <c r="CQ53" s="75">
        <f ca="1">ROUND((Table12[[#This Row],[XP]]*Table12[[#This Row],[entity_spawned (AVG)]])*(Table12[[#This Row],[activating_chance]]/100),0)</f>
        <v>263</v>
      </c>
      <c r="CR53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53" s="72">
        <v>1</v>
      </c>
      <c r="CT53" s="72">
        <v>1</v>
      </c>
      <c r="CU53" s="72" t="b">
        <v>0</v>
      </c>
      <c r="CW53" t="s">
        <v>395</v>
      </c>
      <c r="CX53">
        <v>10</v>
      </c>
      <c r="CY53">
        <v>200</v>
      </c>
      <c r="CZ53">
        <v>100</v>
      </c>
      <c r="DA53" s="75">
        <f ca="1">INDIRECT(ADDRESS(11+(MATCH(RIGHT(Table13[[#This Row],[spawner_sku]],LEN(Table13[[#This Row],[spawner_sku]])-FIND("/",Table13[[#This Row],[spawner_sku]])),Table1[Entity Prefab],0)),10,1,1,"Entities"))</f>
        <v>25</v>
      </c>
      <c r="DB53" s="75">
        <f ca="1">ROUND((Table13[[#This Row],[XP]]*Table13[[#This Row],[entity_spawned (AVG)]])*(Table13[[#This Row],[activating_chance]]/100),0)</f>
        <v>250</v>
      </c>
      <c r="DC53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53" s="72">
        <v>8</v>
      </c>
      <c r="DE53" s="72">
        <v>12</v>
      </c>
      <c r="DF53" s="72" t="b">
        <v>1</v>
      </c>
      <c r="DH53" t="s">
        <v>227</v>
      </c>
      <c r="DI53">
        <v>3.5</v>
      </c>
      <c r="DJ53">
        <v>120</v>
      </c>
      <c r="DK53">
        <v>100</v>
      </c>
      <c r="DL53" s="75">
        <f ca="1">INDIRECT(ADDRESS(11+(MATCH(RIGHT(Table14[[#This Row],[spawner_sku]],LEN(Table14[[#This Row],[spawner_sku]])-FIND("/",Table14[[#This Row],[spawner_sku]])),Table1[Entity Prefab],0)),10,1,1,"Entities"))</f>
        <v>25</v>
      </c>
      <c r="DM53" s="75">
        <f ca="1">ROUND((Table14[[#This Row],[XP]]*Table14[[#This Row],[entity_spawned (AVG)]])*(Table14[[#This Row],[activating_chance]]/100),0)</f>
        <v>88</v>
      </c>
      <c r="DN5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3" s="72">
        <v>3</v>
      </c>
      <c r="DP53" s="72">
        <v>4</v>
      </c>
      <c r="DQ53" s="72" t="b">
        <v>0</v>
      </c>
      <c r="DS53" t="s">
        <v>227</v>
      </c>
      <c r="DT53">
        <v>2</v>
      </c>
      <c r="DU53">
        <v>140</v>
      </c>
      <c r="DV53">
        <v>30</v>
      </c>
      <c r="DW53" s="75">
        <f ca="1">INDIRECT(ADDRESS(11+(MATCH(RIGHT(Table18[[#This Row],[spawner_sku]],LEN(Table18[[#This Row],[spawner_sku]])-FIND("/",Table18[[#This Row],[spawner_sku]])),Table1[Entity Prefab],0)),10,1,1,"Entities"))</f>
        <v>25</v>
      </c>
      <c r="DX53" s="75">
        <f ca="1">ROUND((Table18[[#This Row],[XP]]*Table18[[#This Row],[entity_spawned (AVG)]])*(Table18[[#This Row],[activating_chance]]/100),0)</f>
        <v>15</v>
      </c>
      <c r="DY5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53">
        <v>1</v>
      </c>
      <c r="EA53">
        <v>3</v>
      </c>
      <c r="EB53" t="b">
        <v>0</v>
      </c>
      <c r="ED53" t="s">
        <v>227</v>
      </c>
      <c r="EE53">
        <v>2</v>
      </c>
      <c r="EF53">
        <v>280</v>
      </c>
      <c r="EG53">
        <v>100</v>
      </c>
      <c r="EH53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53" s="75">
        <f ca="1">ROUND((Table1820[[#This Row],[XP]]*Table1820[[#This Row],[entity_spawned (AVG)]])*(Table1820[[#This Row],[activating_chance]]/100),0)</f>
        <v>50</v>
      </c>
      <c r="EJ5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53">
        <v>1</v>
      </c>
      <c r="EL53">
        <v>3</v>
      </c>
      <c r="EM53" t="b">
        <v>0</v>
      </c>
      <c r="EO53" t="s">
        <v>7345</v>
      </c>
      <c r="EP53">
        <v>1</v>
      </c>
      <c r="EQ53">
        <v>60</v>
      </c>
      <c r="ER53">
        <v>100</v>
      </c>
      <c r="ES53" s="75">
        <f ca="1">INDIRECT(ADDRESS(11+(MATCH(RIGHT(Table182023[[#This Row],[spawner_sku]],LEN(Table182023[[#This Row],[spawner_sku]])-FIND("/",Table182023[[#This Row],[spawner_sku]])),Table1[Entity Prefab],0)),10,1,1,"Entities"))</f>
        <v>143</v>
      </c>
      <c r="ET53" s="75">
        <f ca="1">ROUND((Table182023[[#This Row],[XP]]*Table182023[[#This Row],[entity_spawned (AVG)]])*(Table182023[[#This Row],[activating_chance]]/100),0)</f>
        <v>143</v>
      </c>
      <c r="EU53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53" s="152">
        <v>1</v>
      </c>
      <c r="EW53" s="152">
        <v>1</v>
      </c>
      <c r="EX53" s="152" t="b">
        <v>0</v>
      </c>
      <c r="EZ53" t="s">
        <v>7344</v>
      </c>
      <c r="FA53">
        <v>1</v>
      </c>
      <c r="FB53">
        <v>90</v>
      </c>
      <c r="FC53">
        <v>100</v>
      </c>
      <c r="FD53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53" s="75">
        <f ca="1">ROUND((Table18202324[[#This Row],[XP]]*Table18202324[[#This Row],[entity_spawned (AVG)]])*(Table18202324[[#This Row],[activating_chance]]/100),0)</f>
        <v>25</v>
      </c>
      <c r="FF53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53">
        <v>1</v>
      </c>
      <c r="FH53">
        <v>1</v>
      </c>
      <c r="FI53" t="b">
        <v>0</v>
      </c>
    </row>
    <row r="54" spans="2:165" x14ac:dyDescent="0.25">
      <c r="B54" s="73" t="s">
        <v>228</v>
      </c>
      <c r="C54">
        <v>7.5</v>
      </c>
      <c r="D54">
        <v>170</v>
      </c>
      <c r="E54">
        <v>100</v>
      </c>
      <c r="F54" s="75">
        <f ca="1">INDIRECT(ADDRESS(11+(MATCH(RIGHT(Table245[[#This Row],[spawner_sku]],LEN(Table245[[#This Row],[spawner_sku]])-FIND("/",Table245[[#This Row],[spawner_sku]])),Table1[Entity Prefab],0)),10,1,1,"Entities"))</f>
        <v>25</v>
      </c>
      <c r="G54" s="75">
        <f ca="1">ROUND((Table245[[#This Row],[XP]]*Table245[[#This Row],[entity_spawned (AVG)]])*(Table245[[#This Row],[activating_chance]]/100),0)</f>
        <v>188</v>
      </c>
      <c r="H5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4" s="72">
        <v>5</v>
      </c>
      <c r="J54" s="72">
        <v>10</v>
      </c>
      <c r="K54" s="72" t="b">
        <v>1</v>
      </c>
      <c r="M54" t="s">
        <v>228</v>
      </c>
      <c r="N54">
        <v>3</v>
      </c>
      <c r="O54">
        <v>200</v>
      </c>
      <c r="P54">
        <v>100</v>
      </c>
      <c r="Q54" s="75">
        <f ca="1">INDIRECT(ADDRESS(11+(MATCH(RIGHT(Table3[[#This Row],[spawner_sku]],LEN(Table3[[#This Row],[spawner_sku]])-FIND("/",Table3[[#This Row],[spawner_sku]])),Table1[Entity Prefab],0)),10,1,1,"Entities"))</f>
        <v>25</v>
      </c>
      <c r="R54" s="75">
        <f ca="1">ROUND((Table3[[#This Row],[XP]]*Table3[[#This Row],[entity_spawned (AVG)]])*(Table3[[#This Row],[activating_chance]]/100),0)</f>
        <v>75</v>
      </c>
      <c r="S54" t="str">
        <f ca="1">INDIRECT(ADDRESS(11+(MATCH(RIGHT(Table3[[#This Row],[spawner_sku]],LEN(Table3[[#This Row],[spawner_sku]])-FIND("/",Table3[[#This Row],[spawner_sku]])),Table28[Entity Prefab],0)),24,1,1,"Entities"))</f>
        <v>no</v>
      </c>
      <c r="T54">
        <v>2</v>
      </c>
      <c r="U54">
        <v>4</v>
      </c>
      <c r="V54" t="b">
        <v>0</v>
      </c>
      <c r="W54" s="72"/>
      <c r="X54" t="s">
        <v>445</v>
      </c>
      <c r="Y54">
        <v>1</v>
      </c>
      <c r="Z54">
        <v>180</v>
      </c>
      <c r="AA54">
        <v>100</v>
      </c>
      <c r="AB54" s="75">
        <f ca="1">INDIRECT(ADDRESS(11+(MATCH(RIGHT(Table39[[#This Row],[spawner_sku]],LEN(Table39[[#This Row],[spawner_sku]])-FIND("/",Table39[[#This Row],[spawner_sku]])),Table1[Entity Prefab],0)),10,1,1,"Entities"))</f>
        <v>0</v>
      </c>
      <c r="AC54" s="75">
        <f ca="1">ROUND((Table39[[#This Row],[XP]]*Table39[[#This Row],[entity_spawned (AVG)]])*(Table39[[#This Row],[activating_chance]]/100),0)</f>
        <v>0</v>
      </c>
      <c r="AD54" t="str">
        <f ca="1">INDIRECT(ADDRESS(11+(MATCH(RIGHT(Table39[[#This Row],[spawner_sku]],LEN(Table39[[#This Row],[spawner_sku]])-FIND("/",Table39[[#This Row],[spawner_sku]])),Table28[Entity Prefab],0)),24,1,1,"Entities"))</f>
        <v>yes</v>
      </c>
      <c r="AE54">
        <v>1</v>
      </c>
      <c r="AF54">
        <v>1</v>
      </c>
      <c r="AG54" t="b">
        <v>0</v>
      </c>
      <c r="AI54" t="s">
        <v>228</v>
      </c>
      <c r="AJ54">
        <v>7.5</v>
      </c>
      <c r="AK54">
        <v>160</v>
      </c>
      <c r="AL54">
        <v>100</v>
      </c>
      <c r="AM54" s="75">
        <f ca="1">INDIRECT(ADDRESS(11+(MATCH(RIGHT(Table2[[#This Row],[spawner_sku]],LEN(Table2[[#This Row],[spawner_sku]])-FIND("/",Table2[[#This Row],[spawner_sku]])),Table1[Entity Prefab],0)),10,1,1,"Entities"))</f>
        <v>25</v>
      </c>
      <c r="AN54" s="75">
        <f ca="1">ROUND((Table2[[#This Row],[XP]]*Table2[[#This Row],[entity_spawned (AVG)]])*(Table2[[#This Row],[activating_chance]]/100),0)</f>
        <v>188</v>
      </c>
      <c r="AO5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54" s="72">
        <v>5</v>
      </c>
      <c r="AQ54" s="72">
        <v>10</v>
      </c>
      <c r="AR54" s="72" t="b">
        <v>1</v>
      </c>
      <c r="AT54" t="s">
        <v>395</v>
      </c>
      <c r="AU54">
        <v>7</v>
      </c>
      <c r="AV54">
        <v>200</v>
      </c>
      <c r="AW54">
        <v>100</v>
      </c>
      <c r="AX54" s="75">
        <f ca="1">INDIRECT(ADDRESS(11+(MATCH(RIGHT(Table6[[#This Row],[spawner_sku]],LEN(Table6[[#This Row],[spawner_sku]])-FIND("/",Table6[[#This Row],[spawner_sku]])),Table1[Entity Prefab],0)),10,1,1,"Entities"))</f>
        <v>25</v>
      </c>
      <c r="AY54" s="75">
        <f ca="1">ROUND((Table6[[#This Row],[XP]]*Table6[[#This Row],[entity_spawned (AVG)]])*(Table6[[#This Row],[activating_chance]]/100),0)</f>
        <v>175</v>
      </c>
      <c r="AZ54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54">
        <v>5</v>
      </c>
      <c r="BB54">
        <v>9</v>
      </c>
      <c r="BC54" t="b">
        <v>1</v>
      </c>
      <c r="BE54" t="s">
        <v>227</v>
      </c>
      <c r="BF54">
        <v>6.5</v>
      </c>
      <c r="BG54">
        <v>120</v>
      </c>
      <c r="BH54">
        <v>100</v>
      </c>
      <c r="BI54" s="75">
        <f ca="1">INDIRECT(ADDRESS(11+(MATCH(RIGHT(Table610[[#This Row],[spawner_sku]],LEN(Table610[[#This Row],[spawner_sku]])-FIND("/",Table610[[#This Row],[spawner_sku]])),Table1[Entity Prefab],0)),10,1,1,"Entities"))</f>
        <v>25</v>
      </c>
      <c r="BJ54" s="75">
        <f ca="1">ROUND((Table610[[#This Row],[XP]]*Table610[[#This Row],[entity_spawned (AVG)]])*(Table610[[#This Row],[activating_chance]]/100),0)</f>
        <v>163</v>
      </c>
      <c r="BK54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4">
        <v>5</v>
      </c>
      <c r="BM54">
        <v>8</v>
      </c>
      <c r="BN54" t="b">
        <v>1</v>
      </c>
      <c r="BP54" t="s">
        <v>228</v>
      </c>
      <c r="BQ54">
        <v>1.5</v>
      </c>
      <c r="BR54">
        <v>110</v>
      </c>
      <c r="BS54">
        <v>100</v>
      </c>
      <c r="BT5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54" s="75">
        <f ca="1">ROUND((Table61011[[#This Row],[XP]]*Table61011[[#This Row],[entity_spawned (AVG)]])*(Table61011[[#This Row],[activating_chance]]/100),0)</f>
        <v>38</v>
      </c>
      <c r="BV5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4" s="72">
        <v>1</v>
      </c>
      <c r="BX54" s="72">
        <v>2</v>
      </c>
      <c r="BY54" s="72" t="b">
        <v>0</v>
      </c>
      <c r="CA54" t="s">
        <v>228</v>
      </c>
      <c r="CB54">
        <v>3.5</v>
      </c>
      <c r="CC54">
        <v>180</v>
      </c>
      <c r="CD54">
        <v>100</v>
      </c>
      <c r="CE54" s="75">
        <f ca="1">INDIRECT(ADDRESS(11+(MATCH(RIGHT(Table11[[#This Row],[spawner_sku]],LEN(Table11[[#This Row],[spawner_sku]])-FIND("/",Table11[[#This Row],[spawner_sku]])),Table1[Entity Prefab],0)),10,1,1,"Entities"))</f>
        <v>25</v>
      </c>
      <c r="CF54">
        <f ca="1">ROUND((Table11[[#This Row],[XP]]*Table11[[#This Row],[entity_spawned (AVG)]])*(Table11[[#This Row],[activating_chance]]/100),0)</f>
        <v>88</v>
      </c>
      <c r="CG54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54" s="72">
        <v>3</v>
      </c>
      <c r="CI54" s="72">
        <v>4</v>
      </c>
      <c r="CJ54" s="72" t="b">
        <v>0</v>
      </c>
      <c r="CL54" t="s">
        <v>238</v>
      </c>
      <c r="CM54">
        <v>1</v>
      </c>
      <c r="CN54">
        <v>2500</v>
      </c>
      <c r="CO54">
        <v>100</v>
      </c>
      <c r="CP54" s="75">
        <f ca="1">INDIRECT(ADDRESS(11+(MATCH(RIGHT(Table12[[#This Row],[spawner_sku]],LEN(Table12[[#This Row],[spawner_sku]])-FIND("/",Table12[[#This Row],[spawner_sku]])),Table1[Entity Prefab],0)),10,1,1,"Entities"))</f>
        <v>263</v>
      </c>
      <c r="CQ54" s="75">
        <f ca="1">ROUND((Table12[[#This Row],[XP]]*Table12[[#This Row],[entity_spawned (AVG)]])*(Table12[[#This Row],[activating_chance]]/100),0)</f>
        <v>263</v>
      </c>
      <c r="CR54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54" s="72">
        <v>1</v>
      </c>
      <c r="CT54" s="72">
        <v>1</v>
      </c>
      <c r="CU54" s="72" t="b">
        <v>0</v>
      </c>
      <c r="CW54" t="s">
        <v>395</v>
      </c>
      <c r="CX54">
        <v>3</v>
      </c>
      <c r="CY54">
        <v>200</v>
      </c>
      <c r="CZ54">
        <v>80</v>
      </c>
      <c r="DA54" s="75">
        <f ca="1">INDIRECT(ADDRESS(11+(MATCH(RIGHT(Table13[[#This Row],[spawner_sku]],LEN(Table13[[#This Row],[spawner_sku]])-FIND("/",Table13[[#This Row],[spawner_sku]])),Table1[Entity Prefab],0)),10,1,1,"Entities"))</f>
        <v>25</v>
      </c>
      <c r="DB54" s="75">
        <f ca="1">ROUND((Table13[[#This Row],[XP]]*Table13[[#This Row],[entity_spawned (AVG)]])*(Table13[[#This Row],[activating_chance]]/100),0)</f>
        <v>60</v>
      </c>
      <c r="DC54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54" s="72">
        <v>2</v>
      </c>
      <c r="DE54" s="72">
        <v>4</v>
      </c>
      <c r="DF54" s="72" t="b">
        <v>0</v>
      </c>
      <c r="DH54" t="s">
        <v>227</v>
      </c>
      <c r="DI54">
        <v>6.5</v>
      </c>
      <c r="DJ54">
        <v>140</v>
      </c>
      <c r="DK54">
        <v>100</v>
      </c>
      <c r="DL54" s="75">
        <f ca="1">INDIRECT(ADDRESS(11+(MATCH(RIGHT(Table14[[#This Row],[spawner_sku]],LEN(Table14[[#This Row],[spawner_sku]])-FIND("/",Table14[[#This Row],[spawner_sku]])),Table1[Entity Prefab],0)),10,1,1,"Entities"))</f>
        <v>25</v>
      </c>
      <c r="DM54" s="75">
        <f ca="1">ROUND((Table14[[#This Row],[XP]]*Table14[[#This Row],[entity_spawned (AVG)]])*(Table14[[#This Row],[activating_chance]]/100),0)</f>
        <v>163</v>
      </c>
      <c r="DN5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4" s="72">
        <v>5</v>
      </c>
      <c r="DP54" s="72">
        <v>8</v>
      </c>
      <c r="DQ54" s="72" t="b">
        <v>1</v>
      </c>
      <c r="DS54" t="s">
        <v>227</v>
      </c>
      <c r="DT54">
        <v>3</v>
      </c>
      <c r="DU54">
        <v>140</v>
      </c>
      <c r="DV54">
        <v>100</v>
      </c>
      <c r="DW54" s="75">
        <f ca="1">INDIRECT(ADDRESS(11+(MATCH(RIGHT(Table18[[#This Row],[spawner_sku]],LEN(Table18[[#This Row],[spawner_sku]])-FIND("/",Table18[[#This Row],[spawner_sku]])),Table1[Entity Prefab],0)),10,1,1,"Entities"))</f>
        <v>25</v>
      </c>
      <c r="DX54" s="75">
        <f ca="1">ROUND((Table18[[#This Row],[XP]]*Table18[[#This Row],[entity_spawned (AVG)]])*(Table18[[#This Row],[activating_chance]]/100),0)</f>
        <v>75</v>
      </c>
      <c r="DY5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54">
        <v>2</v>
      </c>
      <c r="EA54">
        <v>4</v>
      </c>
      <c r="EB54" t="b">
        <v>0</v>
      </c>
      <c r="ED54" t="s">
        <v>227</v>
      </c>
      <c r="EE54">
        <v>16</v>
      </c>
      <c r="EF54">
        <v>180</v>
      </c>
      <c r="EG54">
        <v>100</v>
      </c>
      <c r="EH54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54" s="75">
        <f ca="1">ROUND((Table1820[[#This Row],[XP]]*Table1820[[#This Row],[entity_spawned (AVG)]])*(Table1820[[#This Row],[activating_chance]]/100),0)</f>
        <v>400</v>
      </c>
      <c r="EJ5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54">
        <v>14</v>
      </c>
      <c r="EL54">
        <v>18</v>
      </c>
      <c r="EM54" t="b">
        <v>1</v>
      </c>
      <c r="EO54" t="s">
        <v>7345</v>
      </c>
      <c r="EP54">
        <v>1</v>
      </c>
      <c r="EQ54">
        <v>70</v>
      </c>
      <c r="ER54">
        <v>100</v>
      </c>
      <c r="ES54" s="75">
        <f ca="1">INDIRECT(ADDRESS(11+(MATCH(RIGHT(Table182023[[#This Row],[spawner_sku]],LEN(Table182023[[#This Row],[spawner_sku]])-FIND("/",Table182023[[#This Row],[spawner_sku]])),Table1[Entity Prefab],0)),10,1,1,"Entities"))</f>
        <v>143</v>
      </c>
      <c r="ET54" s="75">
        <f ca="1">ROUND((Table182023[[#This Row],[XP]]*Table182023[[#This Row],[entity_spawned (AVG)]])*(Table182023[[#This Row],[activating_chance]]/100),0)</f>
        <v>143</v>
      </c>
      <c r="EU54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54" s="152">
        <v>1</v>
      </c>
      <c r="EW54" s="152">
        <v>1</v>
      </c>
      <c r="EX54" s="152" t="b">
        <v>0</v>
      </c>
      <c r="EZ54" t="s">
        <v>7344</v>
      </c>
      <c r="FA54">
        <v>1</v>
      </c>
      <c r="FB54">
        <v>80</v>
      </c>
      <c r="FC54">
        <v>100</v>
      </c>
      <c r="FD54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54" s="75">
        <f ca="1">ROUND((Table18202324[[#This Row],[XP]]*Table18202324[[#This Row],[entity_spawned (AVG)]])*(Table18202324[[#This Row],[activating_chance]]/100),0)</f>
        <v>25</v>
      </c>
      <c r="FF54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54">
        <v>1</v>
      </c>
      <c r="FH54">
        <v>1</v>
      </c>
      <c r="FI54" t="b">
        <v>0</v>
      </c>
    </row>
    <row r="55" spans="2:165" x14ac:dyDescent="0.25">
      <c r="B55" s="73" t="s">
        <v>228</v>
      </c>
      <c r="C55">
        <v>1</v>
      </c>
      <c r="D55">
        <v>70</v>
      </c>
      <c r="E55">
        <v>100</v>
      </c>
      <c r="F55" s="75">
        <f ca="1">INDIRECT(ADDRESS(11+(MATCH(RIGHT(Table245[[#This Row],[spawner_sku]],LEN(Table245[[#This Row],[spawner_sku]])-FIND("/",Table245[[#This Row],[spawner_sku]])),Table1[Entity Prefab],0)),10,1,1,"Entities"))</f>
        <v>25</v>
      </c>
      <c r="G55" s="75">
        <f ca="1">ROUND((Table245[[#This Row],[XP]]*Table245[[#This Row],[entity_spawned (AVG)]])*(Table245[[#This Row],[activating_chance]]/100),0)</f>
        <v>25</v>
      </c>
      <c r="H5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5" s="72">
        <v>1</v>
      </c>
      <c r="J55" s="72">
        <v>1</v>
      </c>
      <c r="K55" s="72" t="b">
        <v>0</v>
      </c>
      <c r="M55" t="s">
        <v>228</v>
      </c>
      <c r="N55">
        <v>2</v>
      </c>
      <c r="O55">
        <v>110</v>
      </c>
      <c r="P55">
        <v>100</v>
      </c>
      <c r="Q55" s="75">
        <f ca="1">INDIRECT(ADDRESS(11+(MATCH(RIGHT(Table3[[#This Row],[spawner_sku]],LEN(Table3[[#This Row],[spawner_sku]])-FIND("/",Table3[[#This Row],[spawner_sku]])),Table1[Entity Prefab],0)),10,1,1,"Entities"))</f>
        <v>25</v>
      </c>
      <c r="R55" s="75">
        <f ca="1">ROUND((Table3[[#This Row],[XP]]*Table3[[#This Row],[entity_spawned (AVG)]])*(Table3[[#This Row],[activating_chance]]/100),0)</f>
        <v>50</v>
      </c>
      <c r="S55" t="str">
        <f ca="1">INDIRECT(ADDRESS(11+(MATCH(RIGHT(Table3[[#This Row],[spawner_sku]],LEN(Table3[[#This Row],[spawner_sku]])-FIND("/",Table3[[#This Row],[spawner_sku]])),Table28[Entity Prefab],0)),24,1,1,"Entities"))</f>
        <v>no</v>
      </c>
      <c r="T55">
        <v>1</v>
      </c>
      <c r="U55">
        <v>3</v>
      </c>
      <c r="V55" t="b">
        <v>0</v>
      </c>
      <c r="W55" s="72"/>
      <c r="X55" t="s">
        <v>445</v>
      </c>
      <c r="Y55">
        <v>1</v>
      </c>
      <c r="Z55">
        <v>180</v>
      </c>
      <c r="AA55">
        <v>100</v>
      </c>
      <c r="AB55" s="75">
        <f ca="1">INDIRECT(ADDRESS(11+(MATCH(RIGHT(Table39[[#This Row],[spawner_sku]],LEN(Table39[[#This Row],[spawner_sku]])-FIND("/",Table39[[#This Row],[spawner_sku]])),Table1[Entity Prefab],0)),10,1,1,"Entities"))</f>
        <v>0</v>
      </c>
      <c r="AC55" s="75">
        <f ca="1">ROUND((Table39[[#This Row],[XP]]*Table39[[#This Row],[entity_spawned (AVG)]])*(Table39[[#This Row],[activating_chance]]/100),0)</f>
        <v>0</v>
      </c>
      <c r="AD55" t="str">
        <f ca="1">INDIRECT(ADDRESS(11+(MATCH(RIGHT(Table39[[#This Row],[spawner_sku]],LEN(Table39[[#This Row],[spawner_sku]])-FIND("/",Table39[[#This Row],[spawner_sku]])),Table28[Entity Prefab],0)),24,1,1,"Entities"))</f>
        <v>yes</v>
      </c>
      <c r="AE55">
        <v>1</v>
      </c>
      <c r="AF55">
        <v>1</v>
      </c>
      <c r="AG55" t="b">
        <v>0</v>
      </c>
      <c r="AI55" t="s">
        <v>228</v>
      </c>
      <c r="AJ55">
        <v>3</v>
      </c>
      <c r="AK55">
        <v>160</v>
      </c>
      <c r="AL55">
        <v>100</v>
      </c>
      <c r="AM55" s="75">
        <f ca="1">INDIRECT(ADDRESS(11+(MATCH(RIGHT(Table2[[#This Row],[spawner_sku]],LEN(Table2[[#This Row],[spawner_sku]])-FIND("/",Table2[[#This Row],[spawner_sku]])),Table1[Entity Prefab],0)),10,1,1,"Entities"))</f>
        <v>25</v>
      </c>
      <c r="AN55" s="75">
        <f ca="1">ROUND((Table2[[#This Row],[XP]]*Table2[[#This Row],[entity_spawned (AVG)]])*(Table2[[#This Row],[activating_chance]]/100),0)</f>
        <v>75</v>
      </c>
      <c r="AO5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55" s="72">
        <v>2</v>
      </c>
      <c r="AQ55" s="72">
        <v>4</v>
      </c>
      <c r="AR55" s="72" t="b">
        <v>0</v>
      </c>
      <c r="AT55" t="s">
        <v>395</v>
      </c>
      <c r="AU55">
        <v>3</v>
      </c>
      <c r="AV55">
        <v>200</v>
      </c>
      <c r="AW55">
        <v>100</v>
      </c>
      <c r="AX55" s="75">
        <f ca="1">INDIRECT(ADDRESS(11+(MATCH(RIGHT(Table6[[#This Row],[spawner_sku]],LEN(Table6[[#This Row],[spawner_sku]])-FIND("/",Table6[[#This Row],[spawner_sku]])),Table1[Entity Prefab],0)),10,1,1,"Entities"))</f>
        <v>25</v>
      </c>
      <c r="AY55" s="75">
        <f ca="1">ROUND((Table6[[#This Row],[XP]]*Table6[[#This Row],[entity_spawned (AVG)]])*(Table6[[#This Row],[activating_chance]]/100),0)</f>
        <v>75</v>
      </c>
      <c r="AZ55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55">
        <v>2</v>
      </c>
      <c r="BB55">
        <v>4</v>
      </c>
      <c r="BC55" t="b">
        <v>0</v>
      </c>
      <c r="BE55" t="s">
        <v>227</v>
      </c>
      <c r="BF55">
        <v>3.5</v>
      </c>
      <c r="BG55">
        <v>100</v>
      </c>
      <c r="BH55">
        <v>100</v>
      </c>
      <c r="BI55" s="75">
        <f ca="1">INDIRECT(ADDRESS(11+(MATCH(RIGHT(Table610[[#This Row],[spawner_sku]],LEN(Table610[[#This Row],[spawner_sku]])-FIND("/",Table610[[#This Row],[spawner_sku]])),Table1[Entity Prefab],0)),10,1,1,"Entities"))</f>
        <v>25</v>
      </c>
      <c r="BJ55" s="75">
        <f ca="1">ROUND((Table610[[#This Row],[XP]]*Table610[[#This Row],[entity_spawned (AVG)]])*(Table610[[#This Row],[activating_chance]]/100),0)</f>
        <v>88</v>
      </c>
      <c r="BK55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5">
        <v>3</v>
      </c>
      <c r="BM55">
        <v>4</v>
      </c>
      <c r="BN55" t="b">
        <v>0</v>
      </c>
      <c r="BP55" t="s">
        <v>228</v>
      </c>
      <c r="BQ55">
        <v>1.5</v>
      </c>
      <c r="BR55">
        <v>100</v>
      </c>
      <c r="BS55">
        <v>100</v>
      </c>
      <c r="BT5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55" s="75">
        <f ca="1">ROUND((Table61011[[#This Row],[XP]]*Table61011[[#This Row],[entity_spawned (AVG)]])*(Table61011[[#This Row],[activating_chance]]/100),0)</f>
        <v>38</v>
      </c>
      <c r="BV5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5" s="72">
        <v>1</v>
      </c>
      <c r="BX55" s="72">
        <v>2</v>
      </c>
      <c r="BY55" s="72" t="b">
        <v>0</v>
      </c>
      <c r="CA55" t="s">
        <v>228</v>
      </c>
      <c r="CB55">
        <v>3.5</v>
      </c>
      <c r="CC55">
        <v>180</v>
      </c>
      <c r="CD55">
        <v>100</v>
      </c>
      <c r="CE55" s="75">
        <f ca="1">INDIRECT(ADDRESS(11+(MATCH(RIGHT(Table11[[#This Row],[spawner_sku]],LEN(Table11[[#This Row],[spawner_sku]])-FIND("/",Table11[[#This Row],[spawner_sku]])),Table1[Entity Prefab],0)),10,1,1,"Entities"))</f>
        <v>25</v>
      </c>
      <c r="CF55">
        <f ca="1">ROUND((Table11[[#This Row],[XP]]*Table11[[#This Row],[entity_spawned (AVG)]])*(Table11[[#This Row],[activating_chance]]/100),0)</f>
        <v>88</v>
      </c>
      <c r="CG55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55" s="72">
        <v>3</v>
      </c>
      <c r="CI55" s="72">
        <v>4</v>
      </c>
      <c r="CJ55" s="72" t="b">
        <v>0</v>
      </c>
      <c r="CL55" t="s">
        <v>238</v>
      </c>
      <c r="CM55">
        <v>1</v>
      </c>
      <c r="CN55">
        <v>2500</v>
      </c>
      <c r="CO55">
        <v>100</v>
      </c>
      <c r="CP55" s="75">
        <f ca="1">INDIRECT(ADDRESS(11+(MATCH(RIGHT(Table12[[#This Row],[spawner_sku]],LEN(Table12[[#This Row],[spawner_sku]])-FIND("/",Table12[[#This Row],[spawner_sku]])),Table1[Entity Prefab],0)),10,1,1,"Entities"))</f>
        <v>263</v>
      </c>
      <c r="CQ55" s="75">
        <f ca="1">ROUND((Table12[[#This Row],[XP]]*Table12[[#This Row],[entity_spawned (AVG)]])*(Table12[[#This Row],[activating_chance]]/100),0)</f>
        <v>263</v>
      </c>
      <c r="CR55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55" s="72">
        <v>1</v>
      </c>
      <c r="CT55" s="72">
        <v>1</v>
      </c>
      <c r="CU55" s="72" t="b">
        <v>0</v>
      </c>
      <c r="CW55" t="s">
        <v>395</v>
      </c>
      <c r="CX55">
        <v>7</v>
      </c>
      <c r="CY55">
        <v>200</v>
      </c>
      <c r="CZ55">
        <v>100</v>
      </c>
      <c r="DA55" s="75">
        <f ca="1">INDIRECT(ADDRESS(11+(MATCH(RIGHT(Table13[[#This Row],[spawner_sku]],LEN(Table13[[#This Row],[spawner_sku]])-FIND("/",Table13[[#This Row],[spawner_sku]])),Table1[Entity Prefab],0)),10,1,1,"Entities"))</f>
        <v>25</v>
      </c>
      <c r="DB55" s="75">
        <f ca="1">ROUND((Table13[[#This Row],[XP]]*Table13[[#This Row],[entity_spawned (AVG)]])*(Table13[[#This Row],[activating_chance]]/100),0)</f>
        <v>175</v>
      </c>
      <c r="DC55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55" s="72">
        <v>6</v>
      </c>
      <c r="DE55" s="72">
        <v>8</v>
      </c>
      <c r="DF55" s="72" t="b">
        <v>1</v>
      </c>
      <c r="DH55" t="s">
        <v>227</v>
      </c>
      <c r="DI55">
        <v>8</v>
      </c>
      <c r="DJ55">
        <v>180</v>
      </c>
      <c r="DK55">
        <v>30</v>
      </c>
      <c r="DL55" s="75">
        <f ca="1">INDIRECT(ADDRESS(11+(MATCH(RIGHT(Table14[[#This Row],[spawner_sku]],LEN(Table14[[#This Row],[spawner_sku]])-FIND("/",Table14[[#This Row],[spawner_sku]])),Table1[Entity Prefab],0)),10,1,1,"Entities"))</f>
        <v>25</v>
      </c>
      <c r="DM55" s="75">
        <f ca="1">ROUND((Table14[[#This Row],[XP]]*Table14[[#This Row],[entity_spawned (AVG)]])*(Table14[[#This Row],[activating_chance]]/100),0)</f>
        <v>60</v>
      </c>
      <c r="DN5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5" s="72">
        <v>6</v>
      </c>
      <c r="DP55" s="72">
        <v>10</v>
      </c>
      <c r="DQ55" s="72" t="b">
        <v>1</v>
      </c>
      <c r="DS55" t="s">
        <v>227</v>
      </c>
      <c r="DT55">
        <v>10</v>
      </c>
      <c r="DU55">
        <v>160</v>
      </c>
      <c r="DV55">
        <v>100</v>
      </c>
      <c r="DW55" s="75">
        <f ca="1">INDIRECT(ADDRESS(11+(MATCH(RIGHT(Table18[[#This Row],[spawner_sku]],LEN(Table18[[#This Row],[spawner_sku]])-FIND("/",Table18[[#This Row],[spawner_sku]])),Table1[Entity Prefab],0)),10,1,1,"Entities"))</f>
        <v>25</v>
      </c>
      <c r="DX55" s="75">
        <f ca="1">ROUND((Table18[[#This Row],[XP]]*Table18[[#This Row],[entity_spawned (AVG)]])*(Table18[[#This Row],[activating_chance]]/100),0)</f>
        <v>250</v>
      </c>
      <c r="DY5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55">
        <v>8</v>
      </c>
      <c r="EA55">
        <v>12</v>
      </c>
      <c r="EB55" t="b">
        <v>1</v>
      </c>
      <c r="ED55" t="s">
        <v>227</v>
      </c>
      <c r="EE55">
        <v>9</v>
      </c>
      <c r="EF55">
        <v>160</v>
      </c>
      <c r="EG55">
        <v>100</v>
      </c>
      <c r="EH55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55" s="75">
        <f ca="1">ROUND((Table1820[[#This Row],[XP]]*Table1820[[#This Row],[entity_spawned (AVG)]])*(Table1820[[#This Row],[activating_chance]]/100),0)</f>
        <v>225</v>
      </c>
      <c r="EJ5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55">
        <v>8</v>
      </c>
      <c r="EL55">
        <v>10</v>
      </c>
      <c r="EM55" t="b">
        <v>1</v>
      </c>
      <c r="EO55" t="s">
        <v>7345</v>
      </c>
      <c r="EP55">
        <v>2.5</v>
      </c>
      <c r="EQ55">
        <v>70</v>
      </c>
      <c r="ER55">
        <v>100</v>
      </c>
      <c r="ES55" s="75">
        <f ca="1">INDIRECT(ADDRESS(11+(MATCH(RIGHT(Table182023[[#This Row],[spawner_sku]],LEN(Table182023[[#This Row],[spawner_sku]])-FIND("/",Table182023[[#This Row],[spawner_sku]])),Table1[Entity Prefab],0)),10,1,1,"Entities"))</f>
        <v>143</v>
      </c>
      <c r="ET55" s="75">
        <f ca="1">ROUND((Table182023[[#This Row],[XP]]*Table182023[[#This Row],[entity_spawned (AVG)]])*(Table182023[[#This Row],[activating_chance]]/100),0)</f>
        <v>358</v>
      </c>
      <c r="EU55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55" s="152">
        <v>2</v>
      </c>
      <c r="EW55" s="152">
        <v>3</v>
      </c>
      <c r="EX55" s="152" t="b">
        <v>0</v>
      </c>
      <c r="EZ55" t="s">
        <v>7344</v>
      </c>
      <c r="FA55">
        <v>1</v>
      </c>
      <c r="FB55">
        <v>90</v>
      </c>
      <c r="FC55">
        <v>100</v>
      </c>
      <c r="FD55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55" s="75">
        <f ca="1">ROUND((Table18202324[[#This Row],[XP]]*Table18202324[[#This Row],[entity_spawned (AVG)]])*(Table18202324[[#This Row],[activating_chance]]/100),0)</f>
        <v>25</v>
      </c>
      <c r="FF55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55">
        <v>1</v>
      </c>
      <c r="FH55">
        <v>1</v>
      </c>
      <c r="FI55" t="b">
        <v>0</v>
      </c>
    </row>
    <row r="56" spans="2:165" x14ac:dyDescent="0.25">
      <c r="B56" s="73" t="s">
        <v>228</v>
      </c>
      <c r="C56">
        <v>6</v>
      </c>
      <c r="D56">
        <v>170</v>
      </c>
      <c r="E56">
        <v>100</v>
      </c>
      <c r="F56" s="75">
        <f ca="1">INDIRECT(ADDRESS(11+(MATCH(RIGHT(Table245[[#This Row],[spawner_sku]],LEN(Table245[[#This Row],[spawner_sku]])-FIND("/",Table245[[#This Row],[spawner_sku]])),Table1[Entity Prefab],0)),10,1,1,"Entities"))</f>
        <v>25</v>
      </c>
      <c r="G56" s="75">
        <f ca="1">ROUND((Table245[[#This Row],[XP]]*Table245[[#This Row],[entity_spawned (AVG)]])*(Table245[[#This Row],[activating_chance]]/100),0)</f>
        <v>150</v>
      </c>
      <c r="H5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6" s="72">
        <v>5</v>
      </c>
      <c r="J56" s="72">
        <v>7</v>
      </c>
      <c r="K56" s="72" t="b">
        <v>1</v>
      </c>
      <c r="M56" t="s">
        <v>228</v>
      </c>
      <c r="N56">
        <v>2</v>
      </c>
      <c r="O56">
        <v>130</v>
      </c>
      <c r="P56">
        <v>40</v>
      </c>
      <c r="Q56" s="75">
        <f ca="1">INDIRECT(ADDRESS(11+(MATCH(RIGHT(Table3[[#This Row],[spawner_sku]],LEN(Table3[[#This Row],[spawner_sku]])-FIND("/",Table3[[#This Row],[spawner_sku]])),Table1[Entity Prefab],0)),10,1,1,"Entities"))</f>
        <v>25</v>
      </c>
      <c r="R56" s="75">
        <f ca="1">ROUND((Table3[[#This Row],[XP]]*Table3[[#This Row],[entity_spawned (AVG)]])*(Table3[[#This Row],[activating_chance]]/100),0)</f>
        <v>20</v>
      </c>
      <c r="S56" t="str">
        <f ca="1">INDIRECT(ADDRESS(11+(MATCH(RIGHT(Table3[[#This Row],[spawner_sku]],LEN(Table3[[#This Row],[spawner_sku]])-FIND("/",Table3[[#This Row],[spawner_sku]])),Table28[Entity Prefab],0)),24,1,1,"Entities"))</f>
        <v>no</v>
      </c>
      <c r="T56">
        <v>1</v>
      </c>
      <c r="U56">
        <v>3</v>
      </c>
      <c r="V56" t="b">
        <v>0</v>
      </c>
      <c r="W56" s="72"/>
      <c r="X56" t="s">
        <v>445</v>
      </c>
      <c r="Y56">
        <v>1</v>
      </c>
      <c r="Z56">
        <v>180</v>
      </c>
      <c r="AA56">
        <v>100</v>
      </c>
      <c r="AB56" s="75">
        <f ca="1">INDIRECT(ADDRESS(11+(MATCH(RIGHT(Table39[[#This Row],[spawner_sku]],LEN(Table39[[#This Row],[spawner_sku]])-FIND("/",Table39[[#This Row],[spawner_sku]])),Table1[Entity Prefab],0)),10,1,1,"Entities"))</f>
        <v>0</v>
      </c>
      <c r="AC56" s="75">
        <f ca="1">ROUND((Table39[[#This Row],[XP]]*Table39[[#This Row],[entity_spawned (AVG)]])*(Table39[[#This Row],[activating_chance]]/100),0)</f>
        <v>0</v>
      </c>
      <c r="AD56" t="str">
        <f ca="1">INDIRECT(ADDRESS(11+(MATCH(RIGHT(Table39[[#This Row],[spawner_sku]],LEN(Table39[[#This Row],[spawner_sku]])-FIND("/",Table39[[#This Row],[spawner_sku]])),Table28[Entity Prefab],0)),24,1,1,"Entities"))</f>
        <v>yes</v>
      </c>
      <c r="AE56">
        <v>1</v>
      </c>
      <c r="AF56">
        <v>1</v>
      </c>
      <c r="AG56" t="b">
        <v>0</v>
      </c>
      <c r="AI56" t="s">
        <v>228</v>
      </c>
      <c r="AJ56">
        <v>7.5</v>
      </c>
      <c r="AK56">
        <v>150</v>
      </c>
      <c r="AL56">
        <v>40</v>
      </c>
      <c r="AM56" s="75">
        <f ca="1">INDIRECT(ADDRESS(11+(MATCH(RIGHT(Table2[[#This Row],[spawner_sku]],LEN(Table2[[#This Row],[spawner_sku]])-FIND("/",Table2[[#This Row],[spawner_sku]])),Table1[Entity Prefab],0)),10,1,1,"Entities"))</f>
        <v>25</v>
      </c>
      <c r="AN56" s="75">
        <f ca="1">ROUND((Table2[[#This Row],[XP]]*Table2[[#This Row],[entity_spawned (AVG)]])*(Table2[[#This Row],[activating_chance]]/100),0)</f>
        <v>75</v>
      </c>
      <c r="AO5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56" s="72">
        <v>5</v>
      </c>
      <c r="AQ56" s="72">
        <v>10</v>
      </c>
      <c r="AR56" s="72" t="b">
        <v>1</v>
      </c>
      <c r="AT56" t="s">
        <v>395</v>
      </c>
      <c r="AU56">
        <v>3</v>
      </c>
      <c r="AV56">
        <v>200</v>
      </c>
      <c r="AW56">
        <v>100</v>
      </c>
      <c r="AX56" s="75">
        <f ca="1">INDIRECT(ADDRESS(11+(MATCH(RIGHT(Table6[[#This Row],[spawner_sku]],LEN(Table6[[#This Row],[spawner_sku]])-FIND("/",Table6[[#This Row],[spawner_sku]])),Table1[Entity Prefab],0)),10,1,1,"Entities"))</f>
        <v>25</v>
      </c>
      <c r="AY56" s="75">
        <f ca="1">ROUND((Table6[[#This Row],[XP]]*Table6[[#This Row],[entity_spawned (AVG)]])*(Table6[[#This Row],[activating_chance]]/100),0)</f>
        <v>75</v>
      </c>
      <c r="AZ56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56">
        <v>2</v>
      </c>
      <c r="BB56">
        <v>4</v>
      </c>
      <c r="BC56" t="b">
        <v>0</v>
      </c>
      <c r="BE56" t="s">
        <v>227</v>
      </c>
      <c r="BF56">
        <v>6.5</v>
      </c>
      <c r="BG56">
        <v>120</v>
      </c>
      <c r="BH56">
        <v>100</v>
      </c>
      <c r="BI56" s="75">
        <f ca="1">INDIRECT(ADDRESS(11+(MATCH(RIGHT(Table610[[#This Row],[spawner_sku]],LEN(Table610[[#This Row],[spawner_sku]])-FIND("/",Table610[[#This Row],[spawner_sku]])),Table1[Entity Prefab],0)),10,1,1,"Entities"))</f>
        <v>25</v>
      </c>
      <c r="BJ56" s="75">
        <f ca="1">ROUND((Table610[[#This Row],[XP]]*Table610[[#This Row],[entity_spawned (AVG)]])*(Table610[[#This Row],[activating_chance]]/100),0)</f>
        <v>163</v>
      </c>
      <c r="BK56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6">
        <v>5</v>
      </c>
      <c r="BM56">
        <v>8</v>
      </c>
      <c r="BN56" t="b">
        <v>1</v>
      </c>
      <c r="BP56" t="s">
        <v>228</v>
      </c>
      <c r="BQ56">
        <v>5</v>
      </c>
      <c r="BR56">
        <v>220</v>
      </c>
      <c r="BS56">
        <v>100</v>
      </c>
      <c r="BT5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56" s="75">
        <f ca="1">ROUND((Table61011[[#This Row],[XP]]*Table61011[[#This Row],[entity_spawned (AVG)]])*(Table61011[[#This Row],[activating_chance]]/100),0)</f>
        <v>125</v>
      </c>
      <c r="BV5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6" s="72">
        <v>5</v>
      </c>
      <c r="BX56" s="72">
        <v>5</v>
      </c>
      <c r="BY56" s="72" t="b">
        <v>1</v>
      </c>
      <c r="CA56" t="s">
        <v>228</v>
      </c>
      <c r="CB56">
        <v>3</v>
      </c>
      <c r="CC56">
        <v>180</v>
      </c>
      <c r="CD56">
        <v>100</v>
      </c>
      <c r="CE56" s="75">
        <f ca="1">INDIRECT(ADDRESS(11+(MATCH(RIGHT(Table11[[#This Row],[spawner_sku]],LEN(Table11[[#This Row],[spawner_sku]])-FIND("/",Table11[[#This Row],[spawner_sku]])),Table1[Entity Prefab],0)),10,1,1,"Entities"))</f>
        <v>25</v>
      </c>
      <c r="CF56">
        <f ca="1">ROUND((Table11[[#This Row],[XP]]*Table11[[#This Row],[entity_spawned (AVG)]])*(Table11[[#This Row],[activating_chance]]/100),0)</f>
        <v>75</v>
      </c>
      <c r="CG56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56" s="72">
        <v>2</v>
      </c>
      <c r="CI56" s="72">
        <v>4</v>
      </c>
      <c r="CJ56" s="72" t="b">
        <v>0</v>
      </c>
      <c r="CL56" t="s">
        <v>239</v>
      </c>
      <c r="CM56">
        <v>1</v>
      </c>
      <c r="CN56">
        <v>2000</v>
      </c>
      <c r="CO56">
        <v>100</v>
      </c>
      <c r="CP56" s="75">
        <f ca="1">INDIRECT(ADDRESS(11+(MATCH(RIGHT(Table12[[#This Row],[spawner_sku]],LEN(Table12[[#This Row],[spawner_sku]])-FIND("/",Table12[[#This Row],[spawner_sku]])),Table1[Entity Prefab],0)),10,1,1,"Entities"))</f>
        <v>175</v>
      </c>
      <c r="CQ56" s="75">
        <f ca="1">ROUND((Table12[[#This Row],[XP]]*Table12[[#This Row],[entity_spawned (AVG)]])*(Table12[[#This Row],[activating_chance]]/100),0)</f>
        <v>175</v>
      </c>
      <c r="CR56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56" s="72">
        <v>1</v>
      </c>
      <c r="CT56" s="72">
        <v>1</v>
      </c>
      <c r="CU56" s="72" t="b">
        <v>0</v>
      </c>
      <c r="CW56" t="s">
        <v>395</v>
      </c>
      <c r="CX56">
        <v>3.5</v>
      </c>
      <c r="CY56">
        <v>200</v>
      </c>
      <c r="CZ56">
        <v>100</v>
      </c>
      <c r="DA56" s="75">
        <f ca="1">INDIRECT(ADDRESS(11+(MATCH(RIGHT(Table13[[#This Row],[spawner_sku]],LEN(Table13[[#This Row],[spawner_sku]])-FIND("/",Table13[[#This Row],[spawner_sku]])),Table1[Entity Prefab],0)),10,1,1,"Entities"))</f>
        <v>25</v>
      </c>
      <c r="DB56" s="75">
        <f ca="1">ROUND((Table13[[#This Row],[XP]]*Table13[[#This Row],[entity_spawned (AVG)]])*(Table13[[#This Row],[activating_chance]]/100),0)</f>
        <v>88</v>
      </c>
      <c r="DC56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56" s="72">
        <v>3</v>
      </c>
      <c r="DE56" s="72">
        <v>4</v>
      </c>
      <c r="DF56" s="72" t="b">
        <v>0</v>
      </c>
      <c r="DH56" t="s">
        <v>227</v>
      </c>
      <c r="DI56">
        <v>3.5</v>
      </c>
      <c r="DJ56">
        <v>140</v>
      </c>
      <c r="DK56">
        <v>100</v>
      </c>
      <c r="DL56" s="75">
        <f ca="1">INDIRECT(ADDRESS(11+(MATCH(RIGHT(Table14[[#This Row],[spawner_sku]],LEN(Table14[[#This Row],[spawner_sku]])-FIND("/",Table14[[#This Row],[spawner_sku]])),Table1[Entity Prefab],0)),10,1,1,"Entities"))</f>
        <v>25</v>
      </c>
      <c r="DM56" s="75">
        <f ca="1">ROUND((Table14[[#This Row],[XP]]*Table14[[#This Row],[entity_spawned (AVG)]])*(Table14[[#This Row],[activating_chance]]/100),0)</f>
        <v>88</v>
      </c>
      <c r="DN5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6" s="72">
        <v>3</v>
      </c>
      <c r="DP56" s="72">
        <v>4</v>
      </c>
      <c r="DQ56" s="72" t="b">
        <v>0</v>
      </c>
      <c r="DS56" t="s">
        <v>227</v>
      </c>
      <c r="DT56">
        <v>3</v>
      </c>
      <c r="DU56">
        <v>140</v>
      </c>
      <c r="DV56">
        <v>30</v>
      </c>
      <c r="DW56" s="75">
        <f ca="1">INDIRECT(ADDRESS(11+(MATCH(RIGHT(Table18[[#This Row],[spawner_sku]],LEN(Table18[[#This Row],[spawner_sku]])-FIND("/",Table18[[#This Row],[spawner_sku]])),Table1[Entity Prefab],0)),10,1,1,"Entities"))</f>
        <v>25</v>
      </c>
      <c r="DX56" s="75">
        <f ca="1">ROUND((Table18[[#This Row],[XP]]*Table18[[#This Row],[entity_spawned (AVG)]])*(Table18[[#This Row],[activating_chance]]/100),0)</f>
        <v>23</v>
      </c>
      <c r="DY5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56">
        <v>2</v>
      </c>
      <c r="EA56">
        <v>4</v>
      </c>
      <c r="EB56" t="b">
        <v>0</v>
      </c>
      <c r="ED56" t="s">
        <v>227</v>
      </c>
      <c r="EE56">
        <v>2</v>
      </c>
      <c r="EF56">
        <v>140</v>
      </c>
      <c r="EG56">
        <v>100</v>
      </c>
      <c r="EH56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56" s="75">
        <f ca="1">ROUND((Table1820[[#This Row],[XP]]*Table1820[[#This Row],[entity_spawned (AVG)]])*(Table1820[[#This Row],[activating_chance]]/100),0)</f>
        <v>50</v>
      </c>
      <c r="EJ5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56">
        <v>2</v>
      </c>
      <c r="EL56">
        <v>3</v>
      </c>
      <c r="EM56" t="b">
        <v>0</v>
      </c>
      <c r="EO56" t="s">
        <v>7345</v>
      </c>
      <c r="EP56">
        <v>1.5</v>
      </c>
      <c r="EQ56">
        <v>70</v>
      </c>
      <c r="ER56">
        <v>100</v>
      </c>
      <c r="ES56" s="75">
        <f ca="1">INDIRECT(ADDRESS(11+(MATCH(RIGHT(Table182023[[#This Row],[spawner_sku]],LEN(Table182023[[#This Row],[spawner_sku]])-FIND("/",Table182023[[#This Row],[spawner_sku]])),Table1[Entity Prefab],0)),10,1,1,"Entities"))</f>
        <v>143</v>
      </c>
      <c r="ET56" s="75">
        <f ca="1">ROUND((Table182023[[#This Row],[XP]]*Table182023[[#This Row],[entity_spawned (AVG)]])*(Table182023[[#This Row],[activating_chance]]/100),0)</f>
        <v>215</v>
      </c>
      <c r="EU56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56" s="152">
        <v>1</v>
      </c>
      <c r="EW56" s="152">
        <v>2</v>
      </c>
      <c r="EX56" s="152" t="b">
        <v>0</v>
      </c>
      <c r="EZ56" t="s">
        <v>7344</v>
      </c>
      <c r="FA56">
        <v>1</v>
      </c>
      <c r="FB56">
        <v>90</v>
      </c>
      <c r="FC56">
        <v>100</v>
      </c>
      <c r="FD56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56" s="75">
        <f ca="1">ROUND((Table18202324[[#This Row],[XP]]*Table18202324[[#This Row],[entity_spawned (AVG)]])*(Table18202324[[#This Row],[activating_chance]]/100),0)</f>
        <v>25</v>
      </c>
      <c r="FF56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56">
        <v>1</v>
      </c>
      <c r="FH56">
        <v>1</v>
      </c>
      <c r="FI56" t="b">
        <v>0</v>
      </c>
    </row>
    <row r="57" spans="2:165" x14ac:dyDescent="0.25">
      <c r="B57" s="73" t="s">
        <v>228</v>
      </c>
      <c r="C57">
        <v>2</v>
      </c>
      <c r="D57">
        <v>110</v>
      </c>
      <c r="E57">
        <v>100</v>
      </c>
      <c r="F57" s="75">
        <f ca="1">INDIRECT(ADDRESS(11+(MATCH(RIGHT(Table245[[#This Row],[spawner_sku]],LEN(Table245[[#This Row],[spawner_sku]])-FIND("/",Table245[[#This Row],[spawner_sku]])),Table1[Entity Prefab],0)),10,1,1,"Entities"))</f>
        <v>25</v>
      </c>
      <c r="G57" s="75">
        <f ca="1">ROUND((Table245[[#This Row],[XP]]*Table245[[#This Row],[entity_spawned (AVG)]])*(Table245[[#This Row],[activating_chance]]/100),0)</f>
        <v>50</v>
      </c>
      <c r="H5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" s="72">
        <v>1</v>
      </c>
      <c r="J57" s="72">
        <v>3</v>
      </c>
      <c r="K57" s="72" t="b">
        <v>0</v>
      </c>
      <c r="M57" t="s">
        <v>228</v>
      </c>
      <c r="N57">
        <v>6</v>
      </c>
      <c r="O57">
        <v>200</v>
      </c>
      <c r="P57">
        <v>100</v>
      </c>
      <c r="Q57" s="75">
        <f ca="1">INDIRECT(ADDRESS(11+(MATCH(RIGHT(Table3[[#This Row],[spawner_sku]],LEN(Table3[[#This Row],[spawner_sku]])-FIND("/",Table3[[#This Row],[spawner_sku]])),Table1[Entity Prefab],0)),10,1,1,"Entities"))</f>
        <v>25</v>
      </c>
      <c r="R57" s="75">
        <f ca="1">ROUND((Table3[[#This Row],[XP]]*Table3[[#This Row],[entity_spawned (AVG)]])*(Table3[[#This Row],[activating_chance]]/100),0)</f>
        <v>150</v>
      </c>
      <c r="S57" t="str">
        <f ca="1">INDIRECT(ADDRESS(11+(MATCH(RIGHT(Table3[[#This Row],[spawner_sku]],LEN(Table3[[#This Row],[spawner_sku]])-FIND("/",Table3[[#This Row],[spawner_sku]])),Table28[Entity Prefab],0)),24,1,1,"Entities"))</f>
        <v>no</v>
      </c>
      <c r="T57">
        <v>5</v>
      </c>
      <c r="U57">
        <v>7</v>
      </c>
      <c r="V57" t="b">
        <v>1</v>
      </c>
      <c r="W57" s="72"/>
      <c r="X57" t="s">
        <v>445</v>
      </c>
      <c r="Y57">
        <v>1</v>
      </c>
      <c r="Z57">
        <v>180</v>
      </c>
      <c r="AA57">
        <v>100</v>
      </c>
      <c r="AB57" s="75">
        <f ca="1">INDIRECT(ADDRESS(11+(MATCH(RIGHT(Table39[[#This Row],[spawner_sku]],LEN(Table39[[#This Row],[spawner_sku]])-FIND("/",Table39[[#This Row],[spawner_sku]])),Table1[Entity Prefab],0)),10,1,1,"Entities"))</f>
        <v>0</v>
      </c>
      <c r="AC57" s="75">
        <f ca="1">ROUND((Table39[[#This Row],[XP]]*Table39[[#This Row],[entity_spawned (AVG)]])*(Table39[[#This Row],[activating_chance]]/100),0)</f>
        <v>0</v>
      </c>
      <c r="AD57" t="str">
        <f ca="1">INDIRECT(ADDRESS(11+(MATCH(RIGHT(Table39[[#This Row],[spawner_sku]],LEN(Table39[[#This Row],[spawner_sku]])-FIND("/",Table39[[#This Row],[spawner_sku]])),Table28[Entity Prefab],0)),24,1,1,"Entities"))</f>
        <v>yes</v>
      </c>
      <c r="AE57">
        <v>1</v>
      </c>
      <c r="AF57">
        <v>1</v>
      </c>
      <c r="AG57" t="b">
        <v>0</v>
      </c>
      <c r="AI57" t="s">
        <v>228</v>
      </c>
      <c r="AJ57">
        <v>2</v>
      </c>
      <c r="AK57">
        <v>100</v>
      </c>
      <c r="AL57">
        <v>85</v>
      </c>
      <c r="AM57" s="75">
        <f ca="1">INDIRECT(ADDRESS(11+(MATCH(RIGHT(Table2[[#This Row],[spawner_sku]],LEN(Table2[[#This Row],[spawner_sku]])-FIND("/",Table2[[#This Row],[spawner_sku]])),Table1[Entity Prefab],0)),10,1,1,"Entities"))</f>
        <v>25</v>
      </c>
      <c r="AN57" s="75">
        <f ca="1">ROUND((Table2[[#This Row],[XP]]*Table2[[#This Row],[entity_spawned (AVG)]])*(Table2[[#This Row],[activating_chance]]/100),0)</f>
        <v>43</v>
      </c>
      <c r="AO5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57" s="72">
        <v>1</v>
      </c>
      <c r="AQ57" s="72">
        <v>3</v>
      </c>
      <c r="AR57" s="72" t="b">
        <v>0</v>
      </c>
      <c r="AT57" t="s">
        <v>395</v>
      </c>
      <c r="AU57">
        <v>3</v>
      </c>
      <c r="AV57">
        <v>200</v>
      </c>
      <c r="AW57">
        <v>100</v>
      </c>
      <c r="AX57" s="75">
        <f ca="1">INDIRECT(ADDRESS(11+(MATCH(RIGHT(Table6[[#This Row],[spawner_sku]],LEN(Table6[[#This Row],[spawner_sku]])-FIND("/",Table6[[#This Row],[spawner_sku]])),Table1[Entity Prefab],0)),10,1,1,"Entities"))</f>
        <v>25</v>
      </c>
      <c r="AY57" s="75">
        <f ca="1">ROUND((Table6[[#This Row],[XP]]*Table6[[#This Row],[entity_spawned (AVG)]])*(Table6[[#This Row],[activating_chance]]/100),0)</f>
        <v>75</v>
      </c>
      <c r="AZ57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57">
        <v>2</v>
      </c>
      <c r="BB57">
        <v>4</v>
      </c>
      <c r="BC57" t="b">
        <v>0</v>
      </c>
      <c r="BE57" t="s">
        <v>395</v>
      </c>
      <c r="BF57">
        <v>6</v>
      </c>
      <c r="BG57">
        <v>220</v>
      </c>
      <c r="BH57">
        <v>100</v>
      </c>
      <c r="BI57" s="75">
        <f ca="1">INDIRECT(ADDRESS(11+(MATCH(RIGHT(Table610[[#This Row],[spawner_sku]],LEN(Table610[[#This Row],[spawner_sku]])-FIND("/",Table610[[#This Row],[spawner_sku]])),Table1[Entity Prefab],0)),10,1,1,"Entities"))</f>
        <v>25</v>
      </c>
      <c r="BJ57" s="75">
        <f ca="1">ROUND((Table610[[#This Row],[XP]]*Table610[[#This Row],[entity_spawned (AVG)]])*(Table610[[#This Row],[activating_chance]]/100),0)</f>
        <v>150</v>
      </c>
      <c r="BK57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7">
        <v>5</v>
      </c>
      <c r="BM57">
        <v>7</v>
      </c>
      <c r="BN57" t="b">
        <v>1</v>
      </c>
      <c r="BP57" t="s">
        <v>228</v>
      </c>
      <c r="BQ57">
        <v>5</v>
      </c>
      <c r="BR57">
        <v>220</v>
      </c>
      <c r="BS57">
        <v>100</v>
      </c>
      <c r="BT5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57" s="75">
        <f ca="1">ROUND((Table61011[[#This Row],[XP]]*Table61011[[#This Row],[entity_spawned (AVG)]])*(Table61011[[#This Row],[activating_chance]]/100),0)</f>
        <v>125</v>
      </c>
      <c r="BV5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7" s="72">
        <v>5</v>
      </c>
      <c r="BX57" s="72">
        <v>5</v>
      </c>
      <c r="BY57" s="72" t="b">
        <v>1</v>
      </c>
      <c r="CA57" t="s">
        <v>228</v>
      </c>
      <c r="CB57">
        <v>2.5</v>
      </c>
      <c r="CC57">
        <v>180</v>
      </c>
      <c r="CD57">
        <v>100</v>
      </c>
      <c r="CE57" s="75">
        <f ca="1">INDIRECT(ADDRESS(11+(MATCH(RIGHT(Table11[[#This Row],[spawner_sku]],LEN(Table11[[#This Row],[spawner_sku]])-FIND("/",Table11[[#This Row],[spawner_sku]])),Table1[Entity Prefab],0)),10,1,1,"Entities"))</f>
        <v>25</v>
      </c>
      <c r="CF57">
        <f ca="1">ROUND((Table11[[#This Row],[XP]]*Table11[[#This Row],[entity_spawned (AVG)]])*(Table11[[#This Row],[activating_chance]]/100),0)</f>
        <v>63</v>
      </c>
      <c r="CG57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57" s="72">
        <v>2</v>
      </c>
      <c r="CI57" s="72">
        <v>3</v>
      </c>
      <c r="CJ57" s="72" t="b">
        <v>0</v>
      </c>
      <c r="CL57" t="s">
        <v>239</v>
      </c>
      <c r="CM57">
        <v>1</v>
      </c>
      <c r="CN57">
        <v>2000</v>
      </c>
      <c r="CO57">
        <v>100</v>
      </c>
      <c r="CP57" s="75">
        <f ca="1">INDIRECT(ADDRESS(11+(MATCH(RIGHT(Table12[[#This Row],[spawner_sku]],LEN(Table12[[#This Row],[spawner_sku]])-FIND("/",Table12[[#This Row],[spawner_sku]])),Table1[Entity Prefab],0)),10,1,1,"Entities"))</f>
        <v>175</v>
      </c>
      <c r="CQ57" s="75">
        <f ca="1">ROUND((Table12[[#This Row],[XP]]*Table12[[#This Row],[entity_spawned (AVG)]])*(Table12[[#This Row],[activating_chance]]/100),0)</f>
        <v>175</v>
      </c>
      <c r="CR57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57" s="72">
        <v>1</v>
      </c>
      <c r="CT57" s="72">
        <v>1</v>
      </c>
      <c r="CU57" s="72" t="b">
        <v>0</v>
      </c>
      <c r="CW57" t="s">
        <v>231</v>
      </c>
      <c r="CX57">
        <v>1</v>
      </c>
      <c r="CY57">
        <v>5000</v>
      </c>
      <c r="CZ57">
        <v>75</v>
      </c>
      <c r="DA57" s="75">
        <f ca="1">INDIRECT(ADDRESS(11+(MATCH(RIGHT(Table13[[#This Row],[spawner_sku]],LEN(Table13[[#This Row],[spawner_sku]])-FIND("/",Table13[[#This Row],[spawner_sku]])),Table1[Entity Prefab],0)),10,1,1,"Entities"))</f>
        <v>75</v>
      </c>
      <c r="DB57" s="75">
        <f ca="1">ROUND((Table13[[#This Row],[XP]]*Table13[[#This Row],[entity_spawned (AVG)]])*(Table13[[#This Row],[activating_chance]]/100),0)</f>
        <v>56</v>
      </c>
      <c r="DC57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57" s="72">
        <v>1</v>
      </c>
      <c r="DE57" s="72">
        <v>1</v>
      </c>
      <c r="DF57" s="72" t="b">
        <v>0</v>
      </c>
      <c r="DH57" t="s">
        <v>227</v>
      </c>
      <c r="DI57">
        <v>12</v>
      </c>
      <c r="DJ57">
        <v>200</v>
      </c>
      <c r="DK57">
        <v>100</v>
      </c>
      <c r="DL57" s="75">
        <f ca="1">INDIRECT(ADDRESS(11+(MATCH(RIGHT(Table14[[#This Row],[spawner_sku]],LEN(Table14[[#This Row],[spawner_sku]])-FIND("/",Table14[[#This Row],[spawner_sku]])),Table1[Entity Prefab],0)),10,1,1,"Entities"))</f>
        <v>25</v>
      </c>
      <c r="DM57" s="75">
        <f ca="1">ROUND((Table14[[#This Row],[XP]]*Table14[[#This Row],[entity_spawned (AVG)]])*(Table14[[#This Row],[activating_chance]]/100),0)</f>
        <v>300</v>
      </c>
      <c r="DN5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7" s="72">
        <v>10</v>
      </c>
      <c r="DP57" s="72">
        <v>14</v>
      </c>
      <c r="DQ57" s="72" t="b">
        <v>1</v>
      </c>
      <c r="DS57" t="s">
        <v>227</v>
      </c>
      <c r="DT57">
        <v>3</v>
      </c>
      <c r="DU57">
        <v>140</v>
      </c>
      <c r="DV57">
        <v>100</v>
      </c>
      <c r="DW57" s="75">
        <f ca="1">INDIRECT(ADDRESS(11+(MATCH(RIGHT(Table18[[#This Row],[spawner_sku]],LEN(Table18[[#This Row],[spawner_sku]])-FIND("/",Table18[[#This Row],[spawner_sku]])),Table1[Entity Prefab],0)),10,1,1,"Entities"))</f>
        <v>25</v>
      </c>
      <c r="DX57" s="75">
        <f ca="1">ROUND((Table18[[#This Row],[XP]]*Table18[[#This Row],[entity_spawned (AVG)]])*(Table18[[#This Row],[activating_chance]]/100),0)</f>
        <v>75</v>
      </c>
      <c r="DY5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57">
        <v>3</v>
      </c>
      <c r="EA57">
        <v>4</v>
      </c>
      <c r="EB57" t="b">
        <v>0</v>
      </c>
      <c r="ED57" t="s">
        <v>227</v>
      </c>
      <c r="EE57">
        <v>2</v>
      </c>
      <c r="EF57">
        <v>140</v>
      </c>
      <c r="EG57">
        <v>30</v>
      </c>
      <c r="EH57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57" s="75">
        <f ca="1">ROUND((Table1820[[#This Row],[XP]]*Table1820[[#This Row],[entity_spawned (AVG)]])*(Table1820[[#This Row],[activating_chance]]/100),0)</f>
        <v>15</v>
      </c>
      <c r="EJ5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57">
        <v>2</v>
      </c>
      <c r="EL57">
        <v>3</v>
      </c>
      <c r="EM57" t="b">
        <v>0</v>
      </c>
      <c r="EO57" t="s">
        <v>7345</v>
      </c>
      <c r="EP57">
        <v>2</v>
      </c>
      <c r="EQ57">
        <v>60</v>
      </c>
      <c r="ER57">
        <v>100</v>
      </c>
      <c r="ES57" s="75">
        <f ca="1">INDIRECT(ADDRESS(11+(MATCH(RIGHT(Table182023[[#This Row],[spawner_sku]],LEN(Table182023[[#This Row],[spawner_sku]])-FIND("/",Table182023[[#This Row],[spawner_sku]])),Table1[Entity Prefab],0)),10,1,1,"Entities"))</f>
        <v>143</v>
      </c>
      <c r="ET57" s="75">
        <f ca="1">ROUND((Table182023[[#This Row],[XP]]*Table182023[[#This Row],[entity_spawned (AVG)]])*(Table182023[[#This Row],[activating_chance]]/100),0)</f>
        <v>286</v>
      </c>
      <c r="EU57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57" s="152">
        <v>1</v>
      </c>
      <c r="EW57" s="152">
        <v>3</v>
      </c>
      <c r="EX57" s="152" t="b">
        <v>0</v>
      </c>
      <c r="EZ57" t="s">
        <v>7344</v>
      </c>
      <c r="FA57">
        <v>1</v>
      </c>
      <c r="FB57">
        <v>90</v>
      </c>
      <c r="FC57">
        <v>100</v>
      </c>
      <c r="FD57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57" s="75">
        <f ca="1">ROUND((Table18202324[[#This Row],[XP]]*Table18202324[[#This Row],[entity_spawned (AVG)]])*(Table18202324[[#This Row],[activating_chance]]/100),0)</f>
        <v>25</v>
      </c>
      <c r="FF57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57">
        <v>1</v>
      </c>
      <c r="FH57">
        <v>1</v>
      </c>
      <c r="FI57" t="b">
        <v>0</v>
      </c>
    </row>
    <row r="58" spans="2:165" x14ac:dyDescent="0.25">
      <c r="B58" s="73" t="s">
        <v>228</v>
      </c>
      <c r="C58">
        <v>1.5</v>
      </c>
      <c r="D58">
        <v>110</v>
      </c>
      <c r="E58">
        <v>100</v>
      </c>
      <c r="F58" s="75">
        <f ca="1">INDIRECT(ADDRESS(11+(MATCH(RIGHT(Table245[[#This Row],[spawner_sku]],LEN(Table245[[#This Row],[spawner_sku]])-FIND("/",Table245[[#This Row],[spawner_sku]])),Table1[Entity Prefab],0)),10,1,1,"Entities"))</f>
        <v>25</v>
      </c>
      <c r="G58" s="75">
        <f ca="1">ROUND((Table245[[#This Row],[XP]]*Table245[[#This Row],[entity_spawned (AVG)]])*(Table245[[#This Row],[activating_chance]]/100),0)</f>
        <v>38</v>
      </c>
      <c r="H5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" s="72">
        <v>1</v>
      </c>
      <c r="J58" s="72">
        <v>2</v>
      </c>
      <c r="K58" s="72" t="b">
        <v>0</v>
      </c>
      <c r="M58" t="s">
        <v>228</v>
      </c>
      <c r="N58">
        <v>1.5</v>
      </c>
      <c r="O58">
        <v>80</v>
      </c>
      <c r="P58">
        <v>30</v>
      </c>
      <c r="Q58" s="75">
        <f ca="1">INDIRECT(ADDRESS(11+(MATCH(RIGHT(Table3[[#This Row],[spawner_sku]],LEN(Table3[[#This Row],[spawner_sku]])-FIND("/",Table3[[#This Row],[spawner_sku]])),Table1[Entity Prefab],0)),10,1,1,"Entities"))</f>
        <v>25</v>
      </c>
      <c r="R58" s="75">
        <f ca="1">ROUND((Table3[[#This Row],[XP]]*Table3[[#This Row],[entity_spawned (AVG)]])*(Table3[[#This Row],[activating_chance]]/100),0)</f>
        <v>11</v>
      </c>
      <c r="S58" t="str">
        <f ca="1">INDIRECT(ADDRESS(11+(MATCH(RIGHT(Table3[[#This Row],[spawner_sku]],LEN(Table3[[#This Row],[spawner_sku]])-FIND("/",Table3[[#This Row],[spawner_sku]])),Table28[Entity Prefab],0)),24,1,1,"Entities"))</f>
        <v>no</v>
      </c>
      <c r="T58">
        <v>1</v>
      </c>
      <c r="U58">
        <v>2</v>
      </c>
      <c r="V58" t="b">
        <v>0</v>
      </c>
      <c r="W58" s="72"/>
      <c r="X58" t="s">
        <v>445</v>
      </c>
      <c r="Y58">
        <v>1</v>
      </c>
      <c r="Z58">
        <v>180</v>
      </c>
      <c r="AA58">
        <v>100</v>
      </c>
      <c r="AB58" s="75">
        <f ca="1">INDIRECT(ADDRESS(11+(MATCH(RIGHT(Table39[[#This Row],[spawner_sku]],LEN(Table39[[#This Row],[spawner_sku]])-FIND("/",Table39[[#This Row],[spawner_sku]])),Table1[Entity Prefab],0)),10,1,1,"Entities"))</f>
        <v>0</v>
      </c>
      <c r="AC58" s="75">
        <f ca="1">ROUND((Table39[[#This Row],[XP]]*Table39[[#This Row],[entity_spawned (AVG)]])*(Table39[[#This Row],[activating_chance]]/100),0)</f>
        <v>0</v>
      </c>
      <c r="AD58" t="str">
        <f ca="1">INDIRECT(ADDRESS(11+(MATCH(RIGHT(Table39[[#This Row],[spawner_sku]],LEN(Table39[[#This Row],[spawner_sku]])-FIND("/",Table39[[#This Row],[spawner_sku]])),Table28[Entity Prefab],0)),24,1,1,"Entities"))</f>
        <v>yes</v>
      </c>
      <c r="AE58">
        <v>1</v>
      </c>
      <c r="AF58">
        <v>1</v>
      </c>
      <c r="AG58" t="b">
        <v>0</v>
      </c>
      <c r="AI58" t="s">
        <v>228</v>
      </c>
      <c r="AJ58">
        <v>1</v>
      </c>
      <c r="AK58">
        <v>120</v>
      </c>
      <c r="AL58">
        <v>100</v>
      </c>
      <c r="AM58" s="75">
        <f ca="1">INDIRECT(ADDRESS(11+(MATCH(RIGHT(Table2[[#This Row],[spawner_sku]],LEN(Table2[[#This Row],[spawner_sku]])-FIND("/",Table2[[#This Row],[spawner_sku]])),Table1[Entity Prefab],0)),10,1,1,"Entities"))</f>
        <v>25</v>
      </c>
      <c r="AN58" s="75">
        <f ca="1">ROUND((Table2[[#This Row],[XP]]*Table2[[#This Row],[entity_spawned (AVG)]])*(Table2[[#This Row],[activating_chance]]/100),0)</f>
        <v>25</v>
      </c>
      <c r="AO5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58" s="72">
        <v>1</v>
      </c>
      <c r="AQ58" s="72">
        <v>1</v>
      </c>
      <c r="AR58" s="72" t="b">
        <v>0</v>
      </c>
      <c r="AT58" t="s">
        <v>395</v>
      </c>
      <c r="AU58">
        <v>10</v>
      </c>
      <c r="AV58">
        <v>200</v>
      </c>
      <c r="AW58">
        <v>100</v>
      </c>
      <c r="AX58" s="75">
        <f ca="1">INDIRECT(ADDRESS(11+(MATCH(RIGHT(Table6[[#This Row],[spawner_sku]],LEN(Table6[[#This Row],[spawner_sku]])-FIND("/",Table6[[#This Row],[spawner_sku]])),Table1[Entity Prefab],0)),10,1,1,"Entities"))</f>
        <v>25</v>
      </c>
      <c r="AY58" s="75">
        <f ca="1">ROUND((Table6[[#This Row],[XP]]*Table6[[#This Row],[entity_spawned (AVG)]])*(Table6[[#This Row],[activating_chance]]/100),0)</f>
        <v>250</v>
      </c>
      <c r="AZ58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58">
        <v>8</v>
      </c>
      <c r="BB58">
        <v>12</v>
      </c>
      <c r="BC58" t="b">
        <v>1</v>
      </c>
      <c r="BE58" t="s">
        <v>395</v>
      </c>
      <c r="BF58">
        <v>6</v>
      </c>
      <c r="BG58">
        <v>220</v>
      </c>
      <c r="BH58">
        <v>100</v>
      </c>
      <c r="BI58" s="75">
        <f ca="1">INDIRECT(ADDRESS(11+(MATCH(RIGHT(Table610[[#This Row],[spawner_sku]],LEN(Table610[[#This Row],[spawner_sku]])-FIND("/",Table610[[#This Row],[spawner_sku]])),Table1[Entity Prefab],0)),10,1,1,"Entities"))</f>
        <v>25</v>
      </c>
      <c r="BJ58" s="75">
        <f ca="1">ROUND((Table610[[#This Row],[XP]]*Table610[[#This Row],[entity_spawned (AVG)]])*(Table610[[#This Row],[activating_chance]]/100),0)</f>
        <v>150</v>
      </c>
      <c r="BK58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8">
        <v>5</v>
      </c>
      <c r="BM58">
        <v>7</v>
      </c>
      <c r="BN58" t="b">
        <v>1</v>
      </c>
      <c r="BP58" t="s">
        <v>228</v>
      </c>
      <c r="BQ58">
        <v>5</v>
      </c>
      <c r="BR58">
        <v>200</v>
      </c>
      <c r="BS58">
        <v>100</v>
      </c>
      <c r="BT5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58" s="75">
        <f ca="1">ROUND((Table61011[[#This Row],[XP]]*Table61011[[#This Row],[entity_spawned (AVG)]])*(Table61011[[#This Row],[activating_chance]]/100),0)</f>
        <v>125</v>
      </c>
      <c r="BV5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8" s="72">
        <v>5</v>
      </c>
      <c r="BX58" s="72">
        <v>5</v>
      </c>
      <c r="BY58" s="72" t="b">
        <v>1</v>
      </c>
      <c r="CA58" t="s">
        <v>228</v>
      </c>
      <c r="CB58">
        <v>7</v>
      </c>
      <c r="CC58">
        <v>180</v>
      </c>
      <c r="CD58">
        <v>30</v>
      </c>
      <c r="CE58" s="75">
        <f ca="1">INDIRECT(ADDRESS(11+(MATCH(RIGHT(Table11[[#This Row],[spawner_sku]],LEN(Table11[[#This Row],[spawner_sku]])-FIND("/",Table11[[#This Row],[spawner_sku]])),Table1[Entity Prefab],0)),10,1,1,"Entities"))</f>
        <v>25</v>
      </c>
      <c r="CF58">
        <f ca="1">ROUND((Table11[[#This Row],[XP]]*Table11[[#This Row],[entity_spawned (AVG)]])*(Table11[[#This Row],[activating_chance]]/100),0)</f>
        <v>53</v>
      </c>
      <c r="CG58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58" s="72">
        <v>6</v>
      </c>
      <c r="CI58" s="72">
        <v>8</v>
      </c>
      <c r="CJ58" s="72" t="b">
        <v>1</v>
      </c>
      <c r="CL58" t="s">
        <v>240</v>
      </c>
      <c r="CM58">
        <v>1</v>
      </c>
      <c r="CN58">
        <v>2000</v>
      </c>
      <c r="CO58">
        <v>100</v>
      </c>
      <c r="CP58" s="75">
        <f ca="1">INDIRECT(ADDRESS(11+(MATCH(RIGHT(Table12[[#This Row],[spawner_sku]],LEN(Table12[[#This Row],[spawner_sku]])-FIND("/",Table12[[#This Row],[spawner_sku]])),Table1[Entity Prefab],0)),10,1,1,"Entities"))</f>
        <v>175</v>
      </c>
      <c r="CQ58" s="75">
        <f ca="1">ROUND((Table12[[#This Row],[XP]]*Table12[[#This Row],[entity_spawned (AVG)]])*(Table12[[#This Row],[activating_chance]]/100),0)</f>
        <v>175</v>
      </c>
      <c r="CR58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58" s="72">
        <v>1</v>
      </c>
      <c r="CT58" s="72">
        <v>1</v>
      </c>
      <c r="CU58" s="72" t="b">
        <v>0</v>
      </c>
      <c r="CW58" t="s">
        <v>231</v>
      </c>
      <c r="CX58">
        <v>1</v>
      </c>
      <c r="CY58">
        <v>5000</v>
      </c>
      <c r="CZ58">
        <v>75</v>
      </c>
      <c r="DA58" s="75">
        <f ca="1">INDIRECT(ADDRESS(11+(MATCH(RIGHT(Table13[[#This Row],[spawner_sku]],LEN(Table13[[#This Row],[spawner_sku]])-FIND("/",Table13[[#This Row],[spawner_sku]])),Table1[Entity Prefab],0)),10,1,1,"Entities"))</f>
        <v>75</v>
      </c>
      <c r="DB58" s="75">
        <f ca="1">ROUND((Table13[[#This Row],[XP]]*Table13[[#This Row],[entity_spawned (AVG)]])*(Table13[[#This Row],[activating_chance]]/100),0)</f>
        <v>56</v>
      </c>
      <c r="DC58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58" s="72">
        <v>1</v>
      </c>
      <c r="DE58" s="72">
        <v>1</v>
      </c>
      <c r="DF58" s="72" t="b">
        <v>0</v>
      </c>
      <c r="DH58" t="s">
        <v>227</v>
      </c>
      <c r="DI58">
        <v>7</v>
      </c>
      <c r="DJ58">
        <v>180</v>
      </c>
      <c r="DK58">
        <v>100</v>
      </c>
      <c r="DL58" s="75">
        <f ca="1">INDIRECT(ADDRESS(11+(MATCH(RIGHT(Table14[[#This Row],[spawner_sku]],LEN(Table14[[#This Row],[spawner_sku]])-FIND("/",Table14[[#This Row],[spawner_sku]])),Table1[Entity Prefab],0)),10,1,1,"Entities"))</f>
        <v>25</v>
      </c>
      <c r="DM58" s="75">
        <f ca="1">ROUND((Table14[[#This Row],[XP]]*Table14[[#This Row],[entity_spawned (AVG)]])*(Table14[[#This Row],[activating_chance]]/100),0)</f>
        <v>175</v>
      </c>
      <c r="DN5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8" s="72">
        <v>6</v>
      </c>
      <c r="DP58" s="72">
        <v>8</v>
      </c>
      <c r="DQ58" s="72" t="b">
        <v>1</v>
      </c>
      <c r="DS58" t="s">
        <v>227</v>
      </c>
      <c r="DT58">
        <v>3</v>
      </c>
      <c r="DU58">
        <v>140</v>
      </c>
      <c r="DV58">
        <v>100</v>
      </c>
      <c r="DW58" s="75">
        <f ca="1">INDIRECT(ADDRESS(11+(MATCH(RIGHT(Table18[[#This Row],[spawner_sku]],LEN(Table18[[#This Row],[spawner_sku]])-FIND("/",Table18[[#This Row],[spawner_sku]])),Table1[Entity Prefab],0)),10,1,1,"Entities"))</f>
        <v>25</v>
      </c>
      <c r="DX58" s="75">
        <f ca="1">ROUND((Table18[[#This Row],[XP]]*Table18[[#This Row],[entity_spawned (AVG)]])*(Table18[[#This Row],[activating_chance]]/100),0)</f>
        <v>75</v>
      </c>
      <c r="DY5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58">
        <v>3</v>
      </c>
      <c r="EA58">
        <v>4</v>
      </c>
      <c r="EB58" t="b">
        <v>0</v>
      </c>
      <c r="ED58" t="s">
        <v>227</v>
      </c>
      <c r="EE58">
        <v>6</v>
      </c>
      <c r="EF58">
        <v>160</v>
      </c>
      <c r="EG58">
        <v>70</v>
      </c>
      <c r="EH58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58" s="75">
        <f ca="1">ROUND((Table1820[[#This Row],[XP]]*Table1820[[#This Row],[entity_spawned (AVG)]])*(Table1820[[#This Row],[activating_chance]]/100),0)</f>
        <v>105</v>
      </c>
      <c r="EJ5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58">
        <v>5</v>
      </c>
      <c r="EL58">
        <v>8</v>
      </c>
      <c r="EM58" t="b">
        <v>1</v>
      </c>
      <c r="EO58" t="s">
        <v>7345</v>
      </c>
      <c r="EP58">
        <v>1.5</v>
      </c>
      <c r="EQ58">
        <v>60</v>
      </c>
      <c r="ER58">
        <v>100</v>
      </c>
      <c r="ES58" s="75">
        <f ca="1">INDIRECT(ADDRESS(11+(MATCH(RIGHT(Table182023[[#This Row],[spawner_sku]],LEN(Table182023[[#This Row],[spawner_sku]])-FIND("/",Table182023[[#This Row],[spawner_sku]])),Table1[Entity Prefab],0)),10,1,1,"Entities"))</f>
        <v>143</v>
      </c>
      <c r="ET58" s="75">
        <f ca="1">ROUND((Table182023[[#This Row],[XP]]*Table182023[[#This Row],[entity_spawned (AVG)]])*(Table182023[[#This Row],[activating_chance]]/100),0)</f>
        <v>215</v>
      </c>
      <c r="EU58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58" s="152">
        <v>1</v>
      </c>
      <c r="EW58" s="152">
        <v>2</v>
      </c>
      <c r="EX58" s="152" t="b">
        <v>0</v>
      </c>
      <c r="EZ58" t="s">
        <v>7344</v>
      </c>
      <c r="FA58">
        <v>1</v>
      </c>
      <c r="FB58">
        <v>80</v>
      </c>
      <c r="FC58">
        <v>100</v>
      </c>
      <c r="FD58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58" s="75">
        <f ca="1">ROUND((Table18202324[[#This Row],[XP]]*Table18202324[[#This Row],[entity_spawned (AVG)]])*(Table18202324[[#This Row],[activating_chance]]/100),0)</f>
        <v>25</v>
      </c>
      <c r="FF58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58">
        <v>1</v>
      </c>
      <c r="FH58">
        <v>1</v>
      </c>
      <c r="FI58" t="b">
        <v>0</v>
      </c>
    </row>
    <row r="59" spans="2:165" x14ac:dyDescent="0.25">
      <c r="B59" s="73" t="s">
        <v>228</v>
      </c>
      <c r="C59">
        <v>1</v>
      </c>
      <c r="D59">
        <v>80</v>
      </c>
      <c r="E59">
        <v>80</v>
      </c>
      <c r="F59" s="75">
        <f ca="1">INDIRECT(ADDRESS(11+(MATCH(RIGHT(Table245[[#This Row],[spawner_sku]],LEN(Table245[[#This Row],[spawner_sku]])-FIND("/",Table245[[#This Row],[spawner_sku]])),Table1[Entity Prefab],0)),10,1,1,"Entities"))</f>
        <v>25</v>
      </c>
      <c r="G59" s="75">
        <f ca="1">ROUND((Table245[[#This Row],[XP]]*Table245[[#This Row],[entity_spawned (AVG)]])*(Table245[[#This Row],[activating_chance]]/100),0)</f>
        <v>20</v>
      </c>
      <c r="H5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" s="72">
        <v>1</v>
      </c>
      <c r="J59" s="72">
        <v>1</v>
      </c>
      <c r="K59" s="72" t="b">
        <v>0</v>
      </c>
      <c r="M59" t="s">
        <v>228</v>
      </c>
      <c r="N59">
        <v>3.5</v>
      </c>
      <c r="O59">
        <v>200</v>
      </c>
      <c r="P59">
        <v>100</v>
      </c>
      <c r="Q59" s="75">
        <f ca="1">INDIRECT(ADDRESS(11+(MATCH(RIGHT(Table3[[#This Row],[spawner_sku]],LEN(Table3[[#This Row],[spawner_sku]])-FIND("/",Table3[[#This Row],[spawner_sku]])),Table1[Entity Prefab],0)),10,1,1,"Entities"))</f>
        <v>25</v>
      </c>
      <c r="R59" s="75">
        <f ca="1">ROUND((Table3[[#This Row],[XP]]*Table3[[#This Row],[entity_spawned (AVG)]])*(Table3[[#This Row],[activating_chance]]/100),0)</f>
        <v>88</v>
      </c>
      <c r="S59" t="str">
        <f ca="1">INDIRECT(ADDRESS(11+(MATCH(RIGHT(Table3[[#This Row],[spawner_sku]],LEN(Table3[[#This Row],[spawner_sku]])-FIND("/",Table3[[#This Row],[spawner_sku]])),Table28[Entity Prefab],0)),24,1,1,"Entities"))</f>
        <v>no</v>
      </c>
      <c r="T59">
        <v>3</v>
      </c>
      <c r="U59">
        <v>4</v>
      </c>
      <c r="V59" t="b">
        <v>0</v>
      </c>
      <c r="W59" s="72"/>
      <c r="X59" t="s">
        <v>445</v>
      </c>
      <c r="Y59">
        <v>1</v>
      </c>
      <c r="Z59">
        <v>180</v>
      </c>
      <c r="AA59">
        <v>100</v>
      </c>
      <c r="AB59" s="75">
        <f ca="1">INDIRECT(ADDRESS(11+(MATCH(RIGHT(Table39[[#This Row],[spawner_sku]],LEN(Table39[[#This Row],[spawner_sku]])-FIND("/",Table39[[#This Row],[spawner_sku]])),Table1[Entity Prefab],0)),10,1,1,"Entities"))</f>
        <v>0</v>
      </c>
      <c r="AC59" s="75">
        <f ca="1">ROUND((Table39[[#This Row],[XP]]*Table39[[#This Row],[entity_spawned (AVG)]])*(Table39[[#This Row],[activating_chance]]/100),0)</f>
        <v>0</v>
      </c>
      <c r="AD59" t="str">
        <f ca="1">INDIRECT(ADDRESS(11+(MATCH(RIGHT(Table39[[#This Row],[spawner_sku]],LEN(Table39[[#This Row],[spawner_sku]])-FIND("/",Table39[[#This Row],[spawner_sku]])),Table28[Entity Prefab],0)),24,1,1,"Entities"))</f>
        <v>yes</v>
      </c>
      <c r="AE59">
        <v>1</v>
      </c>
      <c r="AF59">
        <v>1</v>
      </c>
      <c r="AG59" t="b">
        <v>0</v>
      </c>
      <c r="AI59" t="s">
        <v>228</v>
      </c>
      <c r="AJ59">
        <v>3.5</v>
      </c>
      <c r="AK59">
        <v>100</v>
      </c>
      <c r="AL59">
        <v>100</v>
      </c>
      <c r="AM59" s="75">
        <f ca="1">INDIRECT(ADDRESS(11+(MATCH(RIGHT(Table2[[#This Row],[spawner_sku]],LEN(Table2[[#This Row],[spawner_sku]])-FIND("/",Table2[[#This Row],[spawner_sku]])),Table1[Entity Prefab],0)),10,1,1,"Entities"))</f>
        <v>25</v>
      </c>
      <c r="AN59" s="75">
        <f ca="1">ROUND((Table2[[#This Row],[XP]]*Table2[[#This Row],[entity_spawned (AVG)]])*(Table2[[#This Row],[activating_chance]]/100),0)</f>
        <v>88</v>
      </c>
      <c r="AO5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59" s="72">
        <v>3</v>
      </c>
      <c r="AQ59" s="72">
        <v>4</v>
      </c>
      <c r="AR59" s="72" t="b">
        <v>0</v>
      </c>
      <c r="AT59" t="s">
        <v>395</v>
      </c>
      <c r="AU59">
        <v>3.5</v>
      </c>
      <c r="AV59">
        <v>200</v>
      </c>
      <c r="AW59">
        <v>100</v>
      </c>
      <c r="AX59" s="75">
        <f ca="1">INDIRECT(ADDRESS(11+(MATCH(RIGHT(Table6[[#This Row],[spawner_sku]],LEN(Table6[[#This Row],[spawner_sku]])-FIND("/",Table6[[#This Row],[spawner_sku]])),Table1[Entity Prefab],0)),10,1,1,"Entities"))</f>
        <v>25</v>
      </c>
      <c r="AY59" s="75">
        <f ca="1">ROUND((Table6[[#This Row],[XP]]*Table6[[#This Row],[entity_spawned (AVG)]])*(Table6[[#This Row],[activating_chance]]/100),0)</f>
        <v>88</v>
      </c>
      <c r="AZ59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59">
        <v>3</v>
      </c>
      <c r="BB59">
        <v>4</v>
      </c>
      <c r="BC59" t="b">
        <v>0</v>
      </c>
      <c r="BE59" t="s">
        <v>395</v>
      </c>
      <c r="BF59">
        <v>3.5</v>
      </c>
      <c r="BG59">
        <v>200</v>
      </c>
      <c r="BH59">
        <v>100</v>
      </c>
      <c r="BI59" s="75">
        <f ca="1">INDIRECT(ADDRESS(11+(MATCH(RIGHT(Table610[[#This Row],[spawner_sku]],LEN(Table610[[#This Row],[spawner_sku]])-FIND("/",Table610[[#This Row],[spawner_sku]])),Table1[Entity Prefab],0)),10,1,1,"Entities"))</f>
        <v>25</v>
      </c>
      <c r="BJ59" s="75">
        <f ca="1">ROUND((Table610[[#This Row],[XP]]*Table610[[#This Row],[entity_spawned (AVG)]])*(Table610[[#This Row],[activating_chance]]/100),0)</f>
        <v>88</v>
      </c>
      <c r="BK59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9">
        <v>3</v>
      </c>
      <c r="BM59">
        <v>4</v>
      </c>
      <c r="BN59" t="b">
        <v>0</v>
      </c>
      <c r="BP59" t="s">
        <v>228</v>
      </c>
      <c r="BQ59">
        <v>5</v>
      </c>
      <c r="BR59">
        <v>200</v>
      </c>
      <c r="BS59">
        <v>100</v>
      </c>
      <c r="BT5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59" s="75">
        <f ca="1">ROUND((Table61011[[#This Row],[XP]]*Table61011[[#This Row],[entity_spawned (AVG)]])*(Table61011[[#This Row],[activating_chance]]/100),0)</f>
        <v>125</v>
      </c>
      <c r="BV5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9" s="72">
        <v>5</v>
      </c>
      <c r="BX59" s="72">
        <v>5</v>
      </c>
      <c r="BY59" s="72" t="b">
        <v>1</v>
      </c>
      <c r="CA59" t="s">
        <v>228</v>
      </c>
      <c r="CB59">
        <v>2.5</v>
      </c>
      <c r="CC59">
        <v>180</v>
      </c>
      <c r="CD59">
        <v>100</v>
      </c>
      <c r="CE59" s="75">
        <f ca="1">INDIRECT(ADDRESS(11+(MATCH(RIGHT(Table11[[#This Row],[spawner_sku]],LEN(Table11[[#This Row],[spawner_sku]])-FIND("/",Table11[[#This Row],[spawner_sku]])),Table1[Entity Prefab],0)),10,1,1,"Entities"))</f>
        <v>25</v>
      </c>
      <c r="CF59">
        <f ca="1">ROUND((Table11[[#This Row],[XP]]*Table11[[#This Row],[entity_spawned (AVG)]])*(Table11[[#This Row],[activating_chance]]/100),0)</f>
        <v>63</v>
      </c>
      <c r="CG59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59" s="72">
        <v>1</v>
      </c>
      <c r="CI59" s="72">
        <v>4</v>
      </c>
      <c r="CJ59" s="72" t="b">
        <v>0</v>
      </c>
      <c r="CL59" t="s">
        <v>240</v>
      </c>
      <c r="CM59">
        <v>1</v>
      </c>
      <c r="CN59">
        <v>2000</v>
      </c>
      <c r="CO59">
        <v>30</v>
      </c>
      <c r="CP59" s="75">
        <f ca="1">INDIRECT(ADDRESS(11+(MATCH(RIGHT(Table12[[#This Row],[spawner_sku]],LEN(Table12[[#This Row],[spawner_sku]])-FIND("/",Table12[[#This Row],[spawner_sku]])),Table1[Entity Prefab],0)),10,1,1,"Entities"))</f>
        <v>175</v>
      </c>
      <c r="CQ59" s="75">
        <f ca="1">ROUND((Table12[[#This Row],[XP]]*Table12[[#This Row],[entity_spawned (AVG)]])*(Table12[[#This Row],[activating_chance]]/100),0)</f>
        <v>53</v>
      </c>
      <c r="CR59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59" s="72">
        <v>1</v>
      </c>
      <c r="CT59" s="72">
        <v>1</v>
      </c>
      <c r="CU59" s="72" t="b">
        <v>0</v>
      </c>
      <c r="CW59" t="s">
        <v>232</v>
      </c>
      <c r="CX59">
        <v>1</v>
      </c>
      <c r="CY59">
        <v>250</v>
      </c>
      <c r="CZ59">
        <v>100</v>
      </c>
      <c r="DA59" s="75">
        <f ca="1">INDIRECT(ADDRESS(11+(MATCH(RIGHT(Table13[[#This Row],[spawner_sku]],LEN(Table13[[#This Row],[spawner_sku]])-FIND("/",Table13[[#This Row],[spawner_sku]])),Table1[Entity Prefab],0)),10,1,1,"Entities"))</f>
        <v>143</v>
      </c>
      <c r="DB59" s="75">
        <f ca="1">ROUND((Table13[[#This Row],[XP]]*Table13[[#This Row],[entity_spawned (AVG)]])*(Table13[[#This Row],[activating_chance]]/100),0)</f>
        <v>143</v>
      </c>
      <c r="DC59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59" s="72">
        <v>1</v>
      </c>
      <c r="DE59" s="72">
        <v>1</v>
      </c>
      <c r="DF59" s="72" t="b">
        <v>0</v>
      </c>
      <c r="DH59" t="s">
        <v>227</v>
      </c>
      <c r="DI59">
        <v>9</v>
      </c>
      <c r="DJ59">
        <v>200</v>
      </c>
      <c r="DK59">
        <v>100</v>
      </c>
      <c r="DL59" s="75">
        <f ca="1">INDIRECT(ADDRESS(11+(MATCH(RIGHT(Table14[[#This Row],[spawner_sku]],LEN(Table14[[#This Row],[spawner_sku]])-FIND("/",Table14[[#This Row],[spawner_sku]])),Table1[Entity Prefab],0)),10,1,1,"Entities"))</f>
        <v>25</v>
      </c>
      <c r="DM59" s="75">
        <f ca="1">ROUND((Table14[[#This Row],[XP]]*Table14[[#This Row],[entity_spawned (AVG)]])*(Table14[[#This Row],[activating_chance]]/100),0)</f>
        <v>225</v>
      </c>
      <c r="DN5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9" s="72">
        <v>8</v>
      </c>
      <c r="DP59" s="72">
        <v>10</v>
      </c>
      <c r="DQ59" s="72" t="b">
        <v>1</v>
      </c>
      <c r="DS59" t="s">
        <v>227</v>
      </c>
      <c r="DT59">
        <v>7</v>
      </c>
      <c r="DU59">
        <v>160</v>
      </c>
      <c r="DV59">
        <v>100</v>
      </c>
      <c r="DW59" s="75">
        <f ca="1">INDIRECT(ADDRESS(11+(MATCH(RIGHT(Table18[[#This Row],[spawner_sku]],LEN(Table18[[#This Row],[spawner_sku]])-FIND("/",Table18[[#This Row],[spawner_sku]])),Table1[Entity Prefab],0)),10,1,1,"Entities"))</f>
        <v>25</v>
      </c>
      <c r="DX59" s="75">
        <f ca="1">ROUND((Table18[[#This Row],[XP]]*Table18[[#This Row],[entity_spawned (AVG)]])*(Table18[[#This Row],[activating_chance]]/100),0)</f>
        <v>175</v>
      </c>
      <c r="DY5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59">
        <v>6</v>
      </c>
      <c r="EA59">
        <v>8</v>
      </c>
      <c r="EB59" t="b">
        <v>1</v>
      </c>
      <c r="ED59" t="s">
        <v>227</v>
      </c>
      <c r="EE59">
        <v>3</v>
      </c>
      <c r="EF59">
        <v>140</v>
      </c>
      <c r="EG59">
        <v>100</v>
      </c>
      <c r="EH5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59" s="75">
        <f ca="1">ROUND((Table1820[[#This Row],[XP]]*Table1820[[#This Row],[entity_spawned (AVG)]])*(Table1820[[#This Row],[activating_chance]]/100),0)</f>
        <v>75</v>
      </c>
      <c r="EJ5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59">
        <v>2</v>
      </c>
      <c r="EL59">
        <v>4</v>
      </c>
      <c r="EM59" t="b">
        <v>0</v>
      </c>
      <c r="EO59" t="s">
        <v>7345</v>
      </c>
      <c r="EP59">
        <v>1.5</v>
      </c>
      <c r="EQ59">
        <v>60</v>
      </c>
      <c r="ER59">
        <v>100</v>
      </c>
      <c r="ES59" s="75">
        <f ca="1">INDIRECT(ADDRESS(11+(MATCH(RIGHT(Table182023[[#This Row],[spawner_sku]],LEN(Table182023[[#This Row],[spawner_sku]])-FIND("/",Table182023[[#This Row],[spawner_sku]])),Table1[Entity Prefab],0)),10,1,1,"Entities"))</f>
        <v>143</v>
      </c>
      <c r="ET59" s="75">
        <f ca="1">ROUND((Table182023[[#This Row],[XP]]*Table182023[[#This Row],[entity_spawned (AVG)]])*(Table182023[[#This Row],[activating_chance]]/100),0)</f>
        <v>215</v>
      </c>
      <c r="EU59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59" s="152">
        <v>1</v>
      </c>
      <c r="EW59" s="152">
        <v>2</v>
      </c>
      <c r="EX59" s="152" t="b">
        <v>0</v>
      </c>
      <c r="EZ59" t="s">
        <v>7344</v>
      </c>
      <c r="FA59">
        <v>1</v>
      </c>
      <c r="FB59">
        <v>90</v>
      </c>
      <c r="FC59">
        <v>100</v>
      </c>
      <c r="FD59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59" s="75">
        <f ca="1">ROUND((Table18202324[[#This Row],[XP]]*Table18202324[[#This Row],[entity_spawned (AVG)]])*(Table18202324[[#This Row],[activating_chance]]/100),0)</f>
        <v>25</v>
      </c>
      <c r="FF59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59">
        <v>1</v>
      </c>
      <c r="FH59">
        <v>1</v>
      </c>
      <c r="FI59" t="b">
        <v>0</v>
      </c>
    </row>
    <row r="60" spans="2:165" x14ac:dyDescent="0.25">
      <c r="B60" s="73" t="s">
        <v>228</v>
      </c>
      <c r="C60">
        <v>3</v>
      </c>
      <c r="D60">
        <v>160</v>
      </c>
      <c r="E60">
        <v>100</v>
      </c>
      <c r="F60" s="75">
        <f ca="1">INDIRECT(ADDRESS(11+(MATCH(RIGHT(Table245[[#This Row],[spawner_sku]],LEN(Table245[[#This Row],[spawner_sku]])-FIND("/",Table245[[#This Row],[spawner_sku]])),Table1[Entity Prefab],0)),10,1,1,"Entities"))</f>
        <v>25</v>
      </c>
      <c r="G60" s="75">
        <f ca="1">ROUND((Table245[[#This Row],[XP]]*Table245[[#This Row],[entity_spawned (AVG)]])*(Table245[[#This Row],[activating_chance]]/100),0)</f>
        <v>75</v>
      </c>
      <c r="H6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" s="72">
        <v>2</v>
      </c>
      <c r="J60" s="72">
        <v>4</v>
      </c>
      <c r="K60" s="72" t="b">
        <v>0</v>
      </c>
      <c r="M60" t="s">
        <v>228</v>
      </c>
      <c r="N60">
        <v>1</v>
      </c>
      <c r="O60">
        <v>80</v>
      </c>
      <c r="P60">
        <v>80</v>
      </c>
      <c r="Q60" s="75">
        <f ca="1">INDIRECT(ADDRESS(11+(MATCH(RIGHT(Table3[[#This Row],[spawner_sku]],LEN(Table3[[#This Row],[spawner_sku]])-FIND("/",Table3[[#This Row],[spawner_sku]])),Table1[Entity Prefab],0)),10,1,1,"Entities"))</f>
        <v>25</v>
      </c>
      <c r="R60" s="75">
        <f ca="1">ROUND((Table3[[#This Row],[XP]]*Table3[[#This Row],[entity_spawned (AVG)]])*(Table3[[#This Row],[activating_chance]]/100),0)</f>
        <v>20</v>
      </c>
      <c r="S60" t="str">
        <f ca="1">INDIRECT(ADDRESS(11+(MATCH(RIGHT(Table3[[#This Row],[spawner_sku]],LEN(Table3[[#This Row],[spawner_sku]])-FIND("/",Table3[[#This Row],[spawner_sku]])),Table28[Entity Prefab],0)),24,1,1,"Entities"))</f>
        <v>no</v>
      </c>
      <c r="T60">
        <v>1</v>
      </c>
      <c r="U60">
        <v>1</v>
      </c>
      <c r="V60" t="b">
        <v>0</v>
      </c>
      <c r="W60" s="72"/>
      <c r="X60" t="s">
        <v>445</v>
      </c>
      <c r="Y60">
        <v>1</v>
      </c>
      <c r="Z60">
        <v>180</v>
      </c>
      <c r="AA60">
        <v>100</v>
      </c>
      <c r="AB60" s="75">
        <f ca="1">INDIRECT(ADDRESS(11+(MATCH(RIGHT(Table39[[#This Row],[spawner_sku]],LEN(Table39[[#This Row],[spawner_sku]])-FIND("/",Table39[[#This Row],[spawner_sku]])),Table1[Entity Prefab],0)),10,1,1,"Entities"))</f>
        <v>0</v>
      </c>
      <c r="AC60" s="75">
        <f ca="1">ROUND((Table39[[#This Row],[XP]]*Table39[[#This Row],[entity_spawned (AVG)]])*(Table39[[#This Row],[activating_chance]]/100),0)</f>
        <v>0</v>
      </c>
      <c r="AD60" t="str">
        <f ca="1">INDIRECT(ADDRESS(11+(MATCH(RIGHT(Table39[[#This Row],[spawner_sku]],LEN(Table39[[#This Row],[spawner_sku]])-FIND("/",Table39[[#This Row],[spawner_sku]])),Table28[Entity Prefab],0)),24,1,1,"Entities"))</f>
        <v>yes</v>
      </c>
      <c r="AE60">
        <v>1</v>
      </c>
      <c r="AF60">
        <v>1</v>
      </c>
      <c r="AG60" t="b">
        <v>0</v>
      </c>
      <c r="AI60" t="s">
        <v>228</v>
      </c>
      <c r="AJ60">
        <v>2</v>
      </c>
      <c r="AK60">
        <v>120</v>
      </c>
      <c r="AL60">
        <v>100</v>
      </c>
      <c r="AM60" s="75">
        <f ca="1">INDIRECT(ADDRESS(11+(MATCH(RIGHT(Table2[[#This Row],[spawner_sku]],LEN(Table2[[#This Row],[spawner_sku]])-FIND("/",Table2[[#This Row],[spawner_sku]])),Table1[Entity Prefab],0)),10,1,1,"Entities"))</f>
        <v>25</v>
      </c>
      <c r="AN60" s="75">
        <f ca="1">ROUND((Table2[[#This Row],[XP]]*Table2[[#This Row],[entity_spawned (AVG)]])*(Table2[[#This Row],[activating_chance]]/100),0)</f>
        <v>50</v>
      </c>
      <c r="AO6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60" s="72">
        <v>1</v>
      </c>
      <c r="AQ60" s="72">
        <v>3</v>
      </c>
      <c r="AR60" s="72" t="b">
        <v>0</v>
      </c>
      <c r="AT60" t="s">
        <v>395</v>
      </c>
      <c r="AU60">
        <v>6</v>
      </c>
      <c r="AV60">
        <v>200</v>
      </c>
      <c r="AW60">
        <v>100</v>
      </c>
      <c r="AX60" s="75">
        <f ca="1">INDIRECT(ADDRESS(11+(MATCH(RIGHT(Table6[[#This Row],[spawner_sku]],LEN(Table6[[#This Row],[spawner_sku]])-FIND("/",Table6[[#This Row],[spawner_sku]])),Table1[Entity Prefab],0)),10,1,1,"Entities"))</f>
        <v>25</v>
      </c>
      <c r="AY60" s="75">
        <f ca="1">ROUND((Table6[[#This Row],[XP]]*Table6[[#This Row],[entity_spawned (AVG)]])*(Table6[[#This Row],[activating_chance]]/100),0)</f>
        <v>150</v>
      </c>
      <c r="AZ60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60">
        <v>5</v>
      </c>
      <c r="BB60">
        <v>7</v>
      </c>
      <c r="BC60" t="b">
        <v>1</v>
      </c>
      <c r="BE60" t="s">
        <v>395</v>
      </c>
      <c r="BF60">
        <v>6</v>
      </c>
      <c r="BG60">
        <v>220</v>
      </c>
      <c r="BH60">
        <v>100</v>
      </c>
      <c r="BI60" s="75">
        <f ca="1">INDIRECT(ADDRESS(11+(MATCH(RIGHT(Table610[[#This Row],[spawner_sku]],LEN(Table610[[#This Row],[spawner_sku]])-FIND("/",Table610[[#This Row],[spawner_sku]])),Table1[Entity Prefab],0)),10,1,1,"Entities"))</f>
        <v>25</v>
      </c>
      <c r="BJ60" s="75">
        <f ca="1">ROUND((Table610[[#This Row],[XP]]*Table610[[#This Row],[entity_spawned (AVG)]])*(Table610[[#This Row],[activating_chance]]/100),0)</f>
        <v>150</v>
      </c>
      <c r="BK60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60">
        <v>5</v>
      </c>
      <c r="BM60">
        <v>7</v>
      </c>
      <c r="BN60" t="b">
        <v>1</v>
      </c>
      <c r="BP60" t="s">
        <v>228</v>
      </c>
      <c r="BQ60">
        <v>6.5</v>
      </c>
      <c r="BR60">
        <v>210</v>
      </c>
      <c r="BS60">
        <v>100</v>
      </c>
      <c r="BT6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60" s="75">
        <f ca="1">ROUND((Table61011[[#This Row],[XP]]*Table61011[[#This Row],[entity_spawned (AVG)]])*(Table61011[[#This Row],[activating_chance]]/100),0)</f>
        <v>163</v>
      </c>
      <c r="BV6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0" s="72">
        <v>5</v>
      </c>
      <c r="BX60" s="72">
        <v>8</v>
      </c>
      <c r="BY60" s="72" t="b">
        <v>1</v>
      </c>
      <c r="CA60" t="s">
        <v>228</v>
      </c>
      <c r="CB60">
        <v>2</v>
      </c>
      <c r="CC60">
        <v>180</v>
      </c>
      <c r="CD60">
        <v>100</v>
      </c>
      <c r="CE60" s="75">
        <f ca="1">INDIRECT(ADDRESS(11+(MATCH(RIGHT(Table11[[#This Row],[spawner_sku]],LEN(Table11[[#This Row],[spawner_sku]])-FIND("/",Table11[[#This Row],[spawner_sku]])),Table1[Entity Prefab],0)),10,1,1,"Entities"))</f>
        <v>25</v>
      </c>
      <c r="CF60">
        <f ca="1">ROUND((Table11[[#This Row],[XP]]*Table11[[#This Row],[entity_spawned (AVG)]])*(Table11[[#This Row],[activating_chance]]/100),0)</f>
        <v>50</v>
      </c>
      <c r="CG60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60" s="72">
        <v>2</v>
      </c>
      <c r="CI60" s="72">
        <v>2</v>
      </c>
      <c r="CJ60" s="72" t="b">
        <v>0</v>
      </c>
      <c r="CL60" t="s">
        <v>242</v>
      </c>
      <c r="CM60">
        <v>1</v>
      </c>
      <c r="CN60">
        <v>1500</v>
      </c>
      <c r="CO60">
        <v>80</v>
      </c>
      <c r="CP60" s="75">
        <f ca="1">INDIRECT(ADDRESS(11+(MATCH(RIGHT(Table12[[#This Row],[spawner_sku]],LEN(Table12[[#This Row],[spawner_sku]])-FIND("/",Table12[[#This Row],[spawner_sku]])),Table1[Entity Prefab],0)),10,1,1,"Entities"))</f>
        <v>130</v>
      </c>
      <c r="CQ60" s="75">
        <f ca="1">ROUND((Table12[[#This Row],[XP]]*Table12[[#This Row],[entity_spawned (AVG)]])*(Table12[[#This Row],[activating_chance]]/100),0)</f>
        <v>104</v>
      </c>
      <c r="CR60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60" s="72">
        <v>1</v>
      </c>
      <c r="CT60" s="72">
        <v>1</v>
      </c>
      <c r="CU60" s="72" t="b">
        <v>0</v>
      </c>
      <c r="CW60" t="s">
        <v>232</v>
      </c>
      <c r="CX60">
        <v>1</v>
      </c>
      <c r="CY60">
        <v>250</v>
      </c>
      <c r="CZ60">
        <v>100</v>
      </c>
      <c r="DA60" s="75">
        <f ca="1">INDIRECT(ADDRESS(11+(MATCH(RIGHT(Table13[[#This Row],[spawner_sku]],LEN(Table13[[#This Row],[spawner_sku]])-FIND("/",Table13[[#This Row],[spawner_sku]])),Table1[Entity Prefab],0)),10,1,1,"Entities"))</f>
        <v>143</v>
      </c>
      <c r="DB60" s="75">
        <f ca="1">ROUND((Table13[[#This Row],[XP]]*Table13[[#This Row],[entity_spawned (AVG)]])*(Table13[[#This Row],[activating_chance]]/100),0)</f>
        <v>143</v>
      </c>
      <c r="DC60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60" s="72">
        <v>1</v>
      </c>
      <c r="DE60" s="72">
        <v>1</v>
      </c>
      <c r="DF60" s="72" t="b">
        <v>0</v>
      </c>
      <c r="DH60" t="s">
        <v>227</v>
      </c>
      <c r="DI60">
        <v>3.5</v>
      </c>
      <c r="DJ60">
        <v>100</v>
      </c>
      <c r="DK60">
        <v>100</v>
      </c>
      <c r="DL60" s="75">
        <f ca="1">INDIRECT(ADDRESS(11+(MATCH(RIGHT(Table14[[#This Row],[spawner_sku]],LEN(Table14[[#This Row],[spawner_sku]])-FIND("/",Table14[[#This Row],[spawner_sku]])),Table1[Entity Prefab],0)),10,1,1,"Entities"))</f>
        <v>25</v>
      </c>
      <c r="DM60" s="75">
        <f ca="1">ROUND((Table14[[#This Row],[XP]]*Table14[[#This Row],[entity_spawned (AVG)]])*(Table14[[#This Row],[activating_chance]]/100),0)</f>
        <v>88</v>
      </c>
      <c r="DN6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60" s="72">
        <v>3</v>
      </c>
      <c r="DP60" s="72">
        <v>4</v>
      </c>
      <c r="DQ60" s="72" t="b">
        <v>0</v>
      </c>
      <c r="DS60" t="s">
        <v>227</v>
      </c>
      <c r="DT60">
        <v>3</v>
      </c>
      <c r="DU60">
        <v>140</v>
      </c>
      <c r="DV60">
        <v>100</v>
      </c>
      <c r="DW60" s="75">
        <f ca="1">INDIRECT(ADDRESS(11+(MATCH(RIGHT(Table18[[#This Row],[spawner_sku]],LEN(Table18[[#This Row],[spawner_sku]])-FIND("/",Table18[[#This Row],[spawner_sku]])),Table1[Entity Prefab],0)),10,1,1,"Entities"))</f>
        <v>25</v>
      </c>
      <c r="DX60" s="75">
        <f ca="1">ROUND((Table18[[#This Row],[XP]]*Table18[[#This Row],[entity_spawned (AVG)]])*(Table18[[#This Row],[activating_chance]]/100),0)</f>
        <v>75</v>
      </c>
      <c r="DY6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60">
        <v>2</v>
      </c>
      <c r="EA60">
        <v>4</v>
      </c>
      <c r="EB60" t="b">
        <v>0</v>
      </c>
      <c r="ED60" t="s">
        <v>227</v>
      </c>
      <c r="EE60">
        <v>2</v>
      </c>
      <c r="EF60">
        <v>140</v>
      </c>
      <c r="EG60">
        <v>100</v>
      </c>
      <c r="EH60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60" s="75">
        <f ca="1">ROUND((Table1820[[#This Row],[XP]]*Table1820[[#This Row],[entity_spawned (AVG)]])*(Table1820[[#This Row],[activating_chance]]/100),0)</f>
        <v>50</v>
      </c>
      <c r="EJ6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60">
        <v>2</v>
      </c>
      <c r="EL60">
        <v>3</v>
      </c>
      <c r="EM60" t="b">
        <v>0</v>
      </c>
      <c r="EO60" t="s">
        <v>7345</v>
      </c>
      <c r="EP60">
        <v>1.5</v>
      </c>
      <c r="EQ60">
        <v>60</v>
      </c>
      <c r="ER60">
        <v>100</v>
      </c>
      <c r="ES60" s="75">
        <f ca="1">INDIRECT(ADDRESS(11+(MATCH(RIGHT(Table182023[[#This Row],[spawner_sku]],LEN(Table182023[[#This Row],[spawner_sku]])-FIND("/",Table182023[[#This Row],[spawner_sku]])),Table1[Entity Prefab],0)),10,1,1,"Entities"))</f>
        <v>143</v>
      </c>
      <c r="ET60" s="75">
        <f ca="1">ROUND((Table182023[[#This Row],[XP]]*Table182023[[#This Row],[entity_spawned (AVG)]])*(Table182023[[#This Row],[activating_chance]]/100),0)</f>
        <v>215</v>
      </c>
      <c r="EU60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60" s="152">
        <v>1</v>
      </c>
      <c r="EW60" s="152">
        <v>2</v>
      </c>
      <c r="EX60" s="152" t="b">
        <v>0</v>
      </c>
      <c r="EZ60" t="s">
        <v>7344</v>
      </c>
      <c r="FA60">
        <v>1</v>
      </c>
      <c r="FB60">
        <v>80</v>
      </c>
      <c r="FC60">
        <v>100</v>
      </c>
      <c r="FD60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60" s="75">
        <f ca="1">ROUND((Table18202324[[#This Row],[XP]]*Table18202324[[#This Row],[entity_spawned (AVG)]])*(Table18202324[[#This Row],[activating_chance]]/100),0)</f>
        <v>25</v>
      </c>
      <c r="FF60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60">
        <v>1</v>
      </c>
      <c r="FH60">
        <v>1</v>
      </c>
      <c r="FI60" t="b">
        <v>0</v>
      </c>
    </row>
    <row r="61" spans="2:165" x14ac:dyDescent="0.25">
      <c r="B61" s="73" t="s">
        <v>228</v>
      </c>
      <c r="C61">
        <v>2</v>
      </c>
      <c r="D61">
        <v>130</v>
      </c>
      <c r="E61">
        <v>40</v>
      </c>
      <c r="F61" s="75">
        <f ca="1">INDIRECT(ADDRESS(11+(MATCH(RIGHT(Table245[[#This Row],[spawner_sku]],LEN(Table245[[#This Row],[spawner_sku]])-FIND("/",Table245[[#This Row],[spawner_sku]])),Table1[Entity Prefab],0)),10,1,1,"Entities"))</f>
        <v>25</v>
      </c>
      <c r="G61" s="75">
        <f ca="1">ROUND((Table245[[#This Row],[XP]]*Table245[[#This Row],[entity_spawned (AVG)]])*(Table245[[#This Row],[activating_chance]]/100),0)</f>
        <v>20</v>
      </c>
      <c r="H6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" s="72">
        <v>1</v>
      </c>
      <c r="J61" s="72">
        <v>3</v>
      </c>
      <c r="K61" s="72" t="b">
        <v>0</v>
      </c>
      <c r="M61" t="s">
        <v>228</v>
      </c>
      <c r="N61">
        <v>2</v>
      </c>
      <c r="O61">
        <v>80</v>
      </c>
      <c r="P61">
        <v>100</v>
      </c>
      <c r="Q61" s="75">
        <f ca="1">INDIRECT(ADDRESS(11+(MATCH(RIGHT(Table3[[#This Row],[spawner_sku]],LEN(Table3[[#This Row],[spawner_sku]])-FIND("/",Table3[[#This Row],[spawner_sku]])),Table1[Entity Prefab],0)),10,1,1,"Entities"))</f>
        <v>25</v>
      </c>
      <c r="R61" s="75">
        <f ca="1">ROUND((Table3[[#This Row],[XP]]*Table3[[#This Row],[entity_spawned (AVG)]])*(Table3[[#This Row],[activating_chance]]/100),0)</f>
        <v>50</v>
      </c>
      <c r="S61" t="str">
        <f ca="1">INDIRECT(ADDRESS(11+(MATCH(RIGHT(Table3[[#This Row],[spawner_sku]],LEN(Table3[[#This Row],[spawner_sku]])-FIND("/",Table3[[#This Row],[spawner_sku]])),Table28[Entity Prefab],0)),24,1,1,"Entities"))</f>
        <v>no</v>
      </c>
      <c r="T61">
        <v>1</v>
      </c>
      <c r="U61">
        <v>3</v>
      </c>
      <c r="V61" t="b">
        <v>0</v>
      </c>
      <c r="W61" s="72"/>
      <c r="X61" t="s">
        <v>445</v>
      </c>
      <c r="Y61">
        <v>1</v>
      </c>
      <c r="Z61">
        <v>180</v>
      </c>
      <c r="AA61">
        <v>100</v>
      </c>
      <c r="AB61" s="75">
        <f ca="1">INDIRECT(ADDRESS(11+(MATCH(RIGHT(Table39[[#This Row],[spawner_sku]],LEN(Table39[[#This Row],[spawner_sku]])-FIND("/",Table39[[#This Row],[spawner_sku]])),Table1[Entity Prefab],0)),10,1,1,"Entities"))</f>
        <v>0</v>
      </c>
      <c r="AC61" s="75">
        <f ca="1">ROUND((Table39[[#This Row],[XP]]*Table39[[#This Row],[entity_spawned (AVG)]])*(Table39[[#This Row],[activating_chance]]/100),0)</f>
        <v>0</v>
      </c>
      <c r="AD61" t="str">
        <f ca="1">INDIRECT(ADDRESS(11+(MATCH(RIGHT(Table39[[#This Row],[spawner_sku]],LEN(Table39[[#This Row],[spawner_sku]])-FIND("/",Table39[[#This Row],[spawner_sku]])),Table28[Entity Prefab],0)),24,1,1,"Entities"))</f>
        <v>yes</v>
      </c>
      <c r="AE61">
        <v>1</v>
      </c>
      <c r="AF61">
        <v>1</v>
      </c>
      <c r="AG61" t="b">
        <v>0</v>
      </c>
      <c r="AI61" t="s">
        <v>228</v>
      </c>
      <c r="AJ61">
        <v>3.5</v>
      </c>
      <c r="AK61">
        <v>100</v>
      </c>
      <c r="AL61">
        <v>100</v>
      </c>
      <c r="AM61" s="75">
        <f ca="1">INDIRECT(ADDRESS(11+(MATCH(RIGHT(Table2[[#This Row],[spawner_sku]],LEN(Table2[[#This Row],[spawner_sku]])-FIND("/",Table2[[#This Row],[spawner_sku]])),Table1[Entity Prefab],0)),10,1,1,"Entities"))</f>
        <v>25</v>
      </c>
      <c r="AN61" s="75">
        <f ca="1">ROUND((Table2[[#This Row],[XP]]*Table2[[#This Row],[entity_spawned (AVG)]])*(Table2[[#This Row],[activating_chance]]/100),0)</f>
        <v>88</v>
      </c>
      <c r="AO6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61" s="72">
        <v>3</v>
      </c>
      <c r="AQ61" s="72">
        <v>4</v>
      </c>
      <c r="AR61" s="72" t="b">
        <v>0</v>
      </c>
      <c r="AT61" t="s">
        <v>395</v>
      </c>
      <c r="AU61">
        <v>7</v>
      </c>
      <c r="AV61">
        <v>200</v>
      </c>
      <c r="AW61">
        <v>100</v>
      </c>
      <c r="AX61" s="75">
        <f ca="1">INDIRECT(ADDRESS(11+(MATCH(RIGHT(Table6[[#This Row],[spawner_sku]],LEN(Table6[[#This Row],[spawner_sku]])-FIND("/",Table6[[#This Row],[spawner_sku]])),Table1[Entity Prefab],0)),10,1,1,"Entities"))</f>
        <v>25</v>
      </c>
      <c r="AY61" s="75">
        <f ca="1">ROUND((Table6[[#This Row],[XP]]*Table6[[#This Row],[entity_spawned (AVG)]])*(Table6[[#This Row],[activating_chance]]/100),0)</f>
        <v>175</v>
      </c>
      <c r="AZ61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61">
        <v>5</v>
      </c>
      <c r="BB61">
        <v>9</v>
      </c>
      <c r="BC61" t="b">
        <v>1</v>
      </c>
      <c r="BE61" t="s">
        <v>395</v>
      </c>
      <c r="BF61">
        <v>3.5</v>
      </c>
      <c r="BG61">
        <v>220</v>
      </c>
      <c r="BH61">
        <v>100</v>
      </c>
      <c r="BI61" s="75">
        <f ca="1">INDIRECT(ADDRESS(11+(MATCH(RIGHT(Table610[[#This Row],[spawner_sku]],LEN(Table610[[#This Row],[spawner_sku]])-FIND("/",Table610[[#This Row],[spawner_sku]])),Table1[Entity Prefab],0)),10,1,1,"Entities"))</f>
        <v>25</v>
      </c>
      <c r="BJ61" s="75">
        <f ca="1">ROUND((Table610[[#This Row],[XP]]*Table610[[#This Row],[entity_spawned (AVG)]])*(Table610[[#This Row],[activating_chance]]/100),0)</f>
        <v>88</v>
      </c>
      <c r="BK61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61">
        <v>3</v>
      </c>
      <c r="BM61">
        <v>4</v>
      </c>
      <c r="BN61" t="b">
        <v>0</v>
      </c>
      <c r="BP61" t="s">
        <v>228</v>
      </c>
      <c r="BQ61">
        <v>1</v>
      </c>
      <c r="BR61">
        <v>70</v>
      </c>
      <c r="BS61">
        <v>100</v>
      </c>
      <c r="BT6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61" s="75">
        <f ca="1">ROUND((Table61011[[#This Row],[XP]]*Table61011[[#This Row],[entity_spawned (AVG)]])*(Table61011[[#This Row],[activating_chance]]/100),0)</f>
        <v>25</v>
      </c>
      <c r="BV6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1" s="72">
        <v>1</v>
      </c>
      <c r="BX61" s="72">
        <v>1</v>
      </c>
      <c r="BY61" s="72" t="b">
        <v>0</v>
      </c>
      <c r="CA61" t="s">
        <v>228</v>
      </c>
      <c r="CB61">
        <v>3.5</v>
      </c>
      <c r="CC61">
        <v>180</v>
      </c>
      <c r="CD61">
        <v>100</v>
      </c>
      <c r="CE61" s="75">
        <f ca="1">INDIRECT(ADDRESS(11+(MATCH(RIGHT(Table11[[#This Row],[spawner_sku]],LEN(Table11[[#This Row],[spawner_sku]])-FIND("/",Table11[[#This Row],[spawner_sku]])),Table1[Entity Prefab],0)),10,1,1,"Entities"))</f>
        <v>25</v>
      </c>
      <c r="CF61">
        <f ca="1">ROUND((Table11[[#This Row],[XP]]*Table11[[#This Row],[entity_spawned (AVG)]])*(Table11[[#This Row],[activating_chance]]/100),0)</f>
        <v>88</v>
      </c>
      <c r="CG61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61" s="72">
        <v>3</v>
      </c>
      <c r="CI61" s="72">
        <v>4</v>
      </c>
      <c r="CJ61" s="72" t="b">
        <v>0</v>
      </c>
      <c r="CL61" t="s">
        <v>242</v>
      </c>
      <c r="CM61">
        <v>1</v>
      </c>
      <c r="CN61">
        <v>1500</v>
      </c>
      <c r="CO61">
        <v>100</v>
      </c>
      <c r="CP61" s="75">
        <f ca="1">INDIRECT(ADDRESS(11+(MATCH(RIGHT(Table12[[#This Row],[spawner_sku]],LEN(Table12[[#This Row],[spawner_sku]])-FIND("/",Table12[[#This Row],[spawner_sku]])),Table1[Entity Prefab],0)),10,1,1,"Entities"))</f>
        <v>130</v>
      </c>
      <c r="CQ61" s="75">
        <f ca="1">ROUND((Table12[[#This Row],[XP]]*Table12[[#This Row],[entity_spawned (AVG)]])*(Table12[[#This Row],[activating_chance]]/100),0)</f>
        <v>130</v>
      </c>
      <c r="CR61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61" s="72">
        <v>1</v>
      </c>
      <c r="CT61" s="72">
        <v>1</v>
      </c>
      <c r="CU61" s="72" t="b">
        <v>0</v>
      </c>
      <c r="CW61" t="s">
        <v>232</v>
      </c>
      <c r="CX61">
        <v>1</v>
      </c>
      <c r="CY61">
        <v>250</v>
      </c>
      <c r="CZ61">
        <v>100</v>
      </c>
      <c r="DA61" s="75">
        <f ca="1">INDIRECT(ADDRESS(11+(MATCH(RIGHT(Table13[[#This Row],[spawner_sku]],LEN(Table13[[#This Row],[spawner_sku]])-FIND("/",Table13[[#This Row],[spawner_sku]])),Table1[Entity Prefab],0)),10,1,1,"Entities"))</f>
        <v>143</v>
      </c>
      <c r="DB61" s="75">
        <f ca="1">ROUND((Table13[[#This Row],[XP]]*Table13[[#This Row],[entity_spawned (AVG)]])*(Table13[[#This Row],[activating_chance]]/100),0)</f>
        <v>143</v>
      </c>
      <c r="DC61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61" s="72">
        <v>1</v>
      </c>
      <c r="DE61" s="72">
        <v>1</v>
      </c>
      <c r="DF61" s="72" t="b">
        <v>0</v>
      </c>
      <c r="DH61" t="s">
        <v>227</v>
      </c>
      <c r="DI61">
        <v>3.5</v>
      </c>
      <c r="DJ61">
        <v>160</v>
      </c>
      <c r="DK61">
        <v>70</v>
      </c>
      <c r="DL61" s="75">
        <f ca="1">INDIRECT(ADDRESS(11+(MATCH(RIGHT(Table14[[#This Row],[spawner_sku]],LEN(Table14[[#This Row],[spawner_sku]])-FIND("/",Table14[[#This Row],[spawner_sku]])),Table1[Entity Prefab],0)),10,1,1,"Entities"))</f>
        <v>25</v>
      </c>
      <c r="DM61" s="75">
        <f ca="1">ROUND((Table14[[#This Row],[XP]]*Table14[[#This Row],[entity_spawned (AVG)]])*(Table14[[#This Row],[activating_chance]]/100),0)</f>
        <v>61</v>
      </c>
      <c r="DN6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61" s="72">
        <v>3</v>
      </c>
      <c r="DP61" s="72">
        <v>4</v>
      </c>
      <c r="DQ61" s="72" t="b">
        <v>0</v>
      </c>
      <c r="DS61" t="s">
        <v>227</v>
      </c>
      <c r="DT61">
        <v>17</v>
      </c>
      <c r="DU61">
        <v>180</v>
      </c>
      <c r="DV61">
        <v>100</v>
      </c>
      <c r="DW61" s="75">
        <f ca="1">INDIRECT(ADDRESS(11+(MATCH(RIGHT(Table18[[#This Row],[spawner_sku]],LEN(Table18[[#This Row],[spawner_sku]])-FIND("/",Table18[[#This Row],[spawner_sku]])),Table1[Entity Prefab],0)),10,1,1,"Entities"))</f>
        <v>25</v>
      </c>
      <c r="DX61" s="75">
        <f ca="1">ROUND((Table18[[#This Row],[XP]]*Table18[[#This Row],[entity_spawned (AVG)]])*(Table18[[#This Row],[activating_chance]]/100),0)</f>
        <v>425</v>
      </c>
      <c r="DY6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61">
        <v>14</v>
      </c>
      <c r="EA61">
        <v>20</v>
      </c>
      <c r="EB61" t="b">
        <v>1</v>
      </c>
      <c r="ED61" t="s">
        <v>227</v>
      </c>
      <c r="EE61">
        <v>3</v>
      </c>
      <c r="EF61">
        <v>140</v>
      </c>
      <c r="EG61">
        <v>100</v>
      </c>
      <c r="EH61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61" s="75">
        <f ca="1">ROUND((Table1820[[#This Row],[XP]]*Table1820[[#This Row],[entity_spawned (AVG)]])*(Table1820[[#This Row],[activating_chance]]/100),0)</f>
        <v>75</v>
      </c>
      <c r="EJ6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61">
        <v>3</v>
      </c>
      <c r="EL61">
        <v>4</v>
      </c>
      <c r="EM61" t="b">
        <v>0</v>
      </c>
      <c r="EO61" t="s">
        <v>7345</v>
      </c>
      <c r="EP61">
        <v>1.5</v>
      </c>
      <c r="EQ61">
        <v>60</v>
      </c>
      <c r="ER61">
        <v>100</v>
      </c>
      <c r="ES61" s="75">
        <f ca="1">INDIRECT(ADDRESS(11+(MATCH(RIGHT(Table182023[[#This Row],[spawner_sku]],LEN(Table182023[[#This Row],[spawner_sku]])-FIND("/",Table182023[[#This Row],[spawner_sku]])),Table1[Entity Prefab],0)),10,1,1,"Entities"))</f>
        <v>143</v>
      </c>
      <c r="ET61" s="75">
        <f ca="1">ROUND((Table182023[[#This Row],[XP]]*Table182023[[#This Row],[entity_spawned (AVG)]])*(Table182023[[#This Row],[activating_chance]]/100),0)</f>
        <v>215</v>
      </c>
      <c r="EU61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61" s="152">
        <v>1</v>
      </c>
      <c r="EW61" s="152">
        <v>2</v>
      </c>
      <c r="EX61" s="152" t="b">
        <v>0</v>
      </c>
      <c r="EZ61" t="s">
        <v>7344</v>
      </c>
      <c r="FA61">
        <v>1</v>
      </c>
      <c r="FB61">
        <v>80</v>
      </c>
      <c r="FC61">
        <v>100</v>
      </c>
      <c r="FD61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61" s="75">
        <f ca="1">ROUND((Table18202324[[#This Row],[XP]]*Table18202324[[#This Row],[entity_spawned (AVG)]])*(Table18202324[[#This Row],[activating_chance]]/100),0)</f>
        <v>25</v>
      </c>
      <c r="FF61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61">
        <v>1</v>
      </c>
      <c r="FH61">
        <v>1</v>
      </c>
      <c r="FI61" t="b">
        <v>0</v>
      </c>
    </row>
    <row r="62" spans="2:165" x14ac:dyDescent="0.25">
      <c r="B62" s="73" t="s">
        <v>228</v>
      </c>
      <c r="C62">
        <v>2</v>
      </c>
      <c r="D62">
        <v>140</v>
      </c>
      <c r="E62">
        <v>80</v>
      </c>
      <c r="F62" s="75">
        <f ca="1">INDIRECT(ADDRESS(11+(MATCH(RIGHT(Table245[[#This Row],[spawner_sku]],LEN(Table245[[#This Row],[spawner_sku]])-FIND("/",Table245[[#This Row],[spawner_sku]])),Table1[Entity Prefab],0)),10,1,1,"Entities"))</f>
        <v>25</v>
      </c>
      <c r="G62" s="75">
        <f ca="1">ROUND((Table245[[#This Row],[XP]]*Table245[[#This Row],[entity_spawned (AVG)]])*(Table245[[#This Row],[activating_chance]]/100),0)</f>
        <v>40</v>
      </c>
      <c r="H6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" s="72">
        <v>1</v>
      </c>
      <c r="J62" s="72">
        <v>3</v>
      </c>
      <c r="K62" s="72" t="b">
        <v>0</v>
      </c>
      <c r="M62" t="s">
        <v>228</v>
      </c>
      <c r="N62">
        <v>1</v>
      </c>
      <c r="O62">
        <v>200</v>
      </c>
      <c r="P62">
        <v>60</v>
      </c>
      <c r="Q62" s="75">
        <f ca="1">INDIRECT(ADDRESS(11+(MATCH(RIGHT(Table3[[#This Row],[spawner_sku]],LEN(Table3[[#This Row],[spawner_sku]])-FIND("/",Table3[[#This Row],[spawner_sku]])),Table1[Entity Prefab],0)),10,1,1,"Entities"))</f>
        <v>25</v>
      </c>
      <c r="R62" s="75">
        <f ca="1">ROUND((Table3[[#This Row],[XP]]*Table3[[#This Row],[entity_spawned (AVG)]])*(Table3[[#This Row],[activating_chance]]/100),0)</f>
        <v>15</v>
      </c>
      <c r="S62" t="str">
        <f ca="1">INDIRECT(ADDRESS(11+(MATCH(RIGHT(Table3[[#This Row],[spawner_sku]],LEN(Table3[[#This Row],[spawner_sku]])-FIND("/",Table3[[#This Row],[spawner_sku]])),Table28[Entity Prefab],0)),24,1,1,"Entities"))</f>
        <v>no</v>
      </c>
      <c r="T62">
        <v>1</v>
      </c>
      <c r="U62">
        <v>1</v>
      </c>
      <c r="V62" t="b">
        <v>0</v>
      </c>
      <c r="W62" s="72"/>
      <c r="X62" t="s">
        <v>606</v>
      </c>
      <c r="Y62">
        <v>1</v>
      </c>
      <c r="Z62">
        <v>5000</v>
      </c>
      <c r="AA62">
        <v>30</v>
      </c>
      <c r="AB62" s="75">
        <f ca="1">INDIRECT(ADDRESS(11+(MATCH(RIGHT(Table39[[#This Row],[spawner_sku]],LEN(Table39[[#This Row],[spawner_sku]])-FIND("/",Table39[[#This Row],[spawner_sku]])),Table1[Entity Prefab],0)),10,1,1,"Entities"))</f>
        <v>25</v>
      </c>
      <c r="AC62" s="75">
        <f ca="1">ROUND((Table39[[#This Row],[XP]]*Table39[[#This Row],[entity_spawned (AVG)]])*(Table39[[#This Row],[activating_chance]]/100),0)</f>
        <v>8</v>
      </c>
      <c r="AD62" t="str">
        <f ca="1">INDIRECT(ADDRESS(11+(MATCH(RIGHT(Table39[[#This Row],[spawner_sku]],LEN(Table39[[#This Row],[spawner_sku]])-FIND("/",Table39[[#This Row],[spawner_sku]])),Table28[Entity Prefab],0)),24,1,1,"Entities"))</f>
        <v>no</v>
      </c>
      <c r="AE62">
        <v>1</v>
      </c>
      <c r="AF62">
        <v>1</v>
      </c>
      <c r="AG62" t="b">
        <v>0</v>
      </c>
      <c r="AI62" t="s">
        <v>228</v>
      </c>
      <c r="AJ62">
        <v>1.5</v>
      </c>
      <c r="AK62">
        <v>80</v>
      </c>
      <c r="AL62">
        <v>100</v>
      </c>
      <c r="AM62" s="75">
        <f ca="1">INDIRECT(ADDRESS(11+(MATCH(RIGHT(Table2[[#This Row],[spawner_sku]],LEN(Table2[[#This Row],[spawner_sku]])-FIND("/",Table2[[#This Row],[spawner_sku]])),Table1[Entity Prefab],0)),10,1,1,"Entities"))</f>
        <v>25</v>
      </c>
      <c r="AN62" s="75">
        <f ca="1">ROUND((Table2[[#This Row],[XP]]*Table2[[#This Row],[entity_spawned (AVG)]])*(Table2[[#This Row],[activating_chance]]/100),0)</f>
        <v>38</v>
      </c>
      <c r="AO6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62" s="72">
        <v>1</v>
      </c>
      <c r="AQ62" s="72">
        <v>2</v>
      </c>
      <c r="AR62" s="72" t="b">
        <v>0</v>
      </c>
      <c r="AT62" t="s">
        <v>395</v>
      </c>
      <c r="AU62">
        <v>7</v>
      </c>
      <c r="AV62">
        <v>200</v>
      </c>
      <c r="AW62">
        <v>100</v>
      </c>
      <c r="AX62" s="75">
        <f ca="1">INDIRECT(ADDRESS(11+(MATCH(RIGHT(Table6[[#This Row],[spawner_sku]],LEN(Table6[[#This Row],[spawner_sku]])-FIND("/",Table6[[#This Row],[spawner_sku]])),Table1[Entity Prefab],0)),10,1,1,"Entities"))</f>
        <v>25</v>
      </c>
      <c r="AY62" s="75">
        <f ca="1">ROUND((Table6[[#This Row],[XP]]*Table6[[#This Row],[entity_spawned (AVG)]])*(Table6[[#This Row],[activating_chance]]/100),0)</f>
        <v>175</v>
      </c>
      <c r="AZ62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62">
        <v>5</v>
      </c>
      <c r="BB62">
        <v>9</v>
      </c>
      <c r="BC62" t="b">
        <v>1</v>
      </c>
      <c r="BE62" t="s">
        <v>231</v>
      </c>
      <c r="BF62">
        <v>1</v>
      </c>
      <c r="BG62">
        <v>5000</v>
      </c>
      <c r="BH62">
        <v>100</v>
      </c>
      <c r="BI62" s="75">
        <f ca="1">INDIRECT(ADDRESS(11+(MATCH(RIGHT(Table610[[#This Row],[spawner_sku]],LEN(Table610[[#This Row],[spawner_sku]])-FIND("/",Table610[[#This Row],[spawner_sku]])),Table1[Entity Prefab],0)),10,1,1,"Entities"))</f>
        <v>75</v>
      </c>
      <c r="BJ62" s="75">
        <f ca="1">ROUND((Table610[[#This Row],[XP]]*Table610[[#This Row],[entity_spawned (AVG)]])*(Table610[[#This Row],[activating_chance]]/100),0)</f>
        <v>75</v>
      </c>
      <c r="BK62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62">
        <v>1</v>
      </c>
      <c r="BM62">
        <v>1</v>
      </c>
      <c r="BN62" t="b">
        <v>0</v>
      </c>
      <c r="BP62" t="s">
        <v>228</v>
      </c>
      <c r="BQ62">
        <v>3.5</v>
      </c>
      <c r="BR62">
        <v>160</v>
      </c>
      <c r="BS62">
        <v>100</v>
      </c>
      <c r="BT6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62" s="75">
        <f ca="1">ROUND((Table61011[[#This Row],[XP]]*Table61011[[#This Row],[entity_spawned (AVG)]])*(Table61011[[#This Row],[activating_chance]]/100),0)</f>
        <v>88</v>
      </c>
      <c r="BV6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2" s="72">
        <v>3</v>
      </c>
      <c r="BX62" s="72">
        <v>4</v>
      </c>
      <c r="BY62" s="72" t="b">
        <v>0</v>
      </c>
      <c r="CA62" t="s">
        <v>228</v>
      </c>
      <c r="CB62">
        <v>3.5</v>
      </c>
      <c r="CC62">
        <v>180</v>
      </c>
      <c r="CD62">
        <v>100</v>
      </c>
      <c r="CE62" s="75">
        <f ca="1">INDIRECT(ADDRESS(11+(MATCH(RIGHT(Table11[[#This Row],[spawner_sku]],LEN(Table11[[#This Row],[spawner_sku]])-FIND("/",Table11[[#This Row],[spawner_sku]])),Table1[Entity Prefab],0)),10,1,1,"Entities"))</f>
        <v>25</v>
      </c>
      <c r="CF62">
        <f ca="1">ROUND((Table11[[#This Row],[XP]]*Table11[[#This Row],[entity_spawned (AVG)]])*(Table11[[#This Row],[activating_chance]]/100),0)</f>
        <v>88</v>
      </c>
      <c r="CG62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62" s="72">
        <v>3</v>
      </c>
      <c r="CI62" s="72">
        <v>4</v>
      </c>
      <c r="CJ62" s="72" t="b">
        <v>0</v>
      </c>
      <c r="CL62" t="s">
        <v>242</v>
      </c>
      <c r="CM62">
        <v>1</v>
      </c>
      <c r="CN62">
        <v>1500</v>
      </c>
      <c r="CO62">
        <v>10</v>
      </c>
      <c r="CP62" s="75">
        <f ca="1">INDIRECT(ADDRESS(11+(MATCH(RIGHT(Table12[[#This Row],[spawner_sku]],LEN(Table12[[#This Row],[spawner_sku]])-FIND("/",Table12[[#This Row],[spawner_sku]])),Table1[Entity Prefab],0)),10,1,1,"Entities"))</f>
        <v>130</v>
      </c>
      <c r="CQ62" s="75">
        <f ca="1">ROUND((Table12[[#This Row],[XP]]*Table12[[#This Row],[entity_spawned (AVG)]])*(Table12[[#This Row],[activating_chance]]/100),0)</f>
        <v>13</v>
      </c>
      <c r="CR62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62" s="72">
        <v>1</v>
      </c>
      <c r="CT62" s="72">
        <v>1</v>
      </c>
      <c r="CU62" s="72" t="b">
        <v>0</v>
      </c>
      <c r="CW62" t="s">
        <v>232</v>
      </c>
      <c r="CX62">
        <v>1</v>
      </c>
      <c r="CY62">
        <v>250</v>
      </c>
      <c r="CZ62">
        <v>100</v>
      </c>
      <c r="DA62" s="75">
        <f ca="1">INDIRECT(ADDRESS(11+(MATCH(RIGHT(Table13[[#This Row],[spawner_sku]],LEN(Table13[[#This Row],[spawner_sku]])-FIND("/",Table13[[#This Row],[spawner_sku]])),Table1[Entity Prefab],0)),10,1,1,"Entities"))</f>
        <v>143</v>
      </c>
      <c r="DB62" s="75">
        <f ca="1">ROUND((Table13[[#This Row],[XP]]*Table13[[#This Row],[entity_spawned (AVG)]])*(Table13[[#This Row],[activating_chance]]/100),0)</f>
        <v>143</v>
      </c>
      <c r="DC62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62" s="72">
        <v>1</v>
      </c>
      <c r="DE62" s="72">
        <v>1</v>
      </c>
      <c r="DF62" s="72" t="b">
        <v>0</v>
      </c>
      <c r="DH62" t="s">
        <v>227</v>
      </c>
      <c r="DI62">
        <v>12</v>
      </c>
      <c r="DJ62">
        <v>280</v>
      </c>
      <c r="DK62">
        <v>100</v>
      </c>
      <c r="DL62" s="75">
        <f ca="1">INDIRECT(ADDRESS(11+(MATCH(RIGHT(Table14[[#This Row],[spawner_sku]],LEN(Table14[[#This Row],[spawner_sku]])-FIND("/",Table14[[#This Row],[spawner_sku]])),Table1[Entity Prefab],0)),10,1,1,"Entities"))</f>
        <v>25</v>
      </c>
      <c r="DM62" s="75">
        <f ca="1">ROUND((Table14[[#This Row],[XP]]*Table14[[#This Row],[entity_spawned (AVG)]])*(Table14[[#This Row],[activating_chance]]/100),0)</f>
        <v>300</v>
      </c>
      <c r="DN6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62" s="72">
        <v>10</v>
      </c>
      <c r="DP62" s="72">
        <v>14</v>
      </c>
      <c r="DQ62" s="72" t="b">
        <v>1</v>
      </c>
      <c r="DS62" t="s">
        <v>227</v>
      </c>
      <c r="DT62">
        <v>7</v>
      </c>
      <c r="DU62">
        <v>160</v>
      </c>
      <c r="DV62">
        <v>30</v>
      </c>
      <c r="DW62" s="75">
        <f ca="1">INDIRECT(ADDRESS(11+(MATCH(RIGHT(Table18[[#This Row],[spawner_sku]],LEN(Table18[[#This Row],[spawner_sku]])-FIND("/",Table18[[#This Row],[spawner_sku]])),Table1[Entity Prefab],0)),10,1,1,"Entities"))</f>
        <v>25</v>
      </c>
      <c r="DX62" s="75">
        <f ca="1">ROUND((Table18[[#This Row],[XP]]*Table18[[#This Row],[entity_spawned (AVG)]])*(Table18[[#This Row],[activating_chance]]/100),0)</f>
        <v>53</v>
      </c>
      <c r="DY6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62">
        <v>6</v>
      </c>
      <c r="EA62">
        <v>8</v>
      </c>
      <c r="EB62" t="b">
        <v>1</v>
      </c>
      <c r="ED62" t="s">
        <v>227</v>
      </c>
      <c r="EE62">
        <v>3</v>
      </c>
      <c r="EF62">
        <v>140</v>
      </c>
      <c r="EG62">
        <v>100</v>
      </c>
      <c r="EH6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62" s="75">
        <f ca="1">ROUND((Table1820[[#This Row],[XP]]*Table1820[[#This Row],[entity_spawned (AVG)]])*(Table1820[[#This Row],[activating_chance]]/100),0)</f>
        <v>75</v>
      </c>
      <c r="EJ6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62">
        <v>3</v>
      </c>
      <c r="EL62">
        <v>4</v>
      </c>
      <c r="EM62" t="b">
        <v>0</v>
      </c>
      <c r="EO62" t="s">
        <v>7345</v>
      </c>
      <c r="EP62">
        <v>1.5</v>
      </c>
      <c r="EQ62">
        <v>60</v>
      </c>
      <c r="ER62">
        <v>100</v>
      </c>
      <c r="ES62" s="75">
        <f ca="1">INDIRECT(ADDRESS(11+(MATCH(RIGHT(Table182023[[#This Row],[spawner_sku]],LEN(Table182023[[#This Row],[spawner_sku]])-FIND("/",Table182023[[#This Row],[spawner_sku]])),Table1[Entity Prefab],0)),10,1,1,"Entities"))</f>
        <v>143</v>
      </c>
      <c r="ET62" s="75">
        <f ca="1">ROUND((Table182023[[#This Row],[XP]]*Table182023[[#This Row],[entity_spawned (AVG)]])*(Table182023[[#This Row],[activating_chance]]/100),0)</f>
        <v>215</v>
      </c>
      <c r="EU62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62" s="152">
        <v>1</v>
      </c>
      <c r="EW62" s="152">
        <v>2</v>
      </c>
      <c r="EX62" s="152" t="b">
        <v>0</v>
      </c>
      <c r="EZ62" t="s">
        <v>7344</v>
      </c>
      <c r="FA62">
        <v>1</v>
      </c>
      <c r="FB62">
        <v>75</v>
      </c>
      <c r="FC62">
        <v>100</v>
      </c>
      <c r="FD62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62" s="75">
        <f ca="1">ROUND((Table18202324[[#This Row],[XP]]*Table18202324[[#This Row],[entity_spawned (AVG)]])*(Table18202324[[#This Row],[activating_chance]]/100),0)</f>
        <v>25</v>
      </c>
      <c r="FF62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62">
        <v>1</v>
      </c>
      <c r="FH62">
        <v>1</v>
      </c>
      <c r="FI62" t="b">
        <v>0</v>
      </c>
    </row>
    <row r="63" spans="2:165" x14ac:dyDescent="0.25">
      <c r="B63" s="73" t="s">
        <v>228</v>
      </c>
      <c r="C63">
        <v>1.5</v>
      </c>
      <c r="D63">
        <v>100</v>
      </c>
      <c r="E63">
        <v>40</v>
      </c>
      <c r="F63" s="75">
        <f ca="1">INDIRECT(ADDRESS(11+(MATCH(RIGHT(Table245[[#This Row],[spawner_sku]],LEN(Table245[[#This Row],[spawner_sku]])-FIND("/",Table245[[#This Row],[spawner_sku]])),Table1[Entity Prefab],0)),10,1,1,"Entities"))</f>
        <v>25</v>
      </c>
      <c r="G63" s="75">
        <f ca="1">ROUND((Table245[[#This Row],[XP]]*Table245[[#This Row],[entity_spawned (AVG)]])*(Table245[[#This Row],[activating_chance]]/100),0)</f>
        <v>15</v>
      </c>
      <c r="H6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" s="72">
        <v>1</v>
      </c>
      <c r="J63" s="72">
        <v>2</v>
      </c>
      <c r="K63" s="72" t="b">
        <v>0</v>
      </c>
      <c r="M63" t="s">
        <v>229</v>
      </c>
      <c r="N63">
        <v>6.5</v>
      </c>
      <c r="O63">
        <v>140</v>
      </c>
      <c r="P63">
        <v>100</v>
      </c>
      <c r="Q63" s="75">
        <f ca="1">INDIRECT(ADDRESS(11+(MATCH(RIGHT(Table3[[#This Row],[spawner_sku]],LEN(Table3[[#This Row],[spawner_sku]])-FIND("/",Table3[[#This Row],[spawner_sku]])),Table1[Entity Prefab],0)),10,1,1,"Entities"))</f>
        <v>25</v>
      </c>
      <c r="R63" s="75">
        <f ca="1">ROUND((Table3[[#This Row],[XP]]*Table3[[#This Row],[entity_spawned (AVG)]])*(Table3[[#This Row],[activating_chance]]/100),0)</f>
        <v>163</v>
      </c>
      <c r="S63" t="str">
        <f ca="1">INDIRECT(ADDRESS(11+(MATCH(RIGHT(Table3[[#This Row],[spawner_sku]],LEN(Table3[[#This Row],[spawner_sku]])-FIND("/",Table3[[#This Row],[spawner_sku]])),Table28[Entity Prefab],0)),24,1,1,"Entities"))</f>
        <v>no</v>
      </c>
      <c r="T63">
        <v>5</v>
      </c>
      <c r="U63">
        <v>8</v>
      </c>
      <c r="V63" t="b">
        <v>1</v>
      </c>
      <c r="W63" s="72"/>
      <c r="X63" t="s">
        <v>606</v>
      </c>
      <c r="Y63">
        <v>1</v>
      </c>
      <c r="Z63">
        <v>5000</v>
      </c>
      <c r="AA63">
        <v>30</v>
      </c>
      <c r="AB63" s="75">
        <f ca="1">INDIRECT(ADDRESS(11+(MATCH(RIGHT(Table39[[#This Row],[spawner_sku]],LEN(Table39[[#This Row],[spawner_sku]])-FIND("/",Table39[[#This Row],[spawner_sku]])),Table1[Entity Prefab],0)),10,1,1,"Entities"))</f>
        <v>25</v>
      </c>
      <c r="AC63" s="75">
        <f ca="1">ROUND((Table39[[#This Row],[XP]]*Table39[[#This Row],[entity_spawned (AVG)]])*(Table39[[#This Row],[activating_chance]]/100),0)</f>
        <v>8</v>
      </c>
      <c r="AD63" t="str">
        <f ca="1">INDIRECT(ADDRESS(11+(MATCH(RIGHT(Table39[[#This Row],[spawner_sku]],LEN(Table39[[#This Row],[spawner_sku]])-FIND("/",Table39[[#This Row],[spawner_sku]])),Table28[Entity Prefab],0)),24,1,1,"Entities"))</f>
        <v>no</v>
      </c>
      <c r="AE63">
        <v>1</v>
      </c>
      <c r="AF63">
        <v>1</v>
      </c>
      <c r="AG63" t="b">
        <v>0</v>
      </c>
      <c r="AI63" t="s">
        <v>228</v>
      </c>
      <c r="AJ63">
        <v>2</v>
      </c>
      <c r="AK63">
        <v>160</v>
      </c>
      <c r="AL63">
        <v>100</v>
      </c>
      <c r="AM63" s="75">
        <f ca="1">INDIRECT(ADDRESS(11+(MATCH(RIGHT(Table2[[#This Row],[spawner_sku]],LEN(Table2[[#This Row],[spawner_sku]])-FIND("/",Table2[[#This Row],[spawner_sku]])),Table1[Entity Prefab],0)),10,1,1,"Entities"))</f>
        <v>25</v>
      </c>
      <c r="AN63" s="75">
        <f ca="1">ROUND((Table2[[#This Row],[XP]]*Table2[[#This Row],[entity_spawned (AVG)]])*(Table2[[#This Row],[activating_chance]]/100),0)</f>
        <v>50</v>
      </c>
      <c r="AO6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63" s="72">
        <v>1</v>
      </c>
      <c r="AQ63" s="72">
        <v>3</v>
      </c>
      <c r="AR63" s="72" t="b">
        <v>0</v>
      </c>
      <c r="AT63" t="s">
        <v>395</v>
      </c>
      <c r="AU63">
        <v>1.5</v>
      </c>
      <c r="AV63">
        <v>200</v>
      </c>
      <c r="AW63">
        <v>80</v>
      </c>
      <c r="AX63" s="75">
        <f ca="1">INDIRECT(ADDRESS(11+(MATCH(RIGHT(Table6[[#This Row],[spawner_sku]],LEN(Table6[[#This Row],[spawner_sku]])-FIND("/",Table6[[#This Row],[spawner_sku]])),Table1[Entity Prefab],0)),10,1,1,"Entities"))</f>
        <v>25</v>
      </c>
      <c r="AY63" s="75">
        <f ca="1">ROUND((Table6[[#This Row],[XP]]*Table6[[#This Row],[entity_spawned (AVG)]])*(Table6[[#This Row],[activating_chance]]/100),0)</f>
        <v>30</v>
      </c>
      <c r="AZ63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63">
        <v>1</v>
      </c>
      <c r="BB63">
        <v>2</v>
      </c>
      <c r="BC63" t="b">
        <v>0</v>
      </c>
      <c r="BE63" t="s">
        <v>231</v>
      </c>
      <c r="BF63">
        <v>1</v>
      </c>
      <c r="BG63">
        <v>5000</v>
      </c>
      <c r="BH63">
        <v>80</v>
      </c>
      <c r="BI63" s="75">
        <f ca="1">INDIRECT(ADDRESS(11+(MATCH(RIGHT(Table610[[#This Row],[spawner_sku]],LEN(Table610[[#This Row],[spawner_sku]])-FIND("/",Table610[[#This Row],[spawner_sku]])),Table1[Entity Prefab],0)),10,1,1,"Entities"))</f>
        <v>75</v>
      </c>
      <c r="BJ63" s="75">
        <f ca="1">ROUND((Table610[[#This Row],[XP]]*Table610[[#This Row],[entity_spawned (AVG)]])*(Table610[[#This Row],[activating_chance]]/100),0)</f>
        <v>60</v>
      </c>
      <c r="BK63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63">
        <v>1</v>
      </c>
      <c r="BM63">
        <v>1</v>
      </c>
      <c r="BN63" t="b">
        <v>0</v>
      </c>
      <c r="BP63" t="s">
        <v>228</v>
      </c>
      <c r="BQ63">
        <v>3</v>
      </c>
      <c r="BR63">
        <v>130</v>
      </c>
      <c r="BS63">
        <v>100</v>
      </c>
      <c r="BT6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63" s="75">
        <f ca="1">ROUND((Table61011[[#This Row],[XP]]*Table61011[[#This Row],[entity_spawned (AVG)]])*(Table61011[[#This Row],[activating_chance]]/100),0)</f>
        <v>75</v>
      </c>
      <c r="BV6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3" s="72">
        <v>2</v>
      </c>
      <c r="BX63" s="72">
        <v>4</v>
      </c>
      <c r="BY63" s="72" t="b">
        <v>0</v>
      </c>
      <c r="CA63" t="s">
        <v>228</v>
      </c>
      <c r="CB63">
        <v>3.5</v>
      </c>
      <c r="CC63">
        <v>180</v>
      </c>
      <c r="CD63">
        <v>100</v>
      </c>
      <c r="CE63" s="75">
        <f ca="1">INDIRECT(ADDRESS(11+(MATCH(RIGHT(Table11[[#This Row],[spawner_sku]],LEN(Table11[[#This Row],[spawner_sku]])-FIND("/",Table11[[#This Row],[spawner_sku]])),Table1[Entity Prefab],0)),10,1,1,"Entities"))</f>
        <v>25</v>
      </c>
      <c r="CF63">
        <f ca="1">ROUND((Table11[[#This Row],[XP]]*Table11[[#This Row],[entity_spawned (AVG)]])*(Table11[[#This Row],[activating_chance]]/100),0)</f>
        <v>88</v>
      </c>
      <c r="CG63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63" s="72">
        <v>3</v>
      </c>
      <c r="CI63" s="72">
        <v>4</v>
      </c>
      <c r="CJ63" s="72" t="b">
        <v>0</v>
      </c>
      <c r="CL63" t="s">
        <v>242</v>
      </c>
      <c r="CM63">
        <v>1</v>
      </c>
      <c r="CN63">
        <v>1500</v>
      </c>
      <c r="CO63">
        <v>100</v>
      </c>
      <c r="CP63" s="75">
        <f ca="1">INDIRECT(ADDRESS(11+(MATCH(RIGHT(Table12[[#This Row],[spawner_sku]],LEN(Table12[[#This Row],[spawner_sku]])-FIND("/",Table12[[#This Row],[spawner_sku]])),Table1[Entity Prefab],0)),10,1,1,"Entities"))</f>
        <v>130</v>
      </c>
      <c r="CQ63" s="75">
        <f ca="1">ROUND((Table12[[#This Row],[XP]]*Table12[[#This Row],[entity_spawned (AVG)]])*(Table12[[#This Row],[activating_chance]]/100),0)</f>
        <v>130</v>
      </c>
      <c r="CR63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63" s="72">
        <v>1</v>
      </c>
      <c r="CT63" s="72">
        <v>1</v>
      </c>
      <c r="CU63" s="72" t="b">
        <v>0</v>
      </c>
      <c r="CW63" t="s">
        <v>232</v>
      </c>
      <c r="CX63">
        <v>1</v>
      </c>
      <c r="CY63">
        <v>250</v>
      </c>
      <c r="CZ63">
        <v>100</v>
      </c>
      <c r="DA63" s="75">
        <f ca="1">INDIRECT(ADDRESS(11+(MATCH(RIGHT(Table13[[#This Row],[spawner_sku]],LEN(Table13[[#This Row],[spawner_sku]])-FIND("/",Table13[[#This Row],[spawner_sku]])),Table1[Entity Prefab],0)),10,1,1,"Entities"))</f>
        <v>143</v>
      </c>
      <c r="DB63" s="75">
        <f ca="1">ROUND((Table13[[#This Row],[XP]]*Table13[[#This Row],[entity_spawned (AVG)]])*(Table13[[#This Row],[activating_chance]]/100),0)</f>
        <v>143</v>
      </c>
      <c r="DC63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63" s="72">
        <v>1</v>
      </c>
      <c r="DE63" s="72">
        <v>1</v>
      </c>
      <c r="DF63" s="72" t="b">
        <v>0</v>
      </c>
      <c r="DH63" t="s">
        <v>227</v>
      </c>
      <c r="DI63">
        <v>3.5</v>
      </c>
      <c r="DJ63">
        <v>80</v>
      </c>
      <c r="DK63">
        <v>100</v>
      </c>
      <c r="DL63" s="75">
        <f ca="1">INDIRECT(ADDRESS(11+(MATCH(RIGHT(Table14[[#This Row],[spawner_sku]],LEN(Table14[[#This Row],[spawner_sku]])-FIND("/",Table14[[#This Row],[spawner_sku]])),Table1[Entity Prefab],0)),10,1,1,"Entities"))</f>
        <v>25</v>
      </c>
      <c r="DM63" s="75">
        <f ca="1">ROUND((Table14[[#This Row],[XP]]*Table14[[#This Row],[entity_spawned (AVG)]])*(Table14[[#This Row],[activating_chance]]/100),0)</f>
        <v>88</v>
      </c>
      <c r="DN6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63" s="72">
        <v>3</v>
      </c>
      <c r="DP63" s="72">
        <v>4</v>
      </c>
      <c r="DQ63" s="72" t="b">
        <v>0</v>
      </c>
      <c r="DS63" t="s">
        <v>227</v>
      </c>
      <c r="DT63">
        <v>7</v>
      </c>
      <c r="DU63">
        <v>160</v>
      </c>
      <c r="DV63">
        <v>100</v>
      </c>
      <c r="DW63" s="75">
        <f ca="1">INDIRECT(ADDRESS(11+(MATCH(RIGHT(Table18[[#This Row],[spawner_sku]],LEN(Table18[[#This Row],[spawner_sku]])-FIND("/",Table18[[#This Row],[spawner_sku]])),Table1[Entity Prefab],0)),10,1,1,"Entities"))</f>
        <v>25</v>
      </c>
      <c r="DX63" s="75">
        <f ca="1">ROUND((Table18[[#This Row],[XP]]*Table18[[#This Row],[entity_spawned (AVG)]])*(Table18[[#This Row],[activating_chance]]/100),0)</f>
        <v>175</v>
      </c>
      <c r="DY6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63">
        <v>6</v>
      </c>
      <c r="EA63">
        <v>8</v>
      </c>
      <c r="EB63" t="b">
        <v>1</v>
      </c>
      <c r="ED63" t="s">
        <v>227</v>
      </c>
      <c r="EE63">
        <v>11</v>
      </c>
      <c r="EF63">
        <v>180</v>
      </c>
      <c r="EG63">
        <v>80</v>
      </c>
      <c r="EH63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63" s="75">
        <f ca="1">ROUND((Table1820[[#This Row],[XP]]*Table1820[[#This Row],[entity_spawned (AVG)]])*(Table1820[[#This Row],[activating_chance]]/100),0)</f>
        <v>220</v>
      </c>
      <c r="EJ6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63">
        <v>10</v>
      </c>
      <c r="EL63">
        <v>12</v>
      </c>
      <c r="EM63" t="b">
        <v>1</v>
      </c>
      <c r="EO63" t="s">
        <v>7345</v>
      </c>
      <c r="EP63">
        <v>1</v>
      </c>
      <c r="EQ63">
        <v>70</v>
      </c>
      <c r="ER63">
        <v>100</v>
      </c>
      <c r="ES63" s="75">
        <f ca="1">INDIRECT(ADDRESS(11+(MATCH(RIGHT(Table182023[[#This Row],[spawner_sku]],LEN(Table182023[[#This Row],[spawner_sku]])-FIND("/",Table182023[[#This Row],[spawner_sku]])),Table1[Entity Prefab],0)),10,1,1,"Entities"))</f>
        <v>143</v>
      </c>
      <c r="ET63" s="75">
        <f ca="1">ROUND((Table182023[[#This Row],[XP]]*Table182023[[#This Row],[entity_spawned (AVG)]])*(Table182023[[#This Row],[activating_chance]]/100),0)</f>
        <v>143</v>
      </c>
      <c r="EU63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63" s="152">
        <v>1</v>
      </c>
      <c r="EW63" s="152">
        <v>1</v>
      </c>
      <c r="EX63" s="152" t="b">
        <v>0</v>
      </c>
      <c r="EZ63" t="s">
        <v>7344</v>
      </c>
      <c r="FA63">
        <v>1</v>
      </c>
      <c r="FB63">
        <v>90</v>
      </c>
      <c r="FC63">
        <v>100</v>
      </c>
      <c r="FD63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63" s="75">
        <f ca="1">ROUND((Table18202324[[#This Row],[XP]]*Table18202324[[#This Row],[entity_spawned (AVG)]])*(Table18202324[[#This Row],[activating_chance]]/100),0)</f>
        <v>25</v>
      </c>
      <c r="FF63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63">
        <v>1</v>
      </c>
      <c r="FH63">
        <v>1</v>
      </c>
      <c r="FI63" t="b">
        <v>0</v>
      </c>
    </row>
    <row r="64" spans="2:165" x14ac:dyDescent="0.25">
      <c r="B64" s="73" t="s">
        <v>228</v>
      </c>
      <c r="C64">
        <v>1</v>
      </c>
      <c r="D64">
        <v>90</v>
      </c>
      <c r="E64">
        <v>100</v>
      </c>
      <c r="F64" s="75">
        <f ca="1">INDIRECT(ADDRESS(11+(MATCH(RIGHT(Table245[[#This Row],[spawner_sku]],LEN(Table245[[#This Row],[spawner_sku]])-FIND("/",Table245[[#This Row],[spawner_sku]])),Table1[Entity Prefab],0)),10,1,1,"Entities"))</f>
        <v>25</v>
      </c>
      <c r="G64" s="75">
        <f ca="1">ROUND((Table245[[#This Row],[XP]]*Table245[[#This Row],[entity_spawned (AVG)]])*(Table245[[#This Row],[activating_chance]]/100),0)</f>
        <v>25</v>
      </c>
      <c r="H6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4" s="72">
        <v>1</v>
      </c>
      <c r="J64" s="72">
        <v>1</v>
      </c>
      <c r="K64" s="72" t="b">
        <v>0</v>
      </c>
      <c r="M64" t="s">
        <v>229</v>
      </c>
      <c r="N64">
        <v>6.5</v>
      </c>
      <c r="O64">
        <v>140</v>
      </c>
      <c r="P64">
        <v>100</v>
      </c>
      <c r="Q64" s="75">
        <f ca="1">INDIRECT(ADDRESS(11+(MATCH(RIGHT(Table3[[#This Row],[spawner_sku]],LEN(Table3[[#This Row],[spawner_sku]])-FIND("/",Table3[[#This Row],[spawner_sku]])),Table1[Entity Prefab],0)),10,1,1,"Entities"))</f>
        <v>25</v>
      </c>
      <c r="R64" s="75">
        <f ca="1">ROUND((Table3[[#This Row],[XP]]*Table3[[#This Row],[entity_spawned (AVG)]])*(Table3[[#This Row],[activating_chance]]/100),0)</f>
        <v>163</v>
      </c>
      <c r="S64" t="str">
        <f ca="1">INDIRECT(ADDRESS(11+(MATCH(RIGHT(Table3[[#This Row],[spawner_sku]],LEN(Table3[[#This Row],[spawner_sku]])-FIND("/",Table3[[#This Row],[spawner_sku]])),Table28[Entity Prefab],0)),24,1,1,"Entities"))</f>
        <v>no</v>
      </c>
      <c r="T64">
        <v>5</v>
      </c>
      <c r="U64">
        <v>8</v>
      </c>
      <c r="V64" t="b">
        <v>1</v>
      </c>
      <c r="W64" s="72"/>
      <c r="X64" t="s">
        <v>491</v>
      </c>
      <c r="Y64">
        <v>1</v>
      </c>
      <c r="Z64">
        <v>110</v>
      </c>
      <c r="AA64">
        <v>100</v>
      </c>
      <c r="AB64" s="75">
        <f ca="1">INDIRECT(ADDRESS(11+(MATCH(RIGHT(Table39[[#This Row],[spawner_sku]],LEN(Table39[[#This Row],[spawner_sku]])-FIND("/",Table39[[#This Row],[spawner_sku]])),Table1[Entity Prefab],0)),10,1,1,"Entities"))</f>
        <v>25</v>
      </c>
      <c r="AC64" s="75">
        <f ca="1">ROUND((Table39[[#This Row],[XP]]*Table39[[#This Row],[entity_spawned (AVG)]])*(Table39[[#This Row],[activating_chance]]/100),0)</f>
        <v>25</v>
      </c>
      <c r="AD64" t="str">
        <f ca="1">INDIRECT(ADDRESS(11+(MATCH(RIGHT(Table39[[#This Row],[spawner_sku]],LEN(Table39[[#This Row],[spawner_sku]])-FIND("/",Table39[[#This Row],[spawner_sku]])),Table28[Entity Prefab],0)),24,1,1,"Entities"))</f>
        <v>no</v>
      </c>
      <c r="AE64">
        <v>1</v>
      </c>
      <c r="AF64">
        <v>1</v>
      </c>
      <c r="AG64" t="b">
        <v>0</v>
      </c>
      <c r="AI64" t="s">
        <v>228</v>
      </c>
      <c r="AJ64">
        <v>2</v>
      </c>
      <c r="AK64">
        <v>110</v>
      </c>
      <c r="AL64">
        <v>80</v>
      </c>
      <c r="AM64" s="75">
        <f ca="1">INDIRECT(ADDRESS(11+(MATCH(RIGHT(Table2[[#This Row],[spawner_sku]],LEN(Table2[[#This Row],[spawner_sku]])-FIND("/",Table2[[#This Row],[spawner_sku]])),Table1[Entity Prefab],0)),10,1,1,"Entities"))</f>
        <v>25</v>
      </c>
      <c r="AN64" s="75">
        <f ca="1">ROUND((Table2[[#This Row],[XP]]*Table2[[#This Row],[entity_spawned (AVG)]])*(Table2[[#This Row],[activating_chance]]/100),0)</f>
        <v>40</v>
      </c>
      <c r="AO6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64" s="72">
        <v>1</v>
      </c>
      <c r="AQ64" s="72">
        <v>3</v>
      </c>
      <c r="AR64" s="72" t="b">
        <v>0</v>
      </c>
      <c r="AT64" t="s">
        <v>395</v>
      </c>
      <c r="AU64">
        <v>3.5</v>
      </c>
      <c r="AV64">
        <v>200</v>
      </c>
      <c r="AW64">
        <v>100</v>
      </c>
      <c r="AX64" s="75">
        <f ca="1">INDIRECT(ADDRESS(11+(MATCH(RIGHT(Table6[[#This Row],[spawner_sku]],LEN(Table6[[#This Row],[spawner_sku]])-FIND("/",Table6[[#This Row],[spawner_sku]])),Table1[Entity Prefab],0)),10,1,1,"Entities"))</f>
        <v>25</v>
      </c>
      <c r="AY64" s="75">
        <f ca="1">ROUND((Table6[[#This Row],[XP]]*Table6[[#This Row],[entity_spawned (AVG)]])*(Table6[[#This Row],[activating_chance]]/100),0)</f>
        <v>88</v>
      </c>
      <c r="AZ64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64">
        <v>3</v>
      </c>
      <c r="BB64">
        <v>4</v>
      </c>
      <c r="BC64" t="b">
        <v>0</v>
      </c>
      <c r="BE64" t="s">
        <v>231</v>
      </c>
      <c r="BF64">
        <v>1</v>
      </c>
      <c r="BG64">
        <v>5000</v>
      </c>
      <c r="BH64">
        <v>90</v>
      </c>
      <c r="BI64" s="75">
        <f ca="1">INDIRECT(ADDRESS(11+(MATCH(RIGHT(Table610[[#This Row],[spawner_sku]],LEN(Table610[[#This Row],[spawner_sku]])-FIND("/",Table610[[#This Row],[spawner_sku]])),Table1[Entity Prefab],0)),10,1,1,"Entities"))</f>
        <v>75</v>
      </c>
      <c r="BJ64" s="75">
        <f ca="1">ROUND((Table610[[#This Row],[XP]]*Table610[[#This Row],[entity_spawned (AVG)]])*(Table610[[#This Row],[activating_chance]]/100),0)</f>
        <v>68</v>
      </c>
      <c r="BK64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64">
        <v>1</v>
      </c>
      <c r="BM64">
        <v>1</v>
      </c>
      <c r="BN64" t="b">
        <v>0</v>
      </c>
      <c r="BP64" t="s">
        <v>228</v>
      </c>
      <c r="BQ64">
        <v>3.5</v>
      </c>
      <c r="BR64">
        <v>200</v>
      </c>
      <c r="BS64">
        <v>100</v>
      </c>
      <c r="BT6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64" s="75">
        <f ca="1">ROUND((Table61011[[#This Row],[XP]]*Table61011[[#This Row],[entity_spawned (AVG)]])*(Table61011[[#This Row],[activating_chance]]/100),0)</f>
        <v>88</v>
      </c>
      <c r="BV6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4" s="72">
        <v>3</v>
      </c>
      <c r="BX64" s="72">
        <v>4</v>
      </c>
      <c r="BY64" s="72" t="b">
        <v>0</v>
      </c>
      <c r="CA64" t="s">
        <v>228</v>
      </c>
      <c r="CB64">
        <v>7.5</v>
      </c>
      <c r="CC64">
        <v>180</v>
      </c>
      <c r="CD64">
        <v>100</v>
      </c>
      <c r="CE64" s="75">
        <f ca="1">INDIRECT(ADDRESS(11+(MATCH(RIGHT(Table11[[#This Row],[spawner_sku]],LEN(Table11[[#This Row],[spawner_sku]])-FIND("/",Table11[[#This Row],[spawner_sku]])),Table1[Entity Prefab],0)),10,1,1,"Entities"))</f>
        <v>25</v>
      </c>
      <c r="CF64">
        <f ca="1">ROUND((Table11[[#This Row],[XP]]*Table11[[#This Row],[entity_spawned (AVG)]])*(Table11[[#This Row],[activating_chance]]/100),0)</f>
        <v>188</v>
      </c>
      <c r="CG64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64" s="72">
        <v>6</v>
      </c>
      <c r="CI64" s="72">
        <v>9</v>
      </c>
      <c r="CJ64" s="72" t="b">
        <v>1</v>
      </c>
      <c r="CL64" t="s">
        <v>242</v>
      </c>
      <c r="CM64">
        <v>1</v>
      </c>
      <c r="CN64">
        <v>1500</v>
      </c>
      <c r="CO64">
        <v>80</v>
      </c>
      <c r="CP64" s="75">
        <f ca="1">INDIRECT(ADDRESS(11+(MATCH(RIGHT(Table12[[#This Row],[spawner_sku]],LEN(Table12[[#This Row],[spawner_sku]])-FIND("/",Table12[[#This Row],[spawner_sku]])),Table1[Entity Prefab],0)),10,1,1,"Entities"))</f>
        <v>130</v>
      </c>
      <c r="CQ64" s="75">
        <f ca="1">ROUND((Table12[[#This Row],[XP]]*Table12[[#This Row],[entity_spawned (AVG)]])*(Table12[[#This Row],[activating_chance]]/100),0)</f>
        <v>104</v>
      </c>
      <c r="CR64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64" s="72">
        <v>1</v>
      </c>
      <c r="CT64" s="72">
        <v>1</v>
      </c>
      <c r="CU64" s="72" t="b">
        <v>0</v>
      </c>
      <c r="CW64" t="s">
        <v>232</v>
      </c>
      <c r="CX64">
        <v>1</v>
      </c>
      <c r="CY64">
        <v>250</v>
      </c>
      <c r="CZ64">
        <v>100</v>
      </c>
      <c r="DA64" s="75">
        <f ca="1">INDIRECT(ADDRESS(11+(MATCH(RIGHT(Table13[[#This Row],[spawner_sku]],LEN(Table13[[#This Row],[spawner_sku]])-FIND("/",Table13[[#This Row],[spawner_sku]])),Table1[Entity Prefab],0)),10,1,1,"Entities"))</f>
        <v>143</v>
      </c>
      <c r="DB64" s="75">
        <f ca="1">ROUND((Table13[[#This Row],[XP]]*Table13[[#This Row],[entity_spawned (AVG)]])*(Table13[[#This Row],[activating_chance]]/100),0)</f>
        <v>143</v>
      </c>
      <c r="DC64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64" s="72">
        <v>1</v>
      </c>
      <c r="DE64" s="72">
        <v>1</v>
      </c>
      <c r="DF64" s="72" t="b">
        <v>0</v>
      </c>
      <c r="DH64" t="s">
        <v>227</v>
      </c>
      <c r="DI64">
        <v>3.5</v>
      </c>
      <c r="DJ64">
        <v>130</v>
      </c>
      <c r="DK64">
        <v>100</v>
      </c>
      <c r="DL64" s="75">
        <f ca="1">INDIRECT(ADDRESS(11+(MATCH(RIGHT(Table14[[#This Row],[spawner_sku]],LEN(Table14[[#This Row],[spawner_sku]])-FIND("/",Table14[[#This Row],[spawner_sku]])),Table1[Entity Prefab],0)),10,1,1,"Entities"))</f>
        <v>25</v>
      </c>
      <c r="DM64" s="75">
        <f ca="1">ROUND((Table14[[#This Row],[XP]]*Table14[[#This Row],[entity_spawned (AVG)]])*(Table14[[#This Row],[activating_chance]]/100),0)</f>
        <v>88</v>
      </c>
      <c r="DN6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64" s="72">
        <v>3</v>
      </c>
      <c r="DP64" s="72">
        <v>4</v>
      </c>
      <c r="DQ64" s="72" t="b">
        <v>0</v>
      </c>
      <c r="DS64" t="s">
        <v>227</v>
      </c>
      <c r="DT64">
        <v>2</v>
      </c>
      <c r="DU64">
        <v>140</v>
      </c>
      <c r="DV64">
        <v>80</v>
      </c>
      <c r="DW64" s="75">
        <f ca="1">INDIRECT(ADDRESS(11+(MATCH(RIGHT(Table18[[#This Row],[spawner_sku]],LEN(Table18[[#This Row],[spawner_sku]])-FIND("/",Table18[[#This Row],[spawner_sku]])),Table1[Entity Prefab],0)),10,1,1,"Entities"))</f>
        <v>25</v>
      </c>
      <c r="DX64" s="75">
        <f ca="1">ROUND((Table18[[#This Row],[XP]]*Table18[[#This Row],[entity_spawned (AVG)]])*(Table18[[#This Row],[activating_chance]]/100),0)</f>
        <v>40</v>
      </c>
      <c r="DY6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64">
        <v>2</v>
      </c>
      <c r="EA64">
        <v>3</v>
      </c>
      <c r="EB64" t="b">
        <v>0</v>
      </c>
      <c r="ED64" t="s">
        <v>227</v>
      </c>
      <c r="EE64">
        <v>2</v>
      </c>
      <c r="EF64">
        <v>140</v>
      </c>
      <c r="EG64">
        <v>80</v>
      </c>
      <c r="EH64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64" s="75">
        <f ca="1">ROUND((Table1820[[#This Row],[XP]]*Table1820[[#This Row],[entity_spawned (AVG)]])*(Table1820[[#This Row],[activating_chance]]/100),0)</f>
        <v>40</v>
      </c>
      <c r="EJ6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64">
        <v>2</v>
      </c>
      <c r="EL64">
        <v>3</v>
      </c>
      <c r="EM64" t="b">
        <v>0</v>
      </c>
      <c r="EO64" t="s">
        <v>7345</v>
      </c>
      <c r="EP64">
        <v>1.5</v>
      </c>
      <c r="EQ64">
        <v>60</v>
      </c>
      <c r="ER64">
        <v>100</v>
      </c>
      <c r="ES64" s="75">
        <f ca="1">INDIRECT(ADDRESS(11+(MATCH(RIGHT(Table182023[[#This Row],[spawner_sku]],LEN(Table182023[[#This Row],[spawner_sku]])-FIND("/",Table182023[[#This Row],[spawner_sku]])),Table1[Entity Prefab],0)),10,1,1,"Entities"))</f>
        <v>143</v>
      </c>
      <c r="ET64" s="75">
        <f ca="1">ROUND((Table182023[[#This Row],[XP]]*Table182023[[#This Row],[entity_spawned (AVG)]])*(Table182023[[#This Row],[activating_chance]]/100),0)</f>
        <v>215</v>
      </c>
      <c r="EU64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64" s="152">
        <v>1</v>
      </c>
      <c r="EW64" s="152">
        <v>2</v>
      </c>
      <c r="EX64" s="152" t="b">
        <v>0</v>
      </c>
      <c r="EZ64" t="s">
        <v>7344</v>
      </c>
      <c r="FA64">
        <v>1</v>
      </c>
      <c r="FB64">
        <v>90</v>
      </c>
      <c r="FC64">
        <v>100</v>
      </c>
      <c r="FD64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64" s="75">
        <f ca="1">ROUND((Table18202324[[#This Row],[XP]]*Table18202324[[#This Row],[entity_spawned (AVG)]])*(Table18202324[[#This Row],[activating_chance]]/100),0)</f>
        <v>25</v>
      </c>
      <c r="FF64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64">
        <v>1</v>
      </c>
      <c r="FH64">
        <v>1</v>
      </c>
      <c r="FI64" t="b">
        <v>0</v>
      </c>
    </row>
    <row r="65" spans="2:165" x14ac:dyDescent="0.25">
      <c r="B65" s="73" t="s">
        <v>228</v>
      </c>
      <c r="C65">
        <v>2</v>
      </c>
      <c r="D65">
        <v>130</v>
      </c>
      <c r="E65">
        <v>100</v>
      </c>
      <c r="F65" s="75">
        <f ca="1">INDIRECT(ADDRESS(11+(MATCH(RIGHT(Table245[[#This Row],[spawner_sku]],LEN(Table245[[#This Row],[spawner_sku]])-FIND("/",Table245[[#This Row],[spawner_sku]])),Table1[Entity Prefab],0)),10,1,1,"Entities"))</f>
        <v>25</v>
      </c>
      <c r="G65" s="75">
        <f ca="1">ROUND((Table245[[#This Row],[XP]]*Table245[[#This Row],[entity_spawned (AVG)]])*(Table245[[#This Row],[activating_chance]]/100),0)</f>
        <v>50</v>
      </c>
      <c r="H6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5" s="72">
        <v>1</v>
      </c>
      <c r="J65" s="72">
        <v>3</v>
      </c>
      <c r="K65" s="72" t="b">
        <v>0</v>
      </c>
      <c r="M65" t="s">
        <v>229</v>
      </c>
      <c r="N65">
        <v>6.5</v>
      </c>
      <c r="O65">
        <v>140</v>
      </c>
      <c r="P65">
        <v>100</v>
      </c>
      <c r="Q65" s="75">
        <f ca="1">INDIRECT(ADDRESS(11+(MATCH(RIGHT(Table3[[#This Row],[spawner_sku]],LEN(Table3[[#This Row],[spawner_sku]])-FIND("/",Table3[[#This Row],[spawner_sku]])),Table1[Entity Prefab],0)),10,1,1,"Entities"))</f>
        <v>25</v>
      </c>
      <c r="R65" s="75">
        <f ca="1">ROUND((Table3[[#This Row],[XP]]*Table3[[#This Row],[entity_spawned (AVG)]])*(Table3[[#This Row],[activating_chance]]/100),0)</f>
        <v>163</v>
      </c>
      <c r="S65" t="str">
        <f ca="1">INDIRECT(ADDRESS(11+(MATCH(RIGHT(Table3[[#This Row],[spawner_sku]],LEN(Table3[[#This Row],[spawner_sku]])-FIND("/",Table3[[#This Row],[spawner_sku]])),Table28[Entity Prefab],0)),24,1,1,"Entities"))</f>
        <v>no</v>
      </c>
      <c r="T65">
        <v>5</v>
      </c>
      <c r="U65">
        <v>8</v>
      </c>
      <c r="V65" t="b">
        <v>1</v>
      </c>
      <c r="W65" s="72"/>
      <c r="X65" t="s">
        <v>492</v>
      </c>
      <c r="Y65">
        <v>1</v>
      </c>
      <c r="Z65">
        <v>110</v>
      </c>
      <c r="AA65">
        <v>100</v>
      </c>
      <c r="AB65" s="75">
        <f ca="1">INDIRECT(ADDRESS(11+(MATCH(RIGHT(Table39[[#This Row],[spawner_sku]],LEN(Table39[[#This Row],[spawner_sku]])-FIND("/",Table39[[#This Row],[spawner_sku]])),Table1[Entity Prefab],0)),10,1,1,"Entities"))</f>
        <v>75</v>
      </c>
      <c r="AC65" s="75">
        <f ca="1">ROUND((Table39[[#This Row],[XP]]*Table39[[#This Row],[entity_spawned (AVG)]])*(Table39[[#This Row],[activating_chance]]/100),0)</f>
        <v>75</v>
      </c>
      <c r="AD65" t="str">
        <f ca="1">INDIRECT(ADDRESS(11+(MATCH(RIGHT(Table39[[#This Row],[spawner_sku]],LEN(Table39[[#This Row],[spawner_sku]])-FIND("/",Table39[[#This Row],[spawner_sku]])),Table28[Entity Prefab],0)),24,1,1,"Entities"))</f>
        <v>no</v>
      </c>
      <c r="AE65">
        <v>1</v>
      </c>
      <c r="AF65">
        <v>1</v>
      </c>
      <c r="AG65" t="b">
        <v>0</v>
      </c>
      <c r="AI65" t="s">
        <v>228</v>
      </c>
      <c r="AJ65">
        <v>1</v>
      </c>
      <c r="AK65">
        <v>160</v>
      </c>
      <c r="AL65">
        <v>100</v>
      </c>
      <c r="AM65" s="75">
        <f ca="1">INDIRECT(ADDRESS(11+(MATCH(RIGHT(Table2[[#This Row],[spawner_sku]],LEN(Table2[[#This Row],[spawner_sku]])-FIND("/",Table2[[#This Row],[spawner_sku]])),Table1[Entity Prefab],0)),10,1,1,"Entities"))</f>
        <v>25</v>
      </c>
      <c r="AN65" s="75">
        <f ca="1">ROUND((Table2[[#This Row],[XP]]*Table2[[#This Row],[entity_spawned (AVG)]])*(Table2[[#This Row],[activating_chance]]/100),0)</f>
        <v>25</v>
      </c>
      <c r="AO6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65" s="72">
        <v>1</v>
      </c>
      <c r="AQ65" s="72">
        <v>1</v>
      </c>
      <c r="AR65" s="72" t="b">
        <v>0</v>
      </c>
      <c r="AT65" t="s">
        <v>395</v>
      </c>
      <c r="AU65">
        <v>7</v>
      </c>
      <c r="AV65">
        <v>200</v>
      </c>
      <c r="AW65">
        <v>30</v>
      </c>
      <c r="AX65" s="75">
        <f ca="1">INDIRECT(ADDRESS(11+(MATCH(RIGHT(Table6[[#This Row],[spawner_sku]],LEN(Table6[[#This Row],[spawner_sku]])-FIND("/",Table6[[#This Row],[spawner_sku]])),Table1[Entity Prefab],0)),10,1,1,"Entities"))</f>
        <v>25</v>
      </c>
      <c r="AY65" s="75">
        <f ca="1">ROUND((Table6[[#This Row],[XP]]*Table6[[#This Row],[entity_spawned (AVG)]])*(Table6[[#This Row],[activating_chance]]/100),0)</f>
        <v>53</v>
      </c>
      <c r="AZ65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65">
        <v>5</v>
      </c>
      <c r="BB65">
        <v>9</v>
      </c>
      <c r="BC65" t="b">
        <v>1</v>
      </c>
      <c r="BE65" t="s">
        <v>232</v>
      </c>
      <c r="BF65">
        <v>1</v>
      </c>
      <c r="BG65">
        <v>250</v>
      </c>
      <c r="BH65">
        <v>100</v>
      </c>
      <c r="BI65" s="75">
        <f ca="1">INDIRECT(ADDRESS(11+(MATCH(RIGHT(Table610[[#This Row],[spawner_sku]],LEN(Table610[[#This Row],[spawner_sku]])-FIND("/",Table610[[#This Row],[spawner_sku]])),Table1[Entity Prefab],0)),10,1,1,"Entities"))</f>
        <v>143</v>
      </c>
      <c r="BJ65" s="75">
        <f ca="1">ROUND((Table610[[#This Row],[XP]]*Table610[[#This Row],[entity_spawned (AVG)]])*(Table610[[#This Row],[activating_chance]]/100),0)</f>
        <v>143</v>
      </c>
      <c r="BK65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65">
        <v>1</v>
      </c>
      <c r="BM65">
        <v>1</v>
      </c>
      <c r="BN65" t="b">
        <v>0</v>
      </c>
      <c r="BP65" t="s">
        <v>228</v>
      </c>
      <c r="BQ65">
        <v>3.5</v>
      </c>
      <c r="BR65">
        <v>160</v>
      </c>
      <c r="BS65">
        <v>100</v>
      </c>
      <c r="BT6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65" s="75">
        <f ca="1">ROUND((Table61011[[#This Row],[XP]]*Table61011[[#This Row],[entity_spawned (AVG)]])*(Table61011[[#This Row],[activating_chance]]/100),0)</f>
        <v>88</v>
      </c>
      <c r="BV6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5" s="72">
        <v>3</v>
      </c>
      <c r="BX65" s="72">
        <v>4</v>
      </c>
      <c r="BY65" s="72" t="b">
        <v>0</v>
      </c>
      <c r="CA65" t="s">
        <v>228</v>
      </c>
      <c r="CB65">
        <v>3.5</v>
      </c>
      <c r="CC65">
        <v>180</v>
      </c>
      <c r="CD65">
        <v>80</v>
      </c>
      <c r="CE65" s="75">
        <f ca="1">INDIRECT(ADDRESS(11+(MATCH(RIGHT(Table11[[#This Row],[spawner_sku]],LEN(Table11[[#This Row],[spawner_sku]])-FIND("/",Table11[[#This Row],[spawner_sku]])),Table1[Entity Prefab],0)),10,1,1,"Entities"))</f>
        <v>25</v>
      </c>
      <c r="CF65">
        <f ca="1">ROUND((Table11[[#This Row],[XP]]*Table11[[#This Row],[entity_spawned (AVG)]])*(Table11[[#This Row],[activating_chance]]/100),0)</f>
        <v>70</v>
      </c>
      <c r="CG65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65" s="72">
        <v>3</v>
      </c>
      <c r="CI65" s="72">
        <v>4</v>
      </c>
      <c r="CJ65" s="72" t="b">
        <v>0</v>
      </c>
      <c r="CL65" t="s">
        <v>242</v>
      </c>
      <c r="CM65">
        <v>1</v>
      </c>
      <c r="CN65">
        <v>1500</v>
      </c>
      <c r="CO65">
        <v>100</v>
      </c>
      <c r="CP65" s="75">
        <f ca="1">INDIRECT(ADDRESS(11+(MATCH(RIGHT(Table12[[#This Row],[spawner_sku]],LEN(Table12[[#This Row],[spawner_sku]])-FIND("/",Table12[[#This Row],[spawner_sku]])),Table1[Entity Prefab],0)),10,1,1,"Entities"))</f>
        <v>130</v>
      </c>
      <c r="CQ65" s="75">
        <f ca="1">ROUND((Table12[[#This Row],[XP]]*Table12[[#This Row],[entity_spawned (AVG)]])*(Table12[[#This Row],[activating_chance]]/100),0)</f>
        <v>130</v>
      </c>
      <c r="CR65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65" s="72">
        <v>1</v>
      </c>
      <c r="CT65" s="72">
        <v>1</v>
      </c>
      <c r="CU65" s="72" t="b">
        <v>0</v>
      </c>
      <c r="CW65" t="s">
        <v>232</v>
      </c>
      <c r="CX65">
        <v>1</v>
      </c>
      <c r="CY65">
        <v>250</v>
      </c>
      <c r="CZ65">
        <v>100</v>
      </c>
      <c r="DA65" s="75">
        <f ca="1">INDIRECT(ADDRESS(11+(MATCH(RIGHT(Table13[[#This Row],[spawner_sku]],LEN(Table13[[#This Row],[spawner_sku]])-FIND("/",Table13[[#This Row],[spawner_sku]])),Table1[Entity Prefab],0)),10,1,1,"Entities"))</f>
        <v>143</v>
      </c>
      <c r="DB65" s="75">
        <f ca="1">ROUND((Table13[[#This Row],[XP]]*Table13[[#This Row],[entity_spawned (AVG)]])*(Table13[[#This Row],[activating_chance]]/100),0)</f>
        <v>143</v>
      </c>
      <c r="DC65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65" s="72">
        <v>1</v>
      </c>
      <c r="DE65" s="72">
        <v>1</v>
      </c>
      <c r="DF65" s="72" t="b">
        <v>0</v>
      </c>
      <c r="DH65" t="s">
        <v>227</v>
      </c>
      <c r="DI65">
        <v>3.5</v>
      </c>
      <c r="DJ65">
        <v>150</v>
      </c>
      <c r="DK65">
        <v>30</v>
      </c>
      <c r="DL65" s="75">
        <f ca="1">INDIRECT(ADDRESS(11+(MATCH(RIGHT(Table14[[#This Row],[spawner_sku]],LEN(Table14[[#This Row],[spawner_sku]])-FIND("/",Table14[[#This Row],[spawner_sku]])),Table1[Entity Prefab],0)),10,1,1,"Entities"))</f>
        <v>25</v>
      </c>
      <c r="DM65" s="75">
        <f ca="1">ROUND((Table14[[#This Row],[XP]]*Table14[[#This Row],[entity_spawned (AVG)]])*(Table14[[#This Row],[activating_chance]]/100),0)</f>
        <v>26</v>
      </c>
      <c r="DN6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65" s="72">
        <v>3</v>
      </c>
      <c r="DP65" s="72">
        <v>4</v>
      </c>
      <c r="DQ65" s="72" t="b">
        <v>0</v>
      </c>
      <c r="DS65" t="s">
        <v>227</v>
      </c>
      <c r="DT65">
        <v>10</v>
      </c>
      <c r="DU65">
        <v>160</v>
      </c>
      <c r="DV65">
        <v>100</v>
      </c>
      <c r="DW65" s="75">
        <f ca="1">INDIRECT(ADDRESS(11+(MATCH(RIGHT(Table18[[#This Row],[spawner_sku]],LEN(Table18[[#This Row],[spawner_sku]])-FIND("/",Table18[[#This Row],[spawner_sku]])),Table1[Entity Prefab],0)),10,1,1,"Entities"))</f>
        <v>25</v>
      </c>
      <c r="DX65" s="75">
        <f ca="1">ROUND((Table18[[#This Row],[XP]]*Table18[[#This Row],[entity_spawned (AVG)]])*(Table18[[#This Row],[activating_chance]]/100),0)</f>
        <v>250</v>
      </c>
      <c r="DY6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65">
        <v>8</v>
      </c>
      <c r="EA65">
        <v>12</v>
      </c>
      <c r="EB65" t="b">
        <v>1</v>
      </c>
      <c r="ED65" t="s">
        <v>227</v>
      </c>
      <c r="EE65">
        <v>3</v>
      </c>
      <c r="EF65">
        <v>140</v>
      </c>
      <c r="EG65">
        <v>100</v>
      </c>
      <c r="EH65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65" s="75">
        <f ca="1">ROUND((Table1820[[#This Row],[XP]]*Table1820[[#This Row],[entity_spawned (AVG)]])*(Table1820[[#This Row],[activating_chance]]/100),0)</f>
        <v>75</v>
      </c>
      <c r="EJ6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65">
        <v>3</v>
      </c>
      <c r="EL65">
        <v>4</v>
      </c>
      <c r="EM65" t="b">
        <v>0</v>
      </c>
      <c r="EO65" t="s">
        <v>7345</v>
      </c>
      <c r="EP65">
        <v>2.5</v>
      </c>
      <c r="EQ65">
        <v>70</v>
      </c>
      <c r="ER65">
        <v>100</v>
      </c>
      <c r="ES65" s="75">
        <f ca="1">INDIRECT(ADDRESS(11+(MATCH(RIGHT(Table182023[[#This Row],[spawner_sku]],LEN(Table182023[[#This Row],[spawner_sku]])-FIND("/",Table182023[[#This Row],[spawner_sku]])),Table1[Entity Prefab],0)),10,1,1,"Entities"))</f>
        <v>143</v>
      </c>
      <c r="ET65" s="75">
        <f ca="1">ROUND((Table182023[[#This Row],[XP]]*Table182023[[#This Row],[entity_spawned (AVG)]])*(Table182023[[#This Row],[activating_chance]]/100),0)</f>
        <v>358</v>
      </c>
      <c r="EU65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65" s="152">
        <v>2</v>
      </c>
      <c r="EW65" s="152">
        <v>3</v>
      </c>
      <c r="EX65" s="152" t="b">
        <v>0</v>
      </c>
      <c r="EZ65" t="s">
        <v>7344</v>
      </c>
      <c r="FA65">
        <v>1</v>
      </c>
      <c r="FB65">
        <v>90</v>
      </c>
      <c r="FC65">
        <v>100</v>
      </c>
      <c r="FD65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65" s="75">
        <f ca="1">ROUND((Table18202324[[#This Row],[XP]]*Table18202324[[#This Row],[entity_spawned (AVG)]])*(Table18202324[[#This Row],[activating_chance]]/100),0)</f>
        <v>25</v>
      </c>
      <c r="FF65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65">
        <v>1</v>
      </c>
      <c r="FH65">
        <v>1</v>
      </c>
      <c r="FI65" t="b">
        <v>0</v>
      </c>
    </row>
    <row r="66" spans="2:165" x14ac:dyDescent="0.25">
      <c r="B66" s="73" t="s">
        <v>228</v>
      </c>
      <c r="C66">
        <v>7.5</v>
      </c>
      <c r="D66">
        <v>180</v>
      </c>
      <c r="E66">
        <v>100</v>
      </c>
      <c r="F66" s="75">
        <f ca="1">INDIRECT(ADDRESS(11+(MATCH(RIGHT(Table245[[#This Row],[spawner_sku]],LEN(Table245[[#This Row],[spawner_sku]])-FIND("/",Table245[[#This Row],[spawner_sku]])),Table1[Entity Prefab],0)),10,1,1,"Entities"))</f>
        <v>25</v>
      </c>
      <c r="G66" s="75">
        <f ca="1">ROUND((Table245[[#This Row],[XP]]*Table245[[#This Row],[entity_spawned (AVG)]])*(Table245[[#This Row],[activating_chance]]/100),0)</f>
        <v>188</v>
      </c>
      <c r="H6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6" s="72">
        <v>5</v>
      </c>
      <c r="J66" s="72">
        <v>10</v>
      </c>
      <c r="K66" s="72" t="b">
        <v>1</v>
      </c>
      <c r="M66" t="s">
        <v>229</v>
      </c>
      <c r="N66">
        <v>8</v>
      </c>
      <c r="O66">
        <v>170</v>
      </c>
      <c r="P66">
        <v>100</v>
      </c>
      <c r="Q66" s="75">
        <f ca="1">INDIRECT(ADDRESS(11+(MATCH(RIGHT(Table3[[#This Row],[spawner_sku]],LEN(Table3[[#This Row],[spawner_sku]])-FIND("/",Table3[[#This Row],[spawner_sku]])),Table1[Entity Prefab],0)),10,1,1,"Entities"))</f>
        <v>25</v>
      </c>
      <c r="R66" s="75">
        <f ca="1">ROUND((Table3[[#This Row],[XP]]*Table3[[#This Row],[entity_spawned (AVG)]])*(Table3[[#This Row],[activating_chance]]/100),0)</f>
        <v>200</v>
      </c>
      <c r="S66" t="str">
        <f ca="1">INDIRECT(ADDRESS(11+(MATCH(RIGHT(Table3[[#This Row],[spawner_sku]],LEN(Table3[[#This Row],[spawner_sku]])-FIND("/",Table3[[#This Row],[spawner_sku]])),Table28[Entity Prefab],0)),24,1,1,"Entities"))</f>
        <v>no</v>
      </c>
      <c r="T66">
        <v>6</v>
      </c>
      <c r="U66">
        <v>10</v>
      </c>
      <c r="V66" t="b">
        <v>1</v>
      </c>
      <c r="W66" s="72"/>
      <c r="X66" t="s">
        <v>396</v>
      </c>
      <c r="Y66">
        <v>1</v>
      </c>
      <c r="Z66">
        <v>140</v>
      </c>
      <c r="AA66">
        <v>100</v>
      </c>
      <c r="AB66" s="75">
        <f ca="1">INDIRECT(ADDRESS(11+(MATCH(RIGHT(Table39[[#This Row],[spawner_sku]],LEN(Table39[[#This Row],[spawner_sku]])-FIND("/",Table39[[#This Row],[spawner_sku]])),Table1[Entity Prefab],0)),10,1,1,"Entities"))</f>
        <v>25</v>
      </c>
      <c r="AC66" s="75">
        <f ca="1">ROUND((Table39[[#This Row],[XP]]*Table39[[#This Row],[entity_spawned (AVG)]])*(Table39[[#This Row],[activating_chance]]/100),0)</f>
        <v>25</v>
      </c>
      <c r="AD66" t="str">
        <f ca="1">INDIRECT(ADDRESS(11+(MATCH(RIGHT(Table39[[#This Row],[spawner_sku]],LEN(Table39[[#This Row],[spawner_sku]])-FIND("/",Table39[[#This Row],[spawner_sku]])),Table28[Entity Prefab],0)),24,1,1,"Entities"))</f>
        <v>no</v>
      </c>
      <c r="AE66">
        <v>1</v>
      </c>
      <c r="AF66">
        <v>1</v>
      </c>
      <c r="AG66" t="b">
        <v>0</v>
      </c>
      <c r="AI66" t="s">
        <v>228</v>
      </c>
      <c r="AJ66">
        <v>2</v>
      </c>
      <c r="AK66">
        <v>120</v>
      </c>
      <c r="AL66">
        <v>100</v>
      </c>
      <c r="AM66" s="75">
        <f ca="1">INDIRECT(ADDRESS(11+(MATCH(RIGHT(Table2[[#This Row],[spawner_sku]],LEN(Table2[[#This Row],[spawner_sku]])-FIND("/",Table2[[#This Row],[spawner_sku]])),Table1[Entity Prefab],0)),10,1,1,"Entities"))</f>
        <v>25</v>
      </c>
      <c r="AN66" s="75">
        <f ca="1">ROUND((Table2[[#This Row],[XP]]*Table2[[#This Row],[entity_spawned (AVG)]])*(Table2[[#This Row],[activating_chance]]/100),0)</f>
        <v>50</v>
      </c>
      <c r="AO6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66" s="72">
        <v>1</v>
      </c>
      <c r="AQ66" s="72">
        <v>3</v>
      </c>
      <c r="AR66" s="72" t="b">
        <v>0</v>
      </c>
      <c r="AT66" t="s">
        <v>395</v>
      </c>
      <c r="AU66">
        <v>7</v>
      </c>
      <c r="AV66">
        <v>200</v>
      </c>
      <c r="AW66">
        <v>30</v>
      </c>
      <c r="AX66" s="75">
        <f ca="1">INDIRECT(ADDRESS(11+(MATCH(RIGHT(Table6[[#This Row],[spawner_sku]],LEN(Table6[[#This Row],[spawner_sku]])-FIND("/",Table6[[#This Row],[spawner_sku]])),Table1[Entity Prefab],0)),10,1,1,"Entities"))</f>
        <v>25</v>
      </c>
      <c r="AY66" s="75">
        <f ca="1">ROUND((Table6[[#This Row],[XP]]*Table6[[#This Row],[entity_spawned (AVG)]])*(Table6[[#This Row],[activating_chance]]/100),0)</f>
        <v>53</v>
      </c>
      <c r="AZ66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66">
        <v>5</v>
      </c>
      <c r="BB66">
        <v>9</v>
      </c>
      <c r="BC66" t="b">
        <v>1</v>
      </c>
      <c r="BE66" t="s">
        <v>232</v>
      </c>
      <c r="BF66">
        <v>1</v>
      </c>
      <c r="BG66">
        <v>250</v>
      </c>
      <c r="BH66">
        <v>50</v>
      </c>
      <c r="BI66" s="75">
        <f ca="1">INDIRECT(ADDRESS(11+(MATCH(RIGHT(Table610[[#This Row],[spawner_sku]],LEN(Table610[[#This Row],[spawner_sku]])-FIND("/",Table610[[#This Row],[spawner_sku]])),Table1[Entity Prefab],0)),10,1,1,"Entities"))</f>
        <v>143</v>
      </c>
      <c r="BJ66" s="75">
        <f ca="1">ROUND((Table610[[#This Row],[XP]]*Table610[[#This Row],[entity_spawned (AVG)]])*(Table610[[#This Row],[activating_chance]]/100),0)</f>
        <v>72</v>
      </c>
      <c r="BK66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66">
        <v>1</v>
      </c>
      <c r="BM66">
        <v>1</v>
      </c>
      <c r="BN66" t="b">
        <v>0</v>
      </c>
      <c r="BP66" t="s">
        <v>228</v>
      </c>
      <c r="BQ66">
        <v>5</v>
      </c>
      <c r="BR66">
        <v>220</v>
      </c>
      <c r="BS66">
        <v>100</v>
      </c>
      <c r="BT6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66" s="75">
        <f ca="1">ROUND((Table61011[[#This Row],[XP]]*Table61011[[#This Row],[entity_spawned (AVG)]])*(Table61011[[#This Row],[activating_chance]]/100),0)</f>
        <v>125</v>
      </c>
      <c r="BV6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6" s="72">
        <v>5</v>
      </c>
      <c r="BX66" s="72">
        <v>5</v>
      </c>
      <c r="BY66" s="72" t="b">
        <v>1</v>
      </c>
      <c r="CA66" t="s">
        <v>228</v>
      </c>
      <c r="CB66">
        <v>1.5</v>
      </c>
      <c r="CC66">
        <v>180</v>
      </c>
      <c r="CD66">
        <v>100</v>
      </c>
      <c r="CE66" s="75">
        <f ca="1">INDIRECT(ADDRESS(11+(MATCH(RIGHT(Table11[[#This Row],[spawner_sku]],LEN(Table11[[#This Row],[spawner_sku]])-FIND("/",Table11[[#This Row],[spawner_sku]])),Table1[Entity Prefab],0)),10,1,1,"Entities"))</f>
        <v>25</v>
      </c>
      <c r="CF66">
        <f ca="1">ROUND((Table11[[#This Row],[XP]]*Table11[[#This Row],[entity_spawned (AVG)]])*(Table11[[#This Row],[activating_chance]]/100),0)</f>
        <v>38</v>
      </c>
      <c r="CG66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66" s="72">
        <v>1</v>
      </c>
      <c r="CI66" s="72">
        <v>2</v>
      </c>
      <c r="CJ66" s="72" t="b">
        <v>0</v>
      </c>
      <c r="CL66" t="s">
        <v>243</v>
      </c>
      <c r="CM66">
        <v>1</v>
      </c>
      <c r="CN66">
        <v>200</v>
      </c>
      <c r="CO66">
        <v>100</v>
      </c>
      <c r="CP66" s="75">
        <f ca="1">INDIRECT(ADDRESS(11+(MATCH(RIGHT(Table12[[#This Row],[spawner_sku]],LEN(Table12[[#This Row],[spawner_sku]])-FIND("/",Table12[[#This Row],[spawner_sku]])),Table1[Entity Prefab],0)),10,1,1,"Entities"))</f>
        <v>28</v>
      </c>
      <c r="CQ66" s="75">
        <f ca="1">ROUND((Table12[[#This Row],[XP]]*Table12[[#This Row],[entity_spawned (AVG)]])*(Table12[[#This Row],[activating_chance]]/100),0)</f>
        <v>28</v>
      </c>
      <c r="CR66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66" s="72">
        <v>1</v>
      </c>
      <c r="CT66" s="72">
        <v>1</v>
      </c>
      <c r="CU66" s="72" t="b">
        <v>0</v>
      </c>
      <c r="CW66" t="s">
        <v>232</v>
      </c>
      <c r="CX66">
        <v>1</v>
      </c>
      <c r="CY66">
        <v>250</v>
      </c>
      <c r="CZ66">
        <v>100</v>
      </c>
      <c r="DA66" s="75">
        <f ca="1">INDIRECT(ADDRESS(11+(MATCH(RIGHT(Table13[[#This Row],[spawner_sku]],LEN(Table13[[#This Row],[spawner_sku]])-FIND("/",Table13[[#This Row],[spawner_sku]])),Table1[Entity Prefab],0)),10,1,1,"Entities"))</f>
        <v>143</v>
      </c>
      <c r="DB66" s="75">
        <f ca="1">ROUND((Table13[[#This Row],[XP]]*Table13[[#This Row],[entity_spawned (AVG)]])*(Table13[[#This Row],[activating_chance]]/100),0)</f>
        <v>143</v>
      </c>
      <c r="DC66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66" s="72">
        <v>1</v>
      </c>
      <c r="DE66" s="72">
        <v>1</v>
      </c>
      <c r="DF66" s="72" t="b">
        <v>0</v>
      </c>
      <c r="DH66" t="s">
        <v>227</v>
      </c>
      <c r="DI66">
        <v>5</v>
      </c>
      <c r="DJ66">
        <v>150</v>
      </c>
      <c r="DK66">
        <v>100</v>
      </c>
      <c r="DL66" s="75">
        <f ca="1">INDIRECT(ADDRESS(11+(MATCH(RIGHT(Table14[[#This Row],[spawner_sku]],LEN(Table14[[#This Row],[spawner_sku]])-FIND("/",Table14[[#This Row],[spawner_sku]])),Table1[Entity Prefab],0)),10,1,1,"Entities"))</f>
        <v>25</v>
      </c>
      <c r="DM66" s="75">
        <f ca="1">ROUND((Table14[[#This Row],[XP]]*Table14[[#This Row],[entity_spawned (AVG)]])*(Table14[[#This Row],[activating_chance]]/100),0)</f>
        <v>125</v>
      </c>
      <c r="DN6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66" s="72">
        <v>5</v>
      </c>
      <c r="DP66" s="72">
        <v>5</v>
      </c>
      <c r="DQ66" s="72" t="b">
        <v>1</v>
      </c>
      <c r="DS66" t="s">
        <v>227</v>
      </c>
      <c r="DT66">
        <v>3</v>
      </c>
      <c r="DU66">
        <v>140</v>
      </c>
      <c r="DV66">
        <v>100</v>
      </c>
      <c r="DW66" s="75">
        <f ca="1">INDIRECT(ADDRESS(11+(MATCH(RIGHT(Table18[[#This Row],[spawner_sku]],LEN(Table18[[#This Row],[spawner_sku]])-FIND("/",Table18[[#This Row],[spawner_sku]])),Table1[Entity Prefab],0)),10,1,1,"Entities"))</f>
        <v>25</v>
      </c>
      <c r="DX66" s="75">
        <f ca="1">ROUND((Table18[[#This Row],[XP]]*Table18[[#This Row],[entity_spawned (AVG)]])*(Table18[[#This Row],[activating_chance]]/100),0)</f>
        <v>75</v>
      </c>
      <c r="DY6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66">
        <v>3</v>
      </c>
      <c r="EA66">
        <v>4</v>
      </c>
      <c r="EB66" t="b">
        <v>0</v>
      </c>
      <c r="ED66" t="s">
        <v>227</v>
      </c>
      <c r="EE66">
        <v>2</v>
      </c>
      <c r="EF66">
        <v>140</v>
      </c>
      <c r="EG66">
        <v>30</v>
      </c>
      <c r="EH66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66" s="75">
        <f ca="1">ROUND((Table1820[[#This Row],[XP]]*Table1820[[#This Row],[entity_spawned (AVG)]])*(Table1820[[#This Row],[activating_chance]]/100),0)</f>
        <v>15</v>
      </c>
      <c r="EJ6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66">
        <v>2</v>
      </c>
      <c r="EL66">
        <v>3</v>
      </c>
      <c r="EM66" t="b">
        <v>0</v>
      </c>
      <c r="EO66" t="s">
        <v>7345</v>
      </c>
      <c r="EP66">
        <v>2.5</v>
      </c>
      <c r="EQ66">
        <v>70</v>
      </c>
      <c r="ER66">
        <v>100</v>
      </c>
      <c r="ES66" s="75">
        <f ca="1">INDIRECT(ADDRESS(11+(MATCH(RIGHT(Table182023[[#This Row],[spawner_sku]],LEN(Table182023[[#This Row],[spawner_sku]])-FIND("/",Table182023[[#This Row],[spawner_sku]])),Table1[Entity Prefab],0)),10,1,1,"Entities"))</f>
        <v>143</v>
      </c>
      <c r="ET66" s="75">
        <f ca="1">ROUND((Table182023[[#This Row],[XP]]*Table182023[[#This Row],[entity_spawned (AVG)]])*(Table182023[[#This Row],[activating_chance]]/100),0)</f>
        <v>358</v>
      </c>
      <c r="EU66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66" s="152">
        <v>2</v>
      </c>
      <c r="EW66" s="152">
        <v>3</v>
      </c>
      <c r="EX66" s="152" t="b">
        <v>0</v>
      </c>
      <c r="EZ66" t="s">
        <v>7344</v>
      </c>
      <c r="FA66">
        <v>1</v>
      </c>
      <c r="FB66">
        <v>80</v>
      </c>
      <c r="FC66">
        <v>100</v>
      </c>
      <c r="FD66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66" s="75">
        <f ca="1">ROUND((Table18202324[[#This Row],[XP]]*Table18202324[[#This Row],[entity_spawned (AVG)]])*(Table18202324[[#This Row],[activating_chance]]/100),0)</f>
        <v>25</v>
      </c>
      <c r="FF66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66">
        <v>1</v>
      </c>
      <c r="FH66">
        <v>1</v>
      </c>
      <c r="FI66" t="b">
        <v>0</v>
      </c>
    </row>
    <row r="67" spans="2:165" x14ac:dyDescent="0.25">
      <c r="B67" s="73" t="s">
        <v>228</v>
      </c>
      <c r="C67">
        <v>1</v>
      </c>
      <c r="D67">
        <v>60</v>
      </c>
      <c r="E67">
        <v>100</v>
      </c>
      <c r="F67" s="75">
        <f ca="1">INDIRECT(ADDRESS(11+(MATCH(RIGHT(Table245[[#This Row],[spawner_sku]],LEN(Table245[[#This Row],[spawner_sku]])-FIND("/",Table245[[#This Row],[spawner_sku]])),Table1[Entity Prefab],0)),10,1,1,"Entities"))</f>
        <v>25</v>
      </c>
      <c r="G67" s="75">
        <f ca="1">ROUND((Table245[[#This Row],[XP]]*Table245[[#This Row],[entity_spawned (AVG)]])*(Table245[[#This Row],[activating_chance]]/100),0)</f>
        <v>25</v>
      </c>
      <c r="H6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7" s="72">
        <v>1</v>
      </c>
      <c r="J67" s="72">
        <v>1</v>
      </c>
      <c r="K67" s="72" t="b">
        <v>0</v>
      </c>
      <c r="M67" t="s">
        <v>230</v>
      </c>
      <c r="N67">
        <v>10</v>
      </c>
      <c r="O67">
        <v>200</v>
      </c>
      <c r="P67">
        <v>100</v>
      </c>
      <c r="Q67" s="75">
        <f ca="1">INDIRECT(ADDRESS(11+(MATCH(RIGHT(Table3[[#This Row],[spawner_sku]],LEN(Table3[[#This Row],[spawner_sku]])-FIND("/",Table3[[#This Row],[spawner_sku]])),Table1[Entity Prefab],0)),10,1,1,"Entities"))</f>
        <v>25</v>
      </c>
      <c r="R67" s="75">
        <f ca="1">ROUND((Table3[[#This Row],[XP]]*Table3[[#This Row],[entity_spawned (AVG)]])*(Table3[[#This Row],[activating_chance]]/100),0)</f>
        <v>250</v>
      </c>
      <c r="S67" t="str">
        <f ca="1">INDIRECT(ADDRESS(11+(MATCH(RIGHT(Table3[[#This Row],[spawner_sku]],LEN(Table3[[#This Row],[spawner_sku]])-FIND("/",Table3[[#This Row],[spawner_sku]])),Table28[Entity Prefab],0)),24,1,1,"Entities"))</f>
        <v>no</v>
      </c>
      <c r="T67">
        <v>5</v>
      </c>
      <c r="U67">
        <v>15</v>
      </c>
      <c r="V67" t="b">
        <v>1</v>
      </c>
      <c r="W67" s="72"/>
      <c r="X67" t="s">
        <v>396</v>
      </c>
      <c r="Y67">
        <v>1</v>
      </c>
      <c r="Z67">
        <v>160</v>
      </c>
      <c r="AA67">
        <v>50</v>
      </c>
      <c r="AB67" s="75">
        <f ca="1">INDIRECT(ADDRESS(11+(MATCH(RIGHT(Table39[[#This Row],[spawner_sku]],LEN(Table39[[#This Row],[spawner_sku]])-FIND("/",Table39[[#This Row],[spawner_sku]])),Table1[Entity Prefab],0)),10,1,1,"Entities"))</f>
        <v>25</v>
      </c>
      <c r="AC67" s="75">
        <f ca="1">ROUND((Table39[[#This Row],[XP]]*Table39[[#This Row],[entity_spawned (AVG)]])*(Table39[[#This Row],[activating_chance]]/100),0)</f>
        <v>13</v>
      </c>
      <c r="AD67" t="str">
        <f ca="1">INDIRECT(ADDRESS(11+(MATCH(RIGHT(Table39[[#This Row],[spawner_sku]],LEN(Table39[[#This Row],[spawner_sku]])-FIND("/",Table39[[#This Row],[spawner_sku]])),Table28[Entity Prefab],0)),24,1,1,"Entities"))</f>
        <v>no</v>
      </c>
      <c r="AE67">
        <v>1</v>
      </c>
      <c r="AF67">
        <v>1</v>
      </c>
      <c r="AG67" t="b">
        <v>0</v>
      </c>
      <c r="AI67" t="s">
        <v>228</v>
      </c>
      <c r="AJ67">
        <v>3</v>
      </c>
      <c r="AK67">
        <v>160</v>
      </c>
      <c r="AL67">
        <v>100</v>
      </c>
      <c r="AM67" s="75">
        <f ca="1">INDIRECT(ADDRESS(11+(MATCH(RIGHT(Table2[[#This Row],[spawner_sku]],LEN(Table2[[#This Row],[spawner_sku]])-FIND("/",Table2[[#This Row],[spawner_sku]])),Table1[Entity Prefab],0)),10,1,1,"Entities"))</f>
        <v>25</v>
      </c>
      <c r="AN67" s="75">
        <f ca="1">ROUND((Table2[[#This Row],[XP]]*Table2[[#This Row],[entity_spawned (AVG)]])*(Table2[[#This Row],[activating_chance]]/100),0)</f>
        <v>75</v>
      </c>
      <c r="AO6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67" s="72">
        <v>2</v>
      </c>
      <c r="AQ67" s="72">
        <v>4</v>
      </c>
      <c r="AR67" s="72" t="b">
        <v>0</v>
      </c>
      <c r="AT67" t="s">
        <v>395</v>
      </c>
      <c r="AU67">
        <v>3</v>
      </c>
      <c r="AV67">
        <v>200</v>
      </c>
      <c r="AW67">
        <v>80</v>
      </c>
      <c r="AX67" s="75">
        <f ca="1">INDIRECT(ADDRESS(11+(MATCH(RIGHT(Table6[[#This Row],[spawner_sku]],LEN(Table6[[#This Row],[spawner_sku]])-FIND("/",Table6[[#This Row],[spawner_sku]])),Table1[Entity Prefab],0)),10,1,1,"Entities"))</f>
        <v>25</v>
      </c>
      <c r="AY67" s="75">
        <f ca="1">ROUND((Table6[[#This Row],[XP]]*Table6[[#This Row],[entity_spawned (AVG)]])*(Table6[[#This Row],[activating_chance]]/100),0)</f>
        <v>60</v>
      </c>
      <c r="AZ67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67">
        <v>2</v>
      </c>
      <c r="BB67">
        <v>4</v>
      </c>
      <c r="BC67" t="b">
        <v>0</v>
      </c>
      <c r="BE67" t="s">
        <v>232</v>
      </c>
      <c r="BF67">
        <v>1</v>
      </c>
      <c r="BG67">
        <v>250</v>
      </c>
      <c r="BH67">
        <v>100</v>
      </c>
      <c r="BI67" s="75">
        <f ca="1">INDIRECT(ADDRESS(11+(MATCH(RIGHT(Table610[[#This Row],[spawner_sku]],LEN(Table610[[#This Row],[spawner_sku]])-FIND("/",Table610[[#This Row],[spawner_sku]])),Table1[Entity Prefab],0)),10,1,1,"Entities"))</f>
        <v>143</v>
      </c>
      <c r="BJ67" s="75">
        <f ca="1">ROUND((Table610[[#This Row],[XP]]*Table610[[#This Row],[entity_spawned (AVG)]])*(Table610[[#This Row],[activating_chance]]/100),0)</f>
        <v>143</v>
      </c>
      <c r="BK67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67">
        <v>1</v>
      </c>
      <c r="BM67">
        <v>1</v>
      </c>
      <c r="BN67" t="b">
        <v>0</v>
      </c>
      <c r="BP67" t="s">
        <v>228</v>
      </c>
      <c r="BQ67">
        <v>1.5</v>
      </c>
      <c r="BR67">
        <v>140</v>
      </c>
      <c r="BS67">
        <v>80</v>
      </c>
      <c r="BT6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67" s="75">
        <f ca="1">ROUND((Table61011[[#This Row],[XP]]*Table61011[[#This Row],[entity_spawned (AVG)]])*(Table61011[[#This Row],[activating_chance]]/100),0)</f>
        <v>30</v>
      </c>
      <c r="BV6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7" s="72">
        <v>1</v>
      </c>
      <c r="BX67" s="72">
        <v>2</v>
      </c>
      <c r="BY67" s="72" t="b">
        <v>0</v>
      </c>
      <c r="CA67" t="s">
        <v>228</v>
      </c>
      <c r="CB67">
        <v>8</v>
      </c>
      <c r="CC67">
        <v>180</v>
      </c>
      <c r="CD67">
        <v>100</v>
      </c>
      <c r="CE67" s="75">
        <f ca="1">INDIRECT(ADDRESS(11+(MATCH(RIGHT(Table11[[#This Row],[spawner_sku]],LEN(Table11[[#This Row],[spawner_sku]])-FIND("/",Table11[[#This Row],[spawner_sku]])),Table1[Entity Prefab],0)),10,1,1,"Entities"))</f>
        <v>25</v>
      </c>
      <c r="CF67">
        <f ca="1">ROUND((Table11[[#This Row],[XP]]*Table11[[#This Row],[entity_spawned (AVG)]])*(Table11[[#This Row],[activating_chance]]/100),0)</f>
        <v>200</v>
      </c>
      <c r="CG67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67" s="72">
        <v>6</v>
      </c>
      <c r="CI67" s="72">
        <v>10</v>
      </c>
      <c r="CJ67" s="72" t="b">
        <v>1</v>
      </c>
      <c r="CL67" t="s">
        <v>243</v>
      </c>
      <c r="CM67">
        <v>1</v>
      </c>
      <c r="CN67">
        <v>200</v>
      </c>
      <c r="CO67">
        <v>80</v>
      </c>
      <c r="CP67" s="75">
        <f ca="1">INDIRECT(ADDRESS(11+(MATCH(RIGHT(Table12[[#This Row],[spawner_sku]],LEN(Table12[[#This Row],[spawner_sku]])-FIND("/",Table12[[#This Row],[spawner_sku]])),Table1[Entity Prefab],0)),10,1,1,"Entities"))</f>
        <v>28</v>
      </c>
      <c r="CQ67" s="75">
        <f ca="1">ROUND((Table12[[#This Row],[XP]]*Table12[[#This Row],[entity_spawned (AVG)]])*(Table12[[#This Row],[activating_chance]]/100),0)</f>
        <v>22</v>
      </c>
      <c r="CR67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67" s="72">
        <v>1</v>
      </c>
      <c r="CT67" s="72">
        <v>1</v>
      </c>
      <c r="CU67" s="72" t="b">
        <v>0</v>
      </c>
      <c r="CW67" t="s">
        <v>232</v>
      </c>
      <c r="CX67">
        <v>1</v>
      </c>
      <c r="CY67">
        <v>250</v>
      </c>
      <c r="CZ67">
        <v>100</v>
      </c>
      <c r="DA67" s="75">
        <f ca="1">INDIRECT(ADDRESS(11+(MATCH(RIGHT(Table13[[#This Row],[spawner_sku]],LEN(Table13[[#This Row],[spawner_sku]])-FIND("/",Table13[[#This Row],[spawner_sku]])),Table1[Entity Prefab],0)),10,1,1,"Entities"))</f>
        <v>143</v>
      </c>
      <c r="DB67" s="75">
        <f ca="1">ROUND((Table13[[#This Row],[XP]]*Table13[[#This Row],[entity_spawned (AVG)]])*(Table13[[#This Row],[activating_chance]]/100),0)</f>
        <v>143</v>
      </c>
      <c r="DC67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67" s="72">
        <v>1</v>
      </c>
      <c r="DE67" s="72">
        <v>1</v>
      </c>
      <c r="DF67" s="72" t="b">
        <v>0</v>
      </c>
      <c r="DH67" t="s">
        <v>227</v>
      </c>
      <c r="DI67">
        <v>17</v>
      </c>
      <c r="DJ67">
        <v>180</v>
      </c>
      <c r="DK67">
        <v>100</v>
      </c>
      <c r="DL67" s="75">
        <f ca="1">INDIRECT(ADDRESS(11+(MATCH(RIGHT(Table14[[#This Row],[spawner_sku]],LEN(Table14[[#This Row],[spawner_sku]])-FIND("/",Table14[[#This Row],[spawner_sku]])),Table1[Entity Prefab],0)),10,1,1,"Entities"))</f>
        <v>25</v>
      </c>
      <c r="DM67" s="75">
        <f ca="1">ROUND((Table14[[#This Row],[XP]]*Table14[[#This Row],[entity_spawned (AVG)]])*(Table14[[#This Row],[activating_chance]]/100),0)</f>
        <v>425</v>
      </c>
      <c r="DN6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67" s="72">
        <v>14</v>
      </c>
      <c r="DP67" s="72">
        <v>20</v>
      </c>
      <c r="DQ67" s="72" t="b">
        <v>1</v>
      </c>
      <c r="DS67" t="s">
        <v>227</v>
      </c>
      <c r="DT67">
        <v>3</v>
      </c>
      <c r="DU67">
        <v>140</v>
      </c>
      <c r="DV67">
        <v>100</v>
      </c>
      <c r="DW67" s="75">
        <f ca="1">INDIRECT(ADDRESS(11+(MATCH(RIGHT(Table18[[#This Row],[spawner_sku]],LEN(Table18[[#This Row],[spawner_sku]])-FIND("/",Table18[[#This Row],[spawner_sku]])),Table1[Entity Prefab],0)),10,1,1,"Entities"))</f>
        <v>25</v>
      </c>
      <c r="DX67" s="75">
        <f ca="1">ROUND((Table18[[#This Row],[XP]]*Table18[[#This Row],[entity_spawned (AVG)]])*(Table18[[#This Row],[activating_chance]]/100),0)</f>
        <v>75</v>
      </c>
      <c r="DY6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67">
        <v>3</v>
      </c>
      <c r="EA67">
        <v>4</v>
      </c>
      <c r="EB67" t="b">
        <v>0</v>
      </c>
      <c r="ED67" t="s">
        <v>227</v>
      </c>
      <c r="EE67">
        <v>9</v>
      </c>
      <c r="EF67">
        <v>140</v>
      </c>
      <c r="EG67">
        <v>100</v>
      </c>
      <c r="EH67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67" s="75">
        <f ca="1">ROUND((Table1820[[#This Row],[XP]]*Table1820[[#This Row],[entity_spawned (AVG)]])*(Table1820[[#This Row],[activating_chance]]/100),0)</f>
        <v>225</v>
      </c>
      <c r="EJ6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67">
        <v>8</v>
      </c>
      <c r="EL67">
        <v>10</v>
      </c>
      <c r="EM67" t="b">
        <v>1</v>
      </c>
      <c r="EO67" t="s">
        <v>7345</v>
      </c>
      <c r="EP67">
        <v>1.5</v>
      </c>
      <c r="EQ67">
        <v>70</v>
      </c>
      <c r="ER67">
        <v>100</v>
      </c>
      <c r="ES67" s="75">
        <f ca="1">INDIRECT(ADDRESS(11+(MATCH(RIGHT(Table182023[[#This Row],[spawner_sku]],LEN(Table182023[[#This Row],[spawner_sku]])-FIND("/",Table182023[[#This Row],[spawner_sku]])),Table1[Entity Prefab],0)),10,1,1,"Entities"))</f>
        <v>143</v>
      </c>
      <c r="ET67" s="75">
        <f ca="1">ROUND((Table182023[[#This Row],[XP]]*Table182023[[#This Row],[entity_spawned (AVG)]])*(Table182023[[#This Row],[activating_chance]]/100),0)</f>
        <v>215</v>
      </c>
      <c r="EU67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67" s="152">
        <v>1</v>
      </c>
      <c r="EW67" s="152">
        <v>2</v>
      </c>
      <c r="EX67" s="152" t="b">
        <v>0</v>
      </c>
      <c r="EZ67" t="s">
        <v>7344</v>
      </c>
      <c r="FA67">
        <v>1</v>
      </c>
      <c r="FB67">
        <v>75</v>
      </c>
      <c r="FC67">
        <v>100</v>
      </c>
      <c r="FD67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67" s="75">
        <f ca="1">ROUND((Table18202324[[#This Row],[XP]]*Table18202324[[#This Row],[entity_spawned (AVG)]])*(Table18202324[[#This Row],[activating_chance]]/100),0)</f>
        <v>25</v>
      </c>
      <c r="FF67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67">
        <v>1</v>
      </c>
      <c r="FH67">
        <v>1</v>
      </c>
      <c r="FI67" t="b">
        <v>0</v>
      </c>
    </row>
    <row r="68" spans="2:165" x14ac:dyDescent="0.25">
      <c r="B68" s="73" t="s">
        <v>228</v>
      </c>
      <c r="C68">
        <v>3.5</v>
      </c>
      <c r="D68">
        <v>160</v>
      </c>
      <c r="E68">
        <v>40</v>
      </c>
      <c r="F68" s="75">
        <f ca="1">INDIRECT(ADDRESS(11+(MATCH(RIGHT(Table245[[#This Row],[spawner_sku]],LEN(Table245[[#This Row],[spawner_sku]])-FIND("/",Table245[[#This Row],[spawner_sku]])),Table1[Entity Prefab],0)),10,1,1,"Entities"))</f>
        <v>25</v>
      </c>
      <c r="G68" s="75">
        <f ca="1">ROUND((Table245[[#This Row],[XP]]*Table245[[#This Row],[entity_spawned (AVG)]])*(Table245[[#This Row],[activating_chance]]/100),0)</f>
        <v>35</v>
      </c>
      <c r="H6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8" s="72">
        <v>3</v>
      </c>
      <c r="J68" s="72">
        <v>4</v>
      </c>
      <c r="K68" s="72" t="b">
        <v>0</v>
      </c>
      <c r="M68" t="s">
        <v>232</v>
      </c>
      <c r="N68">
        <v>1</v>
      </c>
      <c r="O68">
        <v>250</v>
      </c>
      <c r="P68">
        <v>100</v>
      </c>
      <c r="Q68" s="75">
        <f ca="1">INDIRECT(ADDRESS(11+(MATCH(RIGHT(Table3[[#This Row],[spawner_sku]],LEN(Table3[[#This Row],[spawner_sku]])-FIND("/",Table3[[#This Row],[spawner_sku]])),Table1[Entity Prefab],0)),10,1,1,"Entities"))</f>
        <v>143</v>
      </c>
      <c r="R68" s="75">
        <f ca="1">ROUND((Table3[[#This Row],[XP]]*Table3[[#This Row],[entity_spawned (AVG)]])*(Table3[[#This Row],[activating_chance]]/100),0)</f>
        <v>143</v>
      </c>
      <c r="S68" t="str">
        <f ca="1">INDIRECT(ADDRESS(11+(MATCH(RIGHT(Table3[[#This Row],[spawner_sku]],LEN(Table3[[#This Row],[spawner_sku]])-FIND("/",Table3[[#This Row],[spawner_sku]])),Table28[Entity Prefab],0)),24,1,1,"Entities"))</f>
        <v>yes</v>
      </c>
      <c r="T68">
        <v>1</v>
      </c>
      <c r="U68">
        <v>1</v>
      </c>
      <c r="V68" t="b">
        <v>0</v>
      </c>
      <c r="W68" s="72"/>
      <c r="X68" t="s">
        <v>396</v>
      </c>
      <c r="Y68">
        <v>1</v>
      </c>
      <c r="Z68">
        <v>160</v>
      </c>
      <c r="AA68">
        <v>50</v>
      </c>
      <c r="AB68" s="75">
        <f ca="1">INDIRECT(ADDRESS(11+(MATCH(RIGHT(Table39[[#This Row],[spawner_sku]],LEN(Table39[[#This Row],[spawner_sku]])-FIND("/",Table39[[#This Row],[spawner_sku]])),Table1[Entity Prefab],0)),10,1,1,"Entities"))</f>
        <v>25</v>
      </c>
      <c r="AC68" s="75">
        <f ca="1">ROUND((Table39[[#This Row],[XP]]*Table39[[#This Row],[entity_spawned (AVG)]])*(Table39[[#This Row],[activating_chance]]/100),0)</f>
        <v>13</v>
      </c>
      <c r="AD68" t="str">
        <f ca="1">INDIRECT(ADDRESS(11+(MATCH(RIGHT(Table39[[#This Row],[spawner_sku]],LEN(Table39[[#This Row],[spawner_sku]])-FIND("/",Table39[[#This Row],[spawner_sku]])),Table28[Entity Prefab],0)),24,1,1,"Entities"))</f>
        <v>no</v>
      </c>
      <c r="AE68">
        <v>1</v>
      </c>
      <c r="AF68">
        <v>1</v>
      </c>
      <c r="AG68" t="b">
        <v>0</v>
      </c>
      <c r="AI68" t="s">
        <v>228</v>
      </c>
      <c r="AJ68">
        <v>2</v>
      </c>
      <c r="AK68">
        <v>160</v>
      </c>
      <c r="AL68">
        <v>80</v>
      </c>
      <c r="AM68" s="75">
        <f ca="1">INDIRECT(ADDRESS(11+(MATCH(RIGHT(Table2[[#This Row],[spawner_sku]],LEN(Table2[[#This Row],[spawner_sku]])-FIND("/",Table2[[#This Row],[spawner_sku]])),Table1[Entity Prefab],0)),10,1,1,"Entities"))</f>
        <v>25</v>
      </c>
      <c r="AN68" s="75">
        <f ca="1">ROUND((Table2[[#This Row],[XP]]*Table2[[#This Row],[entity_spawned (AVG)]])*(Table2[[#This Row],[activating_chance]]/100),0)</f>
        <v>40</v>
      </c>
      <c r="AO6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68" s="72">
        <v>1</v>
      </c>
      <c r="AQ68" s="72">
        <v>3</v>
      </c>
      <c r="AR68" s="72" t="b">
        <v>0</v>
      </c>
      <c r="AT68" t="s">
        <v>395</v>
      </c>
      <c r="AU68">
        <v>2</v>
      </c>
      <c r="AV68">
        <v>200</v>
      </c>
      <c r="AW68">
        <v>100</v>
      </c>
      <c r="AX68" s="75">
        <f ca="1">INDIRECT(ADDRESS(11+(MATCH(RIGHT(Table6[[#This Row],[spawner_sku]],LEN(Table6[[#This Row],[spawner_sku]])-FIND("/",Table6[[#This Row],[spawner_sku]])),Table1[Entity Prefab],0)),10,1,1,"Entities"))</f>
        <v>25</v>
      </c>
      <c r="AY68" s="75">
        <f ca="1">ROUND((Table6[[#This Row],[XP]]*Table6[[#This Row],[entity_spawned (AVG)]])*(Table6[[#This Row],[activating_chance]]/100),0)</f>
        <v>50</v>
      </c>
      <c r="AZ68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68">
        <v>1</v>
      </c>
      <c r="BB68">
        <v>3</v>
      </c>
      <c r="BC68" t="b">
        <v>0</v>
      </c>
      <c r="BE68" t="s">
        <v>232</v>
      </c>
      <c r="BF68">
        <v>1</v>
      </c>
      <c r="BG68">
        <v>250</v>
      </c>
      <c r="BH68">
        <v>100</v>
      </c>
      <c r="BI68" s="75">
        <f ca="1">INDIRECT(ADDRESS(11+(MATCH(RIGHT(Table610[[#This Row],[spawner_sku]],LEN(Table610[[#This Row],[spawner_sku]])-FIND("/",Table610[[#This Row],[spawner_sku]])),Table1[Entity Prefab],0)),10,1,1,"Entities"))</f>
        <v>143</v>
      </c>
      <c r="BJ68" s="75">
        <f ca="1">ROUND((Table610[[#This Row],[XP]]*Table610[[#This Row],[entity_spawned (AVG)]])*(Table610[[#This Row],[activating_chance]]/100),0)</f>
        <v>143</v>
      </c>
      <c r="BK68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68">
        <v>1</v>
      </c>
      <c r="BM68">
        <v>1</v>
      </c>
      <c r="BN68" t="b">
        <v>0</v>
      </c>
      <c r="BP68" t="s">
        <v>228</v>
      </c>
      <c r="BQ68">
        <v>6.5</v>
      </c>
      <c r="BR68">
        <v>220</v>
      </c>
      <c r="BS68">
        <v>100</v>
      </c>
      <c r="BT6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68" s="75">
        <f ca="1">ROUND((Table61011[[#This Row],[XP]]*Table61011[[#This Row],[entity_spawned (AVG)]])*(Table61011[[#This Row],[activating_chance]]/100),0)</f>
        <v>163</v>
      </c>
      <c r="BV6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8" s="72">
        <v>5</v>
      </c>
      <c r="BX68" s="72">
        <v>8</v>
      </c>
      <c r="BY68" s="72" t="b">
        <v>1</v>
      </c>
      <c r="CA68" t="s">
        <v>228</v>
      </c>
      <c r="CB68">
        <v>3.5</v>
      </c>
      <c r="CC68">
        <v>180</v>
      </c>
      <c r="CD68">
        <v>80</v>
      </c>
      <c r="CE68" s="75">
        <f ca="1">INDIRECT(ADDRESS(11+(MATCH(RIGHT(Table11[[#This Row],[spawner_sku]],LEN(Table11[[#This Row],[spawner_sku]])-FIND("/",Table11[[#This Row],[spawner_sku]])),Table1[Entity Prefab],0)),10,1,1,"Entities"))</f>
        <v>25</v>
      </c>
      <c r="CF68">
        <f ca="1">ROUND((Table11[[#This Row],[XP]]*Table11[[#This Row],[entity_spawned (AVG)]])*(Table11[[#This Row],[activating_chance]]/100),0)</f>
        <v>70</v>
      </c>
      <c r="CG68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68" s="72">
        <v>3</v>
      </c>
      <c r="CI68" s="72">
        <v>4</v>
      </c>
      <c r="CJ68" s="72" t="b">
        <v>0</v>
      </c>
      <c r="CL68" t="s">
        <v>243</v>
      </c>
      <c r="CM68">
        <v>1</v>
      </c>
      <c r="CN68">
        <v>200</v>
      </c>
      <c r="CO68">
        <v>100</v>
      </c>
      <c r="CP68" s="75">
        <f ca="1">INDIRECT(ADDRESS(11+(MATCH(RIGHT(Table12[[#This Row],[spawner_sku]],LEN(Table12[[#This Row],[spawner_sku]])-FIND("/",Table12[[#This Row],[spawner_sku]])),Table1[Entity Prefab],0)),10,1,1,"Entities"))</f>
        <v>28</v>
      </c>
      <c r="CQ68" s="75">
        <f ca="1">ROUND((Table12[[#This Row],[XP]]*Table12[[#This Row],[entity_spawned (AVG)]])*(Table12[[#This Row],[activating_chance]]/100),0)</f>
        <v>28</v>
      </c>
      <c r="CR68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68" s="72">
        <v>1</v>
      </c>
      <c r="CT68" s="72">
        <v>1</v>
      </c>
      <c r="CU68" s="72" t="b">
        <v>0</v>
      </c>
      <c r="CW68" t="s">
        <v>232</v>
      </c>
      <c r="CX68">
        <v>1</v>
      </c>
      <c r="CY68">
        <v>250</v>
      </c>
      <c r="CZ68">
        <v>100</v>
      </c>
      <c r="DA68" s="75">
        <f ca="1">INDIRECT(ADDRESS(11+(MATCH(RIGHT(Table13[[#This Row],[spawner_sku]],LEN(Table13[[#This Row],[spawner_sku]])-FIND("/",Table13[[#This Row],[spawner_sku]])),Table1[Entity Prefab],0)),10,1,1,"Entities"))</f>
        <v>143</v>
      </c>
      <c r="DB68" s="75">
        <f ca="1">ROUND((Table13[[#This Row],[XP]]*Table13[[#This Row],[entity_spawned (AVG)]])*(Table13[[#This Row],[activating_chance]]/100),0)</f>
        <v>143</v>
      </c>
      <c r="DC68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68" s="72">
        <v>1</v>
      </c>
      <c r="DE68" s="72">
        <v>1</v>
      </c>
      <c r="DF68" s="72" t="b">
        <v>0</v>
      </c>
      <c r="DH68" t="s">
        <v>227</v>
      </c>
      <c r="DI68">
        <v>18</v>
      </c>
      <c r="DJ68">
        <v>200</v>
      </c>
      <c r="DK68">
        <v>100</v>
      </c>
      <c r="DL68" s="75">
        <f ca="1">INDIRECT(ADDRESS(11+(MATCH(RIGHT(Table14[[#This Row],[spawner_sku]],LEN(Table14[[#This Row],[spawner_sku]])-FIND("/",Table14[[#This Row],[spawner_sku]])),Table1[Entity Prefab],0)),10,1,1,"Entities"))</f>
        <v>25</v>
      </c>
      <c r="DM68" s="75">
        <f ca="1">ROUND((Table14[[#This Row],[XP]]*Table14[[#This Row],[entity_spawned (AVG)]])*(Table14[[#This Row],[activating_chance]]/100),0)</f>
        <v>450</v>
      </c>
      <c r="DN6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68" s="72">
        <v>16</v>
      </c>
      <c r="DP68" s="72">
        <v>20</v>
      </c>
      <c r="DQ68" s="72" t="b">
        <v>1</v>
      </c>
      <c r="DS68" t="s">
        <v>227</v>
      </c>
      <c r="DT68">
        <v>13</v>
      </c>
      <c r="DU68">
        <v>180</v>
      </c>
      <c r="DV68">
        <v>10</v>
      </c>
      <c r="DW68" s="75">
        <f ca="1">INDIRECT(ADDRESS(11+(MATCH(RIGHT(Table18[[#This Row],[spawner_sku]],LEN(Table18[[#This Row],[spawner_sku]])-FIND("/",Table18[[#This Row],[spawner_sku]])),Table1[Entity Prefab],0)),10,1,1,"Entities"))</f>
        <v>25</v>
      </c>
      <c r="DX68" s="75">
        <f ca="1">ROUND((Table18[[#This Row],[XP]]*Table18[[#This Row],[entity_spawned (AVG)]])*(Table18[[#This Row],[activating_chance]]/100),0)</f>
        <v>33</v>
      </c>
      <c r="DY6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68">
        <v>12</v>
      </c>
      <c r="EA68">
        <v>14</v>
      </c>
      <c r="EB68" t="b">
        <v>1</v>
      </c>
      <c r="ED68" t="s">
        <v>227</v>
      </c>
      <c r="EE68">
        <v>5</v>
      </c>
      <c r="EF68">
        <v>160</v>
      </c>
      <c r="EG68">
        <v>100</v>
      </c>
      <c r="EH68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68" s="75">
        <f ca="1">ROUND((Table1820[[#This Row],[XP]]*Table1820[[#This Row],[entity_spawned (AVG)]])*(Table1820[[#This Row],[activating_chance]]/100),0)</f>
        <v>125</v>
      </c>
      <c r="EJ6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68">
        <v>5</v>
      </c>
      <c r="EL68">
        <v>6</v>
      </c>
      <c r="EM68" t="b">
        <v>1</v>
      </c>
      <c r="EO68" t="s">
        <v>7345</v>
      </c>
      <c r="EP68">
        <v>2.5</v>
      </c>
      <c r="EQ68">
        <v>70</v>
      </c>
      <c r="ER68">
        <v>100</v>
      </c>
      <c r="ES68" s="75">
        <f ca="1">INDIRECT(ADDRESS(11+(MATCH(RIGHT(Table182023[[#This Row],[spawner_sku]],LEN(Table182023[[#This Row],[spawner_sku]])-FIND("/",Table182023[[#This Row],[spawner_sku]])),Table1[Entity Prefab],0)),10,1,1,"Entities"))</f>
        <v>143</v>
      </c>
      <c r="ET68" s="75">
        <f ca="1">ROUND((Table182023[[#This Row],[XP]]*Table182023[[#This Row],[entity_spawned (AVG)]])*(Table182023[[#This Row],[activating_chance]]/100),0)</f>
        <v>358</v>
      </c>
      <c r="EU68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68" s="152">
        <v>2</v>
      </c>
      <c r="EW68" s="152">
        <v>3</v>
      </c>
      <c r="EX68" s="152" t="b">
        <v>0</v>
      </c>
      <c r="EZ68" t="s">
        <v>7344</v>
      </c>
      <c r="FA68">
        <v>1</v>
      </c>
      <c r="FB68">
        <v>75</v>
      </c>
      <c r="FC68">
        <v>100</v>
      </c>
      <c r="FD68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68" s="75">
        <f ca="1">ROUND((Table18202324[[#This Row],[XP]]*Table18202324[[#This Row],[entity_spawned (AVG)]])*(Table18202324[[#This Row],[activating_chance]]/100),0)</f>
        <v>25</v>
      </c>
      <c r="FF68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68">
        <v>1</v>
      </c>
      <c r="FH68">
        <v>1</v>
      </c>
      <c r="FI68" t="b">
        <v>0</v>
      </c>
    </row>
    <row r="69" spans="2:165" x14ac:dyDescent="0.25">
      <c r="B69" s="73" t="s">
        <v>228</v>
      </c>
      <c r="C69">
        <v>1.5</v>
      </c>
      <c r="D69">
        <v>85</v>
      </c>
      <c r="E69">
        <v>100</v>
      </c>
      <c r="F69" s="75">
        <f ca="1">INDIRECT(ADDRESS(11+(MATCH(RIGHT(Table245[[#This Row],[spawner_sku]],LEN(Table245[[#This Row],[spawner_sku]])-FIND("/",Table245[[#This Row],[spawner_sku]])),Table1[Entity Prefab],0)),10,1,1,"Entities"))</f>
        <v>25</v>
      </c>
      <c r="G69" s="75">
        <f ca="1">ROUND((Table245[[#This Row],[XP]]*Table245[[#This Row],[entity_spawned (AVG)]])*(Table245[[#This Row],[activating_chance]]/100),0)</f>
        <v>38</v>
      </c>
      <c r="H6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9" s="72">
        <v>1</v>
      </c>
      <c r="J69" s="72">
        <v>2</v>
      </c>
      <c r="K69" s="72" t="b">
        <v>0</v>
      </c>
      <c r="M69" t="s">
        <v>232</v>
      </c>
      <c r="N69">
        <v>1</v>
      </c>
      <c r="O69">
        <v>250</v>
      </c>
      <c r="P69">
        <v>100</v>
      </c>
      <c r="Q69" s="75">
        <f ca="1">INDIRECT(ADDRESS(11+(MATCH(RIGHT(Table3[[#This Row],[spawner_sku]],LEN(Table3[[#This Row],[spawner_sku]])-FIND("/",Table3[[#This Row],[spawner_sku]])),Table1[Entity Prefab],0)),10,1,1,"Entities"))</f>
        <v>143</v>
      </c>
      <c r="R69" s="75">
        <f ca="1">ROUND((Table3[[#This Row],[XP]]*Table3[[#This Row],[entity_spawned (AVG)]])*(Table3[[#This Row],[activating_chance]]/100),0)</f>
        <v>143</v>
      </c>
      <c r="S69" t="str">
        <f ca="1">INDIRECT(ADDRESS(11+(MATCH(RIGHT(Table3[[#This Row],[spawner_sku]],LEN(Table3[[#This Row],[spawner_sku]])-FIND("/",Table3[[#This Row],[spawner_sku]])),Table28[Entity Prefab],0)),24,1,1,"Entities"))</f>
        <v>yes</v>
      </c>
      <c r="T69">
        <v>1</v>
      </c>
      <c r="U69">
        <v>1</v>
      </c>
      <c r="V69" t="b">
        <v>0</v>
      </c>
      <c r="W69" s="72"/>
      <c r="X69" t="s">
        <v>396</v>
      </c>
      <c r="Y69">
        <v>1</v>
      </c>
      <c r="Z69">
        <v>140</v>
      </c>
      <c r="AA69">
        <v>100</v>
      </c>
      <c r="AB69" s="75">
        <f ca="1">INDIRECT(ADDRESS(11+(MATCH(RIGHT(Table39[[#This Row],[spawner_sku]],LEN(Table39[[#This Row],[spawner_sku]])-FIND("/",Table39[[#This Row],[spawner_sku]])),Table1[Entity Prefab],0)),10,1,1,"Entities"))</f>
        <v>25</v>
      </c>
      <c r="AC69" s="75">
        <f ca="1">ROUND((Table39[[#This Row],[XP]]*Table39[[#This Row],[entity_spawned (AVG)]])*(Table39[[#This Row],[activating_chance]]/100),0)</f>
        <v>25</v>
      </c>
      <c r="AD69" t="str">
        <f ca="1">INDIRECT(ADDRESS(11+(MATCH(RIGHT(Table39[[#This Row],[spawner_sku]],LEN(Table39[[#This Row],[spawner_sku]])-FIND("/",Table39[[#This Row],[spawner_sku]])),Table28[Entity Prefab],0)),24,1,1,"Entities"))</f>
        <v>no</v>
      </c>
      <c r="AE69">
        <v>1</v>
      </c>
      <c r="AF69">
        <v>1</v>
      </c>
      <c r="AG69" t="b">
        <v>0</v>
      </c>
      <c r="AI69" t="s">
        <v>228</v>
      </c>
      <c r="AJ69">
        <v>3.5</v>
      </c>
      <c r="AK69">
        <v>120</v>
      </c>
      <c r="AL69">
        <v>100</v>
      </c>
      <c r="AM69" s="75">
        <f ca="1">INDIRECT(ADDRESS(11+(MATCH(RIGHT(Table2[[#This Row],[spawner_sku]],LEN(Table2[[#This Row],[spawner_sku]])-FIND("/",Table2[[#This Row],[spawner_sku]])),Table1[Entity Prefab],0)),10,1,1,"Entities"))</f>
        <v>25</v>
      </c>
      <c r="AN69" s="75">
        <f ca="1">ROUND((Table2[[#This Row],[XP]]*Table2[[#This Row],[entity_spawned (AVG)]])*(Table2[[#This Row],[activating_chance]]/100),0)</f>
        <v>88</v>
      </c>
      <c r="AO6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69" s="72">
        <v>3</v>
      </c>
      <c r="AQ69" s="72">
        <v>4</v>
      </c>
      <c r="AR69" s="72" t="b">
        <v>0</v>
      </c>
      <c r="AT69" t="s">
        <v>395</v>
      </c>
      <c r="AU69">
        <v>2.5</v>
      </c>
      <c r="AV69">
        <v>200</v>
      </c>
      <c r="AW69">
        <v>100</v>
      </c>
      <c r="AX69" s="75">
        <f ca="1">INDIRECT(ADDRESS(11+(MATCH(RIGHT(Table6[[#This Row],[spawner_sku]],LEN(Table6[[#This Row],[spawner_sku]])-FIND("/",Table6[[#This Row],[spawner_sku]])),Table1[Entity Prefab],0)),10,1,1,"Entities"))</f>
        <v>25</v>
      </c>
      <c r="AY69" s="75">
        <f ca="1">ROUND((Table6[[#This Row],[XP]]*Table6[[#This Row],[entity_spawned (AVG)]])*(Table6[[#This Row],[activating_chance]]/100),0)</f>
        <v>63</v>
      </c>
      <c r="AZ69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69">
        <v>2</v>
      </c>
      <c r="BB69">
        <v>3</v>
      </c>
      <c r="BC69" t="b">
        <v>0</v>
      </c>
      <c r="BE69" t="s">
        <v>232</v>
      </c>
      <c r="BF69">
        <v>1</v>
      </c>
      <c r="BG69">
        <v>250</v>
      </c>
      <c r="BH69">
        <v>50</v>
      </c>
      <c r="BI69" s="75">
        <f ca="1">INDIRECT(ADDRESS(11+(MATCH(RIGHT(Table610[[#This Row],[spawner_sku]],LEN(Table610[[#This Row],[spawner_sku]])-FIND("/",Table610[[#This Row],[spawner_sku]])),Table1[Entity Prefab],0)),10,1,1,"Entities"))</f>
        <v>143</v>
      </c>
      <c r="BJ69" s="75">
        <f ca="1">ROUND((Table610[[#This Row],[XP]]*Table610[[#This Row],[entity_spawned (AVG)]])*(Table610[[#This Row],[activating_chance]]/100),0)</f>
        <v>72</v>
      </c>
      <c r="BK69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69">
        <v>1</v>
      </c>
      <c r="BM69">
        <v>1</v>
      </c>
      <c r="BN69" t="b">
        <v>0</v>
      </c>
      <c r="BP69" t="s">
        <v>228</v>
      </c>
      <c r="BQ69">
        <v>5</v>
      </c>
      <c r="BR69">
        <v>220</v>
      </c>
      <c r="BS69">
        <v>80</v>
      </c>
      <c r="BT6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69" s="75">
        <f ca="1">ROUND((Table61011[[#This Row],[XP]]*Table61011[[#This Row],[entity_spawned (AVG)]])*(Table61011[[#This Row],[activating_chance]]/100),0)</f>
        <v>100</v>
      </c>
      <c r="BV6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9" s="72">
        <v>5</v>
      </c>
      <c r="BX69" s="72">
        <v>5</v>
      </c>
      <c r="BY69" s="72" t="b">
        <v>1</v>
      </c>
      <c r="CA69" t="s">
        <v>228</v>
      </c>
      <c r="CB69">
        <v>3.5</v>
      </c>
      <c r="CC69">
        <v>180</v>
      </c>
      <c r="CD69">
        <v>100</v>
      </c>
      <c r="CE69" s="75">
        <f ca="1">INDIRECT(ADDRESS(11+(MATCH(RIGHT(Table11[[#This Row],[spawner_sku]],LEN(Table11[[#This Row],[spawner_sku]])-FIND("/",Table11[[#This Row],[spawner_sku]])),Table1[Entity Prefab],0)),10,1,1,"Entities"))</f>
        <v>25</v>
      </c>
      <c r="CF69">
        <f ca="1">ROUND((Table11[[#This Row],[XP]]*Table11[[#This Row],[entity_spawned (AVG)]])*(Table11[[#This Row],[activating_chance]]/100),0)</f>
        <v>88</v>
      </c>
      <c r="CG69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69" s="72">
        <v>3</v>
      </c>
      <c r="CI69" s="72">
        <v>4</v>
      </c>
      <c r="CJ69" s="72" t="b">
        <v>0</v>
      </c>
      <c r="CL69" t="s">
        <v>243</v>
      </c>
      <c r="CM69">
        <v>1</v>
      </c>
      <c r="CN69">
        <v>200</v>
      </c>
      <c r="CO69">
        <v>100</v>
      </c>
      <c r="CP69" s="75">
        <f ca="1">INDIRECT(ADDRESS(11+(MATCH(RIGHT(Table12[[#This Row],[spawner_sku]],LEN(Table12[[#This Row],[spawner_sku]])-FIND("/",Table12[[#This Row],[spawner_sku]])),Table1[Entity Prefab],0)),10,1,1,"Entities"))</f>
        <v>28</v>
      </c>
      <c r="CQ69" s="75">
        <f ca="1">ROUND((Table12[[#This Row],[XP]]*Table12[[#This Row],[entity_spawned (AVG)]])*(Table12[[#This Row],[activating_chance]]/100),0)</f>
        <v>28</v>
      </c>
      <c r="CR69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69" s="72">
        <v>1</v>
      </c>
      <c r="CT69" s="72">
        <v>1</v>
      </c>
      <c r="CU69" s="72" t="b">
        <v>0</v>
      </c>
      <c r="CW69" t="s">
        <v>232</v>
      </c>
      <c r="CX69">
        <v>1</v>
      </c>
      <c r="CY69">
        <v>250</v>
      </c>
      <c r="CZ69">
        <v>100</v>
      </c>
      <c r="DA69" s="75">
        <f ca="1">INDIRECT(ADDRESS(11+(MATCH(RIGHT(Table13[[#This Row],[spawner_sku]],LEN(Table13[[#This Row],[spawner_sku]])-FIND("/",Table13[[#This Row],[spawner_sku]])),Table1[Entity Prefab],0)),10,1,1,"Entities"))</f>
        <v>143</v>
      </c>
      <c r="DB69" s="75">
        <f ca="1">ROUND((Table13[[#This Row],[XP]]*Table13[[#This Row],[entity_spawned (AVG)]])*(Table13[[#This Row],[activating_chance]]/100),0)</f>
        <v>143</v>
      </c>
      <c r="DC69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69" s="72">
        <v>1</v>
      </c>
      <c r="DE69" s="72">
        <v>1</v>
      </c>
      <c r="DF69" s="72" t="b">
        <v>0</v>
      </c>
      <c r="DH69" t="s">
        <v>227</v>
      </c>
      <c r="DI69">
        <v>3.5</v>
      </c>
      <c r="DJ69">
        <v>80</v>
      </c>
      <c r="DK69">
        <v>100</v>
      </c>
      <c r="DL69" s="75">
        <f ca="1">INDIRECT(ADDRESS(11+(MATCH(RIGHT(Table14[[#This Row],[spawner_sku]],LEN(Table14[[#This Row],[spawner_sku]])-FIND("/",Table14[[#This Row],[spawner_sku]])),Table1[Entity Prefab],0)),10,1,1,"Entities"))</f>
        <v>25</v>
      </c>
      <c r="DM69" s="75">
        <f ca="1">ROUND((Table14[[#This Row],[XP]]*Table14[[#This Row],[entity_spawned (AVG)]])*(Table14[[#This Row],[activating_chance]]/100),0)</f>
        <v>88</v>
      </c>
      <c r="DN6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69" s="72">
        <v>3</v>
      </c>
      <c r="DP69" s="72">
        <v>4</v>
      </c>
      <c r="DQ69" s="72" t="b">
        <v>0</v>
      </c>
      <c r="DS69" t="s">
        <v>227</v>
      </c>
      <c r="DT69">
        <v>3</v>
      </c>
      <c r="DU69">
        <v>140</v>
      </c>
      <c r="DV69">
        <v>100</v>
      </c>
      <c r="DW69" s="75">
        <f ca="1">INDIRECT(ADDRESS(11+(MATCH(RIGHT(Table18[[#This Row],[spawner_sku]],LEN(Table18[[#This Row],[spawner_sku]])-FIND("/",Table18[[#This Row],[spawner_sku]])),Table1[Entity Prefab],0)),10,1,1,"Entities"))</f>
        <v>25</v>
      </c>
      <c r="DX69" s="75">
        <f ca="1">ROUND((Table18[[#This Row],[XP]]*Table18[[#This Row],[entity_spawned (AVG)]])*(Table18[[#This Row],[activating_chance]]/100),0)</f>
        <v>75</v>
      </c>
      <c r="DY6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69">
        <v>3</v>
      </c>
      <c r="EA69">
        <v>4</v>
      </c>
      <c r="EB69" t="b">
        <v>0</v>
      </c>
      <c r="ED69" t="s">
        <v>227</v>
      </c>
      <c r="EE69">
        <v>3</v>
      </c>
      <c r="EF69">
        <v>100</v>
      </c>
      <c r="EG69">
        <v>100</v>
      </c>
      <c r="EH6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69" s="75">
        <f ca="1">ROUND((Table1820[[#This Row],[XP]]*Table1820[[#This Row],[entity_spawned (AVG)]])*(Table1820[[#This Row],[activating_chance]]/100),0)</f>
        <v>75</v>
      </c>
      <c r="EJ6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69">
        <v>2</v>
      </c>
      <c r="EL69">
        <v>4</v>
      </c>
      <c r="EM69" t="b">
        <v>0</v>
      </c>
      <c r="EO69" t="s">
        <v>7349</v>
      </c>
      <c r="EP69">
        <v>1</v>
      </c>
      <c r="EQ69">
        <v>70</v>
      </c>
      <c r="ER69">
        <v>100</v>
      </c>
      <c r="ES69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ET69" s="75">
        <f ca="1">ROUND((Table182023[[#This Row],[XP]]*Table182023[[#This Row],[entity_spawned (AVG)]])*(Table182023[[#This Row],[activating_chance]]/100),0)</f>
        <v>130</v>
      </c>
      <c r="EU69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EV69" s="152">
        <v>1</v>
      </c>
      <c r="EW69" s="152">
        <v>1</v>
      </c>
      <c r="EX69" s="152" t="b">
        <v>0</v>
      </c>
      <c r="EZ69" t="s">
        <v>7344</v>
      </c>
      <c r="FA69">
        <v>1</v>
      </c>
      <c r="FB69">
        <v>90</v>
      </c>
      <c r="FC69">
        <v>100</v>
      </c>
      <c r="FD69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69" s="75">
        <f ca="1">ROUND((Table18202324[[#This Row],[XP]]*Table18202324[[#This Row],[entity_spawned (AVG)]])*(Table18202324[[#This Row],[activating_chance]]/100),0)</f>
        <v>25</v>
      </c>
      <c r="FF69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69">
        <v>1</v>
      </c>
      <c r="FH69">
        <v>1</v>
      </c>
      <c r="FI69" t="b">
        <v>0</v>
      </c>
    </row>
    <row r="70" spans="2:165" x14ac:dyDescent="0.25">
      <c r="B70" s="73" t="s">
        <v>228</v>
      </c>
      <c r="C70">
        <v>2</v>
      </c>
      <c r="D70">
        <v>130</v>
      </c>
      <c r="E70">
        <v>80</v>
      </c>
      <c r="F70" s="75">
        <f ca="1">INDIRECT(ADDRESS(11+(MATCH(RIGHT(Table245[[#This Row],[spawner_sku]],LEN(Table245[[#This Row],[spawner_sku]])-FIND("/",Table245[[#This Row],[spawner_sku]])),Table1[Entity Prefab],0)),10,1,1,"Entities"))</f>
        <v>25</v>
      </c>
      <c r="G70" s="75">
        <f ca="1">ROUND((Table245[[#This Row],[XP]]*Table245[[#This Row],[entity_spawned (AVG)]])*(Table245[[#This Row],[activating_chance]]/100),0)</f>
        <v>40</v>
      </c>
      <c r="H7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0" s="72">
        <v>1</v>
      </c>
      <c r="J70" s="72">
        <v>3</v>
      </c>
      <c r="K70" s="72" t="b">
        <v>0</v>
      </c>
      <c r="M70" t="s">
        <v>232</v>
      </c>
      <c r="N70">
        <v>1</v>
      </c>
      <c r="O70">
        <v>250</v>
      </c>
      <c r="P70">
        <v>100</v>
      </c>
      <c r="Q70" s="75">
        <f ca="1">INDIRECT(ADDRESS(11+(MATCH(RIGHT(Table3[[#This Row],[spawner_sku]],LEN(Table3[[#This Row],[spawner_sku]])-FIND("/",Table3[[#This Row],[spawner_sku]])),Table1[Entity Prefab],0)),10,1,1,"Entities"))</f>
        <v>143</v>
      </c>
      <c r="R70" s="75">
        <f ca="1">ROUND((Table3[[#This Row],[XP]]*Table3[[#This Row],[entity_spawned (AVG)]])*(Table3[[#This Row],[activating_chance]]/100),0)</f>
        <v>143</v>
      </c>
      <c r="S70" t="str">
        <f ca="1">INDIRECT(ADDRESS(11+(MATCH(RIGHT(Table3[[#This Row],[spawner_sku]],LEN(Table3[[#This Row],[spawner_sku]])-FIND("/",Table3[[#This Row],[spawner_sku]])),Table28[Entity Prefab],0)),24,1,1,"Entities"))</f>
        <v>yes</v>
      </c>
      <c r="T70">
        <v>1</v>
      </c>
      <c r="U70">
        <v>1</v>
      </c>
      <c r="V70" t="b">
        <v>0</v>
      </c>
      <c r="W70" s="72"/>
      <c r="X70" t="s">
        <v>396</v>
      </c>
      <c r="Y70">
        <v>1</v>
      </c>
      <c r="Z70">
        <v>160</v>
      </c>
      <c r="AA70">
        <v>50</v>
      </c>
      <c r="AB70" s="75">
        <f ca="1">INDIRECT(ADDRESS(11+(MATCH(RIGHT(Table39[[#This Row],[spawner_sku]],LEN(Table39[[#This Row],[spawner_sku]])-FIND("/",Table39[[#This Row],[spawner_sku]])),Table1[Entity Prefab],0)),10,1,1,"Entities"))</f>
        <v>25</v>
      </c>
      <c r="AC70" s="75">
        <f ca="1">ROUND((Table39[[#This Row],[XP]]*Table39[[#This Row],[entity_spawned (AVG)]])*(Table39[[#This Row],[activating_chance]]/100),0)</f>
        <v>13</v>
      </c>
      <c r="AD70" t="str">
        <f ca="1">INDIRECT(ADDRESS(11+(MATCH(RIGHT(Table39[[#This Row],[spawner_sku]],LEN(Table39[[#This Row],[spawner_sku]])-FIND("/",Table39[[#This Row],[spawner_sku]])),Table28[Entity Prefab],0)),24,1,1,"Entities"))</f>
        <v>no</v>
      </c>
      <c r="AE70">
        <v>1</v>
      </c>
      <c r="AF70">
        <v>1</v>
      </c>
      <c r="AG70" t="b">
        <v>0</v>
      </c>
      <c r="AI70" t="s">
        <v>228</v>
      </c>
      <c r="AJ70">
        <v>6.5</v>
      </c>
      <c r="AK70">
        <v>160</v>
      </c>
      <c r="AL70">
        <v>100</v>
      </c>
      <c r="AM70" s="75">
        <f ca="1">INDIRECT(ADDRESS(11+(MATCH(RIGHT(Table2[[#This Row],[spawner_sku]],LEN(Table2[[#This Row],[spawner_sku]])-FIND("/",Table2[[#This Row],[spawner_sku]])),Table1[Entity Prefab],0)),10,1,1,"Entities"))</f>
        <v>25</v>
      </c>
      <c r="AN70" s="75">
        <f ca="1">ROUND((Table2[[#This Row],[XP]]*Table2[[#This Row],[entity_spawned (AVG)]])*(Table2[[#This Row],[activating_chance]]/100),0)</f>
        <v>163</v>
      </c>
      <c r="AO7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70" s="72">
        <v>5</v>
      </c>
      <c r="AQ70" s="72">
        <v>8</v>
      </c>
      <c r="AR70" s="72" t="b">
        <v>1</v>
      </c>
      <c r="AT70" t="s">
        <v>395</v>
      </c>
      <c r="AU70">
        <v>3</v>
      </c>
      <c r="AV70">
        <v>200</v>
      </c>
      <c r="AW70">
        <v>80</v>
      </c>
      <c r="AX70" s="75">
        <f ca="1">INDIRECT(ADDRESS(11+(MATCH(RIGHT(Table6[[#This Row],[spawner_sku]],LEN(Table6[[#This Row],[spawner_sku]])-FIND("/",Table6[[#This Row],[spawner_sku]])),Table1[Entity Prefab],0)),10,1,1,"Entities"))</f>
        <v>25</v>
      </c>
      <c r="AY70" s="75">
        <f ca="1">ROUND((Table6[[#This Row],[XP]]*Table6[[#This Row],[entity_spawned (AVG)]])*(Table6[[#This Row],[activating_chance]]/100),0)</f>
        <v>60</v>
      </c>
      <c r="AZ70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70">
        <v>2</v>
      </c>
      <c r="BB70">
        <v>4</v>
      </c>
      <c r="BC70" t="b">
        <v>0</v>
      </c>
      <c r="BE70" t="s">
        <v>232</v>
      </c>
      <c r="BF70">
        <v>1</v>
      </c>
      <c r="BG70">
        <v>250</v>
      </c>
      <c r="BH70">
        <v>50</v>
      </c>
      <c r="BI70" s="75">
        <f ca="1">INDIRECT(ADDRESS(11+(MATCH(RIGHT(Table610[[#This Row],[spawner_sku]],LEN(Table610[[#This Row],[spawner_sku]])-FIND("/",Table610[[#This Row],[spawner_sku]])),Table1[Entity Prefab],0)),10,1,1,"Entities"))</f>
        <v>143</v>
      </c>
      <c r="BJ70" s="75">
        <f ca="1">ROUND((Table610[[#This Row],[XP]]*Table610[[#This Row],[entity_spawned (AVG)]])*(Table610[[#This Row],[activating_chance]]/100),0)</f>
        <v>72</v>
      </c>
      <c r="BK70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0">
        <v>1</v>
      </c>
      <c r="BM70">
        <v>1</v>
      </c>
      <c r="BN70" t="b">
        <v>0</v>
      </c>
      <c r="BP70" t="s">
        <v>228</v>
      </c>
      <c r="BQ70">
        <v>5.5</v>
      </c>
      <c r="BR70">
        <v>200</v>
      </c>
      <c r="BS70">
        <v>100</v>
      </c>
      <c r="BT7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70" s="75">
        <f ca="1">ROUND((Table61011[[#This Row],[XP]]*Table61011[[#This Row],[entity_spawned (AVG)]])*(Table61011[[#This Row],[activating_chance]]/100),0)</f>
        <v>138</v>
      </c>
      <c r="BV7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0" s="72">
        <v>5</v>
      </c>
      <c r="BX70" s="72">
        <v>6</v>
      </c>
      <c r="BY70" s="72" t="b">
        <v>1</v>
      </c>
      <c r="CA70" t="s">
        <v>228</v>
      </c>
      <c r="CB70">
        <v>1.5</v>
      </c>
      <c r="CC70">
        <v>180</v>
      </c>
      <c r="CD70">
        <v>100</v>
      </c>
      <c r="CE70" s="75">
        <f ca="1">INDIRECT(ADDRESS(11+(MATCH(RIGHT(Table11[[#This Row],[spawner_sku]],LEN(Table11[[#This Row],[spawner_sku]])-FIND("/",Table11[[#This Row],[spawner_sku]])),Table1[Entity Prefab],0)),10,1,1,"Entities"))</f>
        <v>25</v>
      </c>
      <c r="CF70">
        <f ca="1">ROUND((Table11[[#This Row],[XP]]*Table11[[#This Row],[entity_spawned (AVG)]])*(Table11[[#This Row],[activating_chance]]/100),0)</f>
        <v>38</v>
      </c>
      <c r="CG70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70" s="72">
        <v>1</v>
      </c>
      <c r="CI70" s="72">
        <v>2</v>
      </c>
      <c r="CJ70" s="72" t="b">
        <v>0</v>
      </c>
      <c r="CL70" t="s">
        <v>244</v>
      </c>
      <c r="CM70">
        <v>1</v>
      </c>
      <c r="CN70">
        <v>220</v>
      </c>
      <c r="CO70">
        <v>100</v>
      </c>
      <c r="CP70" s="75">
        <f ca="1">INDIRECT(ADDRESS(11+(MATCH(RIGHT(Table12[[#This Row],[spawner_sku]],LEN(Table12[[#This Row],[spawner_sku]])-FIND("/",Table12[[#This Row],[spawner_sku]])),Table1[Entity Prefab],0)),10,1,1,"Entities"))</f>
        <v>25</v>
      </c>
      <c r="CQ70" s="75">
        <f ca="1">ROUND((Table12[[#This Row],[XP]]*Table12[[#This Row],[entity_spawned (AVG)]])*(Table12[[#This Row],[activating_chance]]/100),0)</f>
        <v>25</v>
      </c>
      <c r="CR70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70" s="72">
        <v>1</v>
      </c>
      <c r="CT70" s="72">
        <v>1</v>
      </c>
      <c r="CU70" s="72" t="b">
        <v>0</v>
      </c>
      <c r="CW70" t="s">
        <v>232</v>
      </c>
      <c r="CX70">
        <v>1</v>
      </c>
      <c r="CY70">
        <v>250</v>
      </c>
      <c r="CZ70">
        <v>100</v>
      </c>
      <c r="DA70" s="75">
        <f ca="1">INDIRECT(ADDRESS(11+(MATCH(RIGHT(Table13[[#This Row],[spawner_sku]],LEN(Table13[[#This Row],[spawner_sku]])-FIND("/",Table13[[#This Row],[spawner_sku]])),Table1[Entity Prefab],0)),10,1,1,"Entities"))</f>
        <v>143</v>
      </c>
      <c r="DB70" s="75">
        <f ca="1">ROUND((Table13[[#This Row],[XP]]*Table13[[#This Row],[entity_spawned (AVG)]])*(Table13[[#This Row],[activating_chance]]/100),0)</f>
        <v>143</v>
      </c>
      <c r="DC70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70" s="72">
        <v>1</v>
      </c>
      <c r="DE70" s="72">
        <v>1</v>
      </c>
      <c r="DF70" s="72" t="b">
        <v>0</v>
      </c>
      <c r="DH70" t="s">
        <v>227</v>
      </c>
      <c r="DI70">
        <v>7</v>
      </c>
      <c r="DJ70">
        <v>150</v>
      </c>
      <c r="DK70">
        <v>100</v>
      </c>
      <c r="DL70" s="75">
        <f ca="1">INDIRECT(ADDRESS(11+(MATCH(RIGHT(Table14[[#This Row],[spawner_sku]],LEN(Table14[[#This Row],[spawner_sku]])-FIND("/",Table14[[#This Row],[spawner_sku]])),Table1[Entity Prefab],0)),10,1,1,"Entities"))</f>
        <v>25</v>
      </c>
      <c r="DM70" s="75">
        <f ca="1">ROUND((Table14[[#This Row],[XP]]*Table14[[#This Row],[entity_spawned (AVG)]])*(Table14[[#This Row],[activating_chance]]/100),0)</f>
        <v>175</v>
      </c>
      <c r="DN7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0" s="72">
        <v>6</v>
      </c>
      <c r="DP70" s="72">
        <v>8</v>
      </c>
      <c r="DQ70" s="72" t="b">
        <v>1</v>
      </c>
      <c r="DS70" t="s">
        <v>227</v>
      </c>
      <c r="DT70">
        <v>7</v>
      </c>
      <c r="DU70">
        <v>160</v>
      </c>
      <c r="DV70">
        <v>30</v>
      </c>
      <c r="DW70" s="75">
        <f ca="1">INDIRECT(ADDRESS(11+(MATCH(RIGHT(Table18[[#This Row],[spawner_sku]],LEN(Table18[[#This Row],[spawner_sku]])-FIND("/",Table18[[#This Row],[spawner_sku]])),Table1[Entity Prefab],0)),10,1,1,"Entities"))</f>
        <v>25</v>
      </c>
      <c r="DX70" s="75">
        <f ca="1">ROUND((Table18[[#This Row],[XP]]*Table18[[#This Row],[entity_spawned (AVG)]])*(Table18[[#This Row],[activating_chance]]/100),0)</f>
        <v>53</v>
      </c>
      <c r="DY7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70">
        <v>6</v>
      </c>
      <c r="EA70">
        <v>8</v>
      </c>
      <c r="EB70" t="b">
        <v>1</v>
      </c>
      <c r="ED70" t="s">
        <v>227</v>
      </c>
      <c r="EE70">
        <v>3</v>
      </c>
      <c r="EF70">
        <v>140</v>
      </c>
      <c r="EG70">
        <v>100</v>
      </c>
      <c r="EH70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70" s="75">
        <f ca="1">ROUND((Table1820[[#This Row],[XP]]*Table1820[[#This Row],[entity_spawned (AVG)]])*(Table1820[[#This Row],[activating_chance]]/100),0)</f>
        <v>75</v>
      </c>
      <c r="EJ7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70">
        <v>2</v>
      </c>
      <c r="EL70">
        <v>4</v>
      </c>
      <c r="EM70" t="b">
        <v>0</v>
      </c>
      <c r="EO70" t="s">
        <v>7349</v>
      </c>
      <c r="EP70">
        <v>1.5</v>
      </c>
      <c r="EQ70">
        <v>80</v>
      </c>
      <c r="ER70">
        <v>100</v>
      </c>
      <c r="ES70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ET70" s="75">
        <f ca="1">ROUND((Table182023[[#This Row],[XP]]*Table182023[[#This Row],[entity_spawned (AVG)]])*(Table182023[[#This Row],[activating_chance]]/100),0)</f>
        <v>195</v>
      </c>
      <c r="EU70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EV70" s="152">
        <v>1</v>
      </c>
      <c r="EW70" s="152">
        <v>2</v>
      </c>
      <c r="EX70" s="152" t="b">
        <v>0</v>
      </c>
      <c r="EZ70" t="s">
        <v>7344</v>
      </c>
      <c r="FA70">
        <v>1</v>
      </c>
      <c r="FB70">
        <v>80</v>
      </c>
      <c r="FC70">
        <v>100</v>
      </c>
      <c r="FD70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70" s="75">
        <f ca="1">ROUND((Table18202324[[#This Row],[XP]]*Table18202324[[#This Row],[entity_spawned (AVG)]])*(Table18202324[[#This Row],[activating_chance]]/100),0)</f>
        <v>25</v>
      </c>
      <c r="FF70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70">
        <v>1</v>
      </c>
      <c r="FH70">
        <v>1</v>
      </c>
      <c r="FI70" t="b">
        <v>0</v>
      </c>
    </row>
    <row r="71" spans="2:165" x14ac:dyDescent="0.25">
      <c r="B71" s="73" t="s">
        <v>228</v>
      </c>
      <c r="C71">
        <v>3</v>
      </c>
      <c r="D71">
        <v>160</v>
      </c>
      <c r="E71">
        <v>100</v>
      </c>
      <c r="F71" s="75">
        <f ca="1">INDIRECT(ADDRESS(11+(MATCH(RIGHT(Table245[[#This Row],[spawner_sku]],LEN(Table245[[#This Row],[spawner_sku]])-FIND("/",Table245[[#This Row],[spawner_sku]])),Table1[Entity Prefab],0)),10,1,1,"Entities"))</f>
        <v>25</v>
      </c>
      <c r="G71" s="75">
        <f ca="1">ROUND((Table245[[#This Row],[XP]]*Table245[[#This Row],[entity_spawned (AVG)]])*(Table245[[#This Row],[activating_chance]]/100),0)</f>
        <v>75</v>
      </c>
      <c r="H7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1" s="72">
        <v>2</v>
      </c>
      <c r="J71" s="72">
        <v>4</v>
      </c>
      <c r="K71" s="72" t="b">
        <v>0</v>
      </c>
      <c r="M71" t="s">
        <v>232</v>
      </c>
      <c r="N71">
        <v>1</v>
      </c>
      <c r="O71">
        <v>250</v>
      </c>
      <c r="P71">
        <v>100</v>
      </c>
      <c r="Q71" s="75">
        <f ca="1">INDIRECT(ADDRESS(11+(MATCH(RIGHT(Table3[[#This Row],[spawner_sku]],LEN(Table3[[#This Row],[spawner_sku]])-FIND("/",Table3[[#This Row],[spawner_sku]])),Table1[Entity Prefab],0)),10,1,1,"Entities"))</f>
        <v>143</v>
      </c>
      <c r="R71" s="75">
        <f ca="1">ROUND((Table3[[#This Row],[XP]]*Table3[[#This Row],[entity_spawned (AVG)]])*(Table3[[#This Row],[activating_chance]]/100),0)</f>
        <v>143</v>
      </c>
      <c r="S71" t="str">
        <f ca="1">INDIRECT(ADDRESS(11+(MATCH(RIGHT(Table3[[#This Row],[spawner_sku]],LEN(Table3[[#This Row],[spawner_sku]])-FIND("/",Table3[[#This Row],[spawner_sku]])),Table28[Entity Prefab],0)),24,1,1,"Entities"))</f>
        <v>yes</v>
      </c>
      <c r="T71">
        <v>1</v>
      </c>
      <c r="U71">
        <v>1</v>
      </c>
      <c r="V71" t="b">
        <v>0</v>
      </c>
      <c r="W71" s="72"/>
      <c r="X71" t="s">
        <v>396</v>
      </c>
      <c r="Y71">
        <v>1</v>
      </c>
      <c r="Z71">
        <v>100</v>
      </c>
      <c r="AA71">
        <v>75</v>
      </c>
      <c r="AB71" s="75">
        <f ca="1">INDIRECT(ADDRESS(11+(MATCH(RIGHT(Table39[[#This Row],[spawner_sku]],LEN(Table39[[#This Row],[spawner_sku]])-FIND("/",Table39[[#This Row],[spawner_sku]])),Table1[Entity Prefab],0)),10,1,1,"Entities"))</f>
        <v>25</v>
      </c>
      <c r="AC71" s="75">
        <f ca="1">ROUND((Table39[[#This Row],[XP]]*Table39[[#This Row],[entity_spawned (AVG)]])*(Table39[[#This Row],[activating_chance]]/100),0)</f>
        <v>19</v>
      </c>
      <c r="AD71" t="str">
        <f ca="1">INDIRECT(ADDRESS(11+(MATCH(RIGHT(Table39[[#This Row],[spawner_sku]],LEN(Table39[[#This Row],[spawner_sku]])-FIND("/",Table39[[#This Row],[spawner_sku]])),Table28[Entity Prefab],0)),24,1,1,"Entities"))</f>
        <v>no</v>
      </c>
      <c r="AE71">
        <v>1</v>
      </c>
      <c r="AF71">
        <v>1</v>
      </c>
      <c r="AG71" t="b">
        <v>0</v>
      </c>
      <c r="AI71" t="s">
        <v>228</v>
      </c>
      <c r="AJ71">
        <v>2</v>
      </c>
      <c r="AK71">
        <v>110</v>
      </c>
      <c r="AL71">
        <v>100</v>
      </c>
      <c r="AM71" s="75">
        <f ca="1">INDIRECT(ADDRESS(11+(MATCH(RIGHT(Table2[[#This Row],[spawner_sku]],LEN(Table2[[#This Row],[spawner_sku]])-FIND("/",Table2[[#This Row],[spawner_sku]])),Table1[Entity Prefab],0)),10,1,1,"Entities"))</f>
        <v>25</v>
      </c>
      <c r="AN71" s="75">
        <f ca="1">ROUND((Table2[[#This Row],[XP]]*Table2[[#This Row],[entity_spawned (AVG)]])*(Table2[[#This Row],[activating_chance]]/100),0)</f>
        <v>50</v>
      </c>
      <c r="AO7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71" s="72">
        <v>1</v>
      </c>
      <c r="AQ71" s="72">
        <v>3</v>
      </c>
      <c r="AR71" s="72" t="b">
        <v>0</v>
      </c>
      <c r="AT71" t="s">
        <v>395</v>
      </c>
      <c r="AU71">
        <v>6.5</v>
      </c>
      <c r="AV71">
        <v>200</v>
      </c>
      <c r="AW71">
        <v>100</v>
      </c>
      <c r="AX71" s="75">
        <f ca="1">INDIRECT(ADDRESS(11+(MATCH(RIGHT(Table6[[#This Row],[spawner_sku]],LEN(Table6[[#This Row],[spawner_sku]])-FIND("/",Table6[[#This Row],[spawner_sku]])),Table1[Entity Prefab],0)),10,1,1,"Entities"))</f>
        <v>25</v>
      </c>
      <c r="AY71" s="75">
        <f ca="1">ROUND((Table6[[#This Row],[XP]]*Table6[[#This Row],[entity_spawned (AVG)]])*(Table6[[#This Row],[activating_chance]]/100),0)</f>
        <v>163</v>
      </c>
      <c r="AZ71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71">
        <v>5</v>
      </c>
      <c r="BB71">
        <v>8</v>
      </c>
      <c r="BC71" t="b">
        <v>1</v>
      </c>
      <c r="BE71" t="s">
        <v>232</v>
      </c>
      <c r="BF71">
        <v>1</v>
      </c>
      <c r="BG71">
        <v>250</v>
      </c>
      <c r="BH71">
        <v>100</v>
      </c>
      <c r="BI71" s="75">
        <f ca="1">INDIRECT(ADDRESS(11+(MATCH(RIGHT(Table610[[#This Row],[spawner_sku]],LEN(Table610[[#This Row],[spawner_sku]])-FIND("/",Table610[[#This Row],[spawner_sku]])),Table1[Entity Prefab],0)),10,1,1,"Entities"))</f>
        <v>143</v>
      </c>
      <c r="BJ71" s="75">
        <f ca="1">ROUND((Table610[[#This Row],[XP]]*Table610[[#This Row],[entity_spawned (AVG)]])*(Table610[[#This Row],[activating_chance]]/100),0)</f>
        <v>143</v>
      </c>
      <c r="BK71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1">
        <v>1</v>
      </c>
      <c r="BM71">
        <v>1</v>
      </c>
      <c r="BN71" t="b">
        <v>0</v>
      </c>
      <c r="BP71" t="s">
        <v>228</v>
      </c>
      <c r="BQ71">
        <v>5</v>
      </c>
      <c r="BR71">
        <v>210</v>
      </c>
      <c r="BS71">
        <v>100</v>
      </c>
      <c r="BT7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71" s="75">
        <f ca="1">ROUND((Table61011[[#This Row],[XP]]*Table61011[[#This Row],[entity_spawned (AVG)]])*(Table61011[[#This Row],[activating_chance]]/100),0)</f>
        <v>125</v>
      </c>
      <c r="BV7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1" s="72">
        <v>5</v>
      </c>
      <c r="BX71" s="72">
        <v>5</v>
      </c>
      <c r="BY71" s="72" t="b">
        <v>1</v>
      </c>
      <c r="CA71" t="s">
        <v>228</v>
      </c>
      <c r="CB71">
        <v>1</v>
      </c>
      <c r="CC71">
        <v>180</v>
      </c>
      <c r="CD71">
        <v>100</v>
      </c>
      <c r="CE71" s="75">
        <f ca="1">INDIRECT(ADDRESS(11+(MATCH(RIGHT(Table11[[#This Row],[spawner_sku]],LEN(Table11[[#This Row],[spawner_sku]])-FIND("/",Table11[[#This Row],[spawner_sku]])),Table1[Entity Prefab],0)),10,1,1,"Entities"))</f>
        <v>25</v>
      </c>
      <c r="CF71">
        <f ca="1">ROUND((Table11[[#This Row],[XP]]*Table11[[#This Row],[entity_spawned (AVG)]])*(Table11[[#This Row],[activating_chance]]/100),0)</f>
        <v>25</v>
      </c>
      <c r="CG71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71" s="72">
        <v>1</v>
      </c>
      <c r="CI71" s="72">
        <v>1</v>
      </c>
      <c r="CJ71" s="72" t="b">
        <v>0</v>
      </c>
      <c r="CL71" t="s">
        <v>244</v>
      </c>
      <c r="CM71">
        <v>1</v>
      </c>
      <c r="CN71">
        <v>220</v>
      </c>
      <c r="CO71">
        <v>100</v>
      </c>
      <c r="CP71" s="75">
        <f ca="1">INDIRECT(ADDRESS(11+(MATCH(RIGHT(Table12[[#This Row],[spawner_sku]],LEN(Table12[[#This Row],[spawner_sku]])-FIND("/",Table12[[#This Row],[spawner_sku]])),Table1[Entity Prefab],0)),10,1,1,"Entities"))</f>
        <v>25</v>
      </c>
      <c r="CQ71" s="75">
        <f ca="1">ROUND((Table12[[#This Row],[XP]]*Table12[[#This Row],[entity_spawned (AVG)]])*(Table12[[#This Row],[activating_chance]]/100),0)</f>
        <v>25</v>
      </c>
      <c r="CR71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71" s="72">
        <v>1</v>
      </c>
      <c r="CT71" s="72">
        <v>1</v>
      </c>
      <c r="CU71" s="72" t="b">
        <v>0</v>
      </c>
      <c r="CW71" t="s">
        <v>232</v>
      </c>
      <c r="CX71">
        <v>1</v>
      </c>
      <c r="CY71">
        <v>250</v>
      </c>
      <c r="CZ71">
        <v>100</v>
      </c>
      <c r="DA71" s="75">
        <f ca="1">INDIRECT(ADDRESS(11+(MATCH(RIGHT(Table13[[#This Row],[spawner_sku]],LEN(Table13[[#This Row],[spawner_sku]])-FIND("/",Table13[[#This Row],[spawner_sku]])),Table1[Entity Prefab],0)),10,1,1,"Entities"))</f>
        <v>143</v>
      </c>
      <c r="DB71" s="75">
        <f ca="1">ROUND((Table13[[#This Row],[XP]]*Table13[[#This Row],[entity_spawned (AVG)]])*(Table13[[#This Row],[activating_chance]]/100),0)</f>
        <v>143</v>
      </c>
      <c r="DC71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71" s="72">
        <v>1</v>
      </c>
      <c r="DE71" s="72">
        <v>1</v>
      </c>
      <c r="DF71" s="72" t="b">
        <v>0</v>
      </c>
      <c r="DH71" t="s">
        <v>227</v>
      </c>
      <c r="DI71">
        <v>3.5</v>
      </c>
      <c r="DJ71">
        <v>140</v>
      </c>
      <c r="DK71">
        <v>80</v>
      </c>
      <c r="DL71" s="75">
        <f ca="1">INDIRECT(ADDRESS(11+(MATCH(RIGHT(Table14[[#This Row],[spawner_sku]],LEN(Table14[[#This Row],[spawner_sku]])-FIND("/",Table14[[#This Row],[spawner_sku]])),Table1[Entity Prefab],0)),10,1,1,"Entities"))</f>
        <v>25</v>
      </c>
      <c r="DM71" s="75">
        <f ca="1">ROUND((Table14[[#This Row],[XP]]*Table14[[#This Row],[entity_spawned (AVG)]])*(Table14[[#This Row],[activating_chance]]/100),0)</f>
        <v>70</v>
      </c>
      <c r="DN7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1" s="72">
        <v>3</v>
      </c>
      <c r="DP71" s="72">
        <v>4</v>
      </c>
      <c r="DQ71" s="72" t="b">
        <v>0</v>
      </c>
      <c r="DS71" t="s">
        <v>227</v>
      </c>
      <c r="DT71">
        <v>2</v>
      </c>
      <c r="DU71">
        <v>140</v>
      </c>
      <c r="DV71">
        <v>100</v>
      </c>
      <c r="DW71" s="75">
        <f ca="1">INDIRECT(ADDRESS(11+(MATCH(RIGHT(Table18[[#This Row],[spawner_sku]],LEN(Table18[[#This Row],[spawner_sku]])-FIND("/",Table18[[#This Row],[spawner_sku]])),Table1[Entity Prefab],0)),10,1,1,"Entities"))</f>
        <v>25</v>
      </c>
      <c r="DX71" s="75">
        <f ca="1">ROUND((Table18[[#This Row],[XP]]*Table18[[#This Row],[entity_spawned (AVG)]])*(Table18[[#This Row],[activating_chance]]/100),0)</f>
        <v>50</v>
      </c>
      <c r="DY7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71">
        <v>2</v>
      </c>
      <c r="EA71">
        <v>3</v>
      </c>
      <c r="EB71" t="b">
        <v>0</v>
      </c>
      <c r="ED71" t="s">
        <v>227</v>
      </c>
      <c r="EE71">
        <v>3</v>
      </c>
      <c r="EF71">
        <v>140</v>
      </c>
      <c r="EG71">
        <v>100</v>
      </c>
      <c r="EH71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71" s="75">
        <f ca="1">ROUND((Table1820[[#This Row],[XP]]*Table1820[[#This Row],[entity_spawned (AVG)]])*(Table1820[[#This Row],[activating_chance]]/100),0)</f>
        <v>75</v>
      </c>
      <c r="EJ7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71">
        <v>3</v>
      </c>
      <c r="EL71">
        <v>4</v>
      </c>
      <c r="EM71" t="b">
        <v>0</v>
      </c>
      <c r="EO71" t="s">
        <v>7349</v>
      </c>
      <c r="EP71">
        <v>1.5</v>
      </c>
      <c r="EQ71">
        <v>70</v>
      </c>
      <c r="ER71">
        <v>100</v>
      </c>
      <c r="ES71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ET71" s="75">
        <f ca="1">ROUND((Table182023[[#This Row],[XP]]*Table182023[[#This Row],[entity_spawned (AVG)]])*(Table182023[[#This Row],[activating_chance]]/100),0)</f>
        <v>195</v>
      </c>
      <c r="EU71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EV71" s="152">
        <v>1</v>
      </c>
      <c r="EW71" s="152">
        <v>2</v>
      </c>
      <c r="EX71" s="152" t="b">
        <v>0</v>
      </c>
      <c r="EZ71" t="s">
        <v>7344</v>
      </c>
      <c r="FA71">
        <v>1</v>
      </c>
      <c r="FB71">
        <v>75</v>
      </c>
      <c r="FC71">
        <v>100</v>
      </c>
      <c r="FD71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71" s="75">
        <f ca="1">ROUND((Table18202324[[#This Row],[XP]]*Table18202324[[#This Row],[entity_spawned (AVG)]])*(Table18202324[[#This Row],[activating_chance]]/100),0)</f>
        <v>25</v>
      </c>
      <c r="FF71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71">
        <v>1</v>
      </c>
      <c r="FH71">
        <v>1</v>
      </c>
      <c r="FI71" t="b">
        <v>0</v>
      </c>
    </row>
    <row r="72" spans="2:165" x14ac:dyDescent="0.25">
      <c r="B72" s="73" t="s">
        <v>228</v>
      </c>
      <c r="C72">
        <v>7.5</v>
      </c>
      <c r="D72">
        <v>160</v>
      </c>
      <c r="E72">
        <v>100</v>
      </c>
      <c r="F72" s="75">
        <f ca="1">INDIRECT(ADDRESS(11+(MATCH(RIGHT(Table245[[#This Row],[spawner_sku]],LEN(Table245[[#This Row],[spawner_sku]])-FIND("/",Table245[[#This Row],[spawner_sku]])),Table1[Entity Prefab],0)),10,1,1,"Entities"))</f>
        <v>25</v>
      </c>
      <c r="G72" s="75">
        <f ca="1">ROUND((Table245[[#This Row],[XP]]*Table245[[#This Row],[entity_spawned (AVG)]])*(Table245[[#This Row],[activating_chance]]/100),0)</f>
        <v>188</v>
      </c>
      <c r="H7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2" s="72">
        <v>6</v>
      </c>
      <c r="J72" s="72">
        <v>9</v>
      </c>
      <c r="K72" s="72" t="b">
        <v>1</v>
      </c>
      <c r="M72" t="s">
        <v>232</v>
      </c>
      <c r="N72">
        <v>1</v>
      </c>
      <c r="O72">
        <v>250</v>
      </c>
      <c r="P72">
        <v>50</v>
      </c>
      <c r="Q72" s="75">
        <f ca="1">INDIRECT(ADDRESS(11+(MATCH(RIGHT(Table3[[#This Row],[spawner_sku]],LEN(Table3[[#This Row],[spawner_sku]])-FIND("/",Table3[[#This Row],[spawner_sku]])),Table1[Entity Prefab],0)),10,1,1,"Entities"))</f>
        <v>143</v>
      </c>
      <c r="R72" s="75">
        <f ca="1">ROUND((Table3[[#This Row],[XP]]*Table3[[#This Row],[entity_spawned (AVG)]])*(Table3[[#This Row],[activating_chance]]/100),0)</f>
        <v>72</v>
      </c>
      <c r="S72" t="str">
        <f ca="1">INDIRECT(ADDRESS(11+(MATCH(RIGHT(Table3[[#This Row],[spawner_sku]],LEN(Table3[[#This Row],[spawner_sku]])-FIND("/",Table3[[#This Row],[spawner_sku]])),Table28[Entity Prefab],0)),24,1,1,"Entities"))</f>
        <v>yes</v>
      </c>
      <c r="T72">
        <v>1</v>
      </c>
      <c r="U72">
        <v>1</v>
      </c>
      <c r="V72" t="b">
        <v>0</v>
      </c>
      <c r="W72" s="72"/>
      <c r="X72" t="s">
        <v>396</v>
      </c>
      <c r="Y72">
        <v>1</v>
      </c>
      <c r="Z72">
        <v>140</v>
      </c>
      <c r="AA72">
        <v>100</v>
      </c>
      <c r="AB72" s="75">
        <f ca="1">INDIRECT(ADDRESS(11+(MATCH(RIGHT(Table39[[#This Row],[spawner_sku]],LEN(Table39[[#This Row],[spawner_sku]])-FIND("/",Table39[[#This Row],[spawner_sku]])),Table1[Entity Prefab],0)),10,1,1,"Entities"))</f>
        <v>25</v>
      </c>
      <c r="AC72" s="75">
        <f ca="1">ROUND((Table39[[#This Row],[XP]]*Table39[[#This Row],[entity_spawned (AVG)]])*(Table39[[#This Row],[activating_chance]]/100),0)</f>
        <v>25</v>
      </c>
      <c r="AD72" t="str">
        <f ca="1">INDIRECT(ADDRESS(11+(MATCH(RIGHT(Table39[[#This Row],[spawner_sku]],LEN(Table39[[#This Row],[spawner_sku]])-FIND("/",Table39[[#This Row],[spawner_sku]])),Table28[Entity Prefab],0)),24,1,1,"Entities"))</f>
        <v>no</v>
      </c>
      <c r="AE72">
        <v>1</v>
      </c>
      <c r="AF72">
        <v>1</v>
      </c>
      <c r="AG72" t="b">
        <v>0</v>
      </c>
      <c r="AI72" t="s">
        <v>228</v>
      </c>
      <c r="AJ72">
        <v>1.5</v>
      </c>
      <c r="AK72">
        <v>100</v>
      </c>
      <c r="AL72">
        <v>100</v>
      </c>
      <c r="AM72" s="75">
        <f ca="1">INDIRECT(ADDRESS(11+(MATCH(RIGHT(Table2[[#This Row],[spawner_sku]],LEN(Table2[[#This Row],[spawner_sku]])-FIND("/",Table2[[#This Row],[spawner_sku]])),Table1[Entity Prefab],0)),10,1,1,"Entities"))</f>
        <v>25</v>
      </c>
      <c r="AN72" s="75">
        <f ca="1">ROUND((Table2[[#This Row],[XP]]*Table2[[#This Row],[entity_spawned (AVG)]])*(Table2[[#This Row],[activating_chance]]/100),0)</f>
        <v>38</v>
      </c>
      <c r="AO7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72" s="72">
        <v>1</v>
      </c>
      <c r="AQ72" s="72">
        <v>2</v>
      </c>
      <c r="AR72" s="72" t="b">
        <v>0</v>
      </c>
      <c r="AT72" t="s">
        <v>395</v>
      </c>
      <c r="AU72">
        <v>2.5</v>
      </c>
      <c r="AV72">
        <v>200</v>
      </c>
      <c r="AW72">
        <v>100</v>
      </c>
      <c r="AX72" s="75">
        <f ca="1">INDIRECT(ADDRESS(11+(MATCH(RIGHT(Table6[[#This Row],[spawner_sku]],LEN(Table6[[#This Row],[spawner_sku]])-FIND("/",Table6[[#This Row],[spawner_sku]])),Table1[Entity Prefab],0)),10,1,1,"Entities"))</f>
        <v>25</v>
      </c>
      <c r="AY72" s="75">
        <f ca="1">ROUND((Table6[[#This Row],[XP]]*Table6[[#This Row],[entity_spawned (AVG)]])*(Table6[[#This Row],[activating_chance]]/100),0)</f>
        <v>63</v>
      </c>
      <c r="AZ72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72">
        <v>2</v>
      </c>
      <c r="BB72">
        <v>3</v>
      </c>
      <c r="BC72" t="b">
        <v>0</v>
      </c>
      <c r="BE72" t="s">
        <v>232</v>
      </c>
      <c r="BF72">
        <v>1</v>
      </c>
      <c r="BG72">
        <v>250</v>
      </c>
      <c r="BH72">
        <v>100</v>
      </c>
      <c r="BI72" s="75">
        <f ca="1">INDIRECT(ADDRESS(11+(MATCH(RIGHT(Table610[[#This Row],[spawner_sku]],LEN(Table610[[#This Row],[spawner_sku]])-FIND("/",Table610[[#This Row],[spawner_sku]])),Table1[Entity Prefab],0)),10,1,1,"Entities"))</f>
        <v>143</v>
      </c>
      <c r="BJ72" s="75">
        <f ca="1">ROUND((Table610[[#This Row],[XP]]*Table610[[#This Row],[entity_spawned (AVG)]])*(Table610[[#This Row],[activating_chance]]/100),0)</f>
        <v>143</v>
      </c>
      <c r="BK72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2">
        <v>1</v>
      </c>
      <c r="BM72">
        <v>1</v>
      </c>
      <c r="BN72" t="b">
        <v>0</v>
      </c>
      <c r="BP72" t="s">
        <v>228</v>
      </c>
      <c r="BQ72">
        <v>5</v>
      </c>
      <c r="BR72">
        <v>210</v>
      </c>
      <c r="BS72">
        <v>100</v>
      </c>
      <c r="BT7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72" s="75">
        <f ca="1">ROUND((Table61011[[#This Row],[XP]]*Table61011[[#This Row],[entity_spawned (AVG)]])*(Table61011[[#This Row],[activating_chance]]/100),0)</f>
        <v>125</v>
      </c>
      <c r="BV7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2" s="72">
        <v>5</v>
      </c>
      <c r="BX72" s="72">
        <v>5</v>
      </c>
      <c r="BY72" s="72" t="b">
        <v>1</v>
      </c>
      <c r="CA72" t="s">
        <v>228</v>
      </c>
      <c r="CB72">
        <v>1.5</v>
      </c>
      <c r="CC72">
        <v>180</v>
      </c>
      <c r="CD72">
        <v>100</v>
      </c>
      <c r="CE72" s="75">
        <f ca="1">INDIRECT(ADDRESS(11+(MATCH(RIGHT(Table11[[#This Row],[spawner_sku]],LEN(Table11[[#This Row],[spawner_sku]])-FIND("/",Table11[[#This Row],[spawner_sku]])),Table1[Entity Prefab],0)),10,1,1,"Entities"))</f>
        <v>25</v>
      </c>
      <c r="CF72">
        <f ca="1">ROUND((Table11[[#This Row],[XP]]*Table11[[#This Row],[entity_spawned (AVG)]])*(Table11[[#This Row],[activating_chance]]/100),0)</f>
        <v>38</v>
      </c>
      <c r="CG72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72" s="72">
        <v>1</v>
      </c>
      <c r="CI72" s="72">
        <v>2</v>
      </c>
      <c r="CJ72" s="72" t="b">
        <v>0</v>
      </c>
      <c r="CL72" t="s">
        <v>244</v>
      </c>
      <c r="CM72">
        <v>1</v>
      </c>
      <c r="CN72">
        <v>220</v>
      </c>
      <c r="CO72">
        <v>100</v>
      </c>
      <c r="CP72" s="75">
        <f ca="1">INDIRECT(ADDRESS(11+(MATCH(RIGHT(Table12[[#This Row],[spawner_sku]],LEN(Table12[[#This Row],[spawner_sku]])-FIND("/",Table12[[#This Row],[spawner_sku]])),Table1[Entity Prefab],0)),10,1,1,"Entities"))</f>
        <v>25</v>
      </c>
      <c r="CQ72" s="75">
        <f ca="1">ROUND((Table12[[#This Row],[XP]]*Table12[[#This Row],[entity_spawned (AVG)]])*(Table12[[#This Row],[activating_chance]]/100),0)</f>
        <v>25</v>
      </c>
      <c r="CR72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72" s="72">
        <v>1</v>
      </c>
      <c r="CT72" s="72">
        <v>1</v>
      </c>
      <c r="CU72" s="72" t="b">
        <v>0</v>
      </c>
      <c r="CW72" t="s">
        <v>233</v>
      </c>
      <c r="CX72">
        <v>1</v>
      </c>
      <c r="CY72">
        <v>300</v>
      </c>
      <c r="CZ72">
        <v>80</v>
      </c>
      <c r="DA72" s="75">
        <f ca="1">INDIRECT(ADDRESS(11+(MATCH(RIGHT(Table13[[#This Row],[spawner_sku]],LEN(Table13[[#This Row],[spawner_sku]])-FIND("/",Table13[[#This Row],[spawner_sku]])),Table1[Entity Prefab],0)),10,1,1,"Entities"))</f>
        <v>195</v>
      </c>
      <c r="DB72" s="75">
        <f ca="1">ROUND((Table13[[#This Row],[XP]]*Table13[[#This Row],[entity_spawned (AVG)]])*(Table13[[#This Row],[activating_chance]]/100),0)</f>
        <v>156</v>
      </c>
      <c r="DC72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72" s="72">
        <v>1</v>
      </c>
      <c r="DE72" s="72">
        <v>1</v>
      </c>
      <c r="DF72" s="72" t="b">
        <v>0</v>
      </c>
      <c r="DH72" t="s">
        <v>227</v>
      </c>
      <c r="DI72">
        <v>10</v>
      </c>
      <c r="DJ72">
        <v>150</v>
      </c>
      <c r="DK72">
        <v>100</v>
      </c>
      <c r="DL72" s="75">
        <f ca="1">INDIRECT(ADDRESS(11+(MATCH(RIGHT(Table14[[#This Row],[spawner_sku]],LEN(Table14[[#This Row],[spawner_sku]])-FIND("/",Table14[[#This Row],[spawner_sku]])),Table1[Entity Prefab],0)),10,1,1,"Entities"))</f>
        <v>25</v>
      </c>
      <c r="DM72" s="75">
        <f ca="1">ROUND((Table14[[#This Row],[XP]]*Table14[[#This Row],[entity_spawned (AVG)]])*(Table14[[#This Row],[activating_chance]]/100),0)</f>
        <v>250</v>
      </c>
      <c r="DN7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2" s="72">
        <v>8</v>
      </c>
      <c r="DP72" s="72">
        <v>12</v>
      </c>
      <c r="DQ72" s="72" t="b">
        <v>1</v>
      </c>
      <c r="DS72" t="s">
        <v>227</v>
      </c>
      <c r="DT72">
        <v>9</v>
      </c>
      <c r="DU72">
        <v>150</v>
      </c>
      <c r="DV72">
        <v>100</v>
      </c>
      <c r="DW72" s="75">
        <f ca="1">INDIRECT(ADDRESS(11+(MATCH(RIGHT(Table18[[#This Row],[spawner_sku]],LEN(Table18[[#This Row],[spawner_sku]])-FIND("/",Table18[[#This Row],[spawner_sku]])),Table1[Entity Prefab],0)),10,1,1,"Entities"))</f>
        <v>25</v>
      </c>
      <c r="DX72" s="75">
        <f ca="1">ROUND((Table18[[#This Row],[XP]]*Table18[[#This Row],[entity_spawned (AVG)]])*(Table18[[#This Row],[activating_chance]]/100),0)</f>
        <v>225</v>
      </c>
      <c r="DY7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72">
        <v>8</v>
      </c>
      <c r="EA72">
        <v>10</v>
      </c>
      <c r="EB72" t="b">
        <v>1</v>
      </c>
      <c r="ED72" t="s">
        <v>227</v>
      </c>
      <c r="EE72">
        <v>1</v>
      </c>
      <c r="EF72">
        <v>140</v>
      </c>
      <c r="EG72">
        <v>100</v>
      </c>
      <c r="EH7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72" s="75">
        <f ca="1">ROUND((Table1820[[#This Row],[XP]]*Table1820[[#This Row],[entity_spawned (AVG)]])*(Table1820[[#This Row],[activating_chance]]/100),0)</f>
        <v>25</v>
      </c>
      <c r="EJ7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72">
        <v>1</v>
      </c>
      <c r="EL72">
        <v>2</v>
      </c>
      <c r="EM72" t="b">
        <v>0</v>
      </c>
      <c r="EO72" t="s">
        <v>7349</v>
      </c>
      <c r="EP72">
        <v>1.5</v>
      </c>
      <c r="EQ72">
        <v>80</v>
      </c>
      <c r="ER72">
        <v>100</v>
      </c>
      <c r="ES72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ET72" s="75">
        <f ca="1">ROUND((Table182023[[#This Row],[XP]]*Table182023[[#This Row],[entity_spawned (AVG)]])*(Table182023[[#This Row],[activating_chance]]/100),0)</f>
        <v>195</v>
      </c>
      <c r="EU72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EV72" s="152">
        <v>1</v>
      </c>
      <c r="EW72" s="152">
        <v>2</v>
      </c>
      <c r="EX72" s="152" t="b">
        <v>0</v>
      </c>
      <c r="EZ72" t="s">
        <v>7344</v>
      </c>
      <c r="FA72">
        <v>1</v>
      </c>
      <c r="FB72">
        <v>90</v>
      </c>
      <c r="FC72">
        <v>100</v>
      </c>
      <c r="FD72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72" s="75">
        <f ca="1">ROUND((Table18202324[[#This Row],[XP]]*Table18202324[[#This Row],[entity_spawned (AVG)]])*(Table18202324[[#This Row],[activating_chance]]/100),0)</f>
        <v>25</v>
      </c>
      <c r="FF72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72">
        <v>1</v>
      </c>
      <c r="FH72">
        <v>1</v>
      </c>
      <c r="FI72" t="b">
        <v>0</v>
      </c>
    </row>
    <row r="73" spans="2:165" x14ac:dyDescent="0.25">
      <c r="B73" s="73" t="s">
        <v>228</v>
      </c>
      <c r="C73">
        <v>2.5</v>
      </c>
      <c r="D73">
        <v>130</v>
      </c>
      <c r="E73">
        <v>100</v>
      </c>
      <c r="F73" s="75">
        <f ca="1">INDIRECT(ADDRESS(11+(MATCH(RIGHT(Table245[[#This Row],[spawner_sku]],LEN(Table245[[#This Row],[spawner_sku]])-FIND("/",Table245[[#This Row],[spawner_sku]])),Table1[Entity Prefab],0)),10,1,1,"Entities"))</f>
        <v>25</v>
      </c>
      <c r="G73" s="75">
        <f ca="1">ROUND((Table245[[#This Row],[XP]]*Table245[[#This Row],[entity_spawned (AVG)]])*(Table245[[#This Row],[activating_chance]]/100),0)</f>
        <v>63</v>
      </c>
      <c r="H7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3" s="72">
        <v>2</v>
      </c>
      <c r="J73" s="72">
        <v>3</v>
      </c>
      <c r="K73" s="72" t="b">
        <v>0</v>
      </c>
      <c r="M73" t="s">
        <v>232</v>
      </c>
      <c r="N73">
        <v>1</v>
      </c>
      <c r="O73">
        <v>250</v>
      </c>
      <c r="P73">
        <v>100</v>
      </c>
      <c r="Q73" s="75">
        <f ca="1">INDIRECT(ADDRESS(11+(MATCH(RIGHT(Table3[[#This Row],[spawner_sku]],LEN(Table3[[#This Row],[spawner_sku]])-FIND("/",Table3[[#This Row],[spawner_sku]])),Table1[Entity Prefab],0)),10,1,1,"Entities"))</f>
        <v>143</v>
      </c>
      <c r="R73" s="75">
        <f ca="1">ROUND((Table3[[#This Row],[XP]]*Table3[[#This Row],[entity_spawned (AVG)]])*(Table3[[#This Row],[activating_chance]]/100),0)</f>
        <v>143</v>
      </c>
      <c r="S73" t="str">
        <f ca="1">INDIRECT(ADDRESS(11+(MATCH(RIGHT(Table3[[#This Row],[spawner_sku]],LEN(Table3[[#This Row],[spawner_sku]])-FIND("/",Table3[[#This Row],[spawner_sku]])),Table28[Entity Prefab],0)),24,1,1,"Entities"))</f>
        <v>yes</v>
      </c>
      <c r="T73">
        <v>1</v>
      </c>
      <c r="U73">
        <v>1</v>
      </c>
      <c r="V73" t="b">
        <v>0</v>
      </c>
      <c r="W73" s="72"/>
      <c r="X73" t="s">
        <v>396</v>
      </c>
      <c r="Y73">
        <v>1</v>
      </c>
      <c r="Z73">
        <v>140</v>
      </c>
      <c r="AA73">
        <v>100</v>
      </c>
      <c r="AB73" s="75">
        <f ca="1">INDIRECT(ADDRESS(11+(MATCH(RIGHT(Table39[[#This Row],[spawner_sku]],LEN(Table39[[#This Row],[spawner_sku]])-FIND("/",Table39[[#This Row],[spawner_sku]])),Table1[Entity Prefab],0)),10,1,1,"Entities"))</f>
        <v>25</v>
      </c>
      <c r="AC73" s="75">
        <f ca="1">ROUND((Table39[[#This Row],[XP]]*Table39[[#This Row],[entity_spawned (AVG)]])*(Table39[[#This Row],[activating_chance]]/100),0)</f>
        <v>25</v>
      </c>
      <c r="AD73" t="str">
        <f ca="1">INDIRECT(ADDRESS(11+(MATCH(RIGHT(Table39[[#This Row],[spawner_sku]],LEN(Table39[[#This Row],[spawner_sku]])-FIND("/",Table39[[#This Row],[spawner_sku]])),Table28[Entity Prefab],0)),24,1,1,"Entities"))</f>
        <v>no</v>
      </c>
      <c r="AE73">
        <v>1</v>
      </c>
      <c r="AF73">
        <v>1</v>
      </c>
      <c r="AG73" t="b">
        <v>0</v>
      </c>
      <c r="AI73" t="s">
        <v>228</v>
      </c>
      <c r="AJ73">
        <v>3.5</v>
      </c>
      <c r="AK73">
        <v>100</v>
      </c>
      <c r="AL73">
        <v>100</v>
      </c>
      <c r="AM73" s="75">
        <f ca="1">INDIRECT(ADDRESS(11+(MATCH(RIGHT(Table2[[#This Row],[spawner_sku]],LEN(Table2[[#This Row],[spawner_sku]])-FIND("/",Table2[[#This Row],[spawner_sku]])),Table1[Entity Prefab],0)),10,1,1,"Entities"))</f>
        <v>25</v>
      </c>
      <c r="AN73" s="75">
        <f ca="1">ROUND((Table2[[#This Row],[XP]]*Table2[[#This Row],[entity_spawned (AVG)]])*(Table2[[#This Row],[activating_chance]]/100),0)</f>
        <v>88</v>
      </c>
      <c r="AO7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73" s="72">
        <v>3</v>
      </c>
      <c r="AQ73" s="72">
        <v>4</v>
      </c>
      <c r="AR73" s="72" t="b">
        <v>0</v>
      </c>
      <c r="AT73" t="s">
        <v>395</v>
      </c>
      <c r="AU73">
        <v>3</v>
      </c>
      <c r="AV73">
        <v>200</v>
      </c>
      <c r="AW73">
        <v>100</v>
      </c>
      <c r="AX73" s="75">
        <f ca="1">INDIRECT(ADDRESS(11+(MATCH(RIGHT(Table6[[#This Row],[spawner_sku]],LEN(Table6[[#This Row],[spawner_sku]])-FIND("/",Table6[[#This Row],[spawner_sku]])),Table1[Entity Prefab],0)),10,1,1,"Entities"))</f>
        <v>25</v>
      </c>
      <c r="AY73" s="75">
        <f ca="1">ROUND((Table6[[#This Row],[XP]]*Table6[[#This Row],[entity_spawned (AVG)]])*(Table6[[#This Row],[activating_chance]]/100),0)</f>
        <v>75</v>
      </c>
      <c r="AZ73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73">
        <v>2</v>
      </c>
      <c r="BB73">
        <v>4</v>
      </c>
      <c r="BC73" t="b">
        <v>0</v>
      </c>
      <c r="BE73" t="s">
        <v>336</v>
      </c>
      <c r="BF73">
        <v>1</v>
      </c>
      <c r="BG73">
        <v>300</v>
      </c>
      <c r="BH73">
        <v>100</v>
      </c>
      <c r="BI73" s="75">
        <f ca="1">INDIRECT(ADDRESS(11+(MATCH(RIGHT(Table610[[#This Row],[spawner_sku]],LEN(Table610[[#This Row],[spawner_sku]])-FIND("/",Table610[[#This Row],[spawner_sku]])),Table1[Entity Prefab],0)),10,1,1,"Entities"))</f>
        <v>195</v>
      </c>
      <c r="BJ73" s="75">
        <f ca="1">ROUND((Table610[[#This Row],[XP]]*Table610[[#This Row],[entity_spawned (AVG)]])*(Table610[[#This Row],[activating_chance]]/100),0)</f>
        <v>195</v>
      </c>
      <c r="BK73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3">
        <v>1</v>
      </c>
      <c r="BM73">
        <v>1</v>
      </c>
      <c r="BN73" t="b">
        <v>0</v>
      </c>
      <c r="BP73" t="s">
        <v>228</v>
      </c>
      <c r="BQ73">
        <v>1.5</v>
      </c>
      <c r="BR73">
        <v>160</v>
      </c>
      <c r="BS73">
        <v>100</v>
      </c>
      <c r="BT7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73" s="75">
        <f ca="1">ROUND((Table61011[[#This Row],[XP]]*Table61011[[#This Row],[entity_spawned (AVG)]])*(Table61011[[#This Row],[activating_chance]]/100),0)</f>
        <v>38</v>
      </c>
      <c r="BV7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3" s="72">
        <v>1</v>
      </c>
      <c r="BX73" s="72">
        <v>2</v>
      </c>
      <c r="BY73" s="72" t="b">
        <v>0</v>
      </c>
      <c r="CA73" t="s">
        <v>228</v>
      </c>
      <c r="CB73">
        <v>1.5</v>
      </c>
      <c r="CC73">
        <v>180</v>
      </c>
      <c r="CD73">
        <v>80</v>
      </c>
      <c r="CE73" s="75">
        <f ca="1">INDIRECT(ADDRESS(11+(MATCH(RIGHT(Table11[[#This Row],[spawner_sku]],LEN(Table11[[#This Row],[spawner_sku]])-FIND("/",Table11[[#This Row],[spawner_sku]])),Table1[Entity Prefab],0)),10,1,1,"Entities"))</f>
        <v>25</v>
      </c>
      <c r="CF73">
        <f ca="1">ROUND((Table11[[#This Row],[XP]]*Table11[[#This Row],[entity_spawned (AVG)]])*(Table11[[#This Row],[activating_chance]]/100),0)</f>
        <v>30</v>
      </c>
      <c r="CG73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73" s="72">
        <v>1</v>
      </c>
      <c r="CI73" s="72">
        <v>2</v>
      </c>
      <c r="CJ73" s="72" t="b">
        <v>0</v>
      </c>
      <c r="CL73" t="s">
        <v>244</v>
      </c>
      <c r="CM73">
        <v>1</v>
      </c>
      <c r="CN73">
        <v>220</v>
      </c>
      <c r="CO73">
        <v>100</v>
      </c>
      <c r="CP73" s="75">
        <f ca="1">INDIRECT(ADDRESS(11+(MATCH(RIGHT(Table12[[#This Row],[spawner_sku]],LEN(Table12[[#This Row],[spawner_sku]])-FIND("/",Table12[[#This Row],[spawner_sku]])),Table1[Entity Prefab],0)),10,1,1,"Entities"))</f>
        <v>25</v>
      </c>
      <c r="CQ73" s="75">
        <f ca="1">ROUND((Table12[[#This Row],[XP]]*Table12[[#This Row],[entity_spawned (AVG)]])*(Table12[[#This Row],[activating_chance]]/100),0)</f>
        <v>25</v>
      </c>
      <c r="CR73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73" s="72">
        <v>1</v>
      </c>
      <c r="CT73" s="72">
        <v>1</v>
      </c>
      <c r="CU73" s="72" t="b">
        <v>0</v>
      </c>
      <c r="CW73" t="s">
        <v>233</v>
      </c>
      <c r="CX73">
        <v>1</v>
      </c>
      <c r="CY73">
        <v>300</v>
      </c>
      <c r="CZ73">
        <v>80</v>
      </c>
      <c r="DA73" s="75">
        <f ca="1">INDIRECT(ADDRESS(11+(MATCH(RIGHT(Table13[[#This Row],[spawner_sku]],LEN(Table13[[#This Row],[spawner_sku]])-FIND("/",Table13[[#This Row],[spawner_sku]])),Table1[Entity Prefab],0)),10,1,1,"Entities"))</f>
        <v>195</v>
      </c>
      <c r="DB73" s="75">
        <f ca="1">ROUND((Table13[[#This Row],[XP]]*Table13[[#This Row],[entity_spawned (AVG)]])*(Table13[[#This Row],[activating_chance]]/100),0)</f>
        <v>156</v>
      </c>
      <c r="DC73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73" s="72">
        <v>1</v>
      </c>
      <c r="DE73" s="72">
        <v>1</v>
      </c>
      <c r="DF73" s="72" t="b">
        <v>0</v>
      </c>
      <c r="DH73" t="s">
        <v>227</v>
      </c>
      <c r="DI73">
        <v>9</v>
      </c>
      <c r="DJ73">
        <v>200</v>
      </c>
      <c r="DK73">
        <v>100</v>
      </c>
      <c r="DL73" s="75">
        <f ca="1">INDIRECT(ADDRESS(11+(MATCH(RIGHT(Table14[[#This Row],[spawner_sku]],LEN(Table14[[#This Row],[spawner_sku]])-FIND("/",Table14[[#This Row],[spawner_sku]])),Table1[Entity Prefab],0)),10,1,1,"Entities"))</f>
        <v>25</v>
      </c>
      <c r="DM73" s="75">
        <f ca="1">ROUND((Table14[[#This Row],[XP]]*Table14[[#This Row],[entity_spawned (AVG)]])*(Table14[[#This Row],[activating_chance]]/100),0)</f>
        <v>225</v>
      </c>
      <c r="DN7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3" s="72">
        <v>8</v>
      </c>
      <c r="DP73" s="72">
        <v>10</v>
      </c>
      <c r="DQ73" s="72" t="b">
        <v>1</v>
      </c>
      <c r="DS73" t="s">
        <v>227</v>
      </c>
      <c r="DT73">
        <v>3</v>
      </c>
      <c r="DU73">
        <v>140</v>
      </c>
      <c r="DV73">
        <v>100</v>
      </c>
      <c r="DW73" s="75">
        <f ca="1">INDIRECT(ADDRESS(11+(MATCH(RIGHT(Table18[[#This Row],[spawner_sku]],LEN(Table18[[#This Row],[spawner_sku]])-FIND("/",Table18[[#This Row],[spawner_sku]])),Table1[Entity Prefab],0)),10,1,1,"Entities"))</f>
        <v>25</v>
      </c>
      <c r="DX73" s="75">
        <f ca="1">ROUND((Table18[[#This Row],[XP]]*Table18[[#This Row],[entity_spawned (AVG)]])*(Table18[[#This Row],[activating_chance]]/100),0)</f>
        <v>75</v>
      </c>
      <c r="DY7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73">
        <v>3</v>
      </c>
      <c r="EA73">
        <v>4</v>
      </c>
      <c r="EB73" t="b">
        <v>0</v>
      </c>
      <c r="ED73" t="s">
        <v>227</v>
      </c>
      <c r="EE73">
        <v>3</v>
      </c>
      <c r="EF73">
        <v>140</v>
      </c>
      <c r="EG73">
        <v>100</v>
      </c>
      <c r="EH73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73" s="75">
        <f ca="1">ROUND((Table1820[[#This Row],[XP]]*Table1820[[#This Row],[entity_spawned (AVG)]])*(Table1820[[#This Row],[activating_chance]]/100),0)</f>
        <v>75</v>
      </c>
      <c r="EJ7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73">
        <v>3</v>
      </c>
      <c r="EL73">
        <v>4</v>
      </c>
      <c r="EM73" t="b">
        <v>0</v>
      </c>
      <c r="EO73" t="s">
        <v>7346</v>
      </c>
      <c r="EP73">
        <v>7.5</v>
      </c>
      <c r="EQ73">
        <v>100</v>
      </c>
      <c r="ER73">
        <v>100</v>
      </c>
      <c r="ES73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ET73" s="75">
        <f ca="1">ROUND((Table182023[[#This Row],[XP]]*Table182023[[#This Row],[entity_spawned (AVG)]])*(Table182023[[#This Row],[activating_chance]]/100),0)</f>
        <v>263</v>
      </c>
      <c r="EU73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73" s="152">
        <v>5</v>
      </c>
      <c r="EW73" s="152">
        <v>10</v>
      </c>
      <c r="EX73" s="152" t="b">
        <v>1</v>
      </c>
      <c r="EZ73" t="s">
        <v>7344</v>
      </c>
      <c r="FA73">
        <v>1</v>
      </c>
      <c r="FB73">
        <v>90</v>
      </c>
      <c r="FC73">
        <v>100</v>
      </c>
      <c r="FD73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73" s="75">
        <f ca="1">ROUND((Table18202324[[#This Row],[XP]]*Table18202324[[#This Row],[entity_spawned (AVG)]])*(Table18202324[[#This Row],[activating_chance]]/100),0)</f>
        <v>25</v>
      </c>
      <c r="FF73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73">
        <v>1</v>
      </c>
      <c r="FH73">
        <v>1</v>
      </c>
      <c r="FI73" t="b">
        <v>0</v>
      </c>
    </row>
    <row r="74" spans="2:165" x14ac:dyDescent="0.25">
      <c r="B74" s="73" t="s">
        <v>228</v>
      </c>
      <c r="C74">
        <v>3</v>
      </c>
      <c r="D74">
        <v>140</v>
      </c>
      <c r="E74">
        <v>100</v>
      </c>
      <c r="F74" s="75">
        <f ca="1">INDIRECT(ADDRESS(11+(MATCH(RIGHT(Table245[[#This Row],[spawner_sku]],LEN(Table245[[#This Row],[spawner_sku]])-FIND("/",Table245[[#This Row],[spawner_sku]])),Table1[Entity Prefab],0)),10,1,1,"Entities"))</f>
        <v>25</v>
      </c>
      <c r="G74" s="75">
        <f ca="1">ROUND((Table245[[#This Row],[XP]]*Table245[[#This Row],[entity_spawned (AVG)]])*(Table245[[#This Row],[activating_chance]]/100),0)</f>
        <v>75</v>
      </c>
      <c r="H7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4" s="72">
        <v>2</v>
      </c>
      <c r="J74" s="72">
        <v>4</v>
      </c>
      <c r="K74" s="72" t="b">
        <v>0</v>
      </c>
      <c r="M74" t="s">
        <v>335</v>
      </c>
      <c r="N74">
        <v>1</v>
      </c>
      <c r="O74">
        <v>250</v>
      </c>
      <c r="P74">
        <v>100</v>
      </c>
      <c r="Q74" s="75">
        <f ca="1">INDIRECT(ADDRESS(11+(MATCH(RIGHT(Table3[[#This Row],[spawner_sku]],LEN(Table3[[#This Row],[spawner_sku]])-FIND("/",Table3[[#This Row],[spawner_sku]])),Table1[Entity Prefab],0)),10,1,1,"Entities"))</f>
        <v>143</v>
      </c>
      <c r="R74" s="75">
        <f ca="1">ROUND((Table3[[#This Row],[XP]]*Table3[[#This Row],[entity_spawned (AVG)]])*(Table3[[#This Row],[activating_chance]]/100),0)</f>
        <v>143</v>
      </c>
      <c r="S74" t="str">
        <f ca="1">INDIRECT(ADDRESS(11+(MATCH(RIGHT(Table3[[#This Row],[spawner_sku]],LEN(Table3[[#This Row],[spawner_sku]])-FIND("/",Table3[[#This Row],[spawner_sku]])),Table28[Entity Prefab],0)),24,1,1,"Entities"))</f>
        <v>yes</v>
      </c>
      <c r="T74">
        <v>1</v>
      </c>
      <c r="U74">
        <v>1</v>
      </c>
      <c r="V74" t="b">
        <v>0</v>
      </c>
      <c r="W74" s="72"/>
      <c r="X74" t="s">
        <v>396</v>
      </c>
      <c r="Y74">
        <v>1</v>
      </c>
      <c r="Z74">
        <v>140</v>
      </c>
      <c r="AA74">
        <v>100</v>
      </c>
      <c r="AB74" s="75">
        <f ca="1">INDIRECT(ADDRESS(11+(MATCH(RIGHT(Table39[[#This Row],[spawner_sku]],LEN(Table39[[#This Row],[spawner_sku]])-FIND("/",Table39[[#This Row],[spawner_sku]])),Table1[Entity Prefab],0)),10,1,1,"Entities"))</f>
        <v>25</v>
      </c>
      <c r="AC74" s="75">
        <f ca="1">ROUND((Table39[[#This Row],[XP]]*Table39[[#This Row],[entity_spawned (AVG)]])*(Table39[[#This Row],[activating_chance]]/100),0)</f>
        <v>25</v>
      </c>
      <c r="AD74" t="str">
        <f ca="1">INDIRECT(ADDRESS(11+(MATCH(RIGHT(Table39[[#This Row],[spawner_sku]],LEN(Table39[[#This Row],[spawner_sku]])-FIND("/",Table39[[#This Row],[spawner_sku]])),Table28[Entity Prefab],0)),24,1,1,"Entities"))</f>
        <v>no</v>
      </c>
      <c r="AE74">
        <v>1</v>
      </c>
      <c r="AF74">
        <v>1</v>
      </c>
      <c r="AG74" t="b">
        <v>0</v>
      </c>
      <c r="AI74" t="s">
        <v>228</v>
      </c>
      <c r="AJ74">
        <v>6.5</v>
      </c>
      <c r="AK74">
        <v>120</v>
      </c>
      <c r="AL74">
        <v>100</v>
      </c>
      <c r="AM74" s="75">
        <f ca="1">INDIRECT(ADDRESS(11+(MATCH(RIGHT(Table2[[#This Row],[spawner_sku]],LEN(Table2[[#This Row],[spawner_sku]])-FIND("/",Table2[[#This Row],[spawner_sku]])),Table1[Entity Prefab],0)),10,1,1,"Entities"))</f>
        <v>25</v>
      </c>
      <c r="AN74" s="75">
        <f ca="1">ROUND((Table2[[#This Row],[XP]]*Table2[[#This Row],[entity_spawned (AVG)]])*(Table2[[#This Row],[activating_chance]]/100),0)</f>
        <v>163</v>
      </c>
      <c r="AO7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74" s="72">
        <v>5</v>
      </c>
      <c r="AQ74" s="72">
        <v>8</v>
      </c>
      <c r="AR74" s="72" t="b">
        <v>1</v>
      </c>
      <c r="AT74" t="s">
        <v>232</v>
      </c>
      <c r="AU74">
        <v>1</v>
      </c>
      <c r="AV74">
        <v>250</v>
      </c>
      <c r="AW74">
        <v>100</v>
      </c>
      <c r="AX74" s="75">
        <f ca="1">INDIRECT(ADDRESS(11+(MATCH(RIGHT(Table6[[#This Row],[spawner_sku]],LEN(Table6[[#This Row],[spawner_sku]])-FIND("/",Table6[[#This Row],[spawner_sku]])),Table1[Entity Prefab],0)),10,1,1,"Entities"))</f>
        <v>143</v>
      </c>
      <c r="AY74" s="75">
        <f ca="1">ROUND((Table6[[#This Row],[XP]]*Table6[[#This Row],[entity_spawned (AVG)]])*(Table6[[#This Row],[activating_chance]]/100),0)</f>
        <v>143</v>
      </c>
      <c r="AZ74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74">
        <v>1</v>
      </c>
      <c r="BB74">
        <v>1</v>
      </c>
      <c r="BC74" t="b">
        <v>0</v>
      </c>
      <c r="BE74" t="s">
        <v>336</v>
      </c>
      <c r="BF74">
        <v>1</v>
      </c>
      <c r="BG74">
        <v>300</v>
      </c>
      <c r="BH74">
        <v>100</v>
      </c>
      <c r="BI74" s="75">
        <f ca="1">INDIRECT(ADDRESS(11+(MATCH(RIGHT(Table610[[#This Row],[spawner_sku]],LEN(Table610[[#This Row],[spawner_sku]])-FIND("/",Table610[[#This Row],[spawner_sku]])),Table1[Entity Prefab],0)),10,1,1,"Entities"))</f>
        <v>195</v>
      </c>
      <c r="BJ74" s="75">
        <f ca="1">ROUND((Table610[[#This Row],[XP]]*Table610[[#This Row],[entity_spawned (AVG)]])*(Table610[[#This Row],[activating_chance]]/100),0)</f>
        <v>195</v>
      </c>
      <c r="BK74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4">
        <v>1</v>
      </c>
      <c r="BM74">
        <v>1</v>
      </c>
      <c r="BN74" t="b">
        <v>0</v>
      </c>
      <c r="BP74" t="s">
        <v>228</v>
      </c>
      <c r="BQ74">
        <v>3.5</v>
      </c>
      <c r="BR74">
        <v>1330</v>
      </c>
      <c r="BS74">
        <v>100</v>
      </c>
      <c r="BT7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74" s="75">
        <f ca="1">ROUND((Table61011[[#This Row],[XP]]*Table61011[[#This Row],[entity_spawned (AVG)]])*(Table61011[[#This Row],[activating_chance]]/100),0)</f>
        <v>88</v>
      </c>
      <c r="BV7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4" s="72">
        <v>3</v>
      </c>
      <c r="BX74" s="72">
        <v>4</v>
      </c>
      <c r="BY74" s="72" t="b">
        <v>0</v>
      </c>
      <c r="CA74" t="s">
        <v>228</v>
      </c>
      <c r="CB74">
        <v>2.5</v>
      </c>
      <c r="CC74">
        <v>180</v>
      </c>
      <c r="CD74">
        <v>100</v>
      </c>
      <c r="CE74" s="75">
        <f ca="1">INDIRECT(ADDRESS(11+(MATCH(RIGHT(Table11[[#This Row],[spawner_sku]],LEN(Table11[[#This Row],[spawner_sku]])-FIND("/",Table11[[#This Row],[spawner_sku]])),Table1[Entity Prefab],0)),10,1,1,"Entities"))</f>
        <v>25</v>
      </c>
      <c r="CF74">
        <f ca="1">ROUND((Table11[[#This Row],[XP]]*Table11[[#This Row],[entity_spawned (AVG)]])*(Table11[[#This Row],[activating_chance]]/100),0)</f>
        <v>63</v>
      </c>
      <c r="CG74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74" s="72">
        <v>2</v>
      </c>
      <c r="CI74" s="72">
        <v>3</v>
      </c>
      <c r="CJ74" s="72" t="b">
        <v>0</v>
      </c>
      <c r="CL74" t="s">
        <v>244</v>
      </c>
      <c r="CM74">
        <v>1</v>
      </c>
      <c r="CN74">
        <v>220</v>
      </c>
      <c r="CO74">
        <v>100</v>
      </c>
      <c r="CP74" s="75">
        <f ca="1">INDIRECT(ADDRESS(11+(MATCH(RIGHT(Table12[[#This Row],[spawner_sku]],LEN(Table12[[#This Row],[spawner_sku]])-FIND("/",Table12[[#This Row],[spawner_sku]])),Table1[Entity Prefab],0)),10,1,1,"Entities"))</f>
        <v>25</v>
      </c>
      <c r="CQ74" s="75">
        <f ca="1">ROUND((Table12[[#This Row],[XP]]*Table12[[#This Row],[entity_spawned (AVG)]])*(Table12[[#This Row],[activating_chance]]/100),0)</f>
        <v>25</v>
      </c>
      <c r="CR74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74" s="72">
        <v>1</v>
      </c>
      <c r="CT74" s="72">
        <v>1</v>
      </c>
      <c r="CU74" s="72" t="b">
        <v>0</v>
      </c>
      <c r="CW74" t="s">
        <v>233</v>
      </c>
      <c r="CX74">
        <v>1</v>
      </c>
      <c r="CY74">
        <v>300</v>
      </c>
      <c r="CZ74">
        <v>100</v>
      </c>
      <c r="DA74" s="75">
        <f ca="1">INDIRECT(ADDRESS(11+(MATCH(RIGHT(Table13[[#This Row],[spawner_sku]],LEN(Table13[[#This Row],[spawner_sku]])-FIND("/",Table13[[#This Row],[spawner_sku]])),Table1[Entity Prefab],0)),10,1,1,"Entities"))</f>
        <v>195</v>
      </c>
      <c r="DB74" s="75">
        <f ca="1">ROUND((Table13[[#This Row],[XP]]*Table13[[#This Row],[entity_spawned (AVG)]])*(Table13[[#This Row],[activating_chance]]/100),0)</f>
        <v>195</v>
      </c>
      <c r="DC74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74" s="72">
        <v>1</v>
      </c>
      <c r="DE74" s="72">
        <v>1</v>
      </c>
      <c r="DF74" s="72" t="b">
        <v>0</v>
      </c>
      <c r="DH74" t="s">
        <v>227</v>
      </c>
      <c r="DI74">
        <v>2</v>
      </c>
      <c r="DJ74">
        <v>80</v>
      </c>
      <c r="DK74">
        <v>100</v>
      </c>
      <c r="DL74" s="75">
        <f ca="1">INDIRECT(ADDRESS(11+(MATCH(RIGHT(Table14[[#This Row],[spawner_sku]],LEN(Table14[[#This Row],[spawner_sku]])-FIND("/",Table14[[#This Row],[spawner_sku]])),Table1[Entity Prefab],0)),10,1,1,"Entities"))</f>
        <v>25</v>
      </c>
      <c r="DM74" s="75">
        <f ca="1">ROUND((Table14[[#This Row],[XP]]*Table14[[#This Row],[entity_spawned (AVG)]])*(Table14[[#This Row],[activating_chance]]/100),0)</f>
        <v>50</v>
      </c>
      <c r="DN7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4" s="72">
        <v>2</v>
      </c>
      <c r="DP74" s="72">
        <v>2</v>
      </c>
      <c r="DQ74" s="72" t="b">
        <v>0</v>
      </c>
      <c r="DS74" t="s">
        <v>227</v>
      </c>
      <c r="DT74">
        <v>3</v>
      </c>
      <c r="DU74">
        <v>140</v>
      </c>
      <c r="DV74">
        <v>80</v>
      </c>
      <c r="DW74" s="75">
        <f ca="1">INDIRECT(ADDRESS(11+(MATCH(RIGHT(Table18[[#This Row],[spawner_sku]],LEN(Table18[[#This Row],[spawner_sku]])-FIND("/",Table18[[#This Row],[spawner_sku]])),Table1[Entity Prefab],0)),10,1,1,"Entities"))</f>
        <v>25</v>
      </c>
      <c r="DX74" s="75">
        <f ca="1">ROUND((Table18[[#This Row],[XP]]*Table18[[#This Row],[entity_spawned (AVG)]])*(Table18[[#This Row],[activating_chance]]/100),0)</f>
        <v>60</v>
      </c>
      <c r="DY7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74">
        <v>3</v>
      </c>
      <c r="EA74">
        <v>4</v>
      </c>
      <c r="EB74" t="b">
        <v>0</v>
      </c>
      <c r="ED74" t="s">
        <v>227</v>
      </c>
      <c r="EE74">
        <v>3</v>
      </c>
      <c r="EF74">
        <v>140</v>
      </c>
      <c r="EG74">
        <v>100</v>
      </c>
      <c r="EH74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74" s="75">
        <f ca="1">ROUND((Table1820[[#This Row],[XP]]*Table1820[[#This Row],[entity_spawned (AVG)]])*(Table1820[[#This Row],[activating_chance]]/100),0)</f>
        <v>75</v>
      </c>
      <c r="EJ7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74">
        <v>3</v>
      </c>
      <c r="EL74">
        <v>4</v>
      </c>
      <c r="EM74" t="b">
        <v>0</v>
      </c>
      <c r="EO74" t="s">
        <v>7346</v>
      </c>
      <c r="EP74">
        <v>3</v>
      </c>
      <c r="EQ74">
        <v>100</v>
      </c>
      <c r="ER74">
        <v>100</v>
      </c>
      <c r="ES74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ET74" s="75">
        <f ca="1">ROUND((Table182023[[#This Row],[XP]]*Table182023[[#This Row],[entity_spawned (AVG)]])*(Table182023[[#This Row],[activating_chance]]/100),0)</f>
        <v>105</v>
      </c>
      <c r="EU74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74" s="152">
        <v>2</v>
      </c>
      <c r="EW74" s="152">
        <v>4</v>
      </c>
      <c r="EX74" s="152" t="b">
        <v>0</v>
      </c>
      <c r="EZ74" t="s">
        <v>7344</v>
      </c>
      <c r="FA74">
        <v>1</v>
      </c>
      <c r="FB74">
        <v>90</v>
      </c>
      <c r="FC74">
        <v>100</v>
      </c>
      <c r="FD74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74" s="75">
        <f ca="1">ROUND((Table18202324[[#This Row],[XP]]*Table18202324[[#This Row],[entity_spawned (AVG)]])*(Table18202324[[#This Row],[activating_chance]]/100),0)</f>
        <v>25</v>
      </c>
      <c r="FF74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74">
        <v>1</v>
      </c>
      <c r="FH74">
        <v>1</v>
      </c>
      <c r="FI74" t="b">
        <v>0</v>
      </c>
    </row>
    <row r="75" spans="2:165" x14ac:dyDescent="0.25">
      <c r="B75" s="73" t="s">
        <v>228</v>
      </c>
      <c r="C75">
        <v>3</v>
      </c>
      <c r="D75">
        <v>130</v>
      </c>
      <c r="E75">
        <v>100</v>
      </c>
      <c r="F75" s="75">
        <f ca="1">INDIRECT(ADDRESS(11+(MATCH(RIGHT(Table245[[#This Row],[spawner_sku]],LEN(Table245[[#This Row],[spawner_sku]])-FIND("/",Table245[[#This Row],[spawner_sku]])),Table1[Entity Prefab],0)),10,1,1,"Entities"))</f>
        <v>25</v>
      </c>
      <c r="G75" s="75">
        <f ca="1">ROUND((Table245[[#This Row],[XP]]*Table245[[#This Row],[entity_spawned (AVG)]])*(Table245[[#This Row],[activating_chance]]/100),0)</f>
        <v>75</v>
      </c>
      <c r="H7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5" s="72">
        <v>2</v>
      </c>
      <c r="J75" s="72">
        <v>4</v>
      </c>
      <c r="K75" s="72" t="b">
        <v>0</v>
      </c>
      <c r="M75" t="s">
        <v>335</v>
      </c>
      <c r="N75">
        <v>1</v>
      </c>
      <c r="O75">
        <v>250</v>
      </c>
      <c r="P75">
        <v>100</v>
      </c>
      <c r="Q75" s="75">
        <f ca="1">INDIRECT(ADDRESS(11+(MATCH(RIGHT(Table3[[#This Row],[spawner_sku]],LEN(Table3[[#This Row],[spawner_sku]])-FIND("/",Table3[[#This Row],[spawner_sku]])),Table1[Entity Prefab],0)),10,1,1,"Entities"))</f>
        <v>143</v>
      </c>
      <c r="R75" s="75">
        <f ca="1">ROUND((Table3[[#This Row],[XP]]*Table3[[#This Row],[entity_spawned (AVG)]])*(Table3[[#This Row],[activating_chance]]/100),0)</f>
        <v>143</v>
      </c>
      <c r="S75" t="str">
        <f ca="1">INDIRECT(ADDRESS(11+(MATCH(RIGHT(Table3[[#This Row],[spawner_sku]],LEN(Table3[[#This Row],[spawner_sku]])-FIND("/",Table3[[#This Row],[spawner_sku]])),Table28[Entity Prefab],0)),24,1,1,"Entities"))</f>
        <v>yes</v>
      </c>
      <c r="T75">
        <v>1</v>
      </c>
      <c r="U75">
        <v>1</v>
      </c>
      <c r="V75" t="b">
        <v>0</v>
      </c>
      <c r="W75" s="72"/>
      <c r="X75" t="s">
        <v>396</v>
      </c>
      <c r="Y75">
        <v>1</v>
      </c>
      <c r="Z75">
        <v>100</v>
      </c>
      <c r="AA75">
        <v>100</v>
      </c>
      <c r="AB75" s="75">
        <f ca="1">INDIRECT(ADDRESS(11+(MATCH(RIGHT(Table39[[#This Row],[spawner_sku]],LEN(Table39[[#This Row],[spawner_sku]])-FIND("/",Table39[[#This Row],[spawner_sku]])),Table1[Entity Prefab],0)),10,1,1,"Entities"))</f>
        <v>25</v>
      </c>
      <c r="AC75" s="75">
        <f ca="1">ROUND((Table39[[#This Row],[XP]]*Table39[[#This Row],[entity_spawned (AVG)]])*(Table39[[#This Row],[activating_chance]]/100),0)</f>
        <v>25</v>
      </c>
      <c r="AD75" t="str">
        <f ca="1">INDIRECT(ADDRESS(11+(MATCH(RIGHT(Table39[[#This Row],[spawner_sku]],LEN(Table39[[#This Row],[spawner_sku]])-FIND("/",Table39[[#This Row],[spawner_sku]])),Table28[Entity Prefab],0)),24,1,1,"Entities"))</f>
        <v>no</v>
      </c>
      <c r="AE75">
        <v>1</v>
      </c>
      <c r="AF75">
        <v>1</v>
      </c>
      <c r="AG75" t="b">
        <v>0</v>
      </c>
      <c r="AI75" t="s">
        <v>228</v>
      </c>
      <c r="AJ75">
        <v>1.5</v>
      </c>
      <c r="AK75">
        <v>110</v>
      </c>
      <c r="AL75">
        <v>100</v>
      </c>
      <c r="AM75" s="75">
        <f ca="1">INDIRECT(ADDRESS(11+(MATCH(RIGHT(Table2[[#This Row],[spawner_sku]],LEN(Table2[[#This Row],[spawner_sku]])-FIND("/",Table2[[#This Row],[spawner_sku]])),Table1[Entity Prefab],0)),10,1,1,"Entities"))</f>
        <v>25</v>
      </c>
      <c r="AN75" s="75">
        <f ca="1">ROUND((Table2[[#This Row],[XP]]*Table2[[#This Row],[entity_spawned (AVG)]])*(Table2[[#This Row],[activating_chance]]/100),0)</f>
        <v>38</v>
      </c>
      <c r="AO7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75" s="72">
        <v>1</v>
      </c>
      <c r="AQ75" s="72">
        <v>2</v>
      </c>
      <c r="AR75" s="72" t="b">
        <v>0</v>
      </c>
      <c r="AT75" t="s">
        <v>232</v>
      </c>
      <c r="AU75">
        <v>1</v>
      </c>
      <c r="AV75">
        <v>250</v>
      </c>
      <c r="AW75">
        <v>100</v>
      </c>
      <c r="AX75" s="75">
        <f ca="1">INDIRECT(ADDRESS(11+(MATCH(RIGHT(Table6[[#This Row],[spawner_sku]],LEN(Table6[[#This Row],[spawner_sku]])-FIND("/",Table6[[#This Row],[spawner_sku]])),Table1[Entity Prefab],0)),10,1,1,"Entities"))</f>
        <v>143</v>
      </c>
      <c r="AY75" s="75">
        <f ca="1">ROUND((Table6[[#This Row],[XP]]*Table6[[#This Row],[entity_spawned (AVG)]])*(Table6[[#This Row],[activating_chance]]/100),0)</f>
        <v>143</v>
      </c>
      <c r="AZ75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75">
        <v>1</v>
      </c>
      <c r="BB75">
        <v>1</v>
      </c>
      <c r="BC75" t="b">
        <v>0</v>
      </c>
      <c r="BE75" t="s">
        <v>336</v>
      </c>
      <c r="BF75">
        <v>1</v>
      </c>
      <c r="BG75">
        <v>300</v>
      </c>
      <c r="BH75">
        <v>100</v>
      </c>
      <c r="BI75" s="75">
        <f ca="1">INDIRECT(ADDRESS(11+(MATCH(RIGHT(Table610[[#This Row],[spawner_sku]],LEN(Table610[[#This Row],[spawner_sku]])-FIND("/",Table610[[#This Row],[spawner_sku]])),Table1[Entity Prefab],0)),10,1,1,"Entities"))</f>
        <v>195</v>
      </c>
      <c r="BJ75" s="75">
        <f ca="1">ROUND((Table610[[#This Row],[XP]]*Table610[[#This Row],[entity_spawned (AVG)]])*(Table610[[#This Row],[activating_chance]]/100),0)</f>
        <v>195</v>
      </c>
      <c r="BK75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5">
        <v>1</v>
      </c>
      <c r="BM75">
        <v>1</v>
      </c>
      <c r="BN75" t="b">
        <v>0</v>
      </c>
      <c r="BP75" t="s">
        <v>228</v>
      </c>
      <c r="BQ75">
        <v>5</v>
      </c>
      <c r="BR75">
        <v>220</v>
      </c>
      <c r="BS75">
        <v>100</v>
      </c>
      <c r="BT7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75" s="75">
        <f ca="1">ROUND((Table61011[[#This Row],[XP]]*Table61011[[#This Row],[entity_spawned (AVG)]])*(Table61011[[#This Row],[activating_chance]]/100),0)</f>
        <v>125</v>
      </c>
      <c r="BV7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5" s="72">
        <v>5</v>
      </c>
      <c r="BX75" s="72">
        <v>5</v>
      </c>
      <c r="BY75" s="72" t="b">
        <v>1</v>
      </c>
      <c r="CA75" t="s">
        <v>228</v>
      </c>
      <c r="CB75">
        <v>1</v>
      </c>
      <c r="CC75">
        <v>180</v>
      </c>
      <c r="CD75">
        <v>100</v>
      </c>
      <c r="CE75" s="75">
        <f ca="1">INDIRECT(ADDRESS(11+(MATCH(RIGHT(Table11[[#This Row],[spawner_sku]],LEN(Table11[[#This Row],[spawner_sku]])-FIND("/",Table11[[#This Row],[spawner_sku]])),Table1[Entity Prefab],0)),10,1,1,"Entities"))</f>
        <v>25</v>
      </c>
      <c r="CF75">
        <f ca="1">ROUND((Table11[[#This Row],[XP]]*Table11[[#This Row],[entity_spawned (AVG)]])*(Table11[[#This Row],[activating_chance]]/100),0)</f>
        <v>25</v>
      </c>
      <c r="CG75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75" s="72">
        <v>1</v>
      </c>
      <c r="CI75" s="72">
        <v>1</v>
      </c>
      <c r="CJ75" s="72" t="b">
        <v>0</v>
      </c>
      <c r="CL75" t="s">
        <v>244</v>
      </c>
      <c r="CM75">
        <v>1</v>
      </c>
      <c r="CN75">
        <v>220</v>
      </c>
      <c r="CO75">
        <v>100</v>
      </c>
      <c r="CP75" s="75">
        <f ca="1">INDIRECT(ADDRESS(11+(MATCH(RIGHT(Table12[[#This Row],[spawner_sku]],LEN(Table12[[#This Row],[spawner_sku]])-FIND("/",Table12[[#This Row],[spawner_sku]])),Table1[Entity Prefab],0)),10,1,1,"Entities"))</f>
        <v>25</v>
      </c>
      <c r="CQ75" s="75">
        <f ca="1">ROUND((Table12[[#This Row],[XP]]*Table12[[#This Row],[entity_spawned (AVG)]])*(Table12[[#This Row],[activating_chance]]/100),0)</f>
        <v>25</v>
      </c>
      <c r="CR75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75" s="72">
        <v>1</v>
      </c>
      <c r="CT75" s="72">
        <v>1</v>
      </c>
      <c r="CU75" s="72" t="b">
        <v>0</v>
      </c>
      <c r="CW75" t="s">
        <v>234</v>
      </c>
      <c r="CX75">
        <v>1</v>
      </c>
      <c r="CY75">
        <v>340</v>
      </c>
      <c r="CZ75">
        <v>100</v>
      </c>
      <c r="DA75" s="75">
        <f ca="1">INDIRECT(ADDRESS(11+(MATCH(RIGHT(Table13[[#This Row],[spawner_sku]],LEN(Table13[[#This Row],[spawner_sku]])-FIND("/",Table13[[#This Row],[spawner_sku]])),Table1[Entity Prefab],0)),10,1,1,"Entities"))</f>
        <v>263</v>
      </c>
      <c r="DB75" s="75">
        <f ca="1">ROUND((Table13[[#This Row],[XP]]*Table13[[#This Row],[entity_spawned (AVG)]])*(Table13[[#This Row],[activating_chance]]/100),0)</f>
        <v>263</v>
      </c>
      <c r="DC75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75" s="72">
        <v>1</v>
      </c>
      <c r="DE75" s="72">
        <v>1</v>
      </c>
      <c r="DF75" s="72" t="b">
        <v>0</v>
      </c>
      <c r="DH75" t="s">
        <v>227</v>
      </c>
      <c r="DI75">
        <v>3.5</v>
      </c>
      <c r="DJ75">
        <v>130</v>
      </c>
      <c r="DK75">
        <v>100</v>
      </c>
      <c r="DL75" s="75">
        <f ca="1">INDIRECT(ADDRESS(11+(MATCH(RIGHT(Table14[[#This Row],[spawner_sku]],LEN(Table14[[#This Row],[spawner_sku]])-FIND("/",Table14[[#This Row],[spawner_sku]])),Table1[Entity Prefab],0)),10,1,1,"Entities"))</f>
        <v>25</v>
      </c>
      <c r="DM75" s="75">
        <f ca="1">ROUND((Table14[[#This Row],[XP]]*Table14[[#This Row],[entity_spawned (AVG)]])*(Table14[[#This Row],[activating_chance]]/100),0)</f>
        <v>88</v>
      </c>
      <c r="DN7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5" s="72">
        <v>3</v>
      </c>
      <c r="DP75" s="72">
        <v>4</v>
      </c>
      <c r="DQ75" s="72" t="b">
        <v>0</v>
      </c>
      <c r="DS75" t="s">
        <v>395</v>
      </c>
      <c r="DT75">
        <v>2</v>
      </c>
      <c r="DU75">
        <v>160</v>
      </c>
      <c r="DV75">
        <v>100</v>
      </c>
      <c r="DW75" s="75">
        <f ca="1">INDIRECT(ADDRESS(11+(MATCH(RIGHT(Table18[[#This Row],[spawner_sku]],LEN(Table18[[#This Row],[spawner_sku]])-FIND("/",Table18[[#This Row],[spawner_sku]])),Table1[Entity Prefab],0)),10,1,1,"Entities"))</f>
        <v>25</v>
      </c>
      <c r="DX75" s="75">
        <f ca="1">ROUND((Table18[[#This Row],[XP]]*Table18[[#This Row],[entity_spawned (AVG)]])*(Table18[[#This Row],[activating_chance]]/100),0)</f>
        <v>50</v>
      </c>
      <c r="DY7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75">
        <v>2</v>
      </c>
      <c r="EA75">
        <v>3</v>
      </c>
      <c r="EB75" t="b">
        <v>0</v>
      </c>
      <c r="ED75" t="s">
        <v>227</v>
      </c>
      <c r="EE75">
        <v>3</v>
      </c>
      <c r="EF75">
        <v>140</v>
      </c>
      <c r="EG75">
        <v>100</v>
      </c>
      <c r="EH75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75" s="75">
        <f ca="1">ROUND((Table1820[[#This Row],[XP]]*Table1820[[#This Row],[entity_spawned (AVG)]])*(Table1820[[#This Row],[activating_chance]]/100),0)</f>
        <v>75</v>
      </c>
      <c r="EJ7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75">
        <v>2</v>
      </c>
      <c r="EL75">
        <v>4</v>
      </c>
      <c r="EM75" t="b">
        <v>0</v>
      </c>
      <c r="EO75" t="s">
        <v>7346</v>
      </c>
      <c r="EP75">
        <v>7.5</v>
      </c>
      <c r="EQ75">
        <v>90</v>
      </c>
      <c r="ER75">
        <v>100</v>
      </c>
      <c r="ES75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ET75" s="75">
        <f ca="1">ROUND((Table182023[[#This Row],[XP]]*Table182023[[#This Row],[entity_spawned (AVG)]])*(Table182023[[#This Row],[activating_chance]]/100),0)</f>
        <v>263</v>
      </c>
      <c r="EU75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75" s="152">
        <v>5</v>
      </c>
      <c r="EW75" s="152">
        <v>10</v>
      </c>
      <c r="EX75" s="152" t="b">
        <v>1</v>
      </c>
      <c r="EZ75" t="s">
        <v>7344</v>
      </c>
      <c r="FA75">
        <v>1</v>
      </c>
      <c r="FB75">
        <v>90</v>
      </c>
      <c r="FC75">
        <v>100</v>
      </c>
      <c r="FD75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75" s="75">
        <f ca="1">ROUND((Table18202324[[#This Row],[XP]]*Table18202324[[#This Row],[entity_spawned (AVG)]])*(Table18202324[[#This Row],[activating_chance]]/100),0)</f>
        <v>25</v>
      </c>
      <c r="FF75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75">
        <v>1</v>
      </c>
      <c r="FH75">
        <v>1</v>
      </c>
      <c r="FI75" t="b">
        <v>0</v>
      </c>
    </row>
    <row r="76" spans="2:165" x14ac:dyDescent="0.25">
      <c r="B76" s="73" t="s">
        <v>228</v>
      </c>
      <c r="C76">
        <v>1</v>
      </c>
      <c r="D76">
        <v>80</v>
      </c>
      <c r="E76">
        <v>100</v>
      </c>
      <c r="F76" s="75">
        <f ca="1">INDIRECT(ADDRESS(11+(MATCH(RIGHT(Table245[[#This Row],[spawner_sku]],LEN(Table245[[#This Row],[spawner_sku]])-FIND("/",Table245[[#This Row],[spawner_sku]])),Table1[Entity Prefab],0)),10,1,1,"Entities"))</f>
        <v>25</v>
      </c>
      <c r="G76" s="75">
        <f ca="1">ROUND((Table245[[#This Row],[XP]]*Table245[[#This Row],[entity_spawned (AVG)]])*(Table245[[#This Row],[activating_chance]]/100),0)</f>
        <v>25</v>
      </c>
      <c r="H7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6" s="72">
        <v>1</v>
      </c>
      <c r="J76" s="72">
        <v>1</v>
      </c>
      <c r="K76" s="72" t="b">
        <v>0</v>
      </c>
      <c r="M76" t="s">
        <v>335</v>
      </c>
      <c r="N76">
        <v>1</v>
      </c>
      <c r="O76">
        <v>250</v>
      </c>
      <c r="P76">
        <v>100</v>
      </c>
      <c r="Q76" s="75">
        <f ca="1">INDIRECT(ADDRESS(11+(MATCH(RIGHT(Table3[[#This Row],[spawner_sku]],LEN(Table3[[#This Row],[spawner_sku]])-FIND("/",Table3[[#This Row],[spawner_sku]])),Table1[Entity Prefab],0)),10,1,1,"Entities"))</f>
        <v>143</v>
      </c>
      <c r="R76" s="75">
        <f ca="1">ROUND((Table3[[#This Row],[XP]]*Table3[[#This Row],[entity_spawned (AVG)]])*(Table3[[#This Row],[activating_chance]]/100),0)</f>
        <v>143</v>
      </c>
      <c r="S76" t="str">
        <f ca="1">INDIRECT(ADDRESS(11+(MATCH(RIGHT(Table3[[#This Row],[spawner_sku]],LEN(Table3[[#This Row],[spawner_sku]])-FIND("/",Table3[[#This Row],[spawner_sku]])),Table28[Entity Prefab],0)),24,1,1,"Entities"))</f>
        <v>yes</v>
      </c>
      <c r="T76">
        <v>1</v>
      </c>
      <c r="U76">
        <v>1</v>
      </c>
      <c r="V76" t="b">
        <v>0</v>
      </c>
      <c r="W76" s="72"/>
      <c r="X76" t="s">
        <v>451</v>
      </c>
      <c r="Y76">
        <v>1</v>
      </c>
      <c r="Z76">
        <v>140</v>
      </c>
      <c r="AA76">
        <v>100</v>
      </c>
      <c r="AB76" s="75">
        <f ca="1">INDIRECT(ADDRESS(11+(MATCH(RIGHT(Table39[[#This Row],[spawner_sku]],LEN(Table39[[#This Row],[spawner_sku]])-FIND("/",Table39[[#This Row],[spawner_sku]])),Table1[Entity Prefab],0)),10,1,1,"Entities"))</f>
        <v>25</v>
      </c>
      <c r="AC76" s="75">
        <f ca="1">ROUND((Table39[[#This Row],[XP]]*Table39[[#This Row],[entity_spawned (AVG)]])*(Table39[[#This Row],[activating_chance]]/100),0)</f>
        <v>25</v>
      </c>
      <c r="AD76" t="str">
        <f ca="1">INDIRECT(ADDRESS(11+(MATCH(RIGHT(Table39[[#This Row],[spawner_sku]],LEN(Table39[[#This Row],[spawner_sku]])-FIND("/",Table39[[#This Row],[spawner_sku]])),Table28[Entity Prefab],0)),24,1,1,"Entities"))</f>
        <v>no</v>
      </c>
      <c r="AE76">
        <v>1</v>
      </c>
      <c r="AF76">
        <v>1</v>
      </c>
      <c r="AG76" t="b">
        <v>0</v>
      </c>
      <c r="AI76" t="s">
        <v>228</v>
      </c>
      <c r="AJ76">
        <v>2</v>
      </c>
      <c r="AK76">
        <v>90</v>
      </c>
      <c r="AL76">
        <v>80</v>
      </c>
      <c r="AM76" s="75">
        <f ca="1">INDIRECT(ADDRESS(11+(MATCH(RIGHT(Table2[[#This Row],[spawner_sku]],LEN(Table2[[#This Row],[spawner_sku]])-FIND("/",Table2[[#This Row],[spawner_sku]])),Table1[Entity Prefab],0)),10,1,1,"Entities"))</f>
        <v>25</v>
      </c>
      <c r="AN76" s="75">
        <f ca="1">ROUND((Table2[[#This Row],[XP]]*Table2[[#This Row],[entity_spawned (AVG)]])*(Table2[[#This Row],[activating_chance]]/100),0)</f>
        <v>40</v>
      </c>
      <c r="AO7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76" s="72">
        <v>1</v>
      </c>
      <c r="AQ76" s="72">
        <v>3</v>
      </c>
      <c r="AR76" s="72" t="b">
        <v>0</v>
      </c>
      <c r="AT76" t="s">
        <v>232</v>
      </c>
      <c r="AU76">
        <v>1</v>
      </c>
      <c r="AV76">
        <v>250</v>
      </c>
      <c r="AW76">
        <v>100</v>
      </c>
      <c r="AX76" s="75">
        <f ca="1">INDIRECT(ADDRESS(11+(MATCH(RIGHT(Table6[[#This Row],[spawner_sku]],LEN(Table6[[#This Row],[spawner_sku]])-FIND("/",Table6[[#This Row],[spawner_sku]])),Table1[Entity Prefab],0)),10,1,1,"Entities"))</f>
        <v>143</v>
      </c>
      <c r="AY76" s="75">
        <f ca="1">ROUND((Table6[[#This Row],[XP]]*Table6[[#This Row],[entity_spawned (AVG)]])*(Table6[[#This Row],[activating_chance]]/100),0)</f>
        <v>143</v>
      </c>
      <c r="AZ76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76">
        <v>1</v>
      </c>
      <c r="BB76">
        <v>1</v>
      </c>
      <c r="BC76" t="b">
        <v>0</v>
      </c>
      <c r="BE76" t="s">
        <v>336</v>
      </c>
      <c r="BF76">
        <v>1</v>
      </c>
      <c r="BG76">
        <v>300</v>
      </c>
      <c r="BH76">
        <v>100</v>
      </c>
      <c r="BI76" s="75">
        <f ca="1">INDIRECT(ADDRESS(11+(MATCH(RIGHT(Table610[[#This Row],[spawner_sku]],LEN(Table610[[#This Row],[spawner_sku]])-FIND("/",Table610[[#This Row],[spawner_sku]])),Table1[Entity Prefab],0)),10,1,1,"Entities"))</f>
        <v>195</v>
      </c>
      <c r="BJ76" s="75">
        <f ca="1">ROUND((Table610[[#This Row],[XP]]*Table610[[#This Row],[entity_spawned (AVG)]])*(Table610[[#This Row],[activating_chance]]/100),0)</f>
        <v>195</v>
      </c>
      <c r="BK76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6">
        <v>1</v>
      </c>
      <c r="BM76">
        <v>1</v>
      </c>
      <c r="BN76" t="b">
        <v>0</v>
      </c>
      <c r="BP76" t="s">
        <v>228</v>
      </c>
      <c r="BQ76">
        <v>3</v>
      </c>
      <c r="BR76">
        <v>200</v>
      </c>
      <c r="BS76">
        <v>100</v>
      </c>
      <c r="BT7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76" s="75">
        <f ca="1">ROUND((Table61011[[#This Row],[XP]]*Table61011[[#This Row],[entity_spawned (AVG)]])*(Table61011[[#This Row],[activating_chance]]/100),0)</f>
        <v>75</v>
      </c>
      <c r="BV7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6" s="72">
        <v>2</v>
      </c>
      <c r="BX76" s="72">
        <v>4</v>
      </c>
      <c r="BY76" s="72" t="b">
        <v>0</v>
      </c>
      <c r="CA76" t="s">
        <v>228</v>
      </c>
      <c r="CB76">
        <v>2.5</v>
      </c>
      <c r="CC76">
        <v>180</v>
      </c>
      <c r="CD76">
        <v>100</v>
      </c>
      <c r="CE76" s="75">
        <f ca="1">INDIRECT(ADDRESS(11+(MATCH(RIGHT(Table11[[#This Row],[spawner_sku]],LEN(Table11[[#This Row],[spawner_sku]])-FIND("/",Table11[[#This Row],[spawner_sku]])),Table1[Entity Prefab],0)),10,1,1,"Entities"))</f>
        <v>25</v>
      </c>
      <c r="CF76">
        <f ca="1">ROUND((Table11[[#This Row],[XP]]*Table11[[#This Row],[entity_spawned (AVG)]])*(Table11[[#This Row],[activating_chance]]/100),0)</f>
        <v>63</v>
      </c>
      <c r="CG76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76" s="72">
        <v>2</v>
      </c>
      <c r="CI76" s="72">
        <v>3</v>
      </c>
      <c r="CJ76" s="72" t="b">
        <v>0</v>
      </c>
      <c r="CL76" t="s">
        <v>244</v>
      </c>
      <c r="CM76">
        <v>1</v>
      </c>
      <c r="CN76">
        <v>220</v>
      </c>
      <c r="CO76">
        <v>100</v>
      </c>
      <c r="CP76" s="75">
        <f ca="1">INDIRECT(ADDRESS(11+(MATCH(RIGHT(Table12[[#This Row],[spawner_sku]],LEN(Table12[[#This Row],[spawner_sku]])-FIND("/",Table12[[#This Row],[spawner_sku]])),Table1[Entity Prefab],0)),10,1,1,"Entities"))</f>
        <v>25</v>
      </c>
      <c r="CQ76" s="75">
        <f ca="1">ROUND((Table12[[#This Row],[XP]]*Table12[[#This Row],[entity_spawned (AVG)]])*(Table12[[#This Row],[activating_chance]]/100),0)</f>
        <v>25</v>
      </c>
      <c r="CR76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76" s="72">
        <v>1</v>
      </c>
      <c r="CT76" s="72">
        <v>1</v>
      </c>
      <c r="CU76" s="72" t="b">
        <v>0</v>
      </c>
      <c r="CW76" t="s">
        <v>234</v>
      </c>
      <c r="CX76">
        <v>1</v>
      </c>
      <c r="CY76">
        <v>340</v>
      </c>
      <c r="CZ76">
        <v>100</v>
      </c>
      <c r="DA76" s="75">
        <f ca="1">INDIRECT(ADDRESS(11+(MATCH(RIGHT(Table13[[#This Row],[spawner_sku]],LEN(Table13[[#This Row],[spawner_sku]])-FIND("/",Table13[[#This Row],[spawner_sku]])),Table1[Entity Prefab],0)),10,1,1,"Entities"))</f>
        <v>263</v>
      </c>
      <c r="DB76" s="75">
        <f ca="1">ROUND((Table13[[#This Row],[XP]]*Table13[[#This Row],[entity_spawned (AVG)]])*(Table13[[#This Row],[activating_chance]]/100),0)</f>
        <v>263</v>
      </c>
      <c r="DC76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76" s="72">
        <v>1</v>
      </c>
      <c r="DE76" s="72">
        <v>1</v>
      </c>
      <c r="DF76" s="72" t="b">
        <v>0</v>
      </c>
      <c r="DH76" t="s">
        <v>227</v>
      </c>
      <c r="DI76">
        <v>6.5</v>
      </c>
      <c r="DJ76">
        <v>150</v>
      </c>
      <c r="DK76">
        <v>100</v>
      </c>
      <c r="DL76" s="75">
        <f ca="1">INDIRECT(ADDRESS(11+(MATCH(RIGHT(Table14[[#This Row],[spawner_sku]],LEN(Table14[[#This Row],[spawner_sku]])-FIND("/",Table14[[#This Row],[spawner_sku]])),Table1[Entity Prefab],0)),10,1,1,"Entities"))</f>
        <v>25</v>
      </c>
      <c r="DM76" s="75">
        <f ca="1">ROUND((Table14[[#This Row],[XP]]*Table14[[#This Row],[entity_spawned (AVG)]])*(Table14[[#This Row],[activating_chance]]/100),0)</f>
        <v>163</v>
      </c>
      <c r="DN7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6" s="72">
        <v>5</v>
      </c>
      <c r="DP76" s="72">
        <v>8</v>
      </c>
      <c r="DQ76" s="72" t="b">
        <v>1</v>
      </c>
      <c r="DS76" t="s">
        <v>395</v>
      </c>
      <c r="DT76">
        <v>2</v>
      </c>
      <c r="DU76">
        <v>160</v>
      </c>
      <c r="DV76">
        <v>100</v>
      </c>
      <c r="DW76" s="75">
        <f ca="1">INDIRECT(ADDRESS(11+(MATCH(RIGHT(Table18[[#This Row],[spawner_sku]],LEN(Table18[[#This Row],[spawner_sku]])-FIND("/",Table18[[#This Row],[spawner_sku]])),Table1[Entity Prefab],0)),10,1,1,"Entities"))</f>
        <v>25</v>
      </c>
      <c r="DX76" s="75">
        <f ca="1">ROUND((Table18[[#This Row],[XP]]*Table18[[#This Row],[entity_spawned (AVG)]])*(Table18[[#This Row],[activating_chance]]/100),0)</f>
        <v>50</v>
      </c>
      <c r="DY7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76">
        <v>2</v>
      </c>
      <c r="EA76">
        <v>3</v>
      </c>
      <c r="EB76" t="b">
        <v>0</v>
      </c>
      <c r="ED76" t="s">
        <v>227</v>
      </c>
      <c r="EE76">
        <v>10</v>
      </c>
      <c r="EF76">
        <v>160</v>
      </c>
      <c r="EG76">
        <v>100</v>
      </c>
      <c r="EH76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76" s="75">
        <f ca="1">ROUND((Table1820[[#This Row],[XP]]*Table1820[[#This Row],[entity_spawned (AVG)]])*(Table1820[[#This Row],[activating_chance]]/100),0)</f>
        <v>250</v>
      </c>
      <c r="EJ7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76">
        <v>8</v>
      </c>
      <c r="EL76">
        <v>12</v>
      </c>
      <c r="EM76" t="b">
        <v>1</v>
      </c>
      <c r="EO76" t="s">
        <v>7346</v>
      </c>
      <c r="EP76">
        <v>7.5</v>
      </c>
      <c r="EQ76">
        <v>100</v>
      </c>
      <c r="ER76">
        <v>100</v>
      </c>
      <c r="ES76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ET76" s="75">
        <f ca="1">ROUND((Table182023[[#This Row],[XP]]*Table182023[[#This Row],[entity_spawned (AVG)]])*(Table182023[[#This Row],[activating_chance]]/100),0)</f>
        <v>263</v>
      </c>
      <c r="EU76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76" s="152">
        <v>5</v>
      </c>
      <c r="EW76" s="152">
        <v>10</v>
      </c>
      <c r="EX76" s="152" t="b">
        <v>1</v>
      </c>
      <c r="EZ76" t="s">
        <v>7344</v>
      </c>
      <c r="FA76">
        <v>1</v>
      </c>
      <c r="FB76">
        <v>90</v>
      </c>
      <c r="FC76">
        <v>100</v>
      </c>
      <c r="FD76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76" s="75">
        <f ca="1">ROUND((Table18202324[[#This Row],[XP]]*Table18202324[[#This Row],[entity_spawned (AVG)]])*(Table18202324[[#This Row],[activating_chance]]/100),0)</f>
        <v>25</v>
      </c>
      <c r="FF76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76">
        <v>1</v>
      </c>
      <c r="FH76">
        <v>1</v>
      </c>
      <c r="FI76" t="b">
        <v>0</v>
      </c>
    </row>
    <row r="77" spans="2:165" x14ac:dyDescent="0.25">
      <c r="B77" s="73" t="s">
        <v>228</v>
      </c>
      <c r="C77">
        <v>1.5</v>
      </c>
      <c r="D77">
        <v>90</v>
      </c>
      <c r="E77">
        <v>100</v>
      </c>
      <c r="F77" s="75">
        <f ca="1">INDIRECT(ADDRESS(11+(MATCH(RIGHT(Table245[[#This Row],[spawner_sku]],LEN(Table245[[#This Row],[spawner_sku]])-FIND("/",Table245[[#This Row],[spawner_sku]])),Table1[Entity Prefab],0)),10,1,1,"Entities"))</f>
        <v>25</v>
      </c>
      <c r="G77" s="75">
        <f ca="1">ROUND((Table245[[#This Row],[XP]]*Table245[[#This Row],[entity_spawned (AVG)]])*(Table245[[#This Row],[activating_chance]]/100),0)</f>
        <v>38</v>
      </c>
      <c r="H7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7" s="72">
        <v>1</v>
      </c>
      <c r="J77" s="72">
        <v>2</v>
      </c>
      <c r="K77" s="72" t="b">
        <v>0</v>
      </c>
      <c r="M77" t="s">
        <v>335</v>
      </c>
      <c r="N77">
        <v>1</v>
      </c>
      <c r="O77">
        <v>250</v>
      </c>
      <c r="P77">
        <v>80</v>
      </c>
      <c r="Q77" s="75">
        <f ca="1">INDIRECT(ADDRESS(11+(MATCH(RIGHT(Table3[[#This Row],[spawner_sku]],LEN(Table3[[#This Row],[spawner_sku]])-FIND("/",Table3[[#This Row],[spawner_sku]])),Table1[Entity Prefab],0)),10,1,1,"Entities"))</f>
        <v>143</v>
      </c>
      <c r="R77" s="75">
        <f ca="1">ROUND((Table3[[#This Row],[XP]]*Table3[[#This Row],[entity_spawned (AVG)]])*(Table3[[#This Row],[activating_chance]]/100),0)</f>
        <v>114</v>
      </c>
      <c r="S77" t="str">
        <f ca="1">INDIRECT(ADDRESS(11+(MATCH(RIGHT(Table3[[#This Row],[spawner_sku]],LEN(Table3[[#This Row],[spawner_sku]])-FIND("/",Table3[[#This Row],[spawner_sku]])),Table28[Entity Prefab],0)),24,1,1,"Entities"))</f>
        <v>yes</v>
      </c>
      <c r="T77">
        <v>1</v>
      </c>
      <c r="U77">
        <v>1</v>
      </c>
      <c r="V77" t="b">
        <v>0</v>
      </c>
      <c r="W77" s="72"/>
      <c r="X77" t="s">
        <v>451</v>
      </c>
      <c r="Y77">
        <v>1</v>
      </c>
      <c r="Z77">
        <v>100</v>
      </c>
      <c r="AA77">
        <v>100</v>
      </c>
      <c r="AB77" s="75">
        <f ca="1">INDIRECT(ADDRESS(11+(MATCH(RIGHT(Table39[[#This Row],[spawner_sku]],LEN(Table39[[#This Row],[spawner_sku]])-FIND("/",Table39[[#This Row],[spawner_sku]])),Table1[Entity Prefab],0)),10,1,1,"Entities"))</f>
        <v>25</v>
      </c>
      <c r="AC77" s="75">
        <f ca="1">ROUND((Table39[[#This Row],[XP]]*Table39[[#This Row],[entity_spawned (AVG)]])*(Table39[[#This Row],[activating_chance]]/100),0)</f>
        <v>25</v>
      </c>
      <c r="AD77" t="str">
        <f ca="1">INDIRECT(ADDRESS(11+(MATCH(RIGHT(Table39[[#This Row],[spawner_sku]],LEN(Table39[[#This Row],[spawner_sku]])-FIND("/",Table39[[#This Row],[spawner_sku]])),Table28[Entity Prefab],0)),24,1,1,"Entities"))</f>
        <v>no</v>
      </c>
      <c r="AE77">
        <v>1</v>
      </c>
      <c r="AF77">
        <v>1</v>
      </c>
      <c r="AG77" t="b">
        <v>0</v>
      </c>
      <c r="AI77" t="s">
        <v>228</v>
      </c>
      <c r="AJ77">
        <v>3</v>
      </c>
      <c r="AK77">
        <v>160</v>
      </c>
      <c r="AL77">
        <v>100</v>
      </c>
      <c r="AM77" s="75">
        <f ca="1">INDIRECT(ADDRESS(11+(MATCH(RIGHT(Table2[[#This Row],[spawner_sku]],LEN(Table2[[#This Row],[spawner_sku]])-FIND("/",Table2[[#This Row],[spawner_sku]])),Table1[Entity Prefab],0)),10,1,1,"Entities"))</f>
        <v>25</v>
      </c>
      <c r="AN77" s="75">
        <f ca="1">ROUND((Table2[[#This Row],[XP]]*Table2[[#This Row],[entity_spawned (AVG)]])*(Table2[[#This Row],[activating_chance]]/100),0)</f>
        <v>75</v>
      </c>
      <c r="AO7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77" s="72">
        <v>2</v>
      </c>
      <c r="AQ77" s="72">
        <v>4</v>
      </c>
      <c r="AR77" s="72" t="b">
        <v>0</v>
      </c>
      <c r="AT77" t="s">
        <v>232</v>
      </c>
      <c r="AU77">
        <v>1</v>
      </c>
      <c r="AV77">
        <v>250</v>
      </c>
      <c r="AW77">
        <v>30</v>
      </c>
      <c r="AX77" s="75">
        <f ca="1">INDIRECT(ADDRESS(11+(MATCH(RIGHT(Table6[[#This Row],[spawner_sku]],LEN(Table6[[#This Row],[spawner_sku]])-FIND("/",Table6[[#This Row],[spawner_sku]])),Table1[Entity Prefab],0)),10,1,1,"Entities"))</f>
        <v>143</v>
      </c>
      <c r="AY77" s="75">
        <f ca="1">ROUND((Table6[[#This Row],[XP]]*Table6[[#This Row],[entity_spawned (AVG)]])*(Table6[[#This Row],[activating_chance]]/100),0)</f>
        <v>43</v>
      </c>
      <c r="AZ77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77">
        <v>1</v>
      </c>
      <c r="BB77">
        <v>1</v>
      </c>
      <c r="BC77" t="b">
        <v>0</v>
      </c>
      <c r="BE77" t="s">
        <v>336</v>
      </c>
      <c r="BF77">
        <v>1</v>
      </c>
      <c r="BG77">
        <v>300</v>
      </c>
      <c r="BH77">
        <v>100</v>
      </c>
      <c r="BI77" s="75">
        <f ca="1">INDIRECT(ADDRESS(11+(MATCH(RIGHT(Table610[[#This Row],[spawner_sku]],LEN(Table610[[#This Row],[spawner_sku]])-FIND("/",Table610[[#This Row],[spawner_sku]])),Table1[Entity Prefab],0)),10,1,1,"Entities"))</f>
        <v>195</v>
      </c>
      <c r="BJ77" s="75">
        <f ca="1">ROUND((Table610[[#This Row],[XP]]*Table610[[#This Row],[entity_spawned (AVG)]])*(Table610[[#This Row],[activating_chance]]/100),0)</f>
        <v>195</v>
      </c>
      <c r="BK77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7">
        <v>1</v>
      </c>
      <c r="BM77">
        <v>1</v>
      </c>
      <c r="BN77" t="b">
        <v>0</v>
      </c>
      <c r="BP77" t="s">
        <v>228</v>
      </c>
      <c r="BQ77">
        <v>1.5</v>
      </c>
      <c r="BR77">
        <v>160</v>
      </c>
      <c r="BS77">
        <v>100</v>
      </c>
      <c r="BT7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77" s="75">
        <f ca="1">ROUND((Table61011[[#This Row],[XP]]*Table61011[[#This Row],[entity_spawned (AVG)]])*(Table61011[[#This Row],[activating_chance]]/100),0)</f>
        <v>38</v>
      </c>
      <c r="BV7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7" s="72">
        <v>1</v>
      </c>
      <c r="BX77" s="72">
        <v>2</v>
      </c>
      <c r="BY77" s="72" t="b">
        <v>0</v>
      </c>
      <c r="CA77" t="s">
        <v>228</v>
      </c>
      <c r="CB77">
        <v>3.5</v>
      </c>
      <c r="CC77">
        <v>180</v>
      </c>
      <c r="CD77">
        <v>100</v>
      </c>
      <c r="CE77" s="75">
        <f ca="1">INDIRECT(ADDRESS(11+(MATCH(RIGHT(Table11[[#This Row],[spawner_sku]],LEN(Table11[[#This Row],[spawner_sku]])-FIND("/",Table11[[#This Row],[spawner_sku]])),Table1[Entity Prefab],0)),10,1,1,"Entities"))</f>
        <v>25</v>
      </c>
      <c r="CF77">
        <f ca="1">ROUND((Table11[[#This Row],[XP]]*Table11[[#This Row],[entity_spawned (AVG)]])*(Table11[[#This Row],[activating_chance]]/100),0)</f>
        <v>88</v>
      </c>
      <c r="CG77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77" s="72">
        <v>3</v>
      </c>
      <c r="CI77" s="72">
        <v>4</v>
      </c>
      <c r="CJ77" s="72" t="b">
        <v>0</v>
      </c>
      <c r="CL77" t="s">
        <v>244</v>
      </c>
      <c r="CM77">
        <v>1</v>
      </c>
      <c r="CN77">
        <v>220</v>
      </c>
      <c r="CO77">
        <v>100</v>
      </c>
      <c r="CP77" s="75">
        <f ca="1">INDIRECT(ADDRESS(11+(MATCH(RIGHT(Table12[[#This Row],[spawner_sku]],LEN(Table12[[#This Row],[spawner_sku]])-FIND("/",Table12[[#This Row],[spawner_sku]])),Table1[Entity Prefab],0)),10,1,1,"Entities"))</f>
        <v>25</v>
      </c>
      <c r="CQ77" s="75">
        <f ca="1">ROUND((Table12[[#This Row],[XP]]*Table12[[#This Row],[entity_spawned (AVG)]])*(Table12[[#This Row],[activating_chance]]/100),0)</f>
        <v>25</v>
      </c>
      <c r="CR77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77" s="72">
        <v>1</v>
      </c>
      <c r="CT77" s="72">
        <v>1</v>
      </c>
      <c r="CU77" s="72" t="b">
        <v>0</v>
      </c>
      <c r="CW77" t="s">
        <v>234</v>
      </c>
      <c r="CX77">
        <v>1</v>
      </c>
      <c r="CY77">
        <v>340</v>
      </c>
      <c r="CZ77">
        <v>100</v>
      </c>
      <c r="DA77" s="75">
        <f ca="1">INDIRECT(ADDRESS(11+(MATCH(RIGHT(Table13[[#This Row],[spawner_sku]],LEN(Table13[[#This Row],[spawner_sku]])-FIND("/",Table13[[#This Row],[spawner_sku]])),Table1[Entity Prefab],0)),10,1,1,"Entities"))</f>
        <v>263</v>
      </c>
      <c r="DB77" s="75">
        <f ca="1">ROUND((Table13[[#This Row],[XP]]*Table13[[#This Row],[entity_spawned (AVG)]])*(Table13[[#This Row],[activating_chance]]/100),0)</f>
        <v>263</v>
      </c>
      <c r="DC77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77" s="72">
        <v>1</v>
      </c>
      <c r="DE77" s="72">
        <v>1</v>
      </c>
      <c r="DF77" s="72" t="b">
        <v>0</v>
      </c>
      <c r="DH77" t="s">
        <v>227</v>
      </c>
      <c r="DI77">
        <v>6.5</v>
      </c>
      <c r="DJ77">
        <v>140</v>
      </c>
      <c r="DK77">
        <v>30</v>
      </c>
      <c r="DL77" s="75">
        <f ca="1">INDIRECT(ADDRESS(11+(MATCH(RIGHT(Table14[[#This Row],[spawner_sku]],LEN(Table14[[#This Row],[spawner_sku]])-FIND("/",Table14[[#This Row],[spawner_sku]])),Table1[Entity Prefab],0)),10,1,1,"Entities"))</f>
        <v>25</v>
      </c>
      <c r="DM77" s="75">
        <f ca="1">ROUND((Table14[[#This Row],[XP]]*Table14[[#This Row],[entity_spawned (AVG)]])*(Table14[[#This Row],[activating_chance]]/100),0)</f>
        <v>49</v>
      </c>
      <c r="DN7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7" s="72">
        <v>5</v>
      </c>
      <c r="DP77" s="72">
        <v>8</v>
      </c>
      <c r="DQ77" s="72" t="b">
        <v>1</v>
      </c>
      <c r="DS77" t="s">
        <v>395</v>
      </c>
      <c r="DT77">
        <v>1</v>
      </c>
      <c r="DU77">
        <v>160</v>
      </c>
      <c r="DV77">
        <v>80</v>
      </c>
      <c r="DW77" s="75">
        <f ca="1">INDIRECT(ADDRESS(11+(MATCH(RIGHT(Table18[[#This Row],[spawner_sku]],LEN(Table18[[#This Row],[spawner_sku]])-FIND("/",Table18[[#This Row],[spawner_sku]])),Table1[Entity Prefab],0)),10,1,1,"Entities"))</f>
        <v>25</v>
      </c>
      <c r="DX77" s="75">
        <f ca="1">ROUND((Table18[[#This Row],[XP]]*Table18[[#This Row],[entity_spawned (AVG)]])*(Table18[[#This Row],[activating_chance]]/100),0)</f>
        <v>20</v>
      </c>
      <c r="DY7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77">
        <v>1</v>
      </c>
      <c r="EA77">
        <v>2</v>
      </c>
      <c r="EB77" t="b">
        <v>0</v>
      </c>
      <c r="ED77" t="s">
        <v>227</v>
      </c>
      <c r="EE77">
        <v>8</v>
      </c>
      <c r="EF77">
        <v>160</v>
      </c>
      <c r="EG77">
        <v>100</v>
      </c>
      <c r="EH77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77" s="75">
        <f ca="1">ROUND((Table1820[[#This Row],[XP]]*Table1820[[#This Row],[entity_spawned (AVG)]])*(Table1820[[#This Row],[activating_chance]]/100),0)</f>
        <v>200</v>
      </c>
      <c r="EJ7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77">
        <v>6</v>
      </c>
      <c r="EL77">
        <v>10</v>
      </c>
      <c r="EM77" t="b">
        <v>1</v>
      </c>
      <c r="EO77" t="s">
        <v>7346</v>
      </c>
      <c r="EP77">
        <v>5.5</v>
      </c>
      <c r="EQ77">
        <v>90</v>
      </c>
      <c r="ER77">
        <v>100</v>
      </c>
      <c r="ES77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ET77" s="75">
        <f ca="1">ROUND((Table182023[[#This Row],[XP]]*Table182023[[#This Row],[entity_spawned (AVG)]])*(Table182023[[#This Row],[activating_chance]]/100),0)</f>
        <v>193</v>
      </c>
      <c r="EU77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77" s="152">
        <v>5</v>
      </c>
      <c r="EW77" s="152">
        <v>6</v>
      </c>
      <c r="EX77" s="152" t="b">
        <v>1</v>
      </c>
      <c r="EZ77" t="s">
        <v>7344</v>
      </c>
      <c r="FA77">
        <v>1</v>
      </c>
      <c r="FB77">
        <v>90</v>
      </c>
      <c r="FC77">
        <v>100</v>
      </c>
      <c r="FD77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77" s="75">
        <f ca="1">ROUND((Table18202324[[#This Row],[XP]]*Table18202324[[#This Row],[entity_spawned (AVG)]])*(Table18202324[[#This Row],[activating_chance]]/100),0)</f>
        <v>25</v>
      </c>
      <c r="FF77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77">
        <v>1</v>
      </c>
      <c r="FH77">
        <v>1</v>
      </c>
      <c r="FI77" t="b">
        <v>0</v>
      </c>
    </row>
    <row r="78" spans="2:165" x14ac:dyDescent="0.25">
      <c r="B78" s="73" t="s">
        <v>228</v>
      </c>
      <c r="C78">
        <v>3</v>
      </c>
      <c r="D78">
        <v>120</v>
      </c>
      <c r="E78">
        <v>100</v>
      </c>
      <c r="F78" s="75">
        <f ca="1">INDIRECT(ADDRESS(11+(MATCH(RIGHT(Table245[[#This Row],[spawner_sku]],LEN(Table245[[#This Row],[spawner_sku]])-FIND("/",Table245[[#This Row],[spawner_sku]])),Table1[Entity Prefab],0)),10,1,1,"Entities"))</f>
        <v>25</v>
      </c>
      <c r="G78" s="75">
        <f ca="1">ROUND((Table245[[#This Row],[XP]]*Table245[[#This Row],[entity_spawned (AVG)]])*(Table245[[#This Row],[activating_chance]]/100),0)</f>
        <v>75</v>
      </c>
      <c r="H7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8" s="72">
        <v>3</v>
      </c>
      <c r="J78" s="72">
        <v>3</v>
      </c>
      <c r="K78" s="72" t="b">
        <v>0</v>
      </c>
      <c r="M78" t="s">
        <v>335</v>
      </c>
      <c r="N78">
        <v>1</v>
      </c>
      <c r="O78">
        <v>250</v>
      </c>
      <c r="P78">
        <v>100</v>
      </c>
      <c r="Q78" s="75">
        <f ca="1">INDIRECT(ADDRESS(11+(MATCH(RIGHT(Table3[[#This Row],[spawner_sku]],LEN(Table3[[#This Row],[spawner_sku]])-FIND("/",Table3[[#This Row],[spawner_sku]])),Table1[Entity Prefab],0)),10,1,1,"Entities"))</f>
        <v>143</v>
      </c>
      <c r="R78" s="75">
        <f ca="1">ROUND((Table3[[#This Row],[XP]]*Table3[[#This Row],[entity_spawned (AVG)]])*(Table3[[#This Row],[activating_chance]]/100),0)</f>
        <v>143</v>
      </c>
      <c r="S78" t="str">
        <f ca="1">INDIRECT(ADDRESS(11+(MATCH(RIGHT(Table3[[#This Row],[spawner_sku]],LEN(Table3[[#This Row],[spawner_sku]])-FIND("/",Table3[[#This Row],[spawner_sku]])),Table28[Entity Prefab],0)),24,1,1,"Entities"))</f>
        <v>yes</v>
      </c>
      <c r="T78">
        <v>1</v>
      </c>
      <c r="U78">
        <v>1</v>
      </c>
      <c r="V78" t="b">
        <v>0</v>
      </c>
      <c r="W78" s="72"/>
      <c r="X78" t="s">
        <v>450</v>
      </c>
      <c r="Y78">
        <v>1</v>
      </c>
      <c r="Z78">
        <v>160</v>
      </c>
      <c r="AA78">
        <v>100</v>
      </c>
      <c r="AB78" s="75">
        <f ca="1">INDIRECT(ADDRESS(11+(MATCH(RIGHT(Table39[[#This Row],[spawner_sku]],LEN(Table39[[#This Row],[spawner_sku]])-FIND("/",Table39[[#This Row],[spawner_sku]])),Table1[Entity Prefab],0)),10,1,1,"Entities"))</f>
        <v>25</v>
      </c>
      <c r="AC78" s="75">
        <f ca="1">ROUND((Table39[[#This Row],[XP]]*Table39[[#This Row],[entity_spawned (AVG)]])*(Table39[[#This Row],[activating_chance]]/100),0)</f>
        <v>25</v>
      </c>
      <c r="AD78" t="str">
        <f ca="1">INDIRECT(ADDRESS(11+(MATCH(RIGHT(Table39[[#This Row],[spawner_sku]],LEN(Table39[[#This Row],[spawner_sku]])-FIND("/",Table39[[#This Row],[spawner_sku]])),Table28[Entity Prefab],0)),24,1,1,"Entities"))</f>
        <v>no</v>
      </c>
      <c r="AE78">
        <v>1</v>
      </c>
      <c r="AF78">
        <v>1</v>
      </c>
      <c r="AG78" t="b">
        <v>0</v>
      </c>
      <c r="AI78" t="s">
        <v>228</v>
      </c>
      <c r="AJ78">
        <v>2</v>
      </c>
      <c r="AK78">
        <v>120</v>
      </c>
      <c r="AL78">
        <v>80</v>
      </c>
      <c r="AM78" s="75">
        <f ca="1">INDIRECT(ADDRESS(11+(MATCH(RIGHT(Table2[[#This Row],[spawner_sku]],LEN(Table2[[#This Row],[spawner_sku]])-FIND("/",Table2[[#This Row],[spawner_sku]])),Table1[Entity Prefab],0)),10,1,1,"Entities"))</f>
        <v>25</v>
      </c>
      <c r="AN78" s="75">
        <f ca="1">ROUND((Table2[[#This Row],[XP]]*Table2[[#This Row],[entity_spawned (AVG)]])*(Table2[[#This Row],[activating_chance]]/100),0)</f>
        <v>40</v>
      </c>
      <c r="AO7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78" s="72">
        <v>1</v>
      </c>
      <c r="AQ78" s="72">
        <v>3</v>
      </c>
      <c r="AR78" s="72" t="b">
        <v>0</v>
      </c>
      <c r="AT78" t="s">
        <v>232</v>
      </c>
      <c r="AU78">
        <v>1.5</v>
      </c>
      <c r="AV78">
        <v>250</v>
      </c>
      <c r="AW78">
        <v>100</v>
      </c>
      <c r="AX78" s="75">
        <f ca="1">INDIRECT(ADDRESS(11+(MATCH(RIGHT(Table6[[#This Row],[spawner_sku]],LEN(Table6[[#This Row],[spawner_sku]])-FIND("/",Table6[[#This Row],[spawner_sku]])),Table1[Entity Prefab],0)),10,1,1,"Entities"))</f>
        <v>143</v>
      </c>
      <c r="AY78" s="75">
        <f ca="1">ROUND((Table6[[#This Row],[XP]]*Table6[[#This Row],[entity_spawned (AVG)]])*(Table6[[#This Row],[activating_chance]]/100),0)</f>
        <v>215</v>
      </c>
      <c r="AZ78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78">
        <v>1</v>
      </c>
      <c r="BB78">
        <v>2</v>
      </c>
      <c r="BC78" t="b">
        <v>0</v>
      </c>
      <c r="BE78" t="s">
        <v>336</v>
      </c>
      <c r="BF78">
        <v>1</v>
      </c>
      <c r="BG78">
        <v>300</v>
      </c>
      <c r="BH78">
        <v>100</v>
      </c>
      <c r="BI78" s="75">
        <f ca="1">INDIRECT(ADDRESS(11+(MATCH(RIGHT(Table610[[#This Row],[spawner_sku]],LEN(Table610[[#This Row],[spawner_sku]])-FIND("/",Table610[[#This Row],[spawner_sku]])),Table1[Entity Prefab],0)),10,1,1,"Entities"))</f>
        <v>195</v>
      </c>
      <c r="BJ78" s="75">
        <f ca="1">ROUND((Table610[[#This Row],[XP]]*Table610[[#This Row],[entity_spawned (AVG)]])*(Table610[[#This Row],[activating_chance]]/100),0)</f>
        <v>195</v>
      </c>
      <c r="BK78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8">
        <v>1</v>
      </c>
      <c r="BM78">
        <v>1</v>
      </c>
      <c r="BN78" t="b">
        <v>0</v>
      </c>
      <c r="BP78" t="s">
        <v>228</v>
      </c>
      <c r="BQ78">
        <v>1.5</v>
      </c>
      <c r="BR78">
        <v>110</v>
      </c>
      <c r="BS78">
        <v>100</v>
      </c>
      <c r="BT7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78" s="75">
        <f ca="1">ROUND((Table61011[[#This Row],[XP]]*Table61011[[#This Row],[entity_spawned (AVG)]])*(Table61011[[#This Row],[activating_chance]]/100),0)</f>
        <v>38</v>
      </c>
      <c r="BV7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8" s="72">
        <v>1</v>
      </c>
      <c r="BX78" s="72">
        <v>2</v>
      </c>
      <c r="BY78" s="72" t="b">
        <v>0</v>
      </c>
      <c r="CA78" t="s">
        <v>228</v>
      </c>
      <c r="CB78">
        <v>5.5</v>
      </c>
      <c r="CC78">
        <v>180</v>
      </c>
      <c r="CD78">
        <v>80</v>
      </c>
      <c r="CE78" s="75">
        <f ca="1">INDIRECT(ADDRESS(11+(MATCH(RIGHT(Table11[[#This Row],[spawner_sku]],LEN(Table11[[#This Row],[spawner_sku]])-FIND("/",Table11[[#This Row],[spawner_sku]])),Table1[Entity Prefab],0)),10,1,1,"Entities"))</f>
        <v>25</v>
      </c>
      <c r="CF78">
        <f ca="1">ROUND((Table11[[#This Row],[XP]]*Table11[[#This Row],[entity_spawned (AVG)]])*(Table11[[#This Row],[activating_chance]]/100),0)</f>
        <v>110</v>
      </c>
      <c r="CG78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78" s="72">
        <v>5</v>
      </c>
      <c r="CI78" s="72">
        <v>6</v>
      </c>
      <c r="CJ78" s="72" t="b">
        <v>1</v>
      </c>
      <c r="CL78" t="s">
        <v>452</v>
      </c>
      <c r="CM78">
        <v>1.5</v>
      </c>
      <c r="CN78">
        <v>280</v>
      </c>
      <c r="CO78">
        <v>100</v>
      </c>
      <c r="CP78" s="75">
        <f ca="1">INDIRECT(ADDRESS(11+(MATCH(RIGHT(Table12[[#This Row],[spawner_sku]],LEN(Table12[[#This Row],[spawner_sku]])-FIND("/",Table12[[#This Row],[spawner_sku]])),Table1[Entity Prefab],0)),10,1,1,"Entities"))</f>
        <v>70</v>
      </c>
      <c r="CQ78" s="75">
        <f ca="1">ROUND((Table12[[#This Row],[XP]]*Table12[[#This Row],[entity_spawned (AVG)]])*(Table12[[#This Row],[activating_chance]]/100),0)</f>
        <v>105</v>
      </c>
      <c r="CR78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78" s="72">
        <v>1</v>
      </c>
      <c r="CT78" s="72">
        <v>2</v>
      </c>
      <c r="CU78" s="72" t="b">
        <v>0</v>
      </c>
      <c r="CW78" t="s">
        <v>234</v>
      </c>
      <c r="CX78">
        <v>1</v>
      </c>
      <c r="CY78">
        <v>340</v>
      </c>
      <c r="CZ78">
        <v>100</v>
      </c>
      <c r="DA78" s="75">
        <f ca="1">INDIRECT(ADDRESS(11+(MATCH(RIGHT(Table13[[#This Row],[spawner_sku]],LEN(Table13[[#This Row],[spawner_sku]])-FIND("/",Table13[[#This Row],[spawner_sku]])),Table1[Entity Prefab],0)),10,1,1,"Entities"))</f>
        <v>263</v>
      </c>
      <c r="DB78" s="75">
        <f ca="1">ROUND((Table13[[#This Row],[XP]]*Table13[[#This Row],[entity_spawned (AVG)]])*(Table13[[#This Row],[activating_chance]]/100),0)</f>
        <v>263</v>
      </c>
      <c r="DC78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78" s="72">
        <v>1</v>
      </c>
      <c r="DE78" s="72">
        <v>1</v>
      </c>
      <c r="DF78" s="72" t="b">
        <v>0</v>
      </c>
      <c r="DH78" t="s">
        <v>227</v>
      </c>
      <c r="DI78">
        <v>7</v>
      </c>
      <c r="DJ78">
        <v>200</v>
      </c>
      <c r="DK78">
        <v>100</v>
      </c>
      <c r="DL78" s="75">
        <f ca="1">INDIRECT(ADDRESS(11+(MATCH(RIGHT(Table14[[#This Row],[spawner_sku]],LEN(Table14[[#This Row],[spawner_sku]])-FIND("/",Table14[[#This Row],[spawner_sku]])),Table1[Entity Prefab],0)),10,1,1,"Entities"))</f>
        <v>25</v>
      </c>
      <c r="DM78" s="75">
        <f ca="1">ROUND((Table14[[#This Row],[XP]]*Table14[[#This Row],[entity_spawned (AVG)]])*(Table14[[#This Row],[activating_chance]]/100),0)</f>
        <v>175</v>
      </c>
      <c r="DN7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8" s="72">
        <v>6</v>
      </c>
      <c r="DP78" s="72">
        <v>8</v>
      </c>
      <c r="DQ78" s="72" t="b">
        <v>1</v>
      </c>
      <c r="DS78" t="s">
        <v>395</v>
      </c>
      <c r="DT78">
        <v>2</v>
      </c>
      <c r="DU78">
        <v>160</v>
      </c>
      <c r="DV78">
        <v>80</v>
      </c>
      <c r="DW78" s="75">
        <f ca="1">INDIRECT(ADDRESS(11+(MATCH(RIGHT(Table18[[#This Row],[spawner_sku]],LEN(Table18[[#This Row],[spawner_sku]])-FIND("/",Table18[[#This Row],[spawner_sku]])),Table1[Entity Prefab],0)),10,1,1,"Entities"))</f>
        <v>25</v>
      </c>
      <c r="DX78" s="75">
        <f ca="1">ROUND((Table18[[#This Row],[XP]]*Table18[[#This Row],[entity_spawned (AVG)]])*(Table18[[#This Row],[activating_chance]]/100),0)</f>
        <v>40</v>
      </c>
      <c r="DY7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78">
        <v>2</v>
      </c>
      <c r="EA78">
        <v>3</v>
      </c>
      <c r="EB78" t="b">
        <v>0</v>
      </c>
      <c r="ED78" t="s">
        <v>227</v>
      </c>
      <c r="EE78">
        <v>7</v>
      </c>
      <c r="EF78">
        <v>130</v>
      </c>
      <c r="EG78">
        <v>100</v>
      </c>
      <c r="EH78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78" s="75">
        <f ca="1">ROUND((Table1820[[#This Row],[XP]]*Table1820[[#This Row],[entity_spawned (AVG)]])*(Table1820[[#This Row],[activating_chance]]/100),0)</f>
        <v>175</v>
      </c>
      <c r="EJ7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78">
        <v>6</v>
      </c>
      <c r="EL78">
        <v>8</v>
      </c>
      <c r="EM78" t="b">
        <v>1</v>
      </c>
      <c r="EO78" t="s">
        <v>7346</v>
      </c>
      <c r="EP78">
        <v>3.5</v>
      </c>
      <c r="EQ78">
        <v>90</v>
      </c>
      <c r="ER78">
        <v>100</v>
      </c>
      <c r="ES78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ET78" s="75">
        <f ca="1">ROUND((Table182023[[#This Row],[XP]]*Table182023[[#This Row],[entity_spawned (AVG)]])*(Table182023[[#This Row],[activating_chance]]/100),0)</f>
        <v>123</v>
      </c>
      <c r="EU78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78" s="152">
        <v>3</v>
      </c>
      <c r="EW78" s="152">
        <v>4</v>
      </c>
      <c r="EX78" s="152" t="b">
        <v>0</v>
      </c>
      <c r="EZ78" t="s">
        <v>7344</v>
      </c>
      <c r="FA78">
        <v>1</v>
      </c>
      <c r="FB78">
        <v>75</v>
      </c>
      <c r="FC78">
        <v>100</v>
      </c>
      <c r="FD78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78" s="75">
        <f ca="1">ROUND((Table18202324[[#This Row],[XP]]*Table18202324[[#This Row],[entity_spawned (AVG)]])*(Table18202324[[#This Row],[activating_chance]]/100),0)</f>
        <v>25</v>
      </c>
      <c r="FF78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78">
        <v>1</v>
      </c>
      <c r="FH78">
        <v>1</v>
      </c>
      <c r="FI78" t="b">
        <v>0</v>
      </c>
    </row>
    <row r="79" spans="2:165" x14ac:dyDescent="0.25">
      <c r="B79" s="73" t="s">
        <v>228</v>
      </c>
      <c r="C79">
        <v>1.5</v>
      </c>
      <c r="D79">
        <v>110</v>
      </c>
      <c r="E79">
        <v>100</v>
      </c>
      <c r="F79" s="75">
        <f ca="1">INDIRECT(ADDRESS(11+(MATCH(RIGHT(Table245[[#This Row],[spawner_sku]],LEN(Table245[[#This Row],[spawner_sku]])-FIND("/",Table245[[#This Row],[spawner_sku]])),Table1[Entity Prefab],0)),10,1,1,"Entities"))</f>
        <v>25</v>
      </c>
      <c r="G79" s="75">
        <f ca="1">ROUND((Table245[[#This Row],[XP]]*Table245[[#This Row],[entity_spawned (AVG)]])*(Table245[[#This Row],[activating_chance]]/100),0)</f>
        <v>38</v>
      </c>
      <c r="H7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9" s="72">
        <v>1</v>
      </c>
      <c r="J79" s="72">
        <v>2</v>
      </c>
      <c r="K79" s="72" t="b">
        <v>0</v>
      </c>
      <c r="M79" t="s">
        <v>335</v>
      </c>
      <c r="N79">
        <v>1</v>
      </c>
      <c r="O79">
        <v>250</v>
      </c>
      <c r="P79">
        <v>100</v>
      </c>
      <c r="Q79" s="75">
        <f ca="1">INDIRECT(ADDRESS(11+(MATCH(RIGHT(Table3[[#This Row],[spawner_sku]],LEN(Table3[[#This Row],[spawner_sku]])-FIND("/",Table3[[#This Row],[spawner_sku]])),Table1[Entity Prefab],0)),10,1,1,"Entities"))</f>
        <v>143</v>
      </c>
      <c r="R79" s="75">
        <f ca="1">ROUND((Table3[[#This Row],[XP]]*Table3[[#This Row],[entity_spawned (AVG)]])*(Table3[[#This Row],[activating_chance]]/100),0)</f>
        <v>143</v>
      </c>
      <c r="S79" t="str">
        <f ca="1">INDIRECT(ADDRESS(11+(MATCH(RIGHT(Table3[[#This Row],[spawner_sku]],LEN(Table3[[#This Row],[spawner_sku]])-FIND("/",Table3[[#This Row],[spawner_sku]])),Table28[Entity Prefab],0)),24,1,1,"Entities"))</f>
        <v>yes</v>
      </c>
      <c r="T79">
        <v>1</v>
      </c>
      <c r="U79">
        <v>1</v>
      </c>
      <c r="V79" t="b">
        <v>0</v>
      </c>
      <c r="W79" s="72"/>
      <c r="X79" t="s">
        <v>450</v>
      </c>
      <c r="Y79">
        <v>1</v>
      </c>
      <c r="Z79">
        <v>100</v>
      </c>
      <c r="AA79">
        <v>100</v>
      </c>
      <c r="AB79" s="75">
        <f ca="1">INDIRECT(ADDRESS(11+(MATCH(RIGHT(Table39[[#This Row],[spawner_sku]],LEN(Table39[[#This Row],[spawner_sku]])-FIND("/",Table39[[#This Row],[spawner_sku]])),Table1[Entity Prefab],0)),10,1,1,"Entities"))</f>
        <v>25</v>
      </c>
      <c r="AC79" s="75">
        <f ca="1">ROUND((Table39[[#This Row],[XP]]*Table39[[#This Row],[entity_spawned (AVG)]])*(Table39[[#This Row],[activating_chance]]/100),0)</f>
        <v>25</v>
      </c>
      <c r="AD79" t="str">
        <f ca="1">INDIRECT(ADDRESS(11+(MATCH(RIGHT(Table39[[#This Row],[spawner_sku]],LEN(Table39[[#This Row],[spawner_sku]])-FIND("/",Table39[[#This Row],[spawner_sku]])),Table28[Entity Prefab],0)),24,1,1,"Entities"))</f>
        <v>no</v>
      </c>
      <c r="AE79">
        <v>1</v>
      </c>
      <c r="AF79">
        <v>1</v>
      </c>
      <c r="AG79" t="b">
        <v>0</v>
      </c>
      <c r="AI79" t="s">
        <v>228</v>
      </c>
      <c r="AJ79">
        <v>1.5</v>
      </c>
      <c r="AK79">
        <v>100</v>
      </c>
      <c r="AL79">
        <v>100</v>
      </c>
      <c r="AM79" s="75">
        <f ca="1">INDIRECT(ADDRESS(11+(MATCH(RIGHT(Table2[[#This Row],[spawner_sku]],LEN(Table2[[#This Row],[spawner_sku]])-FIND("/",Table2[[#This Row],[spawner_sku]])),Table1[Entity Prefab],0)),10,1,1,"Entities"))</f>
        <v>25</v>
      </c>
      <c r="AN79" s="75">
        <f ca="1">ROUND((Table2[[#This Row],[XP]]*Table2[[#This Row],[entity_spawned (AVG)]])*(Table2[[#This Row],[activating_chance]]/100),0)</f>
        <v>38</v>
      </c>
      <c r="AO7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79" s="72">
        <v>1</v>
      </c>
      <c r="AQ79" s="72">
        <v>2</v>
      </c>
      <c r="AR79" s="72" t="b">
        <v>0</v>
      </c>
      <c r="AT79" t="s">
        <v>232</v>
      </c>
      <c r="AU79">
        <v>1</v>
      </c>
      <c r="AV79">
        <v>250</v>
      </c>
      <c r="AW79">
        <v>100</v>
      </c>
      <c r="AX79" s="75">
        <f ca="1">INDIRECT(ADDRESS(11+(MATCH(RIGHT(Table6[[#This Row],[spawner_sku]],LEN(Table6[[#This Row],[spawner_sku]])-FIND("/",Table6[[#This Row],[spawner_sku]])),Table1[Entity Prefab],0)),10,1,1,"Entities"))</f>
        <v>143</v>
      </c>
      <c r="AY79" s="75">
        <f ca="1">ROUND((Table6[[#This Row],[XP]]*Table6[[#This Row],[entity_spawned (AVG)]])*(Table6[[#This Row],[activating_chance]]/100),0)</f>
        <v>143</v>
      </c>
      <c r="AZ79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79">
        <v>1</v>
      </c>
      <c r="BB79">
        <v>1</v>
      </c>
      <c r="BC79" t="b">
        <v>0</v>
      </c>
      <c r="BE79" t="s">
        <v>336</v>
      </c>
      <c r="BF79">
        <v>1</v>
      </c>
      <c r="BG79">
        <v>300</v>
      </c>
      <c r="BH79">
        <v>100</v>
      </c>
      <c r="BI79" s="75">
        <f ca="1">INDIRECT(ADDRESS(11+(MATCH(RIGHT(Table610[[#This Row],[spawner_sku]],LEN(Table610[[#This Row],[spawner_sku]])-FIND("/",Table610[[#This Row],[spawner_sku]])),Table1[Entity Prefab],0)),10,1,1,"Entities"))</f>
        <v>195</v>
      </c>
      <c r="BJ79" s="75">
        <f ca="1">ROUND((Table610[[#This Row],[XP]]*Table610[[#This Row],[entity_spawned (AVG)]])*(Table610[[#This Row],[activating_chance]]/100),0)</f>
        <v>195</v>
      </c>
      <c r="BK79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9">
        <v>1</v>
      </c>
      <c r="BM79">
        <v>1</v>
      </c>
      <c r="BN79" t="b">
        <v>0</v>
      </c>
      <c r="BP79" t="s">
        <v>228</v>
      </c>
      <c r="BQ79">
        <v>1.5</v>
      </c>
      <c r="BR79">
        <v>160</v>
      </c>
      <c r="BS79">
        <v>80</v>
      </c>
      <c r="BT7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79" s="75">
        <f ca="1">ROUND((Table61011[[#This Row],[XP]]*Table61011[[#This Row],[entity_spawned (AVG)]])*(Table61011[[#This Row],[activating_chance]]/100),0)</f>
        <v>30</v>
      </c>
      <c r="BV7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9" s="72">
        <v>1</v>
      </c>
      <c r="BX79" s="72">
        <v>2</v>
      </c>
      <c r="BY79" s="72" t="b">
        <v>0</v>
      </c>
      <c r="CA79" t="s">
        <v>228</v>
      </c>
      <c r="CB79">
        <v>2</v>
      </c>
      <c r="CC79">
        <v>180</v>
      </c>
      <c r="CD79">
        <v>100</v>
      </c>
      <c r="CE79" s="75">
        <f ca="1">INDIRECT(ADDRESS(11+(MATCH(RIGHT(Table11[[#This Row],[spawner_sku]],LEN(Table11[[#This Row],[spawner_sku]])-FIND("/",Table11[[#This Row],[spawner_sku]])),Table1[Entity Prefab],0)),10,1,1,"Entities"))</f>
        <v>25</v>
      </c>
      <c r="CF79">
        <f ca="1">ROUND((Table11[[#This Row],[XP]]*Table11[[#This Row],[entity_spawned (AVG)]])*(Table11[[#This Row],[activating_chance]]/100),0)</f>
        <v>50</v>
      </c>
      <c r="CG79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79" s="72">
        <v>2</v>
      </c>
      <c r="CI79" s="72">
        <v>2</v>
      </c>
      <c r="CJ79" s="72" t="b">
        <v>0</v>
      </c>
      <c r="CL79" t="s">
        <v>452</v>
      </c>
      <c r="CM79">
        <v>2</v>
      </c>
      <c r="CN79">
        <v>280</v>
      </c>
      <c r="CO79">
        <v>100</v>
      </c>
      <c r="CP79" s="75">
        <f ca="1">INDIRECT(ADDRESS(11+(MATCH(RIGHT(Table12[[#This Row],[spawner_sku]],LEN(Table12[[#This Row],[spawner_sku]])-FIND("/",Table12[[#This Row],[spawner_sku]])),Table1[Entity Prefab],0)),10,1,1,"Entities"))</f>
        <v>70</v>
      </c>
      <c r="CQ79" s="75">
        <f ca="1">ROUND((Table12[[#This Row],[XP]]*Table12[[#This Row],[entity_spawned (AVG)]])*(Table12[[#This Row],[activating_chance]]/100),0)</f>
        <v>140</v>
      </c>
      <c r="CR79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79" s="72">
        <v>2</v>
      </c>
      <c r="CT79" s="72">
        <v>2</v>
      </c>
      <c r="CU79" s="72" t="b">
        <v>0</v>
      </c>
      <c r="CW79" t="s">
        <v>234</v>
      </c>
      <c r="CX79">
        <v>1</v>
      </c>
      <c r="CY79">
        <v>340</v>
      </c>
      <c r="CZ79">
        <v>100</v>
      </c>
      <c r="DA79" s="75">
        <f ca="1">INDIRECT(ADDRESS(11+(MATCH(RIGHT(Table13[[#This Row],[spawner_sku]],LEN(Table13[[#This Row],[spawner_sku]])-FIND("/",Table13[[#This Row],[spawner_sku]])),Table1[Entity Prefab],0)),10,1,1,"Entities"))</f>
        <v>263</v>
      </c>
      <c r="DB79" s="75">
        <f ca="1">ROUND((Table13[[#This Row],[XP]]*Table13[[#This Row],[entity_spawned (AVG)]])*(Table13[[#This Row],[activating_chance]]/100),0)</f>
        <v>263</v>
      </c>
      <c r="DC79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79" s="72">
        <v>1</v>
      </c>
      <c r="DE79" s="72">
        <v>1</v>
      </c>
      <c r="DF79" s="72" t="b">
        <v>0</v>
      </c>
      <c r="DH79" t="s">
        <v>227</v>
      </c>
      <c r="DI79">
        <v>3.5</v>
      </c>
      <c r="DJ79">
        <v>80</v>
      </c>
      <c r="DK79">
        <v>100</v>
      </c>
      <c r="DL79" s="75">
        <f ca="1">INDIRECT(ADDRESS(11+(MATCH(RIGHT(Table14[[#This Row],[spawner_sku]],LEN(Table14[[#This Row],[spawner_sku]])-FIND("/",Table14[[#This Row],[spawner_sku]])),Table1[Entity Prefab],0)),10,1,1,"Entities"))</f>
        <v>25</v>
      </c>
      <c r="DM79" s="75">
        <f ca="1">ROUND((Table14[[#This Row],[XP]]*Table14[[#This Row],[entity_spawned (AVG)]])*(Table14[[#This Row],[activating_chance]]/100),0)</f>
        <v>88</v>
      </c>
      <c r="DN7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9" s="72">
        <v>3</v>
      </c>
      <c r="DP79" s="72">
        <v>4</v>
      </c>
      <c r="DQ79" s="72" t="b">
        <v>0</v>
      </c>
      <c r="DS79" t="s">
        <v>395</v>
      </c>
      <c r="DT79">
        <v>2</v>
      </c>
      <c r="DU79">
        <v>160</v>
      </c>
      <c r="DV79">
        <v>100</v>
      </c>
      <c r="DW79" s="75">
        <f ca="1">INDIRECT(ADDRESS(11+(MATCH(RIGHT(Table18[[#This Row],[spawner_sku]],LEN(Table18[[#This Row],[spawner_sku]])-FIND("/",Table18[[#This Row],[spawner_sku]])),Table1[Entity Prefab],0)),10,1,1,"Entities"))</f>
        <v>25</v>
      </c>
      <c r="DX79" s="75">
        <f ca="1">ROUND((Table18[[#This Row],[XP]]*Table18[[#This Row],[entity_spawned (AVG)]])*(Table18[[#This Row],[activating_chance]]/100),0)</f>
        <v>50</v>
      </c>
      <c r="DY7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79">
        <v>2</v>
      </c>
      <c r="EA79">
        <v>3</v>
      </c>
      <c r="EB79" t="b">
        <v>0</v>
      </c>
      <c r="ED79" t="s">
        <v>227</v>
      </c>
      <c r="EE79">
        <v>7</v>
      </c>
      <c r="EF79">
        <v>160</v>
      </c>
      <c r="EG79">
        <v>100</v>
      </c>
      <c r="EH7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79" s="75">
        <f ca="1">ROUND((Table1820[[#This Row],[XP]]*Table1820[[#This Row],[entity_spawned (AVG)]])*(Table1820[[#This Row],[activating_chance]]/100),0)</f>
        <v>175</v>
      </c>
      <c r="EJ7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79">
        <v>6</v>
      </c>
      <c r="EL79">
        <v>8</v>
      </c>
      <c r="EM79" t="b">
        <v>1</v>
      </c>
      <c r="EO79" t="s">
        <v>7346</v>
      </c>
      <c r="EP79">
        <v>3</v>
      </c>
      <c r="EQ79">
        <v>90</v>
      </c>
      <c r="ER79">
        <v>100</v>
      </c>
      <c r="ES79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ET79" s="75">
        <f ca="1">ROUND((Table182023[[#This Row],[XP]]*Table182023[[#This Row],[entity_spawned (AVG)]])*(Table182023[[#This Row],[activating_chance]]/100),0)</f>
        <v>105</v>
      </c>
      <c r="EU79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79" s="152">
        <v>2</v>
      </c>
      <c r="EW79" s="152">
        <v>4</v>
      </c>
      <c r="EX79" s="152" t="b">
        <v>0</v>
      </c>
      <c r="EZ79" t="s">
        <v>7344</v>
      </c>
      <c r="FA79">
        <v>1</v>
      </c>
      <c r="FB79">
        <v>75</v>
      </c>
      <c r="FC79">
        <v>100</v>
      </c>
      <c r="FD79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79" s="75">
        <f ca="1">ROUND((Table18202324[[#This Row],[XP]]*Table18202324[[#This Row],[entity_spawned (AVG)]])*(Table18202324[[#This Row],[activating_chance]]/100),0)</f>
        <v>25</v>
      </c>
      <c r="FF79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79">
        <v>1</v>
      </c>
      <c r="FH79">
        <v>1</v>
      </c>
      <c r="FI79" t="b">
        <v>0</v>
      </c>
    </row>
    <row r="80" spans="2:165" x14ac:dyDescent="0.25">
      <c r="B80" s="73" t="s">
        <v>228</v>
      </c>
      <c r="C80">
        <v>1</v>
      </c>
      <c r="D80">
        <v>100</v>
      </c>
      <c r="E80">
        <v>80</v>
      </c>
      <c r="F80" s="75">
        <f ca="1">INDIRECT(ADDRESS(11+(MATCH(RIGHT(Table245[[#This Row],[spawner_sku]],LEN(Table245[[#This Row],[spawner_sku]])-FIND("/",Table245[[#This Row],[spawner_sku]])),Table1[Entity Prefab],0)),10,1,1,"Entities"))</f>
        <v>25</v>
      </c>
      <c r="G80" s="75">
        <f ca="1">ROUND((Table245[[#This Row],[XP]]*Table245[[#This Row],[entity_spawned (AVG)]])*(Table245[[#This Row],[activating_chance]]/100),0)</f>
        <v>20</v>
      </c>
      <c r="H8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0" s="72">
        <v>1</v>
      </c>
      <c r="J80" s="72">
        <v>1</v>
      </c>
      <c r="K80" s="72" t="b">
        <v>0</v>
      </c>
      <c r="M80" t="s">
        <v>335</v>
      </c>
      <c r="N80">
        <v>1</v>
      </c>
      <c r="O80">
        <v>250</v>
      </c>
      <c r="P80">
        <v>50</v>
      </c>
      <c r="Q80" s="75">
        <f ca="1">INDIRECT(ADDRESS(11+(MATCH(RIGHT(Table3[[#This Row],[spawner_sku]],LEN(Table3[[#This Row],[spawner_sku]])-FIND("/",Table3[[#This Row],[spawner_sku]])),Table1[Entity Prefab],0)),10,1,1,"Entities"))</f>
        <v>143</v>
      </c>
      <c r="R80" s="75">
        <f ca="1">ROUND((Table3[[#This Row],[XP]]*Table3[[#This Row],[entity_spawned (AVG)]])*(Table3[[#This Row],[activating_chance]]/100),0)</f>
        <v>72</v>
      </c>
      <c r="S80" t="str">
        <f ca="1">INDIRECT(ADDRESS(11+(MATCH(RIGHT(Table3[[#This Row],[spawner_sku]],LEN(Table3[[#This Row],[spawner_sku]])-FIND("/",Table3[[#This Row],[spawner_sku]])),Table28[Entity Prefab],0)),24,1,1,"Entities"))</f>
        <v>yes</v>
      </c>
      <c r="T80">
        <v>1</v>
      </c>
      <c r="U80">
        <v>1</v>
      </c>
      <c r="V80" t="b">
        <v>0</v>
      </c>
      <c r="W80" s="72"/>
      <c r="X80" t="s">
        <v>450</v>
      </c>
      <c r="Y80">
        <v>1</v>
      </c>
      <c r="Z80">
        <v>100</v>
      </c>
      <c r="AA80">
        <v>100</v>
      </c>
      <c r="AB80" s="75">
        <f ca="1">INDIRECT(ADDRESS(11+(MATCH(RIGHT(Table39[[#This Row],[spawner_sku]],LEN(Table39[[#This Row],[spawner_sku]])-FIND("/",Table39[[#This Row],[spawner_sku]])),Table1[Entity Prefab],0)),10,1,1,"Entities"))</f>
        <v>25</v>
      </c>
      <c r="AC80" s="75">
        <f ca="1">ROUND((Table39[[#This Row],[XP]]*Table39[[#This Row],[entity_spawned (AVG)]])*(Table39[[#This Row],[activating_chance]]/100),0)</f>
        <v>25</v>
      </c>
      <c r="AD80" t="str">
        <f ca="1">INDIRECT(ADDRESS(11+(MATCH(RIGHT(Table39[[#This Row],[spawner_sku]],LEN(Table39[[#This Row],[spawner_sku]])-FIND("/",Table39[[#This Row],[spawner_sku]])),Table28[Entity Prefab],0)),24,1,1,"Entities"))</f>
        <v>no</v>
      </c>
      <c r="AE80">
        <v>1</v>
      </c>
      <c r="AF80">
        <v>1</v>
      </c>
      <c r="AG80" t="b">
        <v>0</v>
      </c>
      <c r="AI80" t="s">
        <v>228</v>
      </c>
      <c r="AJ80">
        <v>2</v>
      </c>
      <c r="AK80">
        <v>110</v>
      </c>
      <c r="AL80">
        <v>100</v>
      </c>
      <c r="AM80" s="75">
        <f ca="1">INDIRECT(ADDRESS(11+(MATCH(RIGHT(Table2[[#This Row],[spawner_sku]],LEN(Table2[[#This Row],[spawner_sku]])-FIND("/",Table2[[#This Row],[spawner_sku]])),Table1[Entity Prefab],0)),10,1,1,"Entities"))</f>
        <v>25</v>
      </c>
      <c r="AN80" s="75">
        <f ca="1">ROUND((Table2[[#This Row],[XP]]*Table2[[#This Row],[entity_spawned (AVG)]])*(Table2[[#This Row],[activating_chance]]/100),0)</f>
        <v>50</v>
      </c>
      <c r="AO8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80" s="72">
        <v>1</v>
      </c>
      <c r="AQ80" s="72">
        <v>3</v>
      </c>
      <c r="AR80" s="72" t="b">
        <v>0</v>
      </c>
      <c r="AT80" t="s">
        <v>232</v>
      </c>
      <c r="AU80">
        <v>1</v>
      </c>
      <c r="AV80">
        <v>250</v>
      </c>
      <c r="AW80">
        <v>100</v>
      </c>
      <c r="AX80" s="75">
        <f ca="1">INDIRECT(ADDRESS(11+(MATCH(RIGHT(Table6[[#This Row],[spawner_sku]],LEN(Table6[[#This Row],[spawner_sku]])-FIND("/",Table6[[#This Row],[spawner_sku]])),Table1[Entity Prefab],0)),10,1,1,"Entities"))</f>
        <v>143</v>
      </c>
      <c r="AY80" s="75">
        <f ca="1">ROUND((Table6[[#This Row],[XP]]*Table6[[#This Row],[entity_spawned (AVG)]])*(Table6[[#This Row],[activating_chance]]/100),0)</f>
        <v>143</v>
      </c>
      <c r="AZ80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80">
        <v>1</v>
      </c>
      <c r="BB80">
        <v>1</v>
      </c>
      <c r="BC80" t="b">
        <v>0</v>
      </c>
      <c r="BE80" t="s">
        <v>336</v>
      </c>
      <c r="BF80">
        <v>1</v>
      </c>
      <c r="BG80">
        <v>300</v>
      </c>
      <c r="BH80">
        <v>100</v>
      </c>
      <c r="BI80" s="75">
        <f ca="1">INDIRECT(ADDRESS(11+(MATCH(RIGHT(Table610[[#This Row],[spawner_sku]],LEN(Table610[[#This Row],[spawner_sku]])-FIND("/",Table610[[#This Row],[spawner_sku]])),Table1[Entity Prefab],0)),10,1,1,"Entities"))</f>
        <v>195</v>
      </c>
      <c r="BJ80" s="75">
        <f ca="1">ROUND((Table610[[#This Row],[XP]]*Table610[[#This Row],[entity_spawned (AVG)]])*(Table610[[#This Row],[activating_chance]]/100),0)</f>
        <v>195</v>
      </c>
      <c r="BK80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0">
        <v>1</v>
      </c>
      <c r="BM80">
        <v>1</v>
      </c>
      <c r="BN80" t="b">
        <v>0</v>
      </c>
      <c r="BP80" t="s">
        <v>228</v>
      </c>
      <c r="BQ80">
        <v>1.5</v>
      </c>
      <c r="BR80">
        <v>110</v>
      </c>
      <c r="BS80">
        <v>100</v>
      </c>
      <c r="BT8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80" s="75">
        <f ca="1">ROUND((Table61011[[#This Row],[XP]]*Table61011[[#This Row],[entity_spawned (AVG)]])*(Table61011[[#This Row],[activating_chance]]/100),0)</f>
        <v>38</v>
      </c>
      <c r="BV8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0" s="72">
        <v>1</v>
      </c>
      <c r="BX80" s="72">
        <v>2</v>
      </c>
      <c r="BY80" s="72" t="b">
        <v>0</v>
      </c>
      <c r="CA80" t="s">
        <v>228</v>
      </c>
      <c r="CB80">
        <v>4</v>
      </c>
      <c r="CC80">
        <v>180</v>
      </c>
      <c r="CD80">
        <v>100</v>
      </c>
      <c r="CE80" s="75">
        <f ca="1">INDIRECT(ADDRESS(11+(MATCH(RIGHT(Table11[[#This Row],[spawner_sku]],LEN(Table11[[#This Row],[spawner_sku]])-FIND("/",Table11[[#This Row],[spawner_sku]])),Table1[Entity Prefab],0)),10,1,1,"Entities"))</f>
        <v>25</v>
      </c>
      <c r="CF80">
        <f ca="1">ROUND((Table11[[#This Row],[XP]]*Table11[[#This Row],[entity_spawned (AVG)]])*(Table11[[#This Row],[activating_chance]]/100),0)</f>
        <v>100</v>
      </c>
      <c r="CG80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80" s="72">
        <v>4</v>
      </c>
      <c r="CI80" s="72">
        <v>4</v>
      </c>
      <c r="CJ80" s="72" t="b">
        <v>0</v>
      </c>
      <c r="CL80" t="s">
        <v>389</v>
      </c>
      <c r="CM80">
        <v>1</v>
      </c>
      <c r="CN80">
        <v>450</v>
      </c>
      <c r="CO80">
        <v>100</v>
      </c>
      <c r="CP80" s="75">
        <f ca="1">INDIRECT(ADDRESS(11+(MATCH(RIGHT(Table12[[#This Row],[spawner_sku]],LEN(Table12[[#This Row],[spawner_sku]])-FIND("/",Table12[[#This Row],[spawner_sku]])),Table1[Entity Prefab],0)),10,1,1,"Entities"))</f>
        <v>0</v>
      </c>
      <c r="CQ80" s="75">
        <f ca="1">ROUND((Table12[[#This Row],[XP]]*Table12[[#This Row],[entity_spawned (AVG)]])*(Table12[[#This Row],[activating_chance]]/100),0)</f>
        <v>0</v>
      </c>
      <c r="CR80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80" s="72">
        <v>1</v>
      </c>
      <c r="CT80" s="72">
        <v>1</v>
      </c>
      <c r="CU80" s="72" t="b">
        <v>0</v>
      </c>
      <c r="CW80" t="s">
        <v>402</v>
      </c>
      <c r="CX80">
        <v>1</v>
      </c>
      <c r="CY80">
        <v>340</v>
      </c>
      <c r="CZ80">
        <v>100</v>
      </c>
      <c r="DA80" s="75">
        <f ca="1">INDIRECT(ADDRESS(11+(MATCH(RIGHT(Table13[[#This Row],[spawner_sku]],LEN(Table13[[#This Row],[spawner_sku]])-FIND("/",Table13[[#This Row],[spawner_sku]])),Table1[Entity Prefab],0)),10,1,1,"Entities"))</f>
        <v>263</v>
      </c>
      <c r="DB80" s="75">
        <f ca="1">ROUND((Table13[[#This Row],[XP]]*Table13[[#This Row],[entity_spawned (AVG)]])*(Table13[[#This Row],[activating_chance]]/100),0)</f>
        <v>263</v>
      </c>
      <c r="DC80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80" s="72">
        <v>1</v>
      </c>
      <c r="DE80" s="72">
        <v>1</v>
      </c>
      <c r="DF80" s="72" t="b">
        <v>0</v>
      </c>
      <c r="DH80" t="s">
        <v>227</v>
      </c>
      <c r="DI80">
        <v>3.5</v>
      </c>
      <c r="DJ80">
        <v>120</v>
      </c>
      <c r="DK80">
        <v>100</v>
      </c>
      <c r="DL80" s="75">
        <f ca="1">INDIRECT(ADDRESS(11+(MATCH(RIGHT(Table14[[#This Row],[spawner_sku]],LEN(Table14[[#This Row],[spawner_sku]])-FIND("/",Table14[[#This Row],[spawner_sku]])),Table1[Entity Prefab],0)),10,1,1,"Entities"))</f>
        <v>25</v>
      </c>
      <c r="DM80" s="75">
        <f ca="1">ROUND((Table14[[#This Row],[XP]]*Table14[[#This Row],[entity_spawned (AVG)]])*(Table14[[#This Row],[activating_chance]]/100),0)</f>
        <v>88</v>
      </c>
      <c r="DN8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0" s="72">
        <v>3</v>
      </c>
      <c r="DP80" s="72">
        <v>4</v>
      </c>
      <c r="DQ80" s="72" t="b">
        <v>0</v>
      </c>
      <c r="DS80" t="s">
        <v>395</v>
      </c>
      <c r="DT80">
        <v>3</v>
      </c>
      <c r="DU80">
        <v>160</v>
      </c>
      <c r="DV80">
        <v>100</v>
      </c>
      <c r="DW80" s="75">
        <f ca="1">INDIRECT(ADDRESS(11+(MATCH(RIGHT(Table18[[#This Row],[spawner_sku]],LEN(Table18[[#This Row],[spawner_sku]])-FIND("/",Table18[[#This Row],[spawner_sku]])),Table1[Entity Prefab],0)),10,1,1,"Entities"))</f>
        <v>25</v>
      </c>
      <c r="DX80" s="75">
        <f ca="1">ROUND((Table18[[#This Row],[XP]]*Table18[[#This Row],[entity_spawned (AVG)]])*(Table18[[#This Row],[activating_chance]]/100),0)</f>
        <v>75</v>
      </c>
      <c r="DY8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80">
        <v>3</v>
      </c>
      <c r="EA80">
        <v>4</v>
      </c>
      <c r="EB80" t="b">
        <v>0</v>
      </c>
      <c r="ED80" t="s">
        <v>227</v>
      </c>
      <c r="EE80">
        <v>11</v>
      </c>
      <c r="EF80">
        <v>180</v>
      </c>
      <c r="EG80">
        <v>100</v>
      </c>
      <c r="EH80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80" s="75">
        <f ca="1">ROUND((Table1820[[#This Row],[XP]]*Table1820[[#This Row],[entity_spawned (AVG)]])*(Table1820[[#This Row],[activating_chance]]/100),0)</f>
        <v>275</v>
      </c>
      <c r="EJ8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80">
        <v>10</v>
      </c>
      <c r="EL80">
        <v>12</v>
      </c>
      <c r="EM80" t="b">
        <v>1</v>
      </c>
      <c r="EO80" t="s">
        <v>7346</v>
      </c>
      <c r="EP80">
        <v>6</v>
      </c>
      <c r="EQ80">
        <v>100</v>
      </c>
      <c r="ER80">
        <v>100</v>
      </c>
      <c r="ES80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ET80" s="75">
        <f ca="1">ROUND((Table182023[[#This Row],[XP]]*Table182023[[#This Row],[entity_spawned (AVG)]])*(Table182023[[#This Row],[activating_chance]]/100),0)</f>
        <v>210</v>
      </c>
      <c r="EU80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80" s="152">
        <v>5</v>
      </c>
      <c r="EW80" s="152">
        <v>7</v>
      </c>
      <c r="EX80" s="152" t="b">
        <v>1</v>
      </c>
      <c r="EZ80" t="s">
        <v>7344</v>
      </c>
      <c r="FA80">
        <v>1</v>
      </c>
      <c r="FB80">
        <v>90</v>
      </c>
      <c r="FC80">
        <v>100</v>
      </c>
      <c r="FD80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80" s="75">
        <f ca="1">ROUND((Table18202324[[#This Row],[XP]]*Table18202324[[#This Row],[entity_spawned (AVG)]])*(Table18202324[[#This Row],[activating_chance]]/100),0)</f>
        <v>25</v>
      </c>
      <c r="FF80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80">
        <v>1</v>
      </c>
      <c r="FH80">
        <v>1</v>
      </c>
      <c r="FI80" t="b">
        <v>0</v>
      </c>
    </row>
    <row r="81" spans="2:165" x14ac:dyDescent="0.25">
      <c r="B81" s="73" t="s">
        <v>228</v>
      </c>
      <c r="C81">
        <v>8</v>
      </c>
      <c r="D81">
        <v>200</v>
      </c>
      <c r="E81">
        <v>80</v>
      </c>
      <c r="F81" s="75">
        <f ca="1">INDIRECT(ADDRESS(11+(MATCH(RIGHT(Table245[[#This Row],[spawner_sku]],LEN(Table245[[#This Row],[spawner_sku]])-FIND("/",Table245[[#This Row],[spawner_sku]])),Table1[Entity Prefab],0)),10,1,1,"Entities"))</f>
        <v>25</v>
      </c>
      <c r="G81" s="75">
        <f ca="1">ROUND((Table245[[#This Row],[XP]]*Table245[[#This Row],[entity_spawned (AVG)]])*(Table245[[#This Row],[activating_chance]]/100),0)</f>
        <v>160</v>
      </c>
      <c r="H8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1" s="72">
        <v>6</v>
      </c>
      <c r="J81" s="72">
        <v>10</v>
      </c>
      <c r="K81" s="72" t="b">
        <v>1</v>
      </c>
      <c r="M81" t="s">
        <v>335</v>
      </c>
      <c r="N81">
        <v>1</v>
      </c>
      <c r="O81">
        <v>250</v>
      </c>
      <c r="P81">
        <v>100</v>
      </c>
      <c r="Q81" s="75">
        <f ca="1">INDIRECT(ADDRESS(11+(MATCH(RIGHT(Table3[[#This Row],[spawner_sku]],LEN(Table3[[#This Row],[spawner_sku]])-FIND("/",Table3[[#This Row],[spawner_sku]])),Table1[Entity Prefab],0)),10,1,1,"Entities"))</f>
        <v>143</v>
      </c>
      <c r="R81" s="75">
        <f ca="1">ROUND((Table3[[#This Row],[XP]]*Table3[[#This Row],[entity_spawned (AVG)]])*(Table3[[#This Row],[activating_chance]]/100),0)</f>
        <v>143</v>
      </c>
      <c r="S81" t="str">
        <f ca="1">INDIRECT(ADDRESS(11+(MATCH(RIGHT(Table3[[#This Row],[spawner_sku]],LEN(Table3[[#This Row],[spawner_sku]])-FIND("/",Table3[[#This Row],[spawner_sku]])),Table28[Entity Prefab],0)),24,1,1,"Entities"))</f>
        <v>yes</v>
      </c>
      <c r="T81">
        <v>1</v>
      </c>
      <c r="U81">
        <v>1</v>
      </c>
      <c r="V81" t="b">
        <v>0</v>
      </c>
      <c r="W81" s="72"/>
      <c r="X81" t="s">
        <v>450</v>
      </c>
      <c r="Y81">
        <v>1</v>
      </c>
      <c r="Z81">
        <v>140</v>
      </c>
      <c r="AA81">
        <v>100</v>
      </c>
      <c r="AB81" s="75">
        <f ca="1">INDIRECT(ADDRESS(11+(MATCH(RIGHT(Table39[[#This Row],[spawner_sku]],LEN(Table39[[#This Row],[spawner_sku]])-FIND("/",Table39[[#This Row],[spawner_sku]])),Table1[Entity Prefab],0)),10,1,1,"Entities"))</f>
        <v>25</v>
      </c>
      <c r="AC81" s="75">
        <f ca="1">ROUND((Table39[[#This Row],[XP]]*Table39[[#This Row],[entity_spawned (AVG)]])*(Table39[[#This Row],[activating_chance]]/100),0)</f>
        <v>25</v>
      </c>
      <c r="AD81" t="str">
        <f ca="1">INDIRECT(ADDRESS(11+(MATCH(RIGHT(Table39[[#This Row],[spawner_sku]],LEN(Table39[[#This Row],[spawner_sku]])-FIND("/",Table39[[#This Row],[spawner_sku]])),Table28[Entity Prefab],0)),24,1,1,"Entities"))</f>
        <v>no</v>
      </c>
      <c r="AE81">
        <v>1</v>
      </c>
      <c r="AF81">
        <v>1</v>
      </c>
      <c r="AG81" t="b">
        <v>0</v>
      </c>
      <c r="AI81" t="s">
        <v>228</v>
      </c>
      <c r="AJ81">
        <v>7.5</v>
      </c>
      <c r="AK81">
        <v>150</v>
      </c>
      <c r="AL81">
        <v>100</v>
      </c>
      <c r="AM81" s="75">
        <f ca="1">INDIRECT(ADDRESS(11+(MATCH(RIGHT(Table2[[#This Row],[spawner_sku]],LEN(Table2[[#This Row],[spawner_sku]])-FIND("/",Table2[[#This Row],[spawner_sku]])),Table1[Entity Prefab],0)),10,1,1,"Entities"))</f>
        <v>25</v>
      </c>
      <c r="AN81" s="75">
        <f ca="1">ROUND((Table2[[#This Row],[XP]]*Table2[[#This Row],[entity_spawned (AVG)]])*(Table2[[#This Row],[activating_chance]]/100),0)</f>
        <v>188</v>
      </c>
      <c r="AO8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81" s="72">
        <v>5</v>
      </c>
      <c r="AQ81" s="72">
        <v>10</v>
      </c>
      <c r="AR81" s="72" t="b">
        <v>1</v>
      </c>
      <c r="AT81" t="s">
        <v>232</v>
      </c>
      <c r="AU81">
        <v>1</v>
      </c>
      <c r="AV81">
        <v>250</v>
      </c>
      <c r="AW81">
        <v>100</v>
      </c>
      <c r="AX81" s="75">
        <f ca="1">INDIRECT(ADDRESS(11+(MATCH(RIGHT(Table6[[#This Row],[spawner_sku]],LEN(Table6[[#This Row],[spawner_sku]])-FIND("/",Table6[[#This Row],[spawner_sku]])),Table1[Entity Prefab],0)),10,1,1,"Entities"))</f>
        <v>143</v>
      </c>
      <c r="AY81" s="75">
        <f ca="1">ROUND((Table6[[#This Row],[XP]]*Table6[[#This Row],[entity_spawned (AVG)]])*(Table6[[#This Row],[activating_chance]]/100),0)</f>
        <v>143</v>
      </c>
      <c r="AZ81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81">
        <v>1</v>
      </c>
      <c r="BB81">
        <v>1</v>
      </c>
      <c r="BC81" t="b">
        <v>0</v>
      </c>
      <c r="BE81" t="s">
        <v>336</v>
      </c>
      <c r="BF81">
        <v>1</v>
      </c>
      <c r="BG81">
        <v>300</v>
      </c>
      <c r="BH81">
        <v>100</v>
      </c>
      <c r="BI81" s="75">
        <f ca="1">INDIRECT(ADDRESS(11+(MATCH(RIGHT(Table610[[#This Row],[spawner_sku]],LEN(Table610[[#This Row],[spawner_sku]])-FIND("/",Table610[[#This Row],[spawner_sku]])),Table1[Entity Prefab],0)),10,1,1,"Entities"))</f>
        <v>195</v>
      </c>
      <c r="BJ81" s="75">
        <f ca="1">ROUND((Table610[[#This Row],[XP]]*Table610[[#This Row],[entity_spawned (AVG)]])*(Table610[[#This Row],[activating_chance]]/100),0)</f>
        <v>195</v>
      </c>
      <c r="BK81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1">
        <v>1</v>
      </c>
      <c r="BM81">
        <v>1</v>
      </c>
      <c r="BN81" t="b">
        <v>0</v>
      </c>
      <c r="BP81" t="s">
        <v>229</v>
      </c>
      <c r="BQ81">
        <v>3.5</v>
      </c>
      <c r="BR81">
        <v>210</v>
      </c>
      <c r="BS81">
        <v>80</v>
      </c>
      <c r="BT8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81" s="75">
        <f ca="1">ROUND((Table61011[[#This Row],[XP]]*Table61011[[#This Row],[entity_spawned (AVG)]])*(Table61011[[#This Row],[activating_chance]]/100),0)</f>
        <v>70</v>
      </c>
      <c r="BV8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1" s="72">
        <v>3</v>
      </c>
      <c r="BX81" s="72">
        <v>4</v>
      </c>
      <c r="BY81" s="72" t="b">
        <v>0</v>
      </c>
      <c r="CA81" t="s">
        <v>228</v>
      </c>
      <c r="CB81">
        <v>3</v>
      </c>
      <c r="CC81">
        <v>180</v>
      </c>
      <c r="CD81">
        <v>100</v>
      </c>
      <c r="CE81" s="75">
        <f ca="1">INDIRECT(ADDRESS(11+(MATCH(RIGHT(Table11[[#This Row],[spawner_sku]],LEN(Table11[[#This Row],[spawner_sku]])-FIND("/",Table11[[#This Row],[spawner_sku]])),Table1[Entity Prefab],0)),10,1,1,"Entities"))</f>
        <v>25</v>
      </c>
      <c r="CF81">
        <f ca="1">ROUND((Table11[[#This Row],[XP]]*Table11[[#This Row],[entity_spawned (AVG)]])*(Table11[[#This Row],[activating_chance]]/100),0)</f>
        <v>75</v>
      </c>
      <c r="CG81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81" s="72">
        <v>2</v>
      </c>
      <c r="CI81" s="72">
        <v>4</v>
      </c>
      <c r="CJ81" s="72" t="b">
        <v>0</v>
      </c>
      <c r="CL81" t="s">
        <v>470</v>
      </c>
      <c r="CM81">
        <v>1</v>
      </c>
      <c r="CN81">
        <v>240</v>
      </c>
      <c r="CO81">
        <v>100</v>
      </c>
      <c r="CP81" s="75">
        <f ca="1">INDIRECT(ADDRESS(11+(MATCH(RIGHT(Table12[[#This Row],[spawner_sku]],LEN(Table12[[#This Row],[spawner_sku]])-FIND("/",Table12[[#This Row],[spawner_sku]])),Table1[Entity Prefab],0)),10,1,1,"Entities"))</f>
        <v>83</v>
      </c>
      <c r="CQ81" s="75">
        <f ca="1">ROUND((Table12[[#This Row],[XP]]*Table12[[#This Row],[entity_spawned (AVG)]])*(Table12[[#This Row],[activating_chance]]/100),0)</f>
        <v>83</v>
      </c>
      <c r="CR81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81" s="72">
        <v>1</v>
      </c>
      <c r="CT81" s="72">
        <v>1</v>
      </c>
      <c r="CU81" s="72" t="b">
        <v>0</v>
      </c>
      <c r="CW81" t="s">
        <v>402</v>
      </c>
      <c r="CX81">
        <v>1</v>
      </c>
      <c r="CY81">
        <v>340</v>
      </c>
      <c r="CZ81">
        <v>100</v>
      </c>
      <c r="DA81" s="75">
        <f ca="1">INDIRECT(ADDRESS(11+(MATCH(RIGHT(Table13[[#This Row],[spawner_sku]],LEN(Table13[[#This Row],[spawner_sku]])-FIND("/",Table13[[#This Row],[spawner_sku]])),Table1[Entity Prefab],0)),10,1,1,"Entities"))</f>
        <v>263</v>
      </c>
      <c r="DB81" s="75">
        <f ca="1">ROUND((Table13[[#This Row],[XP]]*Table13[[#This Row],[entity_spawned (AVG)]])*(Table13[[#This Row],[activating_chance]]/100),0)</f>
        <v>263</v>
      </c>
      <c r="DC81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81" s="72">
        <v>1</v>
      </c>
      <c r="DE81" s="72">
        <v>1</v>
      </c>
      <c r="DF81" s="72" t="b">
        <v>0</v>
      </c>
      <c r="DH81" t="s">
        <v>227</v>
      </c>
      <c r="DI81">
        <v>1.5</v>
      </c>
      <c r="DJ81">
        <v>70</v>
      </c>
      <c r="DK81">
        <v>100</v>
      </c>
      <c r="DL81" s="75">
        <f ca="1">INDIRECT(ADDRESS(11+(MATCH(RIGHT(Table14[[#This Row],[spawner_sku]],LEN(Table14[[#This Row],[spawner_sku]])-FIND("/",Table14[[#This Row],[spawner_sku]])),Table1[Entity Prefab],0)),10,1,1,"Entities"))</f>
        <v>25</v>
      </c>
      <c r="DM81" s="75">
        <f ca="1">ROUND((Table14[[#This Row],[XP]]*Table14[[#This Row],[entity_spawned (AVG)]])*(Table14[[#This Row],[activating_chance]]/100),0)</f>
        <v>38</v>
      </c>
      <c r="DN8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1" s="72">
        <v>1</v>
      </c>
      <c r="DP81" s="72">
        <v>2</v>
      </c>
      <c r="DQ81" s="72" t="b">
        <v>0</v>
      </c>
      <c r="DS81" t="s">
        <v>395</v>
      </c>
      <c r="DT81">
        <v>1</v>
      </c>
      <c r="DU81">
        <v>100</v>
      </c>
      <c r="DV81">
        <v>100</v>
      </c>
      <c r="DW81" s="75">
        <f ca="1">INDIRECT(ADDRESS(11+(MATCH(RIGHT(Table18[[#This Row],[spawner_sku]],LEN(Table18[[#This Row],[spawner_sku]])-FIND("/",Table18[[#This Row],[spawner_sku]])),Table1[Entity Prefab],0)),10,1,1,"Entities"))</f>
        <v>25</v>
      </c>
      <c r="DX81" s="75">
        <f ca="1">ROUND((Table18[[#This Row],[XP]]*Table18[[#This Row],[entity_spawned (AVG)]])*(Table18[[#This Row],[activating_chance]]/100),0)</f>
        <v>25</v>
      </c>
      <c r="DY8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81">
        <v>1</v>
      </c>
      <c r="EA81">
        <v>2</v>
      </c>
      <c r="EB81" t="b">
        <v>0</v>
      </c>
      <c r="ED81" t="s">
        <v>227</v>
      </c>
      <c r="EE81">
        <v>7</v>
      </c>
      <c r="EF81">
        <v>160</v>
      </c>
      <c r="EG81">
        <v>100</v>
      </c>
      <c r="EH81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81" s="75">
        <f ca="1">ROUND((Table1820[[#This Row],[XP]]*Table1820[[#This Row],[entity_spawned (AVG)]])*(Table1820[[#This Row],[activating_chance]]/100),0)</f>
        <v>175</v>
      </c>
      <c r="EJ8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81">
        <v>6</v>
      </c>
      <c r="EL81">
        <v>8</v>
      </c>
      <c r="EM81" t="b">
        <v>1</v>
      </c>
      <c r="EO81" t="s">
        <v>7346</v>
      </c>
      <c r="EP81">
        <v>3</v>
      </c>
      <c r="EQ81">
        <v>90</v>
      </c>
      <c r="ER81">
        <v>100</v>
      </c>
      <c r="ES81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ET81" s="75">
        <f ca="1">ROUND((Table182023[[#This Row],[XP]]*Table182023[[#This Row],[entity_spawned (AVG)]])*(Table182023[[#This Row],[activating_chance]]/100),0)</f>
        <v>105</v>
      </c>
      <c r="EU81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81" s="152">
        <v>2</v>
      </c>
      <c r="EW81" s="152">
        <v>4</v>
      </c>
      <c r="EX81" s="152" t="b">
        <v>0</v>
      </c>
      <c r="EZ81" t="s">
        <v>7344</v>
      </c>
      <c r="FA81">
        <v>1</v>
      </c>
      <c r="FB81">
        <v>80</v>
      </c>
      <c r="FC81">
        <v>100</v>
      </c>
      <c r="FD81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81" s="75">
        <f ca="1">ROUND((Table18202324[[#This Row],[XP]]*Table18202324[[#This Row],[entity_spawned (AVG)]])*(Table18202324[[#This Row],[activating_chance]]/100),0)</f>
        <v>25</v>
      </c>
      <c r="FF81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81">
        <v>1</v>
      </c>
      <c r="FH81">
        <v>1</v>
      </c>
      <c r="FI81" t="b">
        <v>0</v>
      </c>
    </row>
    <row r="82" spans="2:165" x14ac:dyDescent="0.25">
      <c r="B82" s="73" t="s">
        <v>228</v>
      </c>
      <c r="C82">
        <v>6.5</v>
      </c>
      <c r="D82">
        <v>140</v>
      </c>
      <c r="E82">
        <v>100</v>
      </c>
      <c r="F82" s="75">
        <f ca="1">INDIRECT(ADDRESS(11+(MATCH(RIGHT(Table245[[#This Row],[spawner_sku]],LEN(Table245[[#This Row],[spawner_sku]])-FIND("/",Table245[[#This Row],[spawner_sku]])),Table1[Entity Prefab],0)),10,1,1,"Entities"))</f>
        <v>25</v>
      </c>
      <c r="G82" s="75">
        <f ca="1">ROUND((Table245[[#This Row],[XP]]*Table245[[#This Row],[entity_spawned (AVG)]])*(Table245[[#This Row],[activating_chance]]/100),0)</f>
        <v>163</v>
      </c>
      <c r="H8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2" s="72">
        <v>5</v>
      </c>
      <c r="J82" s="72">
        <v>8</v>
      </c>
      <c r="K82" s="72" t="b">
        <v>1</v>
      </c>
      <c r="M82" t="s">
        <v>335</v>
      </c>
      <c r="N82">
        <v>1</v>
      </c>
      <c r="O82">
        <v>250</v>
      </c>
      <c r="P82">
        <v>40</v>
      </c>
      <c r="Q82" s="75">
        <f ca="1">INDIRECT(ADDRESS(11+(MATCH(RIGHT(Table3[[#This Row],[spawner_sku]],LEN(Table3[[#This Row],[spawner_sku]])-FIND("/",Table3[[#This Row],[spawner_sku]])),Table1[Entity Prefab],0)),10,1,1,"Entities"))</f>
        <v>143</v>
      </c>
      <c r="R82" s="75">
        <f ca="1">ROUND((Table3[[#This Row],[XP]]*Table3[[#This Row],[entity_spawned (AVG)]])*(Table3[[#This Row],[activating_chance]]/100),0)</f>
        <v>57</v>
      </c>
      <c r="S82" t="str">
        <f ca="1">INDIRECT(ADDRESS(11+(MATCH(RIGHT(Table3[[#This Row],[spawner_sku]],LEN(Table3[[#This Row],[spawner_sku]])-FIND("/",Table3[[#This Row],[spawner_sku]])),Table28[Entity Prefab],0)),24,1,1,"Entities"))</f>
        <v>yes</v>
      </c>
      <c r="T82">
        <v>1</v>
      </c>
      <c r="U82">
        <v>1</v>
      </c>
      <c r="V82" t="b">
        <v>0</v>
      </c>
      <c r="W82" s="72"/>
      <c r="X82" t="s">
        <v>450</v>
      </c>
      <c r="Y82">
        <v>1</v>
      </c>
      <c r="Z82">
        <v>140</v>
      </c>
      <c r="AA82">
        <v>100</v>
      </c>
      <c r="AB82" s="75">
        <f ca="1">INDIRECT(ADDRESS(11+(MATCH(RIGHT(Table39[[#This Row],[spawner_sku]],LEN(Table39[[#This Row],[spawner_sku]])-FIND("/",Table39[[#This Row],[spawner_sku]])),Table1[Entity Prefab],0)),10,1,1,"Entities"))</f>
        <v>25</v>
      </c>
      <c r="AC82" s="75">
        <f ca="1">ROUND((Table39[[#This Row],[XP]]*Table39[[#This Row],[entity_spawned (AVG)]])*(Table39[[#This Row],[activating_chance]]/100),0)</f>
        <v>25</v>
      </c>
      <c r="AD82" t="str">
        <f ca="1">INDIRECT(ADDRESS(11+(MATCH(RIGHT(Table39[[#This Row],[spawner_sku]],LEN(Table39[[#This Row],[spawner_sku]])-FIND("/",Table39[[#This Row],[spawner_sku]])),Table28[Entity Prefab],0)),24,1,1,"Entities"))</f>
        <v>no</v>
      </c>
      <c r="AE82">
        <v>1</v>
      </c>
      <c r="AF82">
        <v>1</v>
      </c>
      <c r="AG82" t="b">
        <v>0</v>
      </c>
      <c r="AI82" t="s">
        <v>228</v>
      </c>
      <c r="AJ82">
        <v>2</v>
      </c>
      <c r="AK82">
        <v>110</v>
      </c>
      <c r="AL82">
        <v>100</v>
      </c>
      <c r="AM82" s="75">
        <f ca="1">INDIRECT(ADDRESS(11+(MATCH(RIGHT(Table2[[#This Row],[spawner_sku]],LEN(Table2[[#This Row],[spawner_sku]])-FIND("/",Table2[[#This Row],[spawner_sku]])),Table1[Entity Prefab],0)),10,1,1,"Entities"))</f>
        <v>25</v>
      </c>
      <c r="AN82" s="75">
        <f ca="1">ROUND((Table2[[#This Row],[XP]]*Table2[[#This Row],[entity_spawned (AVG)]])*(Table2[[#This Row],[activating_chance]]/100),0)</f>
        <v>50</v>
      </c>
      <c r="AO8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82" s="72">
        <v>1</v>
      </c>
      <c r="AQ82" s="72">
        <v>3</v>
      </c>
      <c r="AR82" s="72" t="b">
        <v>0</v>
      </c>
      <c r="AT82" t="s">
        <v>232</v>
      </c>
      <c r="AU82">
        <v>1</v>
      </c>
      <c r="AV82">
        <v>250</v>
      </c>
      <c r="AW82">
        <v>100</v>
      </c>
      <c r="AX82" s="75">
        <f ca="1">INDIRECT(ADDRESS(11+(MATCH(RIGHT(Table6[[#This Row],[spawner_sku]],LEN(Table6[[#This Row],[spawner_sku]])-FIND("/",Table6[[#This Row],[spawner_sku]])),Table1[Entity Prefab],0)),10,1,1,"Entities"))</f>
        <v>143</v>
      </c>
      <c r="AY82" s="75">
        <f ca="1">ROUND((Table6[[#This Row],[XP]]*Table6[[#This Row],[entity_spawned (AVG)]])*(Table6[[#This Row],[activating_chance]]/100),0)</f>
        <v>143</v>
      </c>
      <c r="AZ82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82">
        <v>1</v>
      </c>
      <c r="BB82">
        <v>1</v>
      </c>
      <c r="BC82" t="b">
        <v>0</v>
      </c>
      <c r="BE82" t="s">
        <v>336</v>
      </c>
      <c r="BF82">
        <v>1</v>
      </c>
      <c r="BG82">
        <v>300</v>
      </c>
      <c r="BH82">
        <v>100</v>
      </c>
      <c r="BI82" s="75">
        <f ca="1">INDIRECT(ADDRESS(11+(MATCH(RIGHT(Table610[[#This Row],[spawner_sku]],LEN(Table610[[#This Row],[spawner_sku]])-FIND("/",Table610[[#This Row],[spawner_sku]])),Table1[Entity Prefab],0)),10,1,1,"Entities"))</f>
        <v>195</v>
      </c>
      <c r="BJ82" s="75">
        <f ca="1">ROUND((Table610[[#This Row],[XP]]*Table610[[#This Row],[entity_spawned (AVG)]])*(Table610[[#This Row],[activating_chance]]/100),0)</f>
        <v>195</v>
      </c>
      <c r="BK82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2">
        <v>1</v>
      </c>
      <c r="BM82">
        <v>1</v>
      </c>
      <c r="BN82" t="b">
        <v>0</v>
      </c>
      <c r="BP82" t="s">
        <v>229</v>
      </c>
      <c r="BQ82">
        <v>3</v>
      </c>
      <c r="BR82">
        <v>210</v>
      </c>
      <c r="BS82">
        <v>100</v>
      </c>
      <c r="BT8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82" s="75">
        <f ca="1">ROUND((Table61011[[#This Row],[XP]]*Table61011[[#This Row],[entity_spawned (AVG)]])*(Table61011[[#This Row],[activating_chance]]/100),0)</f>
        <v>75</v>
      </c>
      <c r="BV8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2" s="72">
        <v>2</v>
      </c>
      <c r="BX82" s="72">
        <v>4</v>
      </c>
      <c r="BY82" s="72" t="b">
        <v>0</v>
      </c>
      <c r="CA82" t="s">
        <v>228</v>
      </c>
      <c r="CB82">
        <v>3</v>
      </c>
      <c r="CC82">
        <v>180</v>
      </c>
      <c r="CD82">
        <v>100</v>
      </c>
      <c r="CE82" s="75">
        <f ca="1">INDIRECT(ADDRESS(11+(MATCH(RIGHT(Table11[[#This Row],[spawner_sku]],LEN(Table11[[#This Row],[spawner_sku]])-FIND("/",Table11[[#This Row],[spawner_sku]])),Table1[Entity Prefab],0)),10,1,1,"Entities"))</f>
        <v>25</v>
      </c>
      <c r="CF82">
        <f ca="1">ROUND((Table11[[#This Row],[XP]]*Table11[[#This Row],[entity_spawned (AVG)]])*(Table11[[#This Row],[activating_chance]]/100),0)</f>
        <v>75</v>
      </c>
      <c r="CG82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82" s="72">
        <v>2</v>
      </c>
      <c r="CI82" s="72">
        <v>4</v>
      </c>
      <c r="CJ82" s="72" t="b">
        <v>0</v>
      </c>
      <c r="CL82" t="s">
        <v>470</v>
      </c>
      <c r="CM82">
        <v>1</v>
      </c>
      <c r="CN82">
        <v>240</v>
      </c>
      <c r="CO82">
        <v>100</v>
      </c>
      <c r="CP82" s="75">
        <f ca="1">INDIRECT(ADDRESS(11+(MATCH(RIGHT(Table12[[#This Row],[spawner_sku]],LEN(Table12[[#This Row],[spawner_sku]])-FIND("/",Table12[[#This Row],[spawner_sku]])),Table1[Entity Prefab],0)),10,1,1,"Entities"))</f>
        <v>83</v>
      </c>
      <c r="CQ82" s="75">
        <f ca="1">ROUND((Table12[[#This Row],[XP]]*Table12[[#This Row],[entity_spawned (AVG)]])*(Table12[[#This Row],[activating_chance]]/100),0)</f>
        <v>83</v>
      </c>
      <c r="CR82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82" s="72">
        <v>1</v>
      </c>
      <c r="CT82" s="72">
        <v>1</v>
      </c>
      <c r="CU82" s="72" t="b">
        <v>0</v>
      </c>
      <c r="CW82" t="s">
        <v>402</v>
      </c>
      <c r="CX82">
        <v>1</v>
      </c>
      <c r="CY82">
        <v>340</v>
      </c>
      <c r="CZ82">
        <v>100</v>
      </c>
      <c r="DA82" s="75">
        <f ca="1">INDIRECT(ADDRESS(11+(MATCH(RIGHT(Table13[[#This Row],[spawner_sku]],LEN(Table13[[#This Row],[spawner_sku]])-FIND("/",Table13[[#This Row],[spawner_sku]])),Table1[Entity Prefab],0)),10,1,1,"Entities"))</f>
        <v>263</v>
      </c>
      <c r="DB82" s="75">
        <f ca="1">ROUND((Table13[[#This Row],[XP]]*Table13[[#This Row],[entity_spawned (AVG)]])*(Table13[[#This Row],[activating_chance]]/100),0)</f>
        <v>263</v>
      </c>
      <c r="DC82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82" s="72">
        <v>1</v>
      </c>
      <c r="DE82" s="72">
        <v>1</v>
      </c>
      <c r="DF82" s="72" t="b">
        <v>0</v>
      </c>
      <c r="DH82" t="s">
        <v>227</v>
      </c>
      <c r="DI82">
        <v>3.5</v>
      </c>
      <c r="DJ82">
        <v>100</v>
      </c>
      <c r="DK82">
        <v>100</v>
      </c>
      <c r="DL82" s="75">
        <f ca="1">INDIRECT(ADDRESS(11+(MATCH(RIGHT(Table14[[#This Row],[spawner_sku]],LEN(Table14[[#This Row],[spawner_sku]])-FIND("/",Table14[[#This Row],[spawner_sku]])),Table1[Entity Prefab],0)),10,1,1,"Entities"))</f>
        <v>25</v>
      </c>
      <c r="DM82" s="75">
        <f ca="1">ROUND((Table14[[#This Row],[XP]]*Table14[[#This Row],[entity_spawned (AVG)]])*(Table14[[#This Row],[activating_chance]]/100),0)</f>
        <v>88</v>
      </c>
      <c r="DN8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2" s="72">
        <v>3</v>
      </c>
      <c r="DP82" s="72">
        <v>4</v>
      </c>
      <c r="DQ82" s="72" t="b">
        <v>0</v>
      </c>
      <c r="DS82" t="s">
        <v>395</v>
      </c>
      <c r="DT82">
        <v>3</v>
      </c>
      <c r="DU82">
        <v>160</v>
      </c>
      <c r="DV82">
        <v>80</v>
      </c>
      <c r="DW82" s="75">
        <f ca="1">INDIRECT(ADDRESS(11+(MATCH(RIGHT(Table18[[#This Row],[spawner_sku]],LEN(Table18[[#This Row],[spawner_sku]])-FIND("/",Table18[[#This Row],[spawner_sku]])),Table1[Entity Prefab],0)),10,1,1,"Entities"))</f>
        <v>25</v>
      </c>
      <c r="DX82" s="75">
        <f ca="1">ROUND((Table18[[#This Row],[XP]]*Table18[[#This Row],[entity_spawned (AVG)]])*(Table18[[#This Row],[activating_chance]]/100),0)</f>
        <v>60</v>
      </c>
      <c r="DY8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82">
        <v>3</v>
      </c>
      <c r="EA82">
        <v>4</v>
      </c>
      <c r="EB82" t="b">
        <v>0</v>
      </c>
      <c r="ED82" t="s">
        <v>227</v>
      </c>
      <c r="EE82">
        <v>2</v>
      </c>
      <c r="EF82">
        <v>140</v>
      </c>
      <c r="EG82">
        <v>100</v>
      </c>
      <c r="EH8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82" s="75">
        <f ca="1">ROUND((Table1820[[#This Row],[XP]]*Table1820[[#This Row],[entity_spawned (AVG)]])*(Table1820[[#This Row],[activating_chance]]/100),0)</f>
        <v>50</v>
      </c>
      <c r="EJ8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82">
        <v>1</v>
      </c>
      <c r="EL82">
        <v>3</v>
      </c>
      <c r="EM82" t="b">
        <v>0</v>
      </c>
      <c r="EO82" t="s">
        <v>7346</v>
      </c>
      <c r="EP82">
        <v>2</v>
      </c>
      <c r="EQ82">
        <v>80</v>
      </c>
      <c r="ER82">
        <v>30</v>
      </c>
      <c r="ES82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ET82" s="75">
        <f ca="1">ROUND((Table182023[[#This Row],[XP]]*Table182023[[#This Row],[entity_spawned (AVG)]])*(Table182023[[#This Row],[activating_chance]]/100),0)</f>
        <v>21</v>
      </c>
      <c r="EU82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82" s="152">
        <v>2</v>
      </c>
      <c r="EW82" s="152">
        <v>2</v>
      </c>
      <c r="EX82" s="152" t="b">
        <v>0</v>
      </c>
      <c r="EZ82" t="s">
        <v>7344</v>
      </c>
      <c r="FA82">
        <v>1</v>
      </c>
      <c r="FB82">
        <v>80</v>
      </c>
      <c r="FC82">
        <v>100</v>
      </c>
      <c r="FD82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82" s="75">
        <f ca="1">ROUND((Table18202324[[#This Row],[XP]]*Table18202324[[#This Row],[entity_spawned (AVG)]])*(Table18202324[[#This Row],[activating_chance]]/100),0)</f>
        <v>25</v>
      </c>
      <c r="FF82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82">
        <v>1</v>
      </c>
      <c r="FH82">
        <v>1</v>
      </c>
      <c r="FI82" t="b">
        <v>0</v>
      </c>
    </row>
    <row r="83" spans="2:165" x14ac:dyDescent="0.25">
      <c r="B83" s="73" t="s">
        <v>228</v>
      </c>
      <c r="C83">
        <v>9</v>
      </c>
      <c r="D83">
        <v>190</v>
      </c>
      <c r="E83">
        <v>100</v>
      </c>
      <c r="F83" s="75">
        <f ca="1">INDIRECT(ADDRESS(11+(MATCH(RIGHT(Table245[[#This Row],[spawner_sku]],LEN(Table245[[#This Row],[spawner_sku]])-FIND("/",Table245[[#This Row],[spawner_sku]])),Table1[Entity Prefab],0)),10,1,1,"Entities"))</f>
        <v>25</v>
      </c>
      <c r="G83" s="75">
        <f ca="1">ROUND((Table245[[#This Row],[XP]]*Table245[[#This Row],[entity_spawned (AVG)]])*(Table245[[#This Row],[activating_chance]]/100),0)</f>
        <v>225</v>
      </c>
      <c r="H8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3" s="72">
        <v>6</v>
      </c>
      <c r="J83" s="72">
        <v>12</v>
      </c>
      <c r="K83" s="72" t="b">
        <v>1</v>
      </c>
      <c r="M83" t="s">
        <v>233</v>
      </c>
      <c r="N83">
        <v>1</v>
      </c>
      <c r="O83">
        <v>300</v>
      </c>
      <c r="P83">
        <v>60</v>
      </c>
      <c r="Q83" s="75">
        <f ca="1">INDIRECT(ADDRESS(11+(MATCH(RIGHT(Table3[[#This Row],[spawner_sku]],LEN(Table3[[#This Row],[spawner_sku]])-FIND("/",Table3[[#This Row],[spawner_sku]])),Table1[Entity Prefab],0)),10,1,1,"Entities"))</f>
        <v>195</v>
      </c>
      <c r="R83" s="75">
        <f ca="1">ROUND((Table3[[#This Row],[XP]]*Table3[[#This Row],[entity_spawned (AVG)]])*(Table3[[#This Row],[activating_chance]]/100),0)</f>
        <v>117</v>
      </c>
      <c r="S83" t="str">
        <f ca="1">INDIRECT(ADDRESS(11+(MATCH(RIGHT(Table3[[#This Row],[spawner_sku]],LEN(Table3[[#This Row],[spawner_sku]])-FIND("/",Table3[[#This Row],[spawner_sku]])),Table28[Entity Prefab],0)),24,1,1,"Entities"))</f>
        <v>yes</v>
      </c>
      <c r="T83">
        <v>1</v>
      </c>
      <c r="U83">
        <v>1</v>
      </c>
      <c r="V83" t="b">
        <v>0</v>
      </c>
      <c r="W83" s="72"/>
      <c r="X83" t="s">
        <v>253</v>
      </c>
      <c r="Y83">
        <v>1</v>
      </c>
      <c r="Z83">
        <v>170</v>
      </c>
      <c r="AA83">
        <v>100</v>
      </c>
      <c r="AB83" s="75">
        <f ca="1">INDIRECT(ADDRESS(11+(MATCH(RIGHT(Table39[[#This Row],[spawner_sku]],LEN(Table39[[#This Row],[spawner_sku]])-FIND("/",Table39[[#This Row],[spawner_sku]])),Table1[Entity Prefab],0)),10,1,1,"Entities"))</f>
        <v>70</v>
      </c>
      <c r="AC83" s="75">
        <f ca="1">ROUND((Table39[[#This Row],[XP]]*Table39[[#This Row],[entity_spawned (AVG)]])*(Table39[[#This Row],[activating_chance]]/100),0)</f>
        <v>70</v>
      </c>
      <c r="AD83" t="str">
        <f ca="1">INDIRECT(ADDRESS(11+(MATCH(RIGHT(Table39[[#This Row],[spawner_sku]],LEN(Table39[[#This Row],[spawner_sku]])-FIND("/",Table39[[#This Row],[spawner_sku]])),Table28[Entity Prefab],0)),24,1,1,"Entities"))</f>
        <v>yes</v>
      </c>
      <c r="AE83">
        <v>1</v>
      </c>
      <c r="AF83">
        <v>1</v>
      </c>
      <c r="AG83" t="b">
        <v>0</v>
      </c>
      <c r="AI83" t="s">
        <v>228</v>
      </c>
      <c r="AJ83">
        <v>1.5</v>
      </c>
      <c r="AK83">
        <v>100</v>
      </c>
      <c r="AL83">
        <v>85</v>
      </c>
      <c r="AM83" s="75">
        <f ca="1">INDIRECT(ADDRESS(11+(MATCH(RIGHT(Table2[[#This Row],[spawner_sku]],LEN(Table2[[#This Row],[spawner_sku]])-FIND("/",Table2[[#This Row],[spawner_sku]])),Table1[Entity Prefab],0)),10,1,1,"Entities"))</f>
        <v>25</v>
      </c>
      <c r="AN83" s="75">
        <f ca="1">ROUND((Table2[[#This Row],[XP]]*Table2[[#This Row],[entity_spawned (AVG)]])*(Table2[[#This Row],[activating_chance]]/100),0)</f>
        <v>32</v>
      </c>
      <c r="AO8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83" s="72">
        <v>1</v>
      </c>
      <c r="AQ83" s="72">
        <v>2</v>
      </c>
      <c r="AR83" s="72" t="b">
        <v>0</v>
      </c>
      <c r="AT83" t="s">
        <v>232</v>
      </c>
      <c r="AU83">
        <v>1</v>
      </c>
      <c r="AV83">
        <v>250</v>
      </c>
      <c r="AW83">
        <v>100</v>
      </c>
      <c r="AX83" s="75">
        <f ca="1">INDIRECT(ADDRESS(11+(MATCH(RIGHT(Table6[[#This Row],[spawner_sku]],LEN(Table6[[#This Row],[spawner_sku]])-FIND("/",Table6[[#This Row],[spawner_sku]])),Table1[Entity Prefab],0)),10,1,1,"Entities"))</f>
        <v>143</v>
      </c>
      <c r="AY83" s="75">
        <f ca="1">ROUND((Table6[[#This Row],[XP]]*Table6[[#This Row],[entity_spawned (AVG)]])*(Table6[[#This Row],[activating_chance]]/100),0)</f>
        <v>143</v>
      </c>
      <c r="AZ83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83">
        <v>1</v>
      </c>
      <c r="BB83">
        <v>1</v>
      </c>
      <c r="BC83" t="b">
        <v>0</v>
      </c>
      <c r="BE83" t="s">
        <v>237</v>
      </c>
      <c r="BF83">
        <v>1</v>
      </c>
      <c r="BG83">
        <v>2500</v>
      </c>
      <c r="BH83">
        <v>100</v>
      </c>
      <c r="BI83" s="75">
        <f ca="1">INDIRECT(ADDRESS(11+(MATCH(RIGHT(Table610[[#This Row],[spawner_sku]],LEN(Table610[[#This Row],[spawner_sku]])-FIND("/",Table610[[#This Row],[spawner_sku]])),Table1[Entity Prefab],0)),10,1,1,"Entities"))</f>
        <v>263</v>
      </c>
      <c r="BJ83" s="75">
        <f ca="1">ROUND((Table610[[#This Row],[XP]]*Table610[[#This Row],[entity_spawned (AVG)]])*(Table610[[#This Row],[activating_chance]]/100),0)</f>
        <v>263</v>
      </c>
      <c r="BK83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3">
        <v>1</v>
      </c>
      <c r="BM83">
        <v>1</v>
      </c>
      <c r="BN83" t="b">
        <v>0</v>
      </c>
      <c r="BP83" t="s">
        <v>229</v>
      </c>
      <c r="BQ83">
        <v>5.5</v>
      </c>
      <c r="BR83">
        <v>200</v>
      </c>
      <c r="BS83">
        <v>100</v>
      </c>
      <c r="BT8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83" s="75">
        <f ca="1">ROUND((Table61011[[#This Row],[XP]]*Table61011[[#This Row],[entity_spawned (AVG)]])*(Table61011[[#This Row],[activating_chance]]/100),0)</f>
        <v>138</v>
      </c>
      <c r="BV8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3" s="72">
        <v>5</v>
      </c>
      <c r="BX83" s="72">
        <v>6</v>
      </c>
      <c r="BY83" s="72" t="b">
        <v>1</v>
      </c>
      <c r="CA83" t="s">
        <v>228</v>
      </c>
      <c r="CB83">
        <v>2.5</v>
      </c>
      <c r="CC83">
        <v>180</v>
      </c>
      <c r="CD83">
        <v>100</v>
      </c>
      <c r="CE83" s="75">
        <f ca="1">INDIRECT(ADDRESS(11+(MATCH(RIGHT(Table11[[#This Row],[spawner_sku]],LEN(Table11[[#This Row],[spawner_sku]])-FIND("/",Table11[[#This Row],[spawner_sku]])),Table1[Entity Prefab],0)),10,1,1,"Entities"))</f>
        <v>25</v>
      </c>
      <c r="CF83">
        <f ca="1">ROUND((Table11[[#This Row],[XP]]*Table11[[#This Row],[entity_spawned (AVG)]])*(Table11[[#This Row],[activating_chance]]/100),0)</f>
        <v>63</v>
      </c>
      <c r="CG83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83" s="72">
        <v>1</v>
      </c>
      <c r="CI83" s="72">
        <v>4</v>
      </c>
      <c r="CJ83" s="72" t="b">
        <v>0</v>
      </c>
      <c r="CL83" t="s">
        <v>471</v>
      </c>
      <c r="CM83">
        <v>1</v>
      </c>
      <c r="CN83">
        <v>260</v>
      </c>
      <c r="CO83">
        <v>100</v>
      </c>
      <c r="CP83" s="75">
        <f ca="1">INDIRECT(ADDRESS(11+(MATCH(RIGHT(Table12[[#This Row],[spawner_sku]],LEN(Table12[[#This Row],[spawner_sku]])-FIND("/",Table12[[#This Row],[spawner_sku]])),Table1[Entity Prefab],0)),10,1,1,"Entities"))</f>
        <v>105</v>
      </c>
      <c r="CQ83" s="75">
        <f ca="1">ROUND((Table12[[#This Row],[XP]]*Table12[[#This Row],[entity_spawned (AVG)]])*(Table12[[#This Row],[activating_chance]]/100),0)</f>
        <v>105</v>
      </c>
      <c r="CR83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83" s="72">
        <v>1</v>
      </c>
      <c r="CT83" s="72">
        <v>1</v>
      </c>
      <c r="CU83" s="72" t="b">
        <v>0</v>
      </c>
      <c r="CW83" t="s">
        <v>402</v>
      </c>
      <c r="CX83">
        <v>1</v>
      </c>
      <c r="CY83">
        <v>340</v>
      </c>
      <c r="CZ83">
        <v>100</v>
      </c>
      <c r="DA83" s="75">
        <f ca="1">INDIRECT(ADDRESS(11+(MATCH(RIGHT(Table13[[#This Row],[spawner_sku]],LEN(Table13[[#This Row],[spawner_sku]])-FIND("/",Table13[[#This Row],[spawner_sku]])),Table1[Entity Prefab],0)),10,1,1,"Entities"))</f>
        <v>263</v>
      </c>
      <c r="DB83" s="75">
        <f ca="1">ROUND((Table13[[#This Row],[XP]]*Table13[[#This Row],[entity_spawned (AVG)]])*(Table13[[#This Row],[activating_chance]]/100),0)</f>
        <v>263</v>
      </c>
      <c r="DC83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83" s="72">
        <v>1</v>
      </c>
      <c r="DE83" s="72">
        <v>1</v>
      </c>
      <c r="DF83" s="72" t="b">
        <v>0</v>
      </c>
      <c r="DH83" t="s">
        <v>227</v>
      </c>
      <c r="DI83">
        <v>3.5</v>
      </c>
      <c r="DJ83">
        <v>80</v>
      </c>
      <c r="DK83">
        <v>80</v>
      </c>
      <c r="DL83" s="75">
        <f ca="1">INDIRECT(ADDRESS(11+(MATCH(RIGHT(Table14[[#This Row],[spawner_sku]],LEN(Table14[[#This Row],[spawner_sku]])-FIND("/",Table14[[#This Row],[spawner_sku]])),Table1[Entity Prefab],0)),10,1,1,"Entities"))</f>
        <v>25</v>
      </c>
      <c r="DM83" s="75">
        <f ca="1">ROUND((Table14[[#This Row],[XP]]*Table14[[#This Row],[entity_spawned (AVG)]])*(Table14[[#This Row],[activating_chance]]/100),0)</f>
        <v>70</v>
      </c>
      <c r="DN8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3" s="72">
        <v>3</v>
      </c>
      <c r="DP83" s="72">
        <v>4</v>
      </c>
      <c r="DQ83" s="72" t="b">
        <v>0</v>
      </c>
      <c r="DS83" t="s">
        <v>395</v>
      </c>
      <c r="DT83">
        <v>2</v>
      </c>
      <c r="DU83">
        <v>100</v>
      </c>
      <c r="DV83">
        <v>100</v>
      </c>
      <c r="DW83" s="75">
        <f ca="1">INDIRECT(ADDRESS(11+(MATCH(RIGHT(Table18[[#This Row],[spawner_sku]],LEN(Table18[[#This Row],[spawner_sku]])-FIND("/",Table18[[#This Row],[spawner_sku]])),Table1[Entity Prefab],0)),10,1,1,"Entities"))</f>
        <v>25</v>
      </c>
      <c r="DX83" s="75">
        <f ca="1">ROUND((Table18[[#This Row],[XP]]*Table18[[#This Row],[entity_spawned (AVG)]])*(Table18[[#This Row],[activating_chance]]/100),0)</f>
        <v>50</v>
      </c>
      <c r="DY8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83">
        <v>2</v>
      </c>
      <c r="EA83">
        <v>3</v>
      </c>
      <c r="EB83" t="b">
        <v>0</v>
      </c>
      <c r="ED83" t="s">
        <v>227</v>
      </c>
      <c r="EE83">
        <v>2</v>
      </c>
      <c r="EF83">
        <v>140</v>
      </c>
      <c r="EG83">
        <v>100</v>
      </c>
      <c r="EH83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83" s="75">
        <f ca="1">ROUND((Table1820[[#This Row],[XP]]*Table1820[[#This Row],[entity_spawned (AVG)]])*(Table1820[[#This Row],[activating_chance]]/100),0)</f>
        <v>50</v>
      </c>
      <c r="EJ8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83">
        <v>2</v>
      </c>
      <c r="EL83">
        <v>2</v>
      </c>
      <c r="EM83" t="b">
        <v>0</v>
      </c>
      <c r="EO83" t="s">
        <v>7346</v>
      </c>
      <c r="EP83">
        <v>1.5</v>
      </c>
      <c r="EQ83">
        <v>90</v>
      </c>
      <c r="ER83">
        <v>80</v>
      </c>
      <c r="ES83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ET83" s="75">
        <f ca="1">ROUND((Table182023[[#This Row],[XP]]*Table182023[[#This Row],[entity_spawned (AVG)]])*(Table182023[[#This Row],[activating_chance]]/100),0)</f>
        <v>42</v>
      </c>
      <c r="EU83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83" s="152">
        <v>1</v>
      </c>
      <c r="EW83" s="152">
        <v>2</v>
      </c>
      <c r="EX83" s="152" t="b">
        <v>0</v>
      </c>
      <c r="EZ83" t="s">
        <v>7344</v>
      </c>
      <c r="FA83">
        <v>1</v>
      </c>
      <c r="FB83">
        <v>80</v>
      </c>
      <c r="FC83">
        <v>100</v>
      </c>
      <c r="FD83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83" s="75">
        <f ca="1">ROUND((Table18202324[[#This Row],[XP]]*Table18202324[[#This Row],[entity_spawned (AVG)]])*(Table18202324[[#This Row],[activating_chance]]/100),0)</f>
        <v>25</v>
      </c>
      <c r="FF83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83">
        <v>1</v>
      </c>
      <c r="FH83">
        <v>1</v>
      </c>
      <c r="FI83" t="b">
        <v>0</v>
      </c>
    </row>
    <row r="84" spans="2:165" x14ac:dyDescent="0.25">
      <c r="B84" s="73" t="s">
        <v>228</v>
      </c>
      <c r="C84">
        <v>1</v>
      </c>
      <c r="D84">
        <v>160</v>
      </c>
      <c r="E84">
        <v>100</v>
      </c>
      <c r="F84" s="75">
        <f ca="1">INDIRECT(ADDRESS(11+(MATCH(RIGHT(Table245[[#This Row],[spawner_sku]],LEN(Table245[[#This Row],[spawner_sku]])-FIND("/",Table245[[#This Row],[spawner_sku]])),Table1[Entity Prefab],0)),10,1,1,"Entities"))</f>
        <v>25</v>
      </c>
      <c r="G84" s="75">
        <f ca="1">ROUND((Table245[[#This Row],[XP]]*Table245[[#This Row],[entity_spawned (AVG)]])*(Table245[[#This Row],[activating_chance]]/100),0)</f>
        <v>25</v>
      </c>
      <c r="H8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4" s="72">
        <v>1</v>
      </c>
      <c r="J84" s="72">
        <v>1</v>
      </c>
      <c r="K84" s="72" t="b">
        <v>0</v>
      </c>
      <c r="M84" t="s">
        <v>233</v>
      </c>
      <c r="N84">
        <v>1</v>
      </c>
      <c r="O84">
        <v>300</v>
      </c>
      <c r="P84">
        <v>100</v>
      </c>
      <c r="Q84" s="75">
        <f ca="1">INDIRECT(ADDRESS(11+(MATCH(RIGHT(Table3[[#This Row],[spawner_sku]],LEN(Table3[[#This Row],[spawner_sku]])-FIND("/",Table3[[#This Row],[spawner_sku]])),Table1[Entity Prefab],0)),10,1,1,"Entities"))</f>
        <v>195</v>
      </c>
      <c r="R84" s="75">
        <f ca="1">ROUND((Table3[[#This Row],[XP]]*Table3[[#This Row],[entity_spawned (AVG)]])*(Table3[[#This Row],[activating_chance]]/100),0)</f>
        <v>195</v>
      </c>
      <c r="S84" t="str">
        <f ca="1">INDIRECT(ADDRESS(11+(MATCH(RIGHT(Table3[[#This Row],[spawner_sku]],LEN(Table3[[#This Row],[spawner_sku]])-FIND("/",Table3[[#This Row],[spawner_sku]])),Table28[Entity Prefab],0)),24,1,1,"Entities"))</f>
        <v>yes</v>
      </c>
      <c r="T84">
        <v>1</v>
      </c>
      <c r="U84">
        <v>1</v>
      </c>
      <c r="V84" t="b">
        <v>0</v>
      </c>
      <c r="W84" s="72"/>
      <c r="X84" t="s">
        <v>253</v>
      </c>
      <c r="Y84">
        <v>1</v>
      </c>
      <c r="Z84">
        <v>170</v>
      </c>
      <c r="AA84">
        <v>100</v>
      </c>
      <c r="AB84" s="75">
        <f ca="1">INDIRECT(ADDRESS(11+(MATCH(RIGHT(Table39[[#This Row],[spawner_sku]],LEN(Table39[[#This Row],[spawner_sku]])-FIND("/",Table39[[#This Row],[spawner_sku]])),Table1[Entity Prefab],0)),10,1,1,"Entities"))</f>
        <v>70</v>
      </c>
      <c r="AC84" s="75">
        <f ca="1">ROUND((Table39[[#This Row],[XP]]*Table39[[#This Row],[entity_spawned (AVG)]])*(Table39[[#This Row],[activating_chance]]/100),0)</f>
        <v>70</v>
      </c>
      <c r="AD84" t="str">
        <f ca="1">INDIRECT(ADDRESS(11+(MATCH(RIGHT(Table39[[#This Row],[spawner_sku]],LEN(Table39[[#This Row],[spawner_sku]])-FIND("/",Table39[[#This Row],[spawner_sku]])),Table28[Entity Prefab],0)),24,1,1,"Entities"))</f>
        <v>yes</v>
      </c>
      <c r="AE84">
        <v>1</v>
      </c>
      <c r="AF84">
        <v>1</v>
      </c>
      <c r="AG84" t="b">
        <v>0</v>
      </c>
      <c r="AI84" t="s">
        <v>228</v>
      </c>
      <c r="AJ84">
        <v>1</v>
      </c>
      <c r="AK84">
        <v>100</v>
      </c>
      <c r="AL84">
        <v>90</v>
      </c>
      <c r="AM84" s="75">
        <f ca="1">INDIRECT(ADDRESS(11+(MATCH(RIGHT(Table2[[#This Row],[spawner_sku]],LEN(Table2[[#This Row],[spawner_sku]])-FIND("/",Table2[[#This Row],[spawner_sku]])),Table1[Entity Prefab],0)),10,1,1,"Entities"))</f>
        <v>25</v>
      </c>
      <c r="AN84" s="75">
        <f ca="1">ROUND((Table2[[#This Row],[XP]]*Table2[[#This Row],[entity_spawned (AVG)]])*(Table2[[#This Row],[activating_chance]]/100),0)</f>
        <v>23</v>
      </c>
      <c r="AO8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84" s="72">
        <v>1</v>
      </c>
      <c r="AQ84" s="72">
        <v>1</v>
      </c>
      <c r="AR84" s="72" t="b">
        <v>0</v>
      </c>
      <c r="AT84" t="s">
        <v>232</v>
      </c>
      <c r="AU84">
        <v>1</v>
      </c>
      <c r="AV84">
        <v>250</v>
      </c>
      <c r="AW84">
        <v>100</v>
      </c>
      <c r="AX84" s="75">
        <f ca="1">INDIRECT(ADDRESS(11+(MATCH(RIGHT(Table6[[#This Row],[spawner_sku]],LEN(Table6[[#This Row],[spawner_sku]])-FIND("/",Table6[[#This Row],[spawner_sku]])),Table1[Entity Prefab],0)),10,1,1,"Entities"))</f>
        <v>143</v>
      </c>
      <c r="AY84" s="75">
        <f ca="1">ROUND((Table6[[#This Row],[XP]]*Table6[[#This Row],[entity_spawned (AVG)]])*(Table6[[#This Row],[activating_chance]]/100),0)</f>
        <v>143</v>
      </c>
      <c r="AZ84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84">
        <v>1</v>
      </c>
      <c r="BB84">
        <v>1</v>
      </c>
      <c r="BC84" t="b">
        <v>0</v>
      </c>
      <c r="BE84" t="s">
        <v>237</v>
      </c>
      <c r="BF84">
        <v>1</v>
      </c>
      <c r="BG84">
        <v>2500</v>
      </c>
      <c r="BH84">
        <v>100</v>
      </c>
      <c r="BI84" s="75">
        <f ca="1">INDIRECT(ADDRESS(11+(MATCH(RIGHT(Table610[[#This Row],[spawner_sku]],LEN(Table610[[#This Row],[spawner_sku]])-FIND("/",Table610[[#This Row],[spawner_sku]])),Table1[Entity Prefab],0)),10,1,1,"Entities"))</f>
        <v>263</v>
      </c>
      <c r="BJ84" s="75">
        <f ca="1">ROUND((Table610[[#This Row],[XP]]*Table610[[#This Row],[entity_spawned (AVG)]])*(Table610[[#This Row],[activating_chance]]/100),0)</f>
        <v>263</v>
      </c>
      <c r="BK84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4">
        <v>1</v>
      </c>
      <c r="BM84">
        <v>1</v>
      </c>
      <c r="BN84" t="b">
        <v>0</v>
      </c>
      <c r="BP84" t="s">
        <v>229</v>
      </c>
      <c r="BQ84">
        <v>5.5</v>
      </c>
      <c r="BR84">
        <v>200</v>
      </c>
      <c r="BS84">
        <v>80</v>
      </c>
      <c r="BT8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84" s="75">
        <f ca="1">ROUND((Table61011[[#This Row],[XP]]*Table61011[[#This Row],[entity_spawned (AVG)]])*(Table61011[[#This Row],[activating_chance]]/100),0)</f>
        <v>110</v>
      </c>
      <c r="BV8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4" s="72">
        <v>5</v>
      </c>
      <c r="BX84" s="72">
        <v>6</v>
      </c>
      <c r="BY84" s="72" t="b">
        <v>1</v>
      </c>
      <c r="CA84" t="s">
        <v>228</v>
      </c>
      <c r="CB84">
        <v>1.5</v>
      </c>
      <c r="CC84">
        <v>180</v>
      </c>
      <c r="CD84">
        <v>30</v>
      </c>
      <c r="CE84" s="75">
        <f ca="1">INDIRECT(ADDRESS(11+(MATCH(RIGHT(Table11[[#This Row],[spawner_sku]],LEN(Table11[[#This Row],[spawner_sku]])-FIND("/",Table11[[#This Row],[spawner_sku]])),Table1[Entity Prefab],0)),10,1,1,"Entities"))</f>
        <v>25</v>
      </c>
      <c r="CF84">
        <f ca="1">ROUND((Table11[[#This Row],[XP]]*Table11[[#This Row],[entity_spawned (AVG)]])*(Table11[[#This Row],[activating_chance]]/100),0)</f>
        <v>11</v>
      </c>
      <c r="CG84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84" s="72">
        <v>1</v>
      </c>
      <c r="CI84" s="72">
        <v>2</v>
      </c>
      <c r="CJ84" s="72" t="b">
        <v>0</v>
      </c>
      <c r="CL84" t="s">
        <v>472</v>
      </c>
      <c r="CM84">
        <v>1</v>
      </c>
      <c r="CN84">
        <v>280</v>
      </c>
      <c r="CO84">
        <v>100</v>
      </c>
      <c r="CP84" s="75">
        <f ca="1">INDIRECT(ADDRESS(11+(MATCH(RIGHT(Table12[[#This Row],[spawner_sku]],LEN(Table12[[#This Row],[spawner_sku]])-FIND("/",Table12[[#This Row],[spawner_sku]])),Table1[Entity Prefab],0)),10,1,1,"Entities"))</f>
        <v>143</v>
      </c>
      <c r="CQ84" s="75">
        <f ca="1">ROUND((Table12[[#This Row],[XP]]*Table12[[#This Row],[entity_spawned (AVG)]])*(Table12[[#This Row],[activating_chance]]/100),0)</f>
        <v>143</v>
      </c>
      <c r="CR84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84" s="72">
        <v>1</v>
      </c>
      <c r="CT84" s="72">
        <v>1</v>
      </c>
      <c r="CU84" s="72" t="b">
        <v>0</v>
      </c>
      <c r="CW84" t="s">
        <v>402</v>
      </c>
      <c r="CX84">
        <v>1</v>
      </c>
      <c r="CY84">
        <v>340</v>
      </c>
      <c r="CZ84">
        <v>100</v>
      </c>
      <c r="DA84" s="75">
        <f ca="1">INDIRECT(ADDRESS(11+(MATCH(RIGHT(Table13[[#This Row],[spawner_sku]],LEN(Table13[[#This Row],[spawner_sku]])-FIND("/",Table13[[#This Row],[spawner_sku]])),Table1[Entity Prefab],0)),10,1,1,"Entities"))</f>
        <v>263</v>
      </c>
      <c r="DB84" s="75">
        <f ca="1">ROUND((Table13[[#This Row],[XP]]*Table13[[#This Row],[entity_spawned (AVG)]])*(Table13[[#This Row],[activating_chance]]/100),0)</f>
        <v>263</v>
      </c>
      <c r="DC84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84" s="72">
        <v>1</v>
      </c>
      <c r="DE84" s="72">
        <v>1</v>
      </c>
      <c r="DF84" s="72" t="b">
        <v>0</v>
      </c>
      <c r="DH84" t="s">
        <v>227</v>
      </c>
      <c r="DI84">
        <v>7</v>
      </c>
      <c r="DJ84">
        <v>180</v>
      </c>
      <c r="DK84">
        <v>100</v>
      </c>
      <c r="DL84" s="75">
        <f ca="1">INDIRECT(ADDRESS(11+(MATCH(RIGHT(Table14[[#This Row],[spawner_sku]],LEN(Table14[[#This Row],[spawner_sku]])-FIND("/",Table14[[#This Row],[spawner_sku]])),Table1[Entity Prefab],0)),10,1,1,"Entities"))</f>
        <v>25</v>
      </c>
      <c r="DM84" s="75">
        <f ca="1">ROUND((Table14[[#This Row],[XP]]*Table14[[#This Row],[entity_spawned (AVG)]])*(Table14[[#This Row],[activating_chance]]/100),0)</f>
        <v>175</v>
      </c>
      <c r="DN8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4" s="72">
        <v>6</v>
      </c>
      <c r="DP84" s="72">
        <v>8</v>
      </c>
      <c r="DQ84" s="72" t="b">
        <v>1</v>
      </c>
      <c r="DS84" t="s">
        <v>395</v>
      </c>
      <c r="DT84">
        <v>2</v>
      </c>
      <c r="DU84">
        <v>160</v>
      </c>
      <c r="DV84">
        <v>80</v>
      </c>
      <c r="DW84" s="75">
        <f ca="1">INDIRECT(ADDRESS(11+(MATCH(RIGHT(Table18[[#This Row],[spawner_sku]],LEN(Table18[[#This Row],[spawner_sku]])-FIND("/",Table18[[#This Row],[spawner_sku]])),Table1[Entity Prefab],0)),10,1,1,"Entities"))</f>
        <v>25</v>
      </c>
      <c r="DX84" s="75">
        <f ca="1">ROUND((Table18[[#This Row],[XP]]*Table18[[#This Row],[entity_spawned (AVG)]])*(Table18[[#This Row],[activating_chance]]/100),0)</f>
        <v>40</v>
      </c>
      <c r="DY8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84">
        <v>2</v>
      </c>
      <c r="EA84">
        <v>3</v>
      </c>
      <c r="EB84" t="b">
        <v>0</v>
      </c>
      <c r="ED84" t="s">
        <v>227</v>
      </c>
      <c r="EE84">
        <v>9</v>
      </c>
      <c r="EF84">
        <v>160</v>
      </c>
      <c r="EG84">
        <v>100</v>
      </c>
      <c r="EH84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84" s="75">
        <f ca="1">ROUND((Table1820[[#This Row],[XP]]*Table1820[[#This Row],[entity_spawned (AVG)]])*(Table1820[[#This Row],[activating_chance]]/100),0)</f>
        <v>225</v>
      </c>
      <c r="EJ8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84">
        <v>8</v>
      </c>
      <c r="EL84">
        <v>10</v>
      </c>
      <c r="EM84" t="b">
        <v>1</v>
      </c>
      <c r="EO84" t="s">
        <v>7346</v>
      </c>
      <c r="EP84">
        <v>6.5</v>
      </c>
      <c r="EQ84">
        <v>90</v>
      </c>
      <c r="ER84">
        <v>100</v>
      </c>
      <c r="ES84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ET84" s="75">
        <f ca="1">ROUND((Table182023[[#This Row],[XP]]*Table182023[[#This Row],[entity_spawned (AVG)]])*(Table182023[[#This Row],[activating_chance]]/100),0)</f>
        <v>228</v>
      </c>
      <c r="EU84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84" s="152">
        <v>5</v>
      </c>
      <c r="EW84" s="152">
        <v>8</v>
      </c>
      <c r="EX84" s="152" t="b">
        <v>1</v>
      </c>
      <c r="EZ84" t="s">
        <v>7344</v>
      </c>
      <c r="FA84">
        <v>1</v>
      </c>
      <c r="FB84">
        <v>90</v>
      </c>
      <c r="FC84">
        <v>100</v>
      </c>
      <c r="FD84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84" s="75">
        <f ca="1">ROUND((Table18202324[[#This Row],[XP]]*Table18202324[[#This Row],[entity_spawned (AVG)]])*(Table18202324[[#This Row],[activating_chance]]/100),0)</f>
        <v>25</v>
      </c>
      <c r="FF84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84">
        <v>1</v>
      </c>
      <c r="FH84">
        <v>1</v>
      </c>
      <c r="FI84" t="b">
        <v>0</v>
      </c>
    </row>
    <row r="85" spans="2:165" x14ac:dyDescent="0.25">
      <c r="B85" s="73" t="s">
        <v>228</v>
      </c>
      <c r="C85">
        <v>3</v>
      </c>
      <c r="D85">
        <v>85</v>
      </c>
      <c r="E85">
        <v>80</v>
      </c>
      <c r="F85" s="75">
        <f ca="1">INDIRECT(ADDRESS(11+(MATCH(RIGHT(Table245[[#This Row],[spawner_sku]],LEN(Table245[[#This Row],[spawner_sku]])-FIND("/",Table245[[#This Row],[spawner_sku]])),Table1[Entity Prefab],0)),10,1,1,"Entities"))</f>
        <v>25</v>
      </c>
      <c r="G85" s="75">
        <f ca="1">ROUND((Table245[[#This Row],[XP]]*Table245[[#This Row],[entity_spawned (AVG)]])*(Table245[[#This Row],[activating_chance]]/100),0)</f>
        <v>60</v>
      </c>
      <c r="H8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5" s="72">
        <v>2</v>
      </c>
      <c r="J85" s="72">
        <v>4</v>
      </c>
      <c r="K85" s="72" t="b">
        <v>0</v>
      </c>
      <c r="M85" t="s">
        <v>233</v>
      </c>
      <c r="N85">
        <v>1</v>
      </c>
      <c r="O85">
        <v>300</v>
      </c>
      <c r="P85">
        <v>100</v>
      </c>
      <c r="Q85" s="75">
        <f ca="1">INDIRECT(ADDRESS(11+(MATCH(RIGHT(Table3[[#This Row],[spawner_sku]],LEN(Table3[[#This Row],[spawner_sku]])-FIND("/",Table3[[#This Row],[spawner_sku]])),Table1[Entity Prefab],0)),10,1,1,"Entities"))</f>
        <v>195</v>
      </c>
      <c r="R85" s="75">
        <f ca="1">ROUND((Table3[[#This Row],[XP]]*Table3[[#This Row],[entity_spawned (AVG)]])*(Table3[[#This Row],[activating_chance]]/100),0)</f>
        <v>195</v>
      </c>
      <c r="S85" t="str">
        <f ca="1">INDIRECT(ADDRESS(11+(MATCH(RIGHT(Table3[[#This Row],[spawner_sku]],LEN(Table3[[#This Row],[spawner_sku]])-FIND("/",Table3[[#This Row],[spawner_sku]])),Table28[Entity Prefab],0)),24,1,1,"Entities"))</f>
        <v>yes</v>
      </c>
      <c r="T85">
        <v>1</v>
      </c>
      <c r="U85">
        <v>1</v>
      </c>
      <c r="V85" t="b">
        <v>0</v>
      </c>
      <c r="W85" s="72"/>
      <c r="X85" t="s">
        <v>254</v>
      </c>
      <c r="Y85">
        <v>1</v>
      </c>
      <c r="Z85">
        <v>170</v>
      </c>
      <c r="AA85">
        <v>80</v>
      </c>
      <c r="AB85" s="75">
        <f ca="1">INDIRECT(ADDRESS(11+(MATCH(RIGHT(Table39[[#This Row],[spawner_sku]],LEN(Table39[[#This Row],[spawner_sku]])-FIND("/",Table39[[#This Row],[spawner_sku]])),Table1[Entity Prefab],0)),10,1,1,"Entities"))</f>
        <v>70</v>
      </c>
      <c r="AC85" s="75">
        <f ca="1">ROUND((Table39[[#This Row],[XP]]*Table39[[#This Row],[entity_spawned (AVG)]])*(Table39[[#This Row],[activating_chance]]/100),0)</f>
        <v>56</v>
      </c>
      <c r="AD85" t="str">
        <f ca="1">INDIRECT(ADDRESS(11+(MATCH(RIGHT(Table39[[#This Row],[spawner_sku]],LEN(Table39[[#This Row],[spawner_sku]])-FIND("/",Table39[[#This Row],[spawner_sku]])),Table28[Entity Prefab],0)),24,1,1,"Entities"))</f>
        <v>yes</v>
      </c>
      <c r="AE85">
        <v>1</v>
      </c>
      <c r="AF85">
        <v>1</v>
      </c>
      <c r="AG85" t="b">
        <v>0</v>
      </c>
      <c r="AI85" t="s">
        <v>228</v>
      </c>
      <c r="AJ85">
        <v>1</v>
      </c>
      <c r="AK85">
        <v>160</v>
      </c>
      <c r="AL85">
        <v>100</v>
      </c>
      <c r="AM85" s="75">
        <f ca="1">INDIRECT(ADDRESS(11+(MATCH(RIGHT(Table2[[#This Row],[spawner_sku]],LEN(Table2[[#This Row],[spawner_sku]])-FIND("/",Table2[[#This Row],[spawner_sku]])),Table1[Entity Prefab],0)),10,1,1,"Entities"))</f>
        <v>25</v>
      </c>
      <c r="AN85" s="75">
        <f ca="1">ROUND((Table2[[#This Row],[XP]]*Table2[[#This Row],[entity_spawned (AVG)]])*(Table2[[#This Row],[activating_chance]]/100),0)</f>
        <v>25</v>
      </c>
      <c r="AO8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85" s="72">
        <v>1</v>
      </c>
      <c r="AQ85" s="72">
        <v>1</v>
      </c>
      <c r="AR85" s="72" t="b">
        <v>0</v>
      </c>
      <c r="AT85" t="s">
        <v>232</v>
      </c>
      <c r="AU85">
        <v>1.5</v>
      </c>
      <c r="AV85">
        <v>250</v>
      </c>
      <c r="AW85">
        <v>100</v>
      </c>
      <c r="AX85" s="75">
        <f ca="1">INDIRECT(ADDRESS(11+(MATCH(RIGHT(Table6[[#This Row],[spawner_sku]],LEN(Table6[[#This Row],[spawner_sku]])-FIND("/",Table6[[#This Row],[spawner_sku]])),Table1[Entity Prefab],0)),10,1,1,"Entities"))</f>
        <v>143</v>
      </c>
      <c r="AY85" s="75">
        <f ca="1">ROUND((Table6[[#This Row],[XP]]*Table6[[#This Row],[entity_spawned (AVG)]])*(Table6[[#This Row],[activating_chance]]/100),0)</f>
        <v>215</v>
      </c>
      <c r="AZ85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85">
        <v>1</v>
      </c>
      <c r="BB85">
        <v>2</v>
      </c>
      <c r="BC85" t="b">
        <v>0</v>
      </c>
      <c r="BE85" t="s">
        <v>237</v>
      </c>
      <c r="BF85">
        <v>1</v>
      </c>
      <c r="BG85">
        <v>2500</v>
      </c>
      <c r="BH85">
        <v>100</v>
      </c>
      <c r="BI85" s="75">
        <f ca="1">INDIRECT(ADDRESS(11+(MATCH(RIGHT(Table610[[#This Row],[spawner_sku]],LEN(Table610[[#This Row],[spawner_sku]])-FIND("/",Table610[[#This Row],[spawner_sku]])),Table1[Entity Prefab],0)),10,1,1,"Entities"))</f>
        <v>263</v>
      </c>
      <c r="BJ85" s="75">
        <f ca="1">ROUND((Table610[[#This Row],[XP]]*Table610[[#This Row],[entity_spawned (AVG)]])*(Table610[[#This Row],[activating_chance]]/100),0)</f>
        <v>263</v>
      </c>
      <c r="BK85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5">
        <v>1</v>
      </c>
      <c r="BM85">
        <v>1</v>
      </c>
      <c r="BN85" t="b">
        <v>0</v>
      </c>
      <c r="BP85" t="s">
        <v>229</v>
      </c>
      <c r="BQ85">
        <v>6.5</v>
      </c>
      <c r="BR85">
        <v>200</v>
      </c>
      <c r="BS85">
        <v>100</v>
      </c>
      <c r="BT8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85" s="75">
        <f ca="1">ROUND((Table61011[[#This Row],[XP]]*Table61011[[#This Row],[entity_spawned (AVG)]])*(Table61011[[#This Row],[activating_chance]]/100),0)</f>
        <v>163</v>
      </c>
      <c r="BV8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5" s="72">
        <v>5</v>
      </c>
      <c r="BX85" s="72">
        <v>8</v>
      </c>
      <c r="BY85" s="72" t="b">
        <v>1</v>
      </c>
      <c r="CA85" t="s">
        <v>228</v>
      </c>
      <c r="CB85">
        <v>5</v>
      </c>
      <c r="CC85">
        <v>180</v>
      </c>
      <c r="CD85">
        <v>100</v>
      </c>
      <c r="CE85" s="75">
        <f ca="1">INDIRECT(ADDRESS(11+(MATCH(RIGHT(Table11[[#This Row],[spawner_sku]],LEN(Table11[[#This Row],[spawner_sku]])-FIND("/",Table11[[#This Row],[spawner_sku]])),Table1[Entity Prefab],0)),10,1,1,"Entities"))</f>
        <v>25</v>
      </c>
      <c r="CF85">
        <f ca="1">ROUND((Table11[[#This Row],[XP]]*Table11[[#This Row],[entity_spawned (AVG)]])*(Table11[[#This Row],[activating_chance]]/100),0)</f>
        <v>125</v>
      </c>
      <c r="CG85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85" s="72">
        <v>5</v>
      </c>
      <c r="CI85" s="72">
        <v>5</v>
      </c>
      <c r="CJ85" s="72" t="b">
        <v>1</v>
      </c>
      <c r="CL85" t="s">
        <v>521</v>
      </c>
      <c r="CM85">
        <v>1</v>
      </c>
      <c r="CN85">
        <v>310</v>
      </c>
      <c r="CO85">
        <v>100</v>
      </c>
      <c r="CP85" s="75">
        <f ca="1">INDIRECT(ADDRESS(11+(MATCH(RIGHT(Table12[[#This Row],[spawner_sku]],LEN(Table12[[#This Row],[spawner_sku]])-FIND("/",Table12[[#This Row],[spawner_sku]])),Table1[Entity Prefab],0)),10,1,1,"Entities"))</f>
        <v>83</v>
      </c>
      <c r="CQ85" s="75">
        <f ca="1">ROUND((Table12[[#This Row],[XP]]*Table12[[#This Row],[entity_spawned (AVG)]])*(Table12[[#This Row],[activating_chance]]/100),0)</f>
        <v>83</v>
      </c>
      <c r="CR85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85" s="72">
        <v>1</v>
      </c>
      <c r="CT85" s="72">
        <v>1</v>
      </c>
      <c r="CU85" s="72" t="b">
        <v>0</v>
      </c>
      <c r="CW85" t="s">
        <v>236</v>
      </c>
      <c r="CX85">
        <v>1</v>
      </c>
      <c r="CY85">
        <v>170</v>
      </c>
      <c r="CZ85">
        <v>100</v>
      </c>
      <c r="DA85" s="75">
        <f ca="1">INDIRECT(ADDRESS(11+(MATCH(RIGHT(Table13[[#This Row],[spawner_sku]],LEN(Table13[[#This Row],[spawner_sku]])-FIND("/",Table13[[#This Row],[spawner_sku]])),Table1[Entity Prefab],0)),10,1,1,"Entities"))</f>
        <v>70</v>
      </c>
      <c r="DB85" s="75">
        <f ca="1">ROUND((Table13[[#This Row],[XP]]*Table13[[#This Row],[entity_spawned (AVG)]])*(Table13[[#This Row],[activating_chance]]/100),0)</f>
        <v>70</v>
      </c>
      <c r="DC85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85" s="72">
        <v>1</v>
      </c>
      <c r="DE85" s="72">
        <v>1</v>
      </c>
      <c r="DF85" s="72" t="b">
        <v>0</v>
      </c>
      <c r="DH85" t="s">
        <v>227</v>
      </c>
      <c r="DI85">
        <v>3.5</v>
      </c>
      <c r="DJ85">
        <v>100</v>
      </c>
      <c r="DK85">
        <v>80</v>
      </c>
      <c r="DL85" s="75">
        <f ca="1">INDIRECT(ADDRESS(11+(MATCH(RIGHT(Table14[[#This Row],[spawner_sku]],LEN(Table14[[#This Row],[spawner_sku]])-FIND("/",Table14[[#This Row],[spawner_sku]])),Table1[Entity Prefab],0)),10,1,1,"Entities"))</f>
        <v>25</v>
      </c>
      <c r="DM85" s="75">
        <f ca="1">ROUND((Table14[[#This Row],[XP]]*Table14[[#This Row],[entity_spawned (AVG)]])*(Table14[[#This Row],[activating_chance]]/100),0)</f>
        <v>70</v>
      </c>
      <c r="DN8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5" s="72">
        <v>3</v>
      </c>
      <c r="DP85" s="72">
        <v>4</v>
      </c>
      <c r="DQ85" s="72" t="b">
        <v>0</v>
      </c>
      <c r="DS85" t="s">
        <v>395</v>
      </c>
      <c r="DT85">
        <v>2</v>
      </c>
      <c r="DU85">
        <v>160</v>
      </c>
      <c r="DV85">
        <v>100</v>
      </c>
      <c r="DW85" s="75">
        <f ca="1">INDIRECT(ADDRESS(11+(MATCH(RIGHT(Table18[[#This Row],[spawner_sku]],LEN(Table18[[#This Row],[spawner_sku]])-FIND("/",Table18[[#This Row],[spawner_sku]])),Table1[Entity Prefab],0)),10,1,1,"Entities"))</f>
        <v>25</v>
      </c>
      <c r="DX85" s="75">
        <f ca="1">ROUND((Table18[[#This Row],[XP]]*Table18[[#This Row],[entity_spawned (AVG)]])*(Table18[[#This Row],[activating_chance]]/100),0)</f>
        <v>50</v>
      </c>
      <c r="DY8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85">
        <v>2</v>
      </c>
      <c r="EA85">
        <v>3</v>
      </c>
      <c r="EB85" t="b">
        <v>0</v>
      </c>
      <c r="ED85" t="s">
        <v>227</v>
      </c>
      <c r="EE85">
        <v>3</v>
      </c>
      <c r="EF85">
        <v>140</v>
      </c>
      <c r="EG85">
        <v>100</v>
      </c>
      <c r="EH85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85" s="75">
        <f ca="1">ROUND((Table1820[[#This Row],[XP]]*Table1820[[#This Row],[entity_spawned (AVG)]])*(Table1820[[#This Row],[activating_chance]]/100),0)</f>
        <v>75</v>
      </c>
      <c r="EJ8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85">
        <v>3</v>
      </c>
      <c r="EL85">
        <v>4</v>
      </c>
      <c r="EM85" t="b">
        <v>0</v>
      </c>
      <c r="EO85" t="s">
        <v>7346</v>
      </c>
      <c r="EP85">
        <v>3</v>
      </c>
      <c r="EQ85">
        <v>90</v>
      </c>
      <c r="ER85">
        <v>100</v>
      </c>
      <c r="ES85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ET85" s="75">
        <f ca="1">ROUND((Table182023[[#This Row],[XP]]*Table182023[[#This Row],[entity_spawned (AVG)]])*(Table182023[[#This Row],[activating_chance]]/100),0)</f>
        <v>105</v>
      </c>
      <c r="EU85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85" s="152">
        <v>2</v>
      </c>
      <c r="EW85" s="152">
        <v>4</v>
      </c>
      <c r="EX85" s="152" t="b">
        <v>0</v>
      </c>
      <c r="EZ85" t="s">
        <v>7344</v>
      </c>
      <c r="FA85">
        <v>1</v>
      </c>
      <c r="FB85">
        <v>75</v>
      </c>
      <c r="FC85">
        <v>100</v>
      </c>
      <c r="FD85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85" s="75">
        <f ca="1">ROUND((Table18202324[[#This Row],[XP]]*Table18202324[[#This Row],[entity_spawned (AVG)]])*(Table18202324[[#This Row],[activating_chance]]/100),0)</f>
        <v>25</v>
      </c>
      <c r="FF85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85">
        <v>1</v>
      </c>
      <c r="FH85">
        <v>1</v>
      </c>
      <c r="FI85" t="b">
        <v>0</v>
      </c>
    </row>
    <row r="86" spans="2:165" x14ac:dyDescent="0.25">
      <c r="B86" s="73" t="s">
        <v>228</v>
      </c>
      <c r="C86">
        <v>1.5</v>
      </c>
      <c r="D86">
        <v>100</v>
      </c>
      <c r="E86">
        <v>100</v>
      </c>
      <c r="F86" s="75">
        <f ca="1">INDIRECT(ADDRESS(11+(MATCH(RIGHT(Table245[[#This Row],[spawner_sku]],LEN(Table245[[#This Row],[spawner_sku]])-FIND("/",Table245[[#This Row],[spawner_sku]])),Table1[Entity Prefab],0)),10,1,1,"Entities"))</f>
        <v>25</v>
      </c>
      <c r="G86" s="75">
        <f ca="1">ROUND((Table245[[#This Row],[XP]]*Table245[[#This Row],[entity_spawned (AVG)]])*(Table245[[#This Row],[activating_chance]]/100),0)</f>
        <v>38</v>
      </c>
      <c r="H8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6" s="72">
        <v>1</v>
      </c>
      <c r="J86" s="72">
        <v>2</v>
      </c>
      <c r="K86" s="72" t="b">
        <v>0</v>
      </c>
      <c r="M86" t="s">
        <v>233</v>
      </c>
      <c r="N86">
        <v>1</v>
      </c>
      <c r="O86">
        <v>300</v>
      </c>
      <c r="P86">
        <v>100</v>
      </c>
      <c r="Q86" s="75">
        <f ca="1">INDIRECT(ADDRESS(11+(MATCH(RIGHT(Table3[[#This Row],[spawner_sku]],LEN(Table3[[#This Row],[spawner_sku]])-FIND("/",Table3[[#This Row],[spawner_sku]])),Table1[Entity Prefab],0)),10,1,1,"Entities"))</f>
        <v>195</v>
      </c>
      <c r="R86" s="75">
        <f ca="1">ROUND((Table3[[#This Row],[XP]]*Table3[[#This Row],[entity_spawned (AVG)]])*(Table3[[#This Row],[activating_chance]]/100),0)</f>
        <v>195</v>
      </c>
      <c r="S86" t="str">
        <f ca="1">INDIRECT(ADDRESS(11+(MATCH(RIGHT(Table3[[#This Row],[spawner_sku]],LEN(Table3[[#This Row],[spawner_sku]])-FIND("/",Table3[[#This Row],[spawner_sku]])),Table28[Entity Prefab],0)),24,1,1,"Entities"))</f>
        <v>yes</v>
      </c>
      <c r="T86">
        <v>1</v>
      </c>
      <c r="U86">
        <v>1</v>
      </c>
      <c r="V86" t="b">
        <v>0</v>
      </c>
      <c r="W86" s="72"/>
      <c r="X86" t="s">
        <v>254</v>
      </c>
      <c r="Y86">
        <v>1</v>
      </c>
      <c r="Z86">
        <v>170</v>
      </c>
      <c r="AA86">
        <v>80</v>
      </c>
      <c r="AB86" s="75">
        <f ca="1">INDIRECT(ADDRESS(11+(MATCH(RIGHT(Table39[[#This Row],[spawner_sku]],LEN(Table39[[#This Row],[spawner_sku]])-FIND("/",Table39[[#This Row],[spawner_sku]])),Table1[Entity Prefab],0)),10,1,1,"Entities"))</f>
        <v>70</v>
      </c>
      <c r="AC86" s="75">
        <f ca="1">ROUND((Table39[[#This Row],[XP]]*Table39[[#This Row],[entity_spawned (AVG)]])*(Table39[[#This Row],[activating_chance]]/100),0)</f>
        <v>56</v>
      </c>
      <c r="AD86" t="str">
        <f ca="1">INDIRECT(ADDRESS(11+(MATCH(RIGHT(Table39[[#This Row],[spawner_sku]],LEN(Table39[[#This Row],[spawner_sku]])-FIND("/",Table39[[#This Row],[spawner_sku]])),Table28[Entity Prefab],0)),24,1,1,"Entities"))</f>
        <v>yes</v>
      </c>
      <c r="AE86">
        <v>1</v>
      </c>
      <c r="AF86">
        <v>1</v>
      </c>
      <c r="AG86" t="b">
        <v>0</v>
      </c>
      <c r="AI86" t="s">
        <v>228</v>
      </c>
      <c r="AJ86">
        <v>2</v>
      </c>
      <c r="AK86">
        <v>100</v>
      </c>
      <c r="AL86">
        <v>85</v>
      </c>
      <c r="AM86" s="75">
        <f ca="1">INDIRECT(ADDRESS(11+(MATCH(RIGHT(Table2[[#This Row],[spawner_sku]],LEN(Table2[[#This Row],[spawner_sku]])-FIND("/",Table2[[#This Row],[spawner_sku]])),Table1[Entity Prefab],0)),10,1,1,"Entities"))</f>
        <v>25</v>
      </c>
      <c r="AN86" s="75">
        <f ca="1">ROUND((Table2[[#This Row],[XP]]*Table2[[#This Row],[entity_spawned (AVG)]])*(Table2[[#This Row],[activating_chance]]/100),0)</f>
        <v>43</v>
      </c>
      <c r="AO8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86" s="72">
        <v>1</v>
      </c>
      <c r="AQ86" s="72">
        <v>3</v>
      </c>
      <c r="AR86" s="72" t="b">
        <v>0</v>
      </c>
      <c r="AT86" t="s">
        <v>232</v>
      </c>
      <c r="AU86">
        <v>1</v>
      </c>
      <c r="AV86">
        <v>250</v>
      </c>
      <c r="AW86">
        <v>100</v>
      </c>
      <c r="AX86" s="75">
        <f ca="1">INDIRECT(ADDRESS(11+(MATCH(RIGHT(Table6[[#This Row],[spawner_sku]],LEN(Table6[[#This Row],[spawner_sku]])-FIND("/",Table6[[#This Row],[spawner_sku]])),Table1[Entity Prefab],0)),10,1,1,"Entities"))</f>
        <v>143</v>
      </c>
      <c r="AY86" s="75">
        <f ca="1">ROUND((Table6[[#This Row],[XP]]*Table6[[#This Row],[entity_spawned (AVG)]])*(Table6[[#This Row],[activating_chance]]/100),0)</f>
        <v>143</v>
      </c>
      <c r="AZ86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86">
        <v>1</v>
      </c>
      <c r="BB86">
        <v>1</v>
      </c>
      <c r="BC86" t="b">
        <v>0</v>
      </c>
      <c r="BE86" t="s">
        <v>237</v>
      </c>
      <c r="BF86">
        <v>1</v>
      </c>
      <c r="BG86">
        <v>2500</v>
      </c>
      <c r="BH86">
        <v>100</v>
      </c>
      <c r="BI86" s="75">
        <f ca="1">INDIRECT(ADDRESS(11+(MATCH(RIGHT(Table610[[#This Row],[spawner_sku]],LEN(Table610[[#This Row],[spawner_sku]])-FIND("/",Table610[[#This Row],[spawner_sku]])),Table1[Entity Prefab],0)),10,1,1,"Entities"))</f>
        <v>263</v>
      </c>
      <c r="BJ86" s="75">
        <f ca="1">ROUND((Table610[[#This Row],[XP]]*Table610[[#This Row],[entity_spawned (AVG)]])*(Table610[[#This Row],[activating_chance]]/100),0)</f>
        <v>263</v>
      </c>
      <c r="BK86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6">
        <v>1</v>
      </c>
      <c r="BM86">
        <v>1</v>
      </c>
      <c r="BN86" t="b">
        <v>0</v>
      </c>
      <c r="BP86" t="s">
        <v>229</v>
      </c>
      <c r="BQ86">
        <v>7</v>
      </c>
      <c r="BR86">
        <v>220</v>
      </c>
      <c r="BS86">
        <v>100</v>
      </c>
      <c r="BT8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86" s="75">
        <f ca="1">ROUND((Table61011[[#This Row],[XP]]*Table61011[[#This Row],[entity_spawned (AVG)]])*(Table61011[[#This Row],[activating_chance]]/100),0)</f>
        <v>175</v>
      </c>
      <c r="BV8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6" s="72">
        <v>6</v>
      </c>
      <c r="BX86" s="72">
        <v>8</v>
      </c>
      <c r="BY86" s="72" t="b">
        <v>1</v>
      </c>
      <c r="CA86" t="s">
        <v>228</v>
      </c>
      <c r="CB86">
        <v>5.5</v>
      </c>
      <c r="CC86">
        <v>180</v>
      </c>
      <c r="CD86">
        <v>100</v>
      </c>
      <c r="CE86" s="75">
        <f ca="1">INDIRECT(ADDRESS(11+(MATCH(RIGHT(Table11[[#This Row],[spawner_sku]],LEN(Table11[[#This Row],[spawner_sku]])-FIND("/",Table11[[#This Row],[spawner_sku]])),Table1[Entity Prefab],0)),10,1,1,"Entities"))</f>
        <v>25</v>
      </c>
      <c r="CF86">
        <f ca="1">ROUND((Table11[[#This Row],[XP]]*Table11[[#This Row],[entity_spawned (AVG)]])*(Table11[[#This Row],[activating_chance]]/100),0)</f>
        <v>138</v>
      </c>
      <c r="CG86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86" s="72">
        <v>5</v>
      </c>
      <c r="CI86" s="72">
        <v>6</v>
      </c>
      <c r="CJ86" s="72" t="b">
        <v>1</v>
      </c>
      <c r="CL86" t="s">
        <v>246</v>
      </c>
      <c r="CM86">
        <v>1</v>
      </c>
      <c r="CN86">
        <v>500</v>
      </c>
      <c r="CO86">
        <v>100</v>
      </c>
      <c r="CP86" s="75">
        <f ca="1">INDIRECT(ADDRESS(11+(MATCH(RIGHT(Table12[[#This Row],[spawner_sku]],LEN(Table12[[#This Row],[spawner_sku]])-FIND("/",Table12[[#This Row],[spawner_sku]])),Table1[Entity Prefab],0)),10,1,1,"Entities"))</f>
        <v>25</v>
      </c>
      <c r="CQ86" s="75">
        <f ca="1">ROUND((Table12[[#This Row],[XP]]*Table12[[#This Row],[entity_spawned (AVG)]])*(Table12[[#This Row],[activating_chance]]/100),0)</f>
        <v>25</v>
      </c>
      <c r="CR86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86" s="72">
        <v>1</v>
      </c>
      <c r="CT86" s="72">
        <v>1</v>
      </c>
      <c r="CU86" s="72" t="b">
        <v>0</v>
      </c>
      <c r="CW86" t="s">
        <v>236</v>
      </c>
      <c r="CX86">
        <v>1</v>
      </c>
      <c r="CY86">
        <v>170</v>
      </c>
      <c r="CZ86">
        <v>100</v>
      </c>
      <c r="DA86" s="75">
        <f ca="1">INDIRECT(ADDRESS(11+(MATCH(RIGHT(Table13[[#This Row],[spawner_sku]],LEN(Table13[[#This Row],[spawner_sku]])-FIND("/",Table13[[#This Row],[spawner_sku]])),Table1[Entity Prefab],0)),10,1,1,"Entities"))</f>
        <v>70</v>
      </c>
      <c r="DB86" s="75">
        <f ca="1">ROUND((Table13[[#This Row],[XP]]*Table13[[#This Row],[entity_spawned (AVG)]])*(Table13[[#This Row],[activating_chance]]/100),0)</f>
        <v>70</v>
      </c>
      <c r="DC86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86" s="72">
        <v>1</v>
      </c>
      <c r="DE86" s="72">
        <v>1</v>
      </c>
      <c r="DF86" s="72" t="b">
        <v>0</v>
      </c>
      <c r="DH86" t="s">
        <v>227</v>
      </c>
      <c r="DI86">
        <v>4</v>
      </c>
      <c r="DJ86">
        <v>120</v>
      </c>
      <c r="DK86">
        <v>80</v>
      </c>
      <c r="DL86" s="75">
        <f ca="1">INDIRECT(ADDRESS(11+(MATCH(RIGHT(Table14[[#This Row],[spawner_sku]],LEN(Table14[[#This Row],[spawner_sku]])-FIND("/",Table14[[#This Row],[spawner_sku]])),Table1[Entity Prefab],0)),10,1,1,"Entities"))</f>
        <v>25</v>
      </c>
      <c r="DM86" s="75">
        <f ca="1">ROUND((Table14[[#This Row],[XP]]*Table14[[#This Row],[entity_spawned (AVG)]])*(Table14[[#This Row],[activating_chance]]/100),0)</f>
        <v>80</v>
      </c>
      <c r="DN8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6" s="72">
        <v>4</v>
      </c>
      <c r="DP86" s="72">
        <v>4</v>
      </c>
      <c r="DQ86" s="72" t="b">
        <v>0</v>
      </c>
      <c r="DS86" t="s">
        <v>395</v>
      </c>
      <c r="DT86">
        <v>7</v>
      </c>
      <c r="DU86">
        <v>100</v>
      </c>
      <c r="DV86">
        <v>100</v>
      </c>
      <c r="DW86" s="75">
        <f ca="1">INDIRECT(ADDRESS(11+(MATCH(RIGHT(Table18[[#This Row],[spawner_sku]],LEN(Table18[[#This Row],[spawner_sku]])-FIND("/",Table18[[#This Row],[spawner_sku]])),Table1[Entity Prefab],0)),10,1,1,"Entities"))</f>
        <v>25</v>
      </c>
      <c r="DX86" s="75">
        <f ca="1">ROUND((Table18[[#This Row],[XP]]*Table18[[#This Row],[entity_spawned (AVG)]])*(Table18[[#This Row],[activating_chance]]/100),0)</f>
        <v>175</v>
      </c>
      <c r="DY8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86">
        <v>6</v>
      </c>
      <c r="EA86">
        <v>8</v>
      </c>
      <c r="EB86" t="b">
        <v>1</v>
      </c>
      <c r="ED86" t="s">
        <v>227</v>
      </c>
      <c r="EE86">
        <v>2</v>
      </c>
      <c r="EF86">
        <v>100</v>
      </c>
      <c r="EG86">
        <v>100</v>
      </c>
      <c r="EH86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86" s="75">
        <f ca="1">ROUND((Table1820[[#This Row],[XP]]*Table1820[[#This Row],[entity_spawned (AVG)]])*(Table1820[[#This Row],[activating_chance]]/100),0)</f>
        <v>50</v>
      </c>
      <c r="EJ8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86">
        <v>2</v>
      </c>
      <c r="EL86">
        <v>2</v>
      </c>
      <c r="EM86" t="b">
        <v>0</v>
      </c>
      <c r="EO86" t="s">
        <v>7346</v>
      </c>
      <c r="EP86">
        <v>3</v>
      </c>
      <c r="EQ86">
        <v>100</v>
      </c>
      <c r="ER86">
        <v>100</v>
      </c>
      <c r="ES86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ET86" s="75">
        <f ca="1">ROUND((Table182023[[#This Row],[XP]]*Table182023[[#This Row],[entity_spawned (AVG)]])*(Table182023[[#This Row],[activating_chance]]/100),0)</f>
        <v>105</v>
      </c>
      <c r="EU86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86" s="152">
        <v>2</v>
      </c>
      <c r="EW86" s="152">
        <v>4</v>
      </c>
      <c r="EX86" s="152" t="b">
        <v>0</v>
      </c>
      <c r="EZ86" t="s">
        <v>246</v>
      </c>
      <c r="FA86">
        <v>1</v>
      </c>
      <c r="FB86">
        <v>500</v>
      </c>
      <c r="FC86">
        <v>85</v>
      </c>
      <c r="FD86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86" s="75">
        <f ca="1">ROUND((Table18202324[[#This Row],[XP]]*Table18202324[[#This Row],[entity_spawned (AVG)]])*(Table18202324[[#This Row],[activating_chance]]/100),0)</f>
        <v>21</v>
      </c>
      <c r="FF86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86">
        <v>1</v>
      </c>
      <c r="FH86">
        <v>1</v>
      </c>
      <c r="FI86" t="b">
        <v>0</v>
      </c>
    </row>
    <row r="87" spans="2:165" x14ac:dyDescent="0.25">
      <c r="B87" s="73" t="s">
        <v>228</v>
      </c>
      <c r="C87">
        <v>2</v>
      </c>
      <c r="D87">
        <v>110</v>
      </c>
      <c r="E87">
        <v>100</v>
      </c>
      <c r="F87" s="75">
        <f ca="1">INDIRECT(ADDRESS(11+(MATCH(RIGHT(Table245[[#This Row],[spawner_sku]],LEN(Table245[[#This Row],[spawner_sku]])-FIND("/",Table245[[#This Row],[spawner_sku]])),Table1[Entity Prefab],0)),10,1,1,"Entities"))</f>
        <v>25</v>
      </c>
      <c r="G87" s="75">
        <f ca="1">ROUND((Table245[[#This Row],[XP]]*Table245[[#This Row],[entity_spawned (AVG)]])*(Table245[[#This Row],[activating_chance]]/100),0)</f>
        <v>50</v>
      </c>
      <c r="H8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7" s="72">
        <v>1</v>
      </c>
      <c r="J87" s="72">
        <v>3</v>
      </c>
      <c r="K87" s="72" t="b">
        <v>0</v>
      </c>
      <c r="M87" t="s">
        <v>233</v>
      </c>
      <c r="N87">
        <v>1</v>
      </c>
      <c r="O87">
        <v>250</v>
      </c>
      <c r="P87">
        <v>50</v>
      </c>
      <c r="Q87" s="75">
        <f ca="1">INDIRECT(ADDRESS(11+(MATCH(RIGHT(Table3[[#This Row],[spawner_sku]],LEN(Table3[[#This Row],[spawner_sku]])-FIND("/",Table3[[#This Row],[spawner_sku]])),Table1[Entity Prefab],0)),10,1,1,"Entities"))</f>
        <v>195</v>
      </c>
      <c r="R87" s="75">
        <f ca="1">ROUND((Table3[[#This Row],[XP]]*Table3[[#This Row],[entity_spawned (AVG)]])*(Table3[[#This Row],[activating_chance]]/100),0)</f>
        <v>98</v>
      </c>
      <c r="S87" t="str">
        <f ca="1">INDIRECT(ADDRESS(11+(MATCH(RIGHT(Table3[[#This Row],[spawner_sku]],LEN(Table3[[#This Row],[spawner_sku]])-FIND("/",Table3[[#This Row],[spawner_sku]])),Table28[Entity Prefab],0)),24,1,1,"Entities"))</f>
        <v>yes</v>
      </c>
      <c r="T87">
        <v>1</v>
      </c>
      <c r="U87">
        <v>1</v>
      </c>
      <c r="V87" t="b">
        <v>0</v>
      </c>
      <c r="W87" s="72"/>
      <c r="X87" t="s">
        <v>255</v>
      </c>
      <c r="Y87">
        <v>1.5</v>
      </c>
      <c r="Z87">
        <v>150</v>
      </c>
      <c r="AA87">
        <v>40</v>
      </c>
      <c r="AB87" s="75">
        <f ca="1">INDIRECT(ADDRESS(11+(MATCH(RIGHT(Table39[[#This Row],[spawner_sku]],LEN(Table39[[#This Row],[spawner_sku]])-FIND("/",Table39[[#This Row],[spawner_sku]])),Table1[Entity Prefab],0)),10,1,1,"Entities"))</f>
        <v>25</v>
      </c>
      <c r="AC87" s="75">
        <f ca="1">ROUND((Table39[[#This Row],[XP]]*Table39[[#This Row],[entity_spawned (AVG)]])*(Table39[[#This Row],[activating_chance]]/100),0)</f>
        <v>15</v>
      </c>
      <c r="AD87" t="str">
        <f ca="1">INDIRECT(ADDRESS(11+(MATCH(RIGHT(Table39[[#This Row],[spawner_sku]],LEN(Table39[[#This Row],[spawner_sku]])-FIND("/",Table39[[#This Row],[spawner_sku]])),Table28[Entity Prefab],0)),24,1,1,"Entities"))</f>
        <v>no</v>
      </c>
      <c r="AE87">
        <v>1</v>
      </c>
      <c r="AF87">
        <v>2</v>
      </c>
      <c r="AG87" t="b">
        <v>0</v>
      </c>
      <c r="AI87" t="s">
        <v>228</v>
      </c>
      <c r="AJ87">
        <v>7.5</v>
      </c>
      <c r="AK87">
        <v>150</v>
      </c>
      <c r="AL87">
        <v>100</v>
      </c>
      <c r="AM87" s="75">
        <f ca="1">INDIRECT(ADDRESS(11+(MATCH(RIGHT(Table2[[#This Row],[spawner_sku]],LEN(Table2[[#This Row],[spawner_sku]])-FIND("/",Table2[[#This Row],[spawner_sku]])),Table1[Entity Prefab],0)),10,1,1,"Entities"))</f>
        <v>25</v>
      </c>
      <c r="AN87" s="75">
        <f ca="1">ROUND((Table2[[#This Row],[XP]]*Table2[[#This Row],[entity_spawned (AVG)]])*(Table2[[#This Row],[activating_chance]]/100),0)</f>
        <v>188</v>
      </c>
      <c r="AO8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87" s="72">
        <v>5</v>
      </c>
      <c r="AQ87" s="72">
        <v>10</v>
      </c>
      <c r="AR87" s="72" t="b">
        <v>1</v>
      </c>
      <c r="AT87" t="s">
        <v>232</v>
      </c>
      <c r="AU87">
        <v>1</v>
      </c>
      <c r="AV87">
        <v>250</v>
      </c>
      <c r="AW87">
        <v>100</v>
      </c>
      <c r="AX87" s="75">
        <f ca="1">INDIRECT(ADDRESS(11+(MATCH(RIGHT(Table6[[#This Row],[spawner_sku]],LEN(Table6[[#This Row],[spawner_sku]])-FIND("/",Table6[[#This Row],[spawner_sku]])),Table1[Entity Prefab],0)),10,1,1,"Entities"))</f>
        <v>143</v>
      </c>
      <c r="AY87" s="75">
        <f ca="1">ROUND((Table6[[#This Row],[XP]]*Table6[[#This Row],[entity_spawned (AVG)]])*(Table6[[#This Row],[activating_chance]]/100),0)</f>
        <v>143</v>
      </c>
      <c r="AZ87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87">
        <v>1</v>
      </c>
      <c r="BB87">
        <v>1</v>
      </c>
      <c r="BC87" t="b">
        <v>0</v>
      </c>
      <c r="BE87" t="s">
        <v>238</v>
      </c>
      <c r="BF87">
        <v>1</v>
      </c>
      <c r="BG87">
        <v>2500</v>
      </c>
      <c r="BH87">
        <v>100</v>
      </c>
      <c r="BI87" s="75">
        <f ca="1">INDIRECT(ADDRESS(11+(MATCH(RIGHT(Table610[[#This Row],[spawner_sku]],LEN(Table610[[#This Row],[spawner_sku]])-FIND("/",Table610[[#This Row],[spawner_sku]])),Table1[Entity Prefab],0)),10,1,1,"Entities"))</f>
        <v>263</v>
      </c>
      <c r="BJ87" s="75">
        <f ca="1">ROUND((Table610[[#This Row],[XP]]*Table610[[#This Row],[entity_spawned (AVG)]])*(Table610[[#This Row],[activating_chance]]/100),0)</f>
        <v>263</v>
      </c>
      <c r="BK87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7">
        <v>1</v>
      </c>
      <c r="BM87">
        <v>1</v>
      </c>
      <c r="BN87" t="b">
        <v>0</v>
      </c>
      <c r="BP87" t="s">
        <v>229</v>
      </c>
      <c r="BQ87">
        <v>3</v>
      </c>
      <c r="BR87">
        <v>200</v>
      </c>
      <c r="BS87">
        <v>100</v>
      </c>
      <c r="BT8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87" s="75">
        <f ca="1">ROUND((Table61011[[#This Row],[XP]]*Table61011[[#This Row],[entity_spawned (AVG)]])*(Table61011[[#This Row],[activating_chance]]/100),0)</f>
        <v>75</v>
      </c>
      <c r="BV8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7" s="72">
        <v>2</v>
      </c>
      <c r="BX87" s="72">
        <v>4</v>
      </c>
      <c r="BY87" s="72" t="b">
        <v>0</v>
      </c>
      <c r="CA87" t="s">
        <v>228</v>
      </c>
      <c r="CB87">
        <v>2.5</v>
      </c>
      <c r="CC87">
        <v>180</v>
      </c>
      <c r="CD87">
        <v>100</v>
      </c>
      <c r="CE87" s="75">
        <f ca="1">INDIRECT(ADDRESS(11+(MATCH(RIGHT(Table11[[#This Row],[spawner_sku]],LEN(Table11[[#This Row],[spawner_sku]])-FIND("/",Table11[[#This Row],[spawner_sku]])),Table1[Entity Prefab],0)),10,1,1,"Entities"))</f>
        <v>25</v>
      </c>
      <c r="CF87">
        <f ca="1">ROUND((Table11[[#This Row],[XP]]*Table11[[#This Row],[entity_spawned (AVG)]])*(Table11[[#This Row],[activating_chance]]/100),0)</f>
        <v>63</v>
      </c>
      <c r="CG87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87" s="72">
        <v>1</v>
      </c>
      <c r="CI87" s="72">
        <v>4</v>
      </c>
      <c r="CJ87" s="72" t="b">
        <v>0</v>
      </c>
      <c r="CL87" t="s">
        <v>246</v>
      </c>
      <c r="CM87">
        <v>1</v>
      </c>
      <c r="CN87">
        <v>500</v>
      </c>
      <c r="CO87">
        <v>75</v>
      </c>
      <c r="CP87" s="75">
        <f ca="1">INDIRECT(ADDRESS(11+(MATCH(RIGHT(Table12[[#This Row],[spawner_sku]],LEN(Table12[[#This Row],[spawner_sku]])-FIND("/",Table12[[#This Row],[spawner_sku]])),Table1[Entity Prefab],0)),10,1,1,"Entities"))</f>
        <v>25</v>
      </c>
      <c r="CQ87" s="75">
        <f ca="1">ROUND((Table12[[#This Row],[XP]]*Table12[[#This Row],[entity_spawned (AVG)]])*(Table12[[#This Row],[activating_chance]]/100),0)</f>
        <v>19</v>
      </c>
      <c r="CR87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87" s="72">
        <v>1</v>
      </c>
      <c r="CT87" s="72">
        <v>1</v>
      </c>
      <c r="CU87" s="72" t="b">
        <v>0</v>
      </c>
      <c r="CW87" t="s">
        <v>236</v>
      </c>
      <c r="CX87">
        <v>1</v>
      </c>
      <c r="CY87">
        <v>170</v>
      </c>
      <c r="CZ87">
        <v>100</v>
      </c>
      <c r="DA87" s="75">
        <f ca="1">INDIRECT(ADDRESS(11+(MATCH(RIGHT(Table13[[#This Row],[spawner_sku]],LEN(Table13[[#This Row],[spawner_sku]])-FIND("/",Table13[[#This Row],[spawner_sku]])),Table1[Entity Prefab],0)),10,1,1,"Entities"))</f>
        <v>70</v>
      </c>
      <c r="DB87" s="75">
        <f ca="1">ROUND((Table13[[#This Row],[XP]]*Table13[[#This Row],[entity_spawned (AVG)]])*(Table13[[#This Row],[activating_chance]]/100),0)</f>
        <v>70</v>
      </c>
      <c r="DC87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87" s="72">
        <v>1</v>
      </c>
      <c r="DE87" s="72">
        <v>1</v>
      </c>
      <c r="DF87" s="72" t="b">
        <v>0</v>
      </c>
      <c r="DH87" t="s">
        <v>227</v>
      </c>
      <c r="DI87">
        <v>9</v>
      </c>
      <c r="DJ87">
        <v>200</v>
      </c>
      <c r="DK87">
        <v>80</v>
      </c>
      <c r="DL87" s="75">
        <f ca="1">INDIRECT(ADDRESS(11+(MATCH(RIGHT(Table14[[#This Row],[spawner_sku]],LEN(Table14[[#This Row],[spawner_sku]])-FIND("/",Table14[[#This Row],[spawner_sku]])),Table1[Entity Prefab],0)),10,1,1,"Entities"))</f>
        <v>25</v>
      </c>
      <c r="DM87" s="75">
        <f ca="1">ROUND((Table14[[#This Row],[XP]]*Table14[[#This Row],[entity_spawned (AVG)]])*(Table14[[#This Row],[activating_chance]]/100),0)</f>
        <v>180</v>
      </c>
      <c r="DN8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7" s="72">
        <v>8</v>
      </c>
      <c r="DP87" s="72">
        <v>10</v>
      </c>
      <c r="DQ87" s="72" t="b">
        <v>1</v>
      </c>
      <c r="DS87" t="s">
        <v>395</v>
      </c>
      <c r="DT87">
        <v>3</v>
      </c>
      <c r="DU87">
        <v>160</v>
      </c>
      <c r="DV87">
        <v>100</v>
      </c>
      <c r="DW87" s="75">
        <f ca="1">INDIRECT(ADDRESS(11+(MATCH(RIGHT(Table18[[#This Row],[spawner_sku]],LEN(Table18[[#This Row],[spawner_sku]])-FIND("/",Table18[[#This Row],[spawner_sku]])),Table1[Entity Prefab],0)),10,1,1,"Entities"))</f>
        <v>25</v>
      </c>
      <c r="DX87" s="75">
        <f ca="1">ROUND((Table18[[#This Row],[XP]]*Table18[[#This Row],[entity_spawned (AVG)]])*(Table18[[#This Row],[activating_chance]]/100),0)</f>
        <v>75</v>
      </c>
      <c r="DY8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87">
        <v>3</v>
      </c>
      <c r="EA87">
        <v>4</v>
      </c>
      <c r="EB87" t="b">
        <v>0</v>
      </c>
      <c r="ED87" t="s">
        <v>227</v>
      </c>
      <c r="EE87">
        <v>2</v>
      </c>
      <c r="EF87">
        <v>140</v>
      </c>
      <c r="EG87">
        <v>100</v>
      </c>
      <c r="EH87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87" s="75">
        <f ca="1">ROUND((Table1820[[#This Row],[XP]]*Table1820[[#This Row],[entity_spawned (AVG)]])*(Table1820[[#This Row],[activating_chance]]/100),0)</f>
        <v>50</v>
      </c>
      <c r="EJ8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87">
        <v>2</v>
      </c>
      <c r="EL87">
        <v>3</v>
      </c>
      <c r="EM87" t="b">
        <v>0</v>
      </c>
      <c r="EO87" t="s">
        <v>7346</v>
      </c>
      <c r="EP87">
        <v>3</v>
      </c>
      <c r="EQ87">
        <v>85</v>
      </c>
      <c r="ER87">
        <v>100</v>
      </c>
      <c r="ES87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ET87" s="75">
        <f ca="1">ROUND((Table182023[[#This Row],[XP]]*Table182023[[#This Row],[entity_spawned (AVG)]])*(Table182023[[#This Row],[activating_chance]]/100),0)</f>
        <v>105</v>
      </c>
      <c r="EU87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87" s="152">
        <v>2</v>
      </c>
      <c r="EW87" s="152">
        <v>4</v>
      </c>
      <c r="EX87" s="152" t="b">
        <v>0</v>
      </c>
      <c r="EZ87" t="s">
        <v>246</v>
      </c>
      <c r="FA87">
        <v>1</v>
      </c>
      <c r="FB87">
        <v>500</v>
      </c>
      <c r="FC87">
        <v>85</v>
      </c>
      <c r="FD87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87" s="75">
        <f ca="1">ROUND((Table18202324[[#This Row],[XP]]*Table18202324[[#This Row],[entity_spawned (AVG)]])*(Table18202324[[#This Row],[activating_chance]]/100),0)</f>
        <v>21</v>
      </c>
      <c r="FF87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87">
        <v>1</v>
      </c>
      <c r="FH87">
        <v>1</v>
      </c>
      <c r="FI87" t="b">
        <v>0</v>
      </c>
    </row>
    <row r="88" spans="2:165" x14ac:dyDescent="0.25">
      <c r="B88" s="73" t="s">
        <v>228</v>
      </c>
      <c r="C88">
        <v>1</v>
      </c>
      <c r="D88">
        <v>80</v>
      </c>
      <c r="E88">
        <v>60</v>
      </c>
      <c r="F88" s="75">
        <f ca="1">INDIRECT(ADDRESS(11+(MATCH(RIGHT(Table245[[#This Row],[spawner_sku]],LEN(Table245[[#This Row],[spawner_sku]])-FIND("/",Table245[[#This Row],[spawner_sku]])),Table1[Entity Prefab],0)),10,1,1,"Entities"))</f>
        <v>25</v>
      </c>
      <c r="G88" s="75">
        <f ca="1">ROUND((Table245[[#This Row],[XP]]*Table245[[#This Row],[entity_spawned (AVG)]])*(Table245[[#This Row],[activating_chance]]/100),0)</f>
        <v>15</v>
      </c>
      <c r="H8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8" s="72">
        <v>1</v>
      </c>
      <c r="J88" s="72">
        <v>1</v>
      </c>
      <c r="K88" s="72" t="b">
        <v>0</v>
      </c>
      <c r="M88" t="s">
        <v>233</v>
      </c>
      <c r="N88">
        <v>1</v>
      </c>
      <c r="O88">
        <v>300</v>
      </c>
      <c r="P88">
        <v>100</v>
      </c>
      <c r="Q88" s="75">
        <f ca="1">INDIRECT(ADDRESS(11+(MATCH(RIGHT(Table3[[#This Row],[spawner_sku]],LEN(Table3[[#This Row],[spawner_sku]])-FIND("/",Table3[[#This Row],[spawner_sku]])),Table1[Entity Prefab],0)),10,1,1,"Entities"))</f>
        <v>195</v>
      </c>
      <c r="R88" s="75">
        <f ca="1">ROUND((Table3[[#This Row],[XP]]*Table3[[#This Row],[entity_spawned (AVG)]])*(Table3[[#This Row],[activating_chance]]/100),0)</f>
        <v>195</v>
      </c>
      <c r="S88" t="str">
        <f ca="1">INDIRECT(ADDRESS(11+(MATCH(RIGHT(Table3[[#This Row],[spawner_sku]],LEN(Table3[[#This Row],[spawner_sku]])-FIND("/",Table3[[#This Row],[spawner_sku]])),Table28[Entity Prefab],0)),24,1,1,"Entities"))</f>
        <v>yes</v>
      </c>
      <c r="T88">
        <v>1</v>
      </c>
      <c r="U88">
        <v>1</v>
      </c>
      <c r="V88" t="b">
        <v>0</v>
      </c>
      <c r="W88" s="72"/>
      <c r="X88" t="s">
        <v>255</v>
      </c>
      <c r="Y88">
        <v>1.5</v>
      </c>
      <c r="Z88">
        <v>150</v>
      </c>
      <c r="AA88">
        <v>100</v>
      </c>
      <c r="AB88" s="75">
        <f ca="1">INDIRECT(ADDRESS(11+(MATCH(RIGHT(Table39[[#This Row],[spawner_sku]],LEN(Table39[[#This Row],[spawner_sku]])-FIND("/",Table39[[#This Row],[spawner_sku]])),Table1[Entity Prefab],0)),10,1,1,"Entities"))</f>
        <v>25</v>
      </c>
      <c r="AC88" s="75">
        <f ca="1">ROUND((Table39[[#This Row],[XP]]*Table39[[#This Row],[entity_spawned (AVG)]])*(Table39[[#This Row],[activating_chance]]/100),0)</f>
        <v>38</v>
      </c>
      <c r="AD88" t="str">
        <f ca="1">INDIRECT(ADDRESS(11+(MATCH(RIGHT(Table39[[#This Row],[spawner_sku]],LEN(Table39[[#This Row],[spawner_sku]])-FIND("/",Table39[[#This Row],[spawner_sku]])),Table28[Entity Prefab],0)),24,1,1,"Entities"))</f>
        <v>no</v>
      </c>
      <c r="AE88">
        <v>1</v>
      </c>
      <c r="AF88">
        <v>2</v>
      </c>
      <c r="AG88" t="b">
        <v>0</v>
      </c>
      <c r="AI88" t="s">
        <v>228</v>
      </c>
      <c r="AJ88">
        <v>2</v>
      </c>
      <c r="AK88">
        <v>110</v>
      </c>
      <c r="AL88">
        <v>100</v>
      </c>
      <c r="AM88" s="75">
        <f ca="1">INDIRECT(ADDRESS(11+(MATCH(RIGHT(Table2[[#This Row],[spawner_sku]],LEN(Table2[[#This Row],[spawner_sku]])-FIND("/",Table2[[#This Row],[spawner_sku]])),Table1[Entity Prefab],0)),10,1,1,"Entities"))</f>
        <v>25</v>
      </c>
      <c r="AN88" s="75">
        <f ca="1">ROUND((Table2[[#This Row],[XP]]*Table2[[#This Row],[entity_spawned (AVG)]])*(Table2[[#This Row],[activating_chance]]/100),0)</f>
        <v>50</v>
      </c>
      <c r="AO8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88" s="72">
        <v>1</v>
      </c>
      <c r="AQ88" s="72">
        <v>3</v>
      </c>
      <c r="AR88" s="72" t="b">
        <v>0</v>
      </c>
      <c r="AT88" t="s">
        <v>233</v>
      </c>
      <c r="AU88">
        <v>1</v>
      </c>
      <c r="AV88">
        <v>300</v>
      </c>
      <c r="AW88">
        <v>100</v>
      </c>
      <c r="AX88" s="75">
        <f ca="1">INDIRECT(ADDRESS(11+(MATCH(RIGHT(Table6[[#This Row],[spawner_sku]],LEN(Table6[[#This Row],[spawner_sku]])-FIND("/",Table6[[#This Row],[spawner_sku]])),Table1[Entity Prefab],0)),10,1,1,"Entities"))</f>
        <v>195</v>
      </c>
      <c r="AY88" s="75">
        <f ca="1">ROUND((Table6[[#This Row],[XP]]*Table6[[#This Row],[entity_spawned (AVG)]])*(Table6[[#This Row],[activating_chance]]/100),0)</f>
        <v>195</v>
      </c>
      <c r="AZ88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88">
        <v>1</v>
      </c>
      <c r="BB88">
        <v>1</v>
      </c>
      <c r="BC88" t="b">
        <v>0</v>
      </c>
      <c r="BE88" t="s">
        <v>241</v>
      </c>
      <c r="BF88">
        <v>1</v>
      </c>
      <c r="BG88">
        <v>1500</v>
      </c>
      <c r="BH88">
        <v>100</v>
      </c>
      <c r="BI88" s="75">
        <f ca="1">INDIRECT(ADDRESS(11+(MATCH(RIGHT(Table610[[#This Row],[spawner_sku]],LEN(Table610[[#This Row],[spawner_sku]])-FIND("/",Table610[[#This Row],[spawner_sku]])),Table1[Entity Prefab],0)),10,1,1,"Entities"))</f>
        <v>130</v>
      </c>
      <c r="BJ88" s="75">
        <f ca="1">ROUND((Table610[[#This Row],[XP]]*Table610[[#This Row],[entity_spawned (AVG)]])*(Table610[[#This Row],[activating_chance]]/100),0)</f>
        <v>130</v>
      </c>
      <c r="BK88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8">
        <v>1</v>
      </c>
      <c r="BM88">
        <v>1</v>
      </c>
      <c r="BN88" t="b">
        <v>0</v>
      </c>
      <c r="BP88" t="s">
        <v>229</v>
      </c>
      <c r="BQ88">
        <v>1.5</v>
      </c>
      <c r="BR88">
        <v>140</v>
      </c>
      <c r="BS88">
        <v>80</v>
      </c>
      <c r="BT8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88" s="75">
        <f ca="1">ROUND((Table61011[[#This Row],[XP]]*Table61011[[#This Row],[entity_spawned (AVG)]])*(Table61011[[#This Row],[activating_chance]]/100),0)</f>
        <v>30</v>
      </c>
      <c r="BV8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8" s="72">
        <v>1</v>
      </c>
      <c r="BX88" s="72">
        <v>2</v>
      </c>
      <c r="BY88" s="72" t="b">
        <v>0</v>
      </c>
      <c r="CA88" t="s">
        <v>228</v>
      </c>
      <c r="CB88">
        <v>9</v>
      </c>
      <c r="CC88">
        <v>180</v>
      </c>
      <c r="CD88">
        <v>100</v>
      </c>
      <c r="CE88" s="75">
        <f ca="1">INDIRECT(ADDRESS(11+(MATCH(RIGHT(Table11[[#This Row],[spawner_sku]],LEN(Table11[[#This Row],[spawner_sku]])-FIND("/",Table11[[#This Row],[spawner_sku]])),Table1[Entity Prefab],0)),10,1,1,"Entities"))</f>
        <v>25</v>
      </c>
      <c r="CF88">
        <f ca="1">ROUND((Table11[[#This Row],[XP]]*Table11[[#This Row],[entity_spawned (AVG)]])*(Table11[[#This Row],[activating_chance]]/100),0)</f>
        <v>225</v>
      </c>
      <c r="CG88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88" s="72">
        <v>8</v>
      </c>
      <c r="CI88" s="72">
        <v>10</v>
      </c>
      <c r="CJ88" s="72" t="b">
        <v>1</v>
      </c>
      <c r="CL88" t="s">
        <v>246</v>
      </c>
      <c r="CM88">
        <v>1</v>
      </c>
      <c r="CN88">
        <v>500</v>
      </c>
      <c r="CO88">
        <v>75</v>
      </c>
      <c r="CP88" s="75">
        <f ca="1">INDIRECT(ADDRESS(11+(MATCH(RIGHT(Table12[[#This Row],[spawner_sku]],LEN(Table12[[#This Row],[spawner_sku]])-FIND("/",Table12[[#This Row],[spawner_sku]])),Table1[Entity Prefab],0)),10,1,1,"Entities"))</f>
        <v>25</v>
      </c>
      <c r="CQ88" s="75">
        <f ca="1">ROUND((Table12[[#This Row],[XP]]*Table12[[#This Row],[entity_spawned (AVG)]])*(Table12[[#This Row],[activating_chance]]/100),0)</f>
        <v>19</v>
      </c>
      <c r="CR88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88" s="72">
        <v>1</v>
      </c>
      <c r="CT88" s="72">
        <v>1</v>
      </c>
      <c r="CU88" s="72" t="b">
        <v>0</v>
      </c>
      <c r="CW88" t="s">
        <v>239</v>
      </c>
      <c r="CX88">
        <v>1</v>
      </c>
      <c r="CY88">
        <v>2000</v>
      </c>
      <c r="CZ88">
        <v>100</v>
      </c>
      <c r="DA88" s="75">
        <f ca="1">INDIRECT(ADDRESS(11+(MATCH(RIGHT(Table13[[#This Row],[spawner_sku]],LEN(Table13[[#This Row],[spawner_sku]])-FIND("/",Table13[[#This Row],[spawner_sku]])),Table1[Entity Prefab],0)),10,1,1,"Entities"))</f>
        <v>175</v>
      </c>
      <c r="DB88" s="75">
        <f ca="1">ROUND((Table13[[#This Row],[XP]]*Table13[[#This Row],[entity_spawned (AVG)]])*(Table13[[#This Row],[activating_chance]]/100),0)</f>
        <v>175</v>
      </c>
      <c r="DC88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88" s="72">
        <v>1</v>
      </c>
      <c r="DE88" s="72">
        <v>1</v>
      </c>
      <c r="DF88" s="72" t="b">
        <v>0</v>
      </c>
      <c r="DH88" t="s">
        <v>227</v>
      </c>
      <c r="DI88">
        <v>10</v>
      </c>
      <c r="DJ88">
        <v>180</v>
      </c>
      <c r="DK88">
        <v>80</v>
      </c>
      <c r="DL88" s="75">
        <f ca="1">INDIRECT(ADDRESS(11+(MATCH(RIGHT(Table14[[#This Row],[spawner_sku]],LEN(Table14[[#This Row],[spawner_sku]])-FIND("/",Table14[[#This Row],[spawner_sku]])),Table1[Entity Prefab],0)),10,1,1,"Entities"))</f>
        <v>25</v>
      </c>
      <c r="DM88" s="75">
        <f ca="1">ROUND((Table14[[#This Row],[XP]]*Table14[[#This Row],[entity_spawned (AVG)]])*(Table14[[#This Row],[activating_chance]]/100),0)</f>
        <v>200</v>
      </c>
      <c r="DN8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8" s="72">
        <v>8</v>
      </c>
      <c r="DP88" s="72">
        <v>12</v>
      </c>
      <c r="DQ88" s="72" t="b">
        <v>1</v>
      </c>
      <c r="DS88" t="s">
        <v>395</v>
      </c>
      <c r="DT88">
        <v>3</v>
      </c>
      <c r="DU88">
        <v>160</v>
      </c>
      <c r="DV88">
        <v>10</v>
      </c>
      <c r="DW88" s="75">
        <f ca="1">INDIRECT(ADDRESS(11+(MATCH(RIGHT(Table18[[#This Row],[spawner_sku]],LEN(Table18[[#This Row],[spawner_sku]])-FIND("/",Table18[[#This Row],[spawner_sku]])),Table1[Entity Prefab],0)),10,1,1,"Entities"))</f>
        <v>25</v>
      </c>
      <c r="DX88" s="75">
        <f ca="1">ROUND((Table18[[#This Row],[XP]]*Table18[[#This Row],[entity_spawned (AVG)]])*(Table18[[#This Row],[activating_chance]]/100),0)</f>
        <v>8</v>
      </c>
      <c r="DY8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88">
        <v>3</v>
      </c>
      <c r="EA88">
        <v>4</v>
      </c>
      <c r="EB88" t="b">
        <v>0</v>
      </c>
      <c r="ED88" t="s">
        <v>227</v>
      </c>
      <c r="EE88">
        <v>3</v>
      </c>
      <c r="EF88">
        <v>140</v>
      </c>
      <c r="EG88">
        <v>100</v>
      </c>
      <c r="EH88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88" s="75">
        <f ca="1">ROUND((Table1820[[#This Row],[XP]]*Table1820[[#This Row],[entity_spawned (AVG)]])*(Table1820[[#This Row],[activating_chance]]/100),0)</f>
        <v>75</v>
      </c>
      <c r="EJ8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88">
        <v>3</v>
      </c>
      <c r="EL88">
        <v>3</v>
      </c>
      <c r="EM88" t="b">
        <v>0</v>
      </c>
      <c r="EO88" t="s">
        <v>7346</v>
      </c>
      <c r="EP88">
        <v>3</v>
      </c>
      <c r="EQ88">
        <v>90</v>
      </c>
      <c r="ER88">
        <v>100</v>
      </c>
      <c r="ES88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ET88" s="75">
        <f ca="1">ROUND((Table182023[[#This Row],[XP]]*Table182023[[#This Row],[entity_spawned (AVG)]])*(Table182023[[#This Row],[activating_chance]]/100),0)</f>
        <v>105</v>
      </c>
      <c r="EU88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88" s="152">
        <v>2</v>
      </c>
      <c r="EW88" s="152">
        <v>4</v>
      </c>
      <c r="EX88" s="152" t="b">
        <v>0</v>
      </c>
      <c r="EZ88" t="s">
        <v>246</v>
      </c>
      <c r="FA88">
        <v>1</v>
      </c>
      <c r="FB88">
        <v>500</v>
      </c>
      <c r="FC88">
        <v>85</v>
      </c>
      <c r="FD88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88" s="75">
        <f ca="1">ROUND((Table18202324[[#This Row],[XP]]*Table18202324[[#This Row],[entity_spawned (AVG)]])*(Table18202324[[#This Row],[activating_chance]]/100),0)</f>
        <v>21</v>
      </c>
      <c r="FF88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88">
        <v>1</v>
      </c>
      <c r="FH88">
        <v>1</v>
      </c>
      <c r="FI88" t="b">
        <v>0</v>
      </c>
    </row>
    <row r="89" spans="2:165" x14ac:dyDescent="0.25">
      <c r="B89" s="73" t="s">
        <v>228</v>
      </c>
      <c r="C89">
        <v>3</v>
      </c>
      <c r="D89">
        <v>160</v>
      </c>
      <c r="E89">
        <v>100</v>
      </c>
      <c r="F89" s="75">
        <f ca="1">INDIRECT(ADDRESS(11+(MATCH(RIGHT(Table245[[#This Row],[spawner_sku]],LEN(Table245[[#This Row],[spawner_sku]])-FIND("/",Table245[[#This Row],[spawner_sku]])),Table1[Entity Prefab],0)),10,1,1,"Entities"))</f>
        <v>25</v>
      </c>
      <c r="G89" s="75">
        <f ca="1">ROUND((Table245[[#This Row],[XP]]*Table245[[#This Row],[entity_spawned (AVG)]])*(Table245[[#This Row],[activating_chance]]/100),0)</f>
        <v>75</v>
      </c>
      <c r="H8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9" s="72">
        <v>2</v>
      </c>
      <c r="J89" s="72">
        <v>4</v>
      </c>
      <c r="K89" s="72" t="b">
        <v>0</v>
      </c>
      <c r="M89" t="s">
        <v>233</v>
      </c>
      <c r="N89">
        <v>1</v>
      </c>
      <c r="O89">
        <v>250</v>
      </c>
      <c r="P89">
        <v>100</v>
      </c>
      <c r="Q89" s="75">
        <f ca="1">INDIRECT(ADDRESS(11+(MATCH(RIGHT(Table3[[#This Row],[spawner_sku]],LEN(Table3[[#This Row],[spawner_sku]])-FIND("/",Table3[[#This Row],[spawner_sku]])),Table1[Entity Prefab],0)),10,1,1,"Entities"))</f>
        <v>195</v>
      </c>
      <c r="R89" s="75">
        <f ca="1">ROUND((Table3[[#This Row],[XP]]*Table3[[#This Row],[entity_spawned (AVG)]])*(Table3[[#This Row],[activating_chance]]/100),0)</f>
        <v>195</v>
      </c>
      <c r="S89" t="str">
        <f ca="1">INDIRECT(ADDRESS(11+(MATCH(RIGHT(Table3[[#This Row],[spawner_sku]],LEN(Table3[[#This Row],[spawner_sku]])-FIND("/",Table3[[#This Row],[spawner_sku]])),Table28[Entity Prefab],0)),24,1,1,"Entities"))</f>
        <v>yes</v>
      </c>
      <c r="T89">
        <v>1</v>
      </c>
      <c r="U89">
        <v>1</v>
      </c>
      <c r="V89" t="b">
        <v>0</v>
      </c>
      <c r="W89" s="72"/>
      <c r="X89" t="s">
        <v>255</v>
      </c>
      <c r="Y89">
        <v>1</v>
      </c>
      <c r="Z89">
        <v>170</v>
      </c>
      <c r="AA89">
        <v>40</v>
      </c>
      <c r="AB89" s="75">
        <f ca="1">INDIRECT(ADDRESS(11+(MATCH(RIGHT(Table39[[#This Row],[spawner_sku]],LEN(Table39[[#This Row],[spawner_sku]])-FIND("/",Table39[[#This Row],[spawner_sku]])),Table1[Entity Prefab],0)),10,1,1,"Entities"))</f>
        <v>25</v>
      </c>
      <c r="AC89" s="75">
        <f ca="1">ROUND((Table39[[#This Row],[XP]]*Table39[[#This Row],[entity_spawned (AVG)]])*(Table39[[#This Row],[activating_chance]]/100),0)</f>
        <v>10</v>
      </c>
      <c r="AD89" t="str">
        <f ca="1">INDIRECT(ADDRESS(11+(MATCH(RIGHT(Table39[[#This Row],[spawner_sku]],LEN(Table39[[#This Row],[spawner_sku]])-FIND("/",Table39[[#This Row],[spawner_sku]])),Table28[Entity Prefab],0)),24,1,1,"Entities"))</f>
        <v>no</v>
      </c>
      <c r="AE89">
        <v>1</v>
      </c>
      <c r="AF89">
        <v>1</v>
      </c>
      <c r="AG89" t="b">
        <v>0</v>
      </c>
      <c r="AI89" t="s">
        <v>228</v>
      </c>
      <c r="AJ89">
        <v>3.5</v>
      </c>
      <c r="AK89">
        <v>100</v>
      </c>
      <c r="AL89">
        <v>100</v>
      </c>
      <c r="AM89" s="75">
        <f ca="1">INDIRECT(ADDRESS(11+(MATCH(RIGHT(Table2[[#This Row],[spawner_sku]],LEN(Table2[[#This Row],[spawner_sku]])-FIND("/",Table2[[#This Row],[spawner_sku]])),Table1[Entity Prefab],0)),10,1,1,"Entities"))</f>
        <v>25</v>
      </c>
      <c r="AN89" s="75">
        <f ca="1">ROUND((Table2[[#This Row],[XP]]*Table2[[#This Row],[entity_spawned (AVG)]])*(Table2[[#This Row],[activating_chance]]/100),0)</f>
        <v>88</v>
      </c>
      <c r="AO8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89" s="72">
        <v>3</v>
      </c>
      <c r="AQ89" s="72">
        <v>4</v>
      </c>
      <c r="AR89" s="72" t="b">
        <v>0</v>
      </c>
      <c r="AT89" t="s">
        <v>233</v>
      </c>
      <c r="AU89">
        <v>1</v>
      </c>
      <c r="AV89">
        <v>300</v>
      </c>
      <c r="AW89">
        <v>100</v>
      </c>
      <c r="AX89" s="75">
        <f ca="1">INDIRECT(ADDRESS(11+(MATCH(RIGHT(Table6[[#This Row],[spawner_sku]],LEN(Table6[[#This Row],[spawner_sku]])-FIND("/",Table6[[#This Row],[spawner_sku]])),Table1[Entity Prefab],0)),10,1,1,"Entities"))</f>
        <v>195</v>
      </c>
      <c r="AY89" s="75">
        <f ca="1">ROUND((Table6[[#This Row],[XP]]*Table6[[#This Row],[entity_spawned (AVG)]])*(Table6[[#This Row],[activating_chance]]/100),0)</f>
        <v>195</v>
      </c>
      <c r="AZ89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89">
        <v>1</v>
      </c>
      <c r="BB89">
        <v>1</v>
      </c>
      <c r="BC89" t="b">
        <v>0</v>
      </c>
      <c r="BE89" t="s">
        <v>241</v>
      </c>
      <c r="BF89">
        <v>1</v>
      </c>
      <c r="BG89">
        <v>1500</v>
      </c>
      <c r="BH89">
        <v>100</v>
      </c>
      <c r="BI89" s="75">
        <f ca="1">INDIRECT(ADDRESS(11+(MATCH(RIGHT(Table610[[#This Row],[spawner_sku]],LEN(Table610[[#This Row],[spawner_sku]])-FIND("/",Table610[[#This Row],[spawner_sku]])),Table1[Entity Prefab],0)),10,1,1,"Entities"))</f>
        <v>130</v>
      </c>
      <c r="BJ89" s="75">
        <f ca="1">ROUND((Table610[[#This Row],[XP]]*Table610[[#This Row],[entity_spawned (AVG)]])*(Table610[[#This Row],[activating_chance]]/100),0)</f>
        <v>130</v>
      </c>
      <c r="BK89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9">
        <v>1</v>
      </c>
      <c r="BM89">
        <v>1</v>
      </c>
      <c r="BN89" t="b">
        <v>0</v>
      </c>
      <c r="BP89" t="s">
        <v>229</v>
      </c>
      <c r="BQ89">
        <v>3.5</v>
      </c>
      <c r="BR89">
        <v>210</v>
      </c>
      <c r="BS89">
        <v>80</v>
      </c>
      <c r="BT8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89" s="75">
        <f ca="1">ROUND((Table61011[[#This Row],[XP]]*Table61011[[#This Row],[entity_spawned (AVG)]])*(Table61011[[#This Row],[activating_chance]]/100),0)</f>
        <v>70</v>
      </c>
      <c r="BV8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9" s="72">
        <v>3</v>
      </c>
      <c r="BX89" s="72">
        <v>4</v>
      </c>
      <c r="BY89" s="72" t="b">
        <v>0</v>
      </c>
      <c r="CA89" t="s">
        <v>228</v>
      </c>
      <c r="CB89">
        <v>3.5</v>
      </c>
      <c r="CC89">
        <v>180</v>
      </c>
      <c r="CD89">
        <v>100</v>
      </c>
      <c r="CE89" s="75">
        <f ca="1">INDIRECT(ADDRESS(11+(MATCH(RIGHT(Table11[[#This Row],[spawner_sku]],LEN(Table11[[#This Row],[spawner_sku]])-FIND("/",Table11[[#This Row],[spawner_sku]])),Table1[Entity Prefab],0)),10,1,1,"Entities"))</f>
        <v>25</v>
      </c>
      <c r="CF89">
        <f ca="1">ROUND((Table11[[#This Row],[XP]]*Table11[[#This Row],[entity_spawned (AVG)]])*(Table11[[#This Row],[activating_chance]]/100),0)</f>
        <v>88</v>
      </c>
      <c r="CG89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89" s="72">
        <v>3</v>
      </c>
      <c r="CI89" s="72">
        <v>4</v>
      </c>
      <c r="CJ89" s="72" t="b">
        <v>0</v>
      </c>
      <c r="CL89" t="s">
        <v>246</v>
      </c>
      <c r="CM89">
        <v>1</v>
      </c>
      <c r="CN89">
        <v>500</v>
      </c>
      <c r="CO89">
        <v>100</v>
      </c>
      <c r="CP89" s="75">
        <f ca="1">INDIRECT(ADDRESS(11+(MATCH(RIGHT(Table12[[#This Row],[spawner_sku]],LEN(Table12[[#This Row],[spawner_sku]])-FIND("/",Table12[[#This Row],[spawner_sku]])),Table1[Entity Prefab],0)),10,1,1,"Entities"))</f>
        <v>25</v>
      </c>
      <c r="CQ89" s="75">
        <f ca="1">ROUND((Table12[[#This Row],[XP]]*Table12[[#This Row],[entity_spawned (AVG)]])*(Table12[[#This Row],[activating_chance]]/100),0)</f>
        <v>25</v>
      </c>
      <c r="CR89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89" s="72">
        <v>1</v>
      </c>
      <c r="CT89" s="72">
        <v>1</v>
      </c>
      <c r="CU89" s="72" t="b">
        <v>0</v>
      </c>
      <c r="CW89" t="s">
        <v>242</v>
      </c>
      <c r="CX89">
        <v>1</v>
      </c>
      <c r="CY89">
        <v>1500</v>
      </c>
      <c r="CZ89">
        <v>100</v>
      </c>
      <c r="DA89" s="75">
        <f ca="1">INDIRECT(ADDRESS(11+(MATCH(RIGHT(Table13[[#This Row],[spawner_sku]],LEN(Table13[[#This Row],[spawner_sku]])-FIND("/",Table13[[#This Row],[spawner_sku]])),Table1[Entity Prefab],0)),10,1,1,"Entities"))</f>
        <v>130</v>
      </c>
      <c r="DB89" s="75">
        <f ca="1">ROUND((Table13[[#This Row],[XP]]*Table13[[#This Row],[entity_spawned (AVG)]])*(Table13[[#This Row],[activating_chance]]/100),0)</f>
        <v>130</v>
      </c>
      <c r="DC89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89" s="72">
        <v>1</v>
      </c>
      <c r="DE89" s="72">
        <v>1</v>
      </c>
      <c r="DF89" s="72" t="b">
        <v>0</v>
      </c>
      <c r="DH89" t="s">
        <v>227</v>
      </c>
      <c r="DI89">
        <v>18</v>
      </c>
      <c r="DJ89">
        <v>180</v>
      </c>
      <c r="DK89">
        <v>80</v>
      </c>
      <c r="DL89" s="75">
        <f ca="1">INDIRECT(ADDRESS(11+(MATCH(RIGHT(Table14[[#This Row],[spawner_sku]],LEN(Table14[[#This Row],[spawner_sku]])-FIND("/",Table14[[#This Row],[spawner_sku]])),Table1[Entity Prefab],0)),10,1,1,"Entities"))</f>
        <v>25</v>
      </c>
      <c r="DM89" s="75">
        <f ca="1">ROUND((Table14[[#This Row],[XP]]*Table14[[#This Row],[entity_spawned (AVG)]])*(Table14[[#This Row],[activating_chance]]/100),0)</f>
        <v>360</v>
      </c>
      <c r="DN8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9" s="72">
        <v>16</v>
      </c>
      <c r="DP89" s="72">
        <v>20</v>
      </c>
      <c r="DQ89" s="72" t="b">
        <v>1</v>
      </c>
      <c r="DS89" t="s">
        <v>395</v>
      </c>
      <c r="DT89">
        <v>6</v>
      </c>
      <c r="DU89">
        <v>180</v>
      </c>
      <c r="DV89">
        <v>100</v>
      </c>
      <c r="DW89" s="75">
        <f ca="1">INDIRECT(ADDRESS(11+(MATCH(RIGHT(Table18[[#This Row],[spawner_sku]],LEN(Table18[[#This Row],[spawner_sku]])-FIND("/",Table18[[#This Row],[spawner_sku]])),Table1[Entity Prefab],0)),10,1,1,"Entities"))</f>
        <v>25</v>
      </c>
      <c r="DX89" s="75">
        <f ca="1">ROUND((Table18[[#This Row],[XP]]*Table18[[#This Row],[entity_spawned (AVG)]])*(Table18[[#This Row],[activating_chance]]/100),0)</f>
        <v>150</v>
      </c>
      <c r="DY8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89">
        <v>5</v>
      </c>
      <c r="EA89">
        <v>8</v>
      </c>
      <c r="EB89" t="b">
        <v>1</v>
      </c>
      <c r="ED89" t="s">
        <v>227</v>
      </c>
      <c r="EE89">
        <v>2</v>
      </c>
      <c r="EF89">
        <v>140</v>
      </c>
      <c r="EG89">
        <v>100</v>
      </c>
      <c r="EH8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89" s="75">
        <f ca="1">ROUND((Table1820[[#This Row],[XP]]*Table1820[[#This Row],[entity_spawned (AVG)]])*(Table1820[[#This Row],[activating_chance]]/100),0)</f>
        <v>50</v>
      </c>
      <c r="EJ8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89">
        <v>2</v>
      </c>
      <c r="EL89">
        <v>3</v>
      </c>
      <c r="EM89" t="b">
        <v>0</v>
      </c>
      <c r="EO89" t="s">
        <v>7346</v>
      </c>
      <c r="EP89">
        <v>8</v>
      </c>
      <c r="EQ89">
        <v>100</v>
      </c>
      <c r="ER89">
        <v>100</v>
      </c>
      <c r="ES89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ET89" s="75">
        <f ca="1">ROUND((Table182023[[#This Row],[XP]]*Table182023[[#This Row],[entity_spawned (AVG)]])*(Table182023[[#This Row],[activating_chance]]/100),0)</f>
        <v>280</v>
      </c>
      <c r="EU89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89" s="152">
        <v>6</v>
      </c>
      <c r="EW89" s="152">
        <v>10</v>
      </c>
      <c r="EX89" s="152" t="b">
        <v>1</v>
      </c>
      <c r="EZ89" t="s">
        <v>246</v>
      </c>
      <c r="FA89">
        <v>1</v>
      </c>
      <c r="FB89">
        <v>500</v>
      </c>
      <c r="FC89">
        <v>85</v>
      </c>
      <c r="FD89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89" s="75">
        <f ca="1">ROUND((Table18202324[[#This Row],[XP]]*Table18202324[[#This Row],[entity_spawned (AVG)]])*(Table18202324[[#This Row],[activating_chance]]/100),0)</f>
        <v>21</v>
      </c>
      <c r="FF89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89">
        <v>1</v>
      </c>
      <c r="FH89">
        <v>1</v>
      </c>
      <c r="FI89" t="b">
        <v>0</v>
      </c>
    </row>
    <row r="90" spans="2:165" x14ac:dyDescent="0.25">
      <c r="B90" s="73" t="s">
        <v>228</v>
      </c>
      <c r="C90">
        <v>9</v>
      </c>
      <c r="D90">
        <v>200</v>
      </c>
      <c r="E90">
        <v>100</v>
      </c>
      <c r="F90" s="75">
        <f ca="1">INDIRECT(ADDRESS(11+(MATCH(RIGHT(Table245[[#This Row],[spawner_sku]],LEN(Table245[[#This Row],[spawner_sku]])-FIND("/",Table245[[#This Row],[spawner_sku]])),Table1[Entity Prefab],0)),10,1,1,"Entities"))</f>
        <v>25</v>
      </c>
      <c r="G90" s="75">
        <f ca="1">ROUND((Table245[[#This Row],[XP]]*Table245[[#This Row],[entity_spawned (AVG)]])*(Table245[[#This Row],[activating_chance]]/100),0)</f>
        <v>225</v>
      </c>
      <c r="H9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0" s="72">
        <v>6</v>
      </c>
      <c r="J90" s="72">
        <v>12</v>
      </c>
      <c r="K90" s="72" t="b">
        <v>1</v>
      </c>
      <c r="M90" t="s">
        <v>233</v>
      </c>
      <c r="N90">
        <v>1</v>
      </c>
      <c r="O90">
        <v>250</v>
      </c>
      <c r="P90">
        <v>50</v>
      </c>
      <c r="Q90" s="75">
        <f ca="1">INDIRECT(ADDRESS(11+(MATCH(RIGHT(Table3[[#This Row],[spawner_sku]],LEN(Table3[[#This Row],[spawner_sku]])-FIND("/",Table3[[#This Row],[spawner_sku]])),Table1[Entity Prefab],0)),10,1,1,"Entities"))</f>
        <v>195</v>
      </c>
      <c r="R90" s="75">
        <f ca="1">ROUND((Table3[[#This Row],[XP]]*Table3[[#This Row],[entity_spawned (AVG)]])*(Table3[[#This Row],[activating_chance]]/100),0)</f>
        <v>98</v>
      </c>
      <c r="S90" t="str">
        <f ca="1">INDIRECT(ADDRESS(11+(MATCH(RIGHT(Table3[[#This Row],[spawner_sku]],LEN(Table3[[#This Row],[spawner_sku]])-FIND("/",Table3[[#This Row],[spawner_sku]])),Table28[Entity Prefab],0)),24,1,1,"Entities"))</f>
        <v>yes</v>
      </c>
      <c r="T90">
        <v>1</v>
      </c>
      <c r="U90">
        <v>1</v>
      </c>
      <c r="V90" t="b">
        <v>0</v>
      </c>
      <c r="W90" s="72"/>
      <c r="X90" t="s">
        <v>255</v>
      </c>
      <c r="Y90">
        <v>1.5</v>
      </c>
      <c r="Z90">
        <v>150</v>
      </c>
      <c r="AA90">
        <v>40</v>
      </c>
      <c r="AB90" s="75">
        <f ca="1">INDIRECT(ADDRESS(11+(MATCH(RIGHT(Table39[[#This Row],[spawner_sku]],LEN(Table39[[#This Row],[spawner_sku]])-FIND("/",Table39[[#This Row],[spawner_sku]])),Table1[Entity Prefab],0)),10,1,1,"Entities"))</f>
        <v>25</v>
      </c>
      <c r="AC90" s="75">
        <f ca="1">ROUND((Table39[[#This Row],[XP]]*Table39[[#This Row],[entity_spawned (AVG)]])*(Table39[[#This Row],[activating_chance]]/100),0)</f>
        <v>15</v>
      </c>
      <c r="AD90" t="str">
        <f ca="1">INDIRECT(ADDRESS(11+(MATCH(RIGHT(Table39[[#This Row],[spawner_sku]],LEN(Table39[[#This Row],[spawner_sku]])-FIND("/",Table39[[#This Row],[spawner_sku]])),Table28[Entity Prefab],0)),24,1,1,"Entities"))</f>
        <v>no</v>
      </c>
      <c r="AE90">
        <v>1</v>
      </c>
      <c r="AF90">
        <v>2</v>
      </c>
      <c r="AG90" t="b">
        <v>0</v>
      </c>
      <c r="AI90" t="s">
        <v>228</v>
      </c>
      <c r="AJ90">
        <v>2</v>
      </c>
      <c r="AK90">
        <v>110</v>
      </c>
      <c r="AL90">
        <v>100</v>
      </c>
      <c r="AM90" s="75">
        <f ca="1">INDIRECT(ADDRESS(11+(MATCH(RIGHT(Table2[[#This Row],[spawner_sku]],LEN(Table2[[#This Row],[spawner_sku]])-FIND("/",Table2[[#This Row],[spawner_sku]])),Table1[Entity Prefab],0)),10,1,1,"Entities"))</f>
        <v>25</v>
      </c>
      <c r="AN90" s="75">
        <f ca="1">ROUND((Table2[[#This Row],[XP]]*Table2[[#This Row],[entity_spawned (AVG)]])*(Table2[[#This Row],[activating_chance]]/100),0)</f>
        <v>50</v>
      </c>
      <c r="AO9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90" s="72">
        <v>1</v>
      </c>
      <c r="AQ90" s="72">
        <v>3</v>
      </c>
      <c r="AR90" s="72" t="b">
        <v>0</v>
      </c>
      <c r="AT90" t="s">
        <v>233</v>
      </c>
      <c r="AU90">
        <v>1</v>
      </c>
      <c r="AV90">
        <v>300</v>
      </c>
      <c r="AW90">
        <v>100</v>
      </c>
      <c r="AX90" s="75">
        <f ca="1">INDIRECT(ADDRESS(11+(MATCH(RIGHT(Table6[[#This Row],[spawner_sku]],LEN(Table6[[#This Row],[spawner_sku]])-FIND("/",Table6[[#This Row],[spawner_sku]])),Table1[Entity Prefab],0)),10,1,1,"Entities"))</f>
        <v>195</v>
      </c>
      <c r="AY90" s="75">
        <f ca="1">ROUND((Table6[[#This Row],[XP]]*Table6[[#This Row],[entity_spawned (AVG)]])*(Table6[[#This Row],[activating_chance]]/100),0)</f>
        <v>195</v>
      </c>
      <c r="AZ90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90">
        <v>1</v>
      </c>
      <c r="BB90">
        <v>1</v>
      </c>
      <c r="BC90" t="b">
        <v>0</v>
      </c>
      <c r="BE90" t="s">
        <v>241</v>
      </c>
      <c r="BF90">
        <v>1</v>
      </c>
      <c r="BG90">
        <v>1500</v>
      </c>
      <c r="BH90">
        <v>100</v>
      </c>
      <c r="BI90" s="75">
        <f ca="1">INDIRECT(ADDRESS(11+(MATCH(RIGHT(Table610[[#This Row],[spawner_sku]],LEN(Table610[[#This Row],[spawner_sku]])-FIND("/",Table610[[#This Row],[spawner_sku]])),Table1[Entity Prefab],0)),10,1,1,"Entities"))</f>
        <v>130</v>
      </c>
      <c r="BJ90" s="75">
        <f ca="1">ROUND((Table610[[#This Row],[XP]]*Table610[[#This Row],[entity_spawned (AVG)]])*(Table610[[#This Row],[activating_chance]]/100),0)</f>
        <v>130</v>
      </c>
      <c r="BK90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90">
        <v>1</v>
      </c>
      <c r="BM90">
        <v>1</v>
      </c>
      <c r="BN90" t="b">
        <v>0</v>
      </c>
      <c r="BP90" t="s">
        <v>229</v>
      </c>
      <c r="BQ90">
        <v>3</v>
      </c>
      <c r="BR90">
        <v>200</v>
      </c>
      <c r="BS90">
        <v>100</v>
      </c>
      <c r="BT9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90" s="75">
        <f ca="1">ROUND((Table61011[[#This Row],[XP]]*Table61011[[#This Row],[entity_spawned (AVG)]])*(Table61011[[#This Row],[activating_chance]]/100),0)</f>
        <v>75</v>
      </c>
      <c r="BV9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0" s="72">
        <v>2</v>
      </c>
      <c r="BX90" s="72">
        <v>4</v>
      </c>
      <c r="BY90" s="72" t="b">
        <v>0</v>
      </c>
      <c r="CA90" t="s">
        <v>228</v>
      </c>
      <c r="CB90">
        <v>3</v>
      </c>
      <c r="CC90">
        <v>180</v>
      </c>
      <c r="CD90">
        <v>100</v>
      </c>
      <c r="CE90" s="75">
        <f ca="1">INDIRECT(ADDRESS(11+(MATCH(RIGHT(Table11[[#This Row],[spawner_sku]],LEN(Table11[[#This Row],[spawner_sku]])-FIND("/",Table11[[#This Row],[spawner_sku]])),Table1[Entity Prefab],0)),10,1,1,"Entities"))</f>
        <v>25</v>
      </c>
      <c r="CF90">
        <f ca="1">ROUND((Table11[[#This Row],[XP]]*Table11[[#This Row],[entity_spawned (AVG)]])*(Table11[[#This Row],[activating_chance]]/100),0)</f>
        <v>75</v>
      </c>
      <c r="CG90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90" s="72">
        <v>2</v>
      </c>
      <c r="CI90" s="72">
        <v>4</v>
      </c>
      <c r="CJ90" s="72" t="b">
        <v>0</v>
      </c>
      <c r="CL90" t="s">
        <v>246</v>
      </c>
      <c r="CM90">
        <v>1</v>
      </c>
      <c r="CN90">
        <v>500</v>
      </c>
      <c r="CO90">
        <v>75</v>
      </c>
      <c r="CP90" s="75">
        <f ca="1">INDIRECT(ADDRESS(11+(MATCH(RIGHT(Table12[[#This Row],[spawner_sku]],LEN(Table12[[#This Row],[spawner_sku]])-FIND("/",Table12[[#This Row],[spawner_sku]])),Table1[Entity Prefab],0)),10,1,1,"Entities"))</f>
        <v>25</v>
      </c>
      <c r="CQ90" s="75">
        <f ca="1">ROUND((Table12[[#This Row],[XP]]*Table12[[#This Row],[entity_spawned (AVG)]])*(Table12[[#This Row],[activating_chance]]/100),0)</f>
        <v>19</v>
      </c>
      <c r="CR90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90" s="72">
        <v>1</v>
      </c>
      <c r="CT90" s="72">
        <v>1</v>
      </c>
      <c r="CU90" s="72" t="b">
        <v>0</v>
      </c>
      <c r="CW90" t="s">
        <v>242</v>
      </c>
      <c r="CX90">
        <v>1</v>
      </c>
      <c r="CY90">
        <v>1500</v>
      </c>
      <c r="CZ90">
        <v>20</v>
      </c>
      <c r="DA90" s="75">
        <f ca="1">INDIRECT(ADDRESS(11+(MATCH(RIGHT(Table13[[#This Row],[spawner_sku]],LEN(Table13[[#This Row],[spawner_sku]])-FIND("/",Table13[[#This Row],[spawner_sku]])),Table1[Entity Prefab],0)),10,1,1,"Entities"))</f>
        <v>130</v>
      </c>
      <c r="DB90" s="75">
        <f ca="1">ROUND((Table13[[#This Row],[XP]]*Table13[[#This Row],[entity_spawned (AVG)]])*(Table13[[#This Row],[activating_chance]]/100),0)</f>
        <v>26</v>
      </c>
      <c r="DC90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90" s="72">
        <v>1</v>
      </c>
      <c r="DE90" s="72">
        <v>1</v>
      </c>
      <c r="DF90" s="72" t="b">
        <v>0</v>
      </c>
      <c r="DH90" t="s">
        <v>227</v>
      </c>
      <c r="DI90">
        <v>3.5</v>
      </c>
      <c r="DJ90">
        <v>100</v>
      </c>
      <c r="DK90">
        <v>100</v>
      </c>
      <c r="DL90" s="75">
        <f ca="1">INDIRECT(ADDRESS(11+(MATCH(RIGHT(Table14[[#This Row],[spawner_sku]],LEN(Table14[[#This Row],[spawner_sku]])-FIND("/",Table14[[#This Row],[spawner_sku]])),Table1[Entity Prefab],0)),10,1,1,"Entities"))</f>
        <v>25</v>
      </c>
      <c r="DM90" s="75">
        <f ca="1">ROUND((Table14[[#This Row],[XP]]*Table14[[#This Row],[entity_spawned (AVG)]])*(Table14[[#This Row],[activating_chance]]/100),0)</f>
        <v>88</v>
      </c>
      <c r="DN9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90" s="72">
        <v>3</v>
      </c>
      <c r="DP90" s="72">
        <v>4</v>
      </c>
      <c r="DQ90" s="72" t="b">
        <v>0</v>
      </c>
      <c r="DS90" t="s">
        <v>395</v>
      </c>
      <c r="DT90">
        <v>3</v>
      </c>
      <c r="DU90">
        <v>160</v>
      </c>
      <c r="DV90">
        <v>100</v>
      </c>
      <c r="DW90" s="75">
        <f ca="1">INDIRECT(ADDRESS(11+(MATCH(RIGHT(Table18[[#This Row],[spawner_sku]],LEN(Table18[[#This Row],[spawner_sku]])-FIND("/",Table18[[#This Row],[spawner_sku]])),Table1[Entity Prefab],0)),10,1,1,"Entities"))</f>
        <v>25</v>
      </c>
      <c r="DX90" s="75">
        <f ca="1">ROUND((Table18[[#This Row],[XP]]*Table18[[#This Row],[entity_spawned (AVG)]])*(Table18[[#This Row],[activating_chance]]/100),0)</f>
        <v>75</v>
      </c>
      <c r="DY9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90">
        <v>3</v>
      </c>
      <c r="EA90">
        <v>4</v>
      </c>
      <c r="EB90" t="b">
        <v>0</v>
      </c>
      <c r="ED90" t="s">
        <v>227</v>
      </c>
      <c r="EE90">
        <v>3</v>
      </c>
      <c r="EF90">
        <v>140</v>
      </c>
      <c r="EG90">
        <v>100</v>
      </c>
      <c r="EH90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90" s="75">
        <f ca="1">ROUND((Table1820[[#This Row],[XP]]*Table1820[[#This Row],[entity_spawned (AVG)]])*(Table1820[[#This Row],[activating_chance]]/100),0)</f>
        <v>75</v>
      </c>
      <c r="EJ9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90">
        <v>3</v>
      </c>
      <c r="EL90">
        <v>4</v>
      </c>
      <c r="EM90" t="b">
        <v>0</v>
      </c>
      <c r="EO90" t="s">
        <v>7346</v>
      </c>
      <c r="EP90">
        <v>2.5</v>
      </c>
      <c r="EQ90">
        <v>70</v>
      </c>
      <c r="ER90">
        <v>100</v>
      </c>
      <c r="ES90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ET90" s="75">
        <f ca="1">ROUND((Table182023[[#This Row],[XP]]*Table182023[[#This Row],[entity_spawned (AVG)]])*(Table182023[[#This Row],[activating_chance]]/100),0)</f>
        <v>88</v>
      </c>
      <c r="EU90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90" s="152">
        <v>2</v>
      </c>
      <c r="EW90" s="152">
        <v>3</v>
      </c>
      <c r="EX90" s="152" t="b">
        <v>0</v>
      </c>
      <c r="EZ90" t="s">
        <v>490</v>
      </c>
      <c r="FA90">
        <v>1</v>
      </c>
      <c r="FB90">
        <v>110</v>
      </c>
      <c r="FC90">
        <v>100</v>
      </c>
      <c r="FD90" s="75">
        <f ca="1">INDIRECT(ADDRESS(11+(MATCH(RIGHT(Table18202324[[#This Row],[spawner_sku]],LEN(Table18202324[[#This Row],[spawner_sku]])-FIND("/",Table18202324[[#This Row],[spawner_sku]])),Table1[Entity Prefab],0)),10,1,1,"Entities"))</f>
        <v>28</v>
      </c>
      <c r="FE90" s="75">
        <f ca="1">ROUND((Table18202324[[#This Row],[XP]]*Table18202324[[#This Row],[entity_spawned (AVG)]])*(Table18202324[[#This Row],[activating_chance]]/100),0)</f>
        <v>28</v>
      </c>
      <c r="FF90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90">
        <v>1</v>
      </c>
      <c r="FH90">
        <v>1</v>
      </c>
      <c r="FI90" t="b">
        <v>0</v>
      </c>
    </row>
    <row r="91" spans="2:165" x14ac:dyDescent="0.25">
      <c r="B91" s="73" t="s">
        <v>228</v>
      </c>
      <c r="C91">
        <v>5.5</v>
      </c>
      <c r="D91">
        <v>160</v>
      </c>
      <c r="E91">
        <v>100</v>
      </c>
      <c r="F91" s="75">
        <f ca="1">INDIRECT(ADDRESS(11+(MATCH(RIGHT(Table245[[#This Row],[spawner_sku]],LEN(Table245[[#This Row],[spawner_sku]])-FIND("/",Table245[[#This Row],[spawner_sku]])),Table1[Entity Prefab],0)),10,1,1,"Entities"))</f>
        <v>25</v>
      </c>
      <c r="G91" s="75">
        <f ca="1">ROUND((Table245[[#This Row],[XP]]*Table245[[#This Row],[entity_spawned (AVG)]])*(Table245[[#This Row],[activating_chance]]/100),0)</f>
        <v>138</v>
      </c>
      <c r="H9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1" s="72">
        <v>5</v>
      </c>
      <c r="J91" s="72">
        <v>6</v>
      </c>
      <c r="K91" s="72" t="b">
        <v>1</v>
      </c>
      <c r="M91" t="s">
        <v>336</v>
      </c>
      <c r="N91">
        <v>1</v>
      </c>
      <c r="O91">
        <v>300</v>
      </c>
      <c r="P91">
        <v>50</v>
      </c>
      <c r="Q91" s="75">
        <f ca="1">INDIRECT(ADDRESS(11+(MATCH(RIGHT(Table3[[#This Row],[spawner_sku]],LEN(Table3[[#This Row],[spawner_sku]])-FIND("/",Table3[[#This Row],[spawner_sku]])),Table1[Entity Prefab],0)),10,1,1,"Entities"))</f>
        <v>195</v>
      </c>
      <c r="R91" s="75">
        <f ca="1">ROUND((Table3[[#This Row],[XP]]*Table3[[#This Row],[entity_spawned (AVG)]])*(Table3[[#This Row],[activating_chance]]/100),0)</f>
        <v>98</v>
      </c>
      <c r="S91" t="str">
        <f ca="1">INDIRECT(ADDRESS(11+(MATCH(RIGHT(Table3[[#This Row],[spawner_sku]],LEN(Table3[[#This Row],[spawner_sku]])-FIND("/",Table3[[#This Row],[spawner_sku]])),Table28[Entity Prefab],0)),24,1,1,"Entities"))</f>
        <v>yes</v>
      </c>
      <c r="T91">
        <v>1</v>
      </c>
      <c r="U91">
        <v>1</v>
      </c>
      <c r="V91" t="b">
        <v>0</v>
      </c>
      <c r="W91" s="72"/>
      <c r="X91" t="s">
        <v>256</v>
      </c>
      <c r="Y91">
        <v>1</v>
      </c>
      <c r="Z91">
        <v>140</v>
      </c>
      <c r="AA91">
        <v>100</v>
      </c>
      <c r="AB91" s="75">
        <f ca="1">INDIRECT(ADDRESS(11+(MATCH(RIGHT(Table39[[#This Row],[spawner_sku]],LEN(Table39[[#This Row],[spawner_sku]])-FIND("/",Table39[[#This Row],[spawner_sku]])),Table1[Entity Prefab],0)),10,1,1,"Entities"))</f>
        <v>25</v>
      </c>
      <c r="AC91" s="75">
        <f ca="1">ROUND((Table39[[#This Row],[XP]]*Table39[[#This Row],[entity_spawned (AVG)]])*(Table39[[#This Row],[activating_chance]]/100),0)</f>
        <v>25</v>
      </c>
      <c r="AD91" t="str">
        <f ca="1">INDIRECT(ADDRESS(11+(MATCH(RIGHT(Table39[[#This Row],[spawner_sku]],LEN(Table39[[#This Row],[spawner_sku]])-FIND("/",Table39[[#This Row],[spawner_sku]])),Table28[Entity Prefab],0)),24,1,1,"Entities"))</f>
        <v>no</v>
      </c>
      <c r="AE91">
        <v>1</v>
      </c>
      <c r="AF91">
        <v>1</v>
      </c>
      <c r="AG91" t="b">
        <v>0</v>
      </c>
      <c r="AI91" t="s">
        <v>228</v>
      </c>
      <c r="AJ91">
        <v>1</v>
      </c>
      <c r="AK91">
        <v>100</v>
      </c>
      <c r="AL91">
        <v>100</v>
      </c>
      <c r="AM91" s="75">
        <f ca="1">INDIRECT(ADDRESS(11+(MATCH(RIGHT(Table2[[#This Row],[spawner_sku]],LEN(Table2[[#This Row],[spawner_sku]])-FIND("/",Table2[[#This Row],[spawner_sku]])),Table1[Entity Prefab],0)),10,1,1,"Entities"))</f>
        <v>25</v>
      </c>
      <c r="AN91" s="75">
        <f ca="1">ROUND((Table2[[#This Row],[XP]]*Table2[[#This Row],[entity_spawned (AVG)]])*(Table2[[#This Row],[activating_chance]]/100),0)</f>
        <v>25</v>
      </c>
      <c r="AO9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91" s="72">
        <v>1</v>
      </c>
      <c r="AQ91" s="72">
        <v>1</v>
      </c>
      <c r="AR91" s="72" t="b">
        <v>0</v>
      </c>
      <c r="AT91" t="s">
        <v>233</v>
      </c>
      <c r="AU91">
        <v>1</v>
      </c>
      <c r="AV91">
        <v>300</v>
      </c>
      <c r="AW91">
        <v>100</v>
      </c>
      <c r="AX91" s="75">
        <f ca="1">INDIRECT(ADDRESS(11+(MATCH(RIGHT(Table6[[#This Row],[spawner_sku]],LEN(Table6[[#This Row],[spawner_sku]])-FIND("/",Table6[[#This Row],[spawner_sku]])),Table1[Entity Prefab],0)),10,1,1,"Entities"))</f>
        <v>195</v>
      </c>
      <c r="AY91" s="75">
        <f ca="1">ROUND((Table6[[#This Row],[XP]]*Table6[[#This Row],[entity_spawned (AVG)]])*(Table6[[#This Row],[activating_chance]]/100),0)</f>
        <v>195</v>
      </c>
      <c r="AZ91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91">
        <v>1</v>
      </c>
      <c r="BB91">
        <v>1</v>
      </c>
      <c r="BC91" t="b">
        <v>0</v>
      </c>
      <c r="BE91" t="s">
        <v>241</v>
      </c>
      <c r="BF91">
        <v>1</v>
      </c>
      <c r="BG91">
        <v>1500</v>
      </c>
      <c r="BH91">
        <v>100</v>
      </c>
      <c r="BI91" s="75">
        <f ca="1">INDIRECT(ADDRESS(11+(MATCH(RIGHT(Table610[[#This Row],[spawner_sku]],LEN(Table610[[#This Row],[spawner_sku]])-FIND("/",Table610[[#This Row],[spawner_sku]])),Table1[Entity Prefab],0)),10,1,1,"Entities"))</f>
        <v>130</v>
      </c>
      <c r="BJ91" s="75">
        <f ca="1">ROUND((Table610[[#This Row],[XP]]*Table610[[#This Row],[entity_spawned (AVG)]])*(Table610[[#This Row],[activating_chance]]/100),0)</f>
        <v>130</v>
      </c>
      <c r="BK91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91">
        <v>1</v>
      </c>
      <c r="BM91">
        <v>1</v>
      </c>
      <c r="BN91" t="b">
        <v>0</v>
      </c>
      <c r="BP91" t="s">
        <v>230</v>
      </c>
      <c r="BQ91">
        <v>5.5</v>
      </c>
      <c r="BR91">
        <v>220</v>
      </c>
      <c r="BS91">
        <v>100</v>
      </c>
      <c r="BT9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91" s="75">
        <f ca="1">ROUND((Table61011[[#This Row],[XP]]*Table61011[[#This Row],[entity_spawned (AVG)]])*(Table61011[[#This Row],[activating_chance]]/100),0)</f>
        <v>138</v>
      </c>
      <c r="BV9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1" s="72">
        <v>5</v>
      </c>
      <c r="BX91" s="72">
        <v>6</v>
      </c>
      <c r="BY91" s="72" t="b">
        <v>1</v>
      </c>
      <c r="CA91" t="s">
        <v>228</v>
      </c>
      <c r="CB91">
        <v>3.5</v>
      </c>
      <c r="CC91">
        <v>180</v>
      </c>
      <c r="CD91">
        <v>80</v>
      </c>
      <c r="CE91" s="75">
        <f ca="1">INDIRECT(ADDRESS(11+(MATCH(RIGHT(Table11[[#This Row],[spawner_sku]],LEN(Table11[[#This Row],[spawner_sku]])-FIND("/",Table11[[#This Row],[spawner_sku]])),Table1[Entity Prefab],0)),10,1,1,"Entities"))</f>
        <v>25</v>
      </c>
      <c r="CF91">
        <f ca="1">ROUND((Table11[[#This Row],[XP]]*Table11[[#This Row],[entity_spawned (AVG)]])*(Table11[[#This Row],[activating_chance]]/100),0)</f>
        <v>70</v>
      </c>
      <c r="CG91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91" s="72">
        <v>3</v>
      </c>
      <c r="CI91" s="72">
        <v>4</v>
      </c>
      <c r="CJ91" s="72" t="b">
        <v>0</v>
      </c>
      <c r="CL91" t="s">
        <v>246</v>
      </c>
      <c r="CM91">
        <v>1</v>
      </c>
      <c r="CN91">
        <v>500</v>
      </c>
      <c r="CO91">
        <v>75</v>
      </c>
      <c r="CP91" s="75">
        <f ca="1">INDIRECT(ADDRESS(11+(MATCH(RIGHT(Table12[[#This Row],[spawner_sku]],LEN(Table12[[#This Row],[spawner_sku]])-FIND("/",Table12[[#This Row],[spawner_sku]])),Table1[Entity Prefab],0)),10,1,1,"Entities"))</f>
        <v>25</v>
      </c>
      <c r="CQ91" s="75">
        <f ca="1">ROUND((Table12[[#This Row],[XP]]*Table12[[#This Row],[entity_spawned (AVG)]])*(Table12[[#This Row],[activating_chance]]/100),0)</f>
        <v>19</v>
      </c>
      <c r="CR91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91" s="72">
        <v>1</v>
      </c>
      <c r="CT91" s="72">
        <v>1</v>
      </c>
      <c r="CU91" s="72" t="b">
        <v>0</v>
      </c>
      <c r="CW91" t="s">
        <v>242</v>
      </c>
      <c r="CX91">
        <v>1</v>
      </c>
      <c r="CY91">
        <v>1500</v>
      </c>
      <c r="CZ91">
        <v>80</v>
      </c>
      <c r="DA91" s="75">
        <f ca="1">INDIRECT(ADDRESS(11+(MATCH(RIGHT(Table13[[#This Row],[spawner_sku]],LEN(Table13[[#This Row],[spawner_sku]])-FIND("/",Table13[[#This Row],[spawner_sku]])),Table1[Entity Prefab],0)),10,1,1,"Entities"))</f>
        <v>130</v>
      </c>
      <c r="DB91" s="75">
        <f ca="1">ROUND((Table13[[#This Row],[XP]]*Table13[[#This Row],[entity_spawned (AVG)]])*(Table13[[#This Row],[activating_chance]]/100),0)</f>
        <v>104</v>
      </c>
      <c r="DC91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91" s="72">
        <v>1</v>
      </c>
      <c r="DE91" s="72">
        <v>1</v>
      </c>
      <c r="DF91" s="72" t="b">
        <v>0</v>
      </c>
      <c r="DH91" t="s">
        <v>227</v>
      </c>
      <c r="DI91">
        <v>3.5</v>
      </c>
      <c r="DJ91">
        <v>120</v>
      </c>
      <c r="DK91">
        <v>80</v>
      </c>
      <c r="DL91" s="75">
        <f ca="1">INDIRECT(ADDRESS(11+(MATCH(RIGHT(Table14[[#This Row],[spawner_sku]],LEN(Table14[[#This Row],[spawner_sku]])-FIND("/",Table14[[#This Row],[spawner_sku]])),Table1[Entity Prefab],0)),10,1,1,"Entities"))</f>
        <v>25</v>
      </c>
      <c r="DM91" s="75">
        <f ca="1">ROUND((Table14[[#This Row],[XP]]*Table14[[#This Row],[entity_spawned (AVG)]])*(Table14[[#This Row],[activating_chance]]/100),0)</f>
        <v>70</v>
      </c>
      <c r="DN9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91" s="72">
        <v>3</v>
      </c>
      <c r="DP91" s="72">
        <v>4</v>
      </c>
      <c r="DQ91" s="72" t="b">
        <v>0</v>
      </c>
      <c r="DS91" t="s">
        <v>395</v>
      </c>
      <c r="DT91">
        <v>3</v>
      </c>
      <c r="DU91">
        <v>160</v>
      </c>
      <c r="DV91">
        <v>100</v>
      </c>
      <c r="DW91" s="75">
        <f ca="1">INDIRECT(ADDRESS(11+(MATCH(RIGHT(Table18[[#This Row],[spawner_sku]],LEN(Table18[[#This Row],[spawner_sku]])-FIND("/",Table18[[#This Row],[spawner_sku]])),Table1[Entity Prefab],0)),10,1,1,"Entities"))</f>
        <v>25</v>
      </c>
      <c r="DX91" s="75">
        <f ca="1">ROUND((Table18[[#This Row],[XP]]*Table18[[#This Row],[entity_spawned (AVG)]])*(Table18[[#This Row],[activating_chance]]/100),0)</f>
        <v>75</v>
      </c>
      <c r="DY9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91">
        <v>2</v>
      </c>
      <c r="EA91">
        <v>4</v>
      </c>
      <c r="EB91" t="b">
        <v>0</v>
      </c>
      <c r="ED91" t="s">
        <v>227</v>
      </c>
      <c r="EE91">
        <v>3</v>
      </c>
      <c r="EF91">
        <v>140</v>
      </c>
      <c r="EG91">
        <v>100</v>
      </c>
      <c r="EH91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91" s="75">
        <f ca="1">ROUND((Table1820[[#This Row],[XP]]*Table1820[[#This Row],[entity_spawned (AVG)]])*(Table1820[[#This Row],[activating_chance]]/100),0)</f>
        <v>75</v>
      </c>
      <c r="EJ9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91">
        <v>3</v>
      </c>
      <c r="EL91">
        <v>4</v>
      </c>
      <c r="EM91" t="b">
        <v>0</v>
      </c>
      <c r="EO91" t="s">
        <v>7346</v>
      </c>
      <c r="EP91">
        <v>2.5</v>
      </c>
      <c r="EQ91">
        <v>80</v>
      </c>
      <c r="ER91">
        <v>80</v>
      </c>
      <c r="ES91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ET91" s="75">
        <f ca="1">ROUND((Table182023[[#This Row],[XP]]*Table182023[[#This Row],[entity_spawned (AVG)]])*(Table182023[[#This Row],[activating_chance]]/100),0)</f>
        <v>70</v>
      </c>
      <c r="EU91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91" s="152">
        <v>2</v>
      </c>
      <c r="EW91" s="152">
        <v>3</v>
      </c>
      <c r="EX91" s="152" t="b">
        <v>0</v>
      </c>
      <c r="EZ91" t="s">
        <v>490</v>
      </c>
      <c r="FA91">
        <v>1</v>
      </c>
      <c r="FB91">
        <v>110</v>
      </c>
      <c r="FC91">
        <v>100</v>
      </c>
      <c r="FD91" s="75">
        <f ca="1">INDIRECT(ADDRESS(11+(MATCH(RIGHT(Table18202324[[#This Row],[spawner_sku]],LEN(Table18202324[[#This Row],[spawner_sku]])-FIND("/",Table18202324[[#This Row],[spawner_sku]])),Table1[Entity Prefab],0)),10,1,1,"Entities"))</f>
        <v>28</v>
      </c>
      <c r="FE91" s="75">
        <f ca="1">ROUND((Table18202324[[#This Row],[XP]]*Table18202324[[#This Row],[entity_spawned (AVG)]])*(Table18202324[[#This Row],[activating_chance]]/100),0)</f>
        <v>28</v>
      </c>
      <c r="FF91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91">
        <v>1</v>
      </c>
      <c r="FH91">
        <v>1</v>
      </c>
      <c r="FI91" t="b">
        <v>0</v>
      </c>
    </row>
    <row r="92" spans="2:165" x14ac:dyDescent="0.25">
      <c r="B92" s="73" t="s">
        <v>228</v>
      </c>
      <c r="C92">
        <v>2.5</v>
      </c>
      <c r="D92">
        <v>80</v>
      </c>
      <c r="E92">
        <v>60</v>
      </c>
      <c r="F92" s="75">
        <f ca="1">INDIRECT(ADDRESS(11+(MATCH(RIGHT(Table245[[#This Row],[spawner_sku]],LEN(Table245[[#This Row],[spawner_sku]])-FIND("/",Table245[[#This Row],[spawner_sku]])),Table1[Entity Prefab],0)),10,1,1,"Entities"))</f>
        <v>25</v>
      </c>
      <c r="G92" s="75">
        <f ca="1">ROUND((Table245[[#This Row],[XP]]*Table245[[#This Row],[entity_spawned (AVG)]])*(Table245[[#This Row],[activating_chance]]/100),0)</f>
        <v>38</v>
      </c>
      <c r="H9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2" s="72">
        <v>2</v>
      </c>
      <c r="J92" s="72">
        <v>3</v>
      </c>
      <c r="K92" s="72" t="b">
        <v>0</v>
      </c>
      <c r="M92" t="s">
        <v>336</v>
      </c>
      <c r="N92">
        <v>1</v>
      </c>
      <c r="O92">
        <v>250</v>
      </c>
      <c r="P92">
        <v>50</v>
      </c>
      <c r="Q92" s="75">
        <f ca="1">INDIRECT(ADDRESS(11+(MATCH(RIGHT(Table3[[#This Row],[spawner_sku]],LEN(Table3[[#This Row],[spawner_sku]])-FIND("/",Table3[[#This Row],[spawner_sku]])),Table1[Entity Prefab],0)),10,1,1,"Entities"))</f>
        <v>195</v>
      </c>
      <c r="R92" s="75">
        <f ca="1">ROUND((Table3[[#This Row],[XP]]*Table3[[#This Row],[entity_spawned (AVG)]])*(Table3[[#This Row],[activating_chance]]/100),0)</f>
        <v>98</v>
      </c>
      <c r="S92" t="str">
        <f ca="1">INDIRECT(ADDRESS(11+(MATCH(RIGHT(Table3[[#This Row],[spawner_sku]],LEN(Table3[[#This Row],[spawner_sku]])-FIND("/",Table3[[#This Row],[spawner_sku]])),Table28[Entity Prefab],0)),24,1,1,"Entities"))</f>
        <v>yes</v>
      </c>
      <c r="T92">
        <v>1</v>
      </c>
      <c r="U92">
        <v>1</v>
      </c>
      <c r="V92" t="b">
        <v>0</v>
      </c>
      <c r="W92" s="72"/>
      <c r="X92" t="s">
        <v>256</v>
      </c>
      <c r="Y92">
        <v>1</v>
      </c>
      <c r="Z92">
        <v>170</v>
      </c>
      <c r="AA92">
        <v>50</v>
      </c>
      <c r="AB92" s="75">
        <f ca="1">INDIRECT(ADDRESS(11+(MATCH(RIGHT(Table39[[#This Row],[spawner_sku]],LEN(Table39[[#This Row],[spawner_sku]])-FIND("/",Table39[[#This Row],[spawner_sku]])),Table1[Entity Prefab],0)),10,1,1,"Entities"))</f>
        <v>25</v>
      </c>
      <c r="AC92" s="75">
        <f ca="1">ROUND((Table39[[#This Row],[XP]]*Table39[[#This Row],[entity_spawned (AVG)]])*(Table39[[#This Row],[activating_chance]]/100),0)</f>
        <v>13</v>
      </c>
      <c r="AD92" t="str">
        <f ca="1">INDIRECT(ADDRESS(11+(MATCH(RIGHT(Table39[[#This Row],[spawner_sku]],LEN(Table39[[#This Row],[spawner_sku]])-FIND("/",Table39[[#This Row],[spawner_sku]])),Table28[Entity Prefab],0)),24,1,1,"Entities"))</f>
        <v>no</v>
      </c>
      <c r="AE92">
        <v>1</v>
      </c>
      <c r="AF92">
        <v>1</v>
      </c>
      <c r="AG92" t="b">
        <v>0</v>
      </c>
      <c r="AI92" t="s">
        <v>228</v>
      </c>
      <c r="AJ92">
        <v>3.5</v>
      </c>
      <c r="AK92">
        <v>170</v>
      </c>
      <c r="AL92">
        <v>100</v>
      </c>
      <c r="AM92" s="75">
        <f ca="1">INDIRECT(ADDRESS(11+(MATCH(RIGHT(Table2[[#This Row],[spawner_sku]],LEN(Table2[[#This Row],[spawner_sku]])-FIND("/",Table2[[#This Row],[spawner_sku]])),Table1[Entity Prefab],0)),10,1,1,"Entities"))</f>
        <v>25</v>
      </c>
      <c r="AN92" s="75">
        <f ca="1">ROUND((Table2[[#This Row],[XP]]*Table2[[#This Row],[entity_spawned (AVG)]])*(Table2[[#This Row],[activating_chance]]/100),0)</f>
        <v>88</v>
      </c>
      <c r="AO9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92" s="72">
        <v>3</v>
      </c>
      <c r="AQ92" s="72">
        <v>4</v>
      </c>
      <c r="AR92" s="72" t="b">
        <v>0</v>
      </c>
      <c r="AT92" t="s">
        <v>233</v>
      </c>
      <c r="AU92">
        <v>1</v>
      </c>
      <c r="AV92">
        <v>300</v>
      </c>
      <c r="AW92">
        <v>100</v>
      </c>
      <c r="AX92" s="75">
        <f ca="1">INDIRECT(ADDRESS(11+(MATCH(RIGHT(Table6[[#This Row],[spawner_sku]],LEN(Table6[[#This Row],[spawner_sku]])-FIND("/",Table6[[#This Row],[spawner_sku]])),Table1[Entity Prefab],0)),10,1,1,"Entities"))</f>
        <v>195</v>
      </c>
      <c r="AY92" s="75">
        <f ca="1">ROUND((Table6[[#This Row],[XP]]*Table6[[#This Row],[entity_spawned (AVG)]])*(Table6[[#This Row],[activating_chance]]/100),0)</f>
        <v>195</v>
      </c>
      <c r="AZ92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92">
        <v>1</v>
      </c>
      <c r="BB92">
        <v>1</v>
      </c>
      <c r="BC92" t="b">
        <v>0</v>
      </c>
      <c r="BE92" t="s">
        <v>241</v>
      </c>
      <c r="BF92">
        <v>1</v>
      </c>
      <c r="BG92">
        <v>1500</v>
      </c>
      <c r="BH92">
        <v>100</v>
      </c>
      <c r="BI92" s="75">
        <f ca="1">INDIRECT(ADDRESS(11+(MATCH(RIGHT(Table610[[#This Row],[spawner_sku]],LEN(Table610[[#This Row],[spawner_sku]])-FIND("/",Table610[[#This Row],[spawner_sku]])),Table1[Entity Prefab],0)),10,1,1,"Entities"))</f>
        <v>130</v>
      </c>
      <c r="BJ92" s="75">
        <f ca="1">ROUND((Table610[[#This Row],[XP]]*Table610[[#This Row],[entity_spawned (AVG)]])*(Table610[[#This Row],[activating_chance]]/100),0)</f>
        <v>130</v>
      </c>
      <c r="BK92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92">
        <v>1</v>
      </c>
      <c r="BM92">
        <v>1</v>
      </c>
      <c r="BN92" t="b">
        <v>0</v>
      </c>
      <c r="BP92" t="s">
        <v>230</v>
      </c>
      <c r="BQ92">
        <v>4</v>
      </c>
      <c r="BR92">
        <v>200</v>
      </c>
      <c r="BS92">
        <v>100</v>
      </c>
      <c r="BT9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92" s="75">
        <f ca="1">ROUND((Table61011[[#This Row],[XP]]*Table61011[[#This Row],[entity_spawned (AVG)]])*(Table61011[[#This Row],[activating_chance]]/100),0)</f>
        <v>100</v>
      </c>
      <c r="BV9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2" s="72">
        <v>4</v>
      </c>
      <c r="BX92" s="72">
        <v>4</v>
      </c>
      <c r="BY92" s="72" t="b">
        <v>0</v>
      </c>
      <c r="CA92" t="s">
        <v>228</v>
      </c>
      <c r="CB92">
        <v>2.5</v>
      </c>
      <c r="CC92">
        <v>180</v>
      </c>
      <c r="CD92">
        <v>100</v>
      </c>
      <c r="CE92" s="75">
        <f ca="1">INDIRECT(ADDRESS(11+(MATCH(RIGHT(Table11[[#This Row],[spawner_sku]],LEN(Table11[[#This Row],[spawner_sku]])-FIND("/",Table11[[#This Row],[spawner_sku]])),Table1[Entity Prefab],0)),10,1,1,"Entities"))</f>
        <v>25</v>
      </c>
      <c r="CF92">
        <f ca="1">ROUND((Table11[[#This Row],[XP]]*Table11[[#This Row],[entity_spawned (AVG)]])*(Table11[[#This Row],[activating_chance]]/100),0)</f>
        <v>63</v>
      </c>
      <c r="CG92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92" s="72">
        <v>1</v>
      </c>
      <c r="CI92" s="72">
        <v>4</v>
      </c>
      <c r="CJ92" s="72" t="b">
        <v>0</v>
      </c>
      <c r="CL92" t="s">
        <v>246</v>
      </c>
      <c r="CM92">
        <v>1</v>
      </c>
      <c r="CN92">
        <v>500</v>
      </c>
      <c r="CO92">
        <v>75</v>
      </c>
      <c r="CP92" s="75">
        <f ca="1">INDIRECT(ADDRESS(11+(MATCH(RIGHT(Table12[[#This Row],[spawner_sku]],LEN(Table12[[#This Row],[spawner_sku]])-FIND("/",Table12[[#This Row],[spawner_sku]])),Table1[Entity Prefab],0)),10,1,1,"Entities"))</f>
        <v>25</v>
      </c>
      <c r="CQ92" s="75">
        <f ca="1">ROUND((Table12[[#This Row],[XP]]*Table12[[#This Row],[entity_spawned (AVG)]])*(Table12[[#This Row],[activating_chance]]/100),0)</f>
        <v>19</v>
      </c>
      <c r="CR92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92" s="72">
        <v>1</v>
      </c>
      <c r="CT92" s="72">
        <v>1</v>
      </c>
      <c r="CU92" s="72" t="b">
        <v>0</v>
      </c>
      <c r="CW92" t="s">
        <v>242</v>
      </c>
      <c r="CX92">
        <v>1</v>
      </c>
      <c r="CY92">
        <v>1500</v>
      </c>
      <c r="CZ92">
        <v>30</v>
      </c>
      <c r="DA92" s="75">
        <f ca="1">INDIRECT(ADDRESS(11+(MATCH(RIGHT(Table13[[#This Row],[spawner_sku]],LEN(Table13[[#This Row],[spawner_sku]])-FIND("/",Table13[[#This Row],[spawner_sku]])),Table1[Entity Prefab],0)),10,1,1,"Entities"))</f>
        <v>130</v>
      </c>
      <c r="DB92" s="75">
        <f ca="1">ROUND((Table13[[#This Row],[XP]]*Table13[[#This Row],[entity_spawned (AVG)]])*(Table13[[#This Row],[activating_chance]]/100),0)</f>
        <v>39</v>
      </c>
      <c r="DC92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92" s="72">
        <v>1</v>
      </c>
      <c r="DE92" s="72">
        <v>1</v>
      </c>
      <c r="DF92" s="72" t="b">
        <v>0</v>
      </c>
      <c r="DH92" t="s">
        <v>227</v>
      </c>
      <c r="DI92">
        <v>13</v>
      </c>
      <c r="DJ92">
        <v>200</v>
      </c>
      <c r="DK92">
        <v>100</v>
      </c>
      <c r="DL92" s="75">
        <f ca="1">INDIRECT(ADDRESS(11+(MATCH(RIGHT(Table14[[#This Row],[spawner_sku]],LEN(Table14[[#This Row],[spawner_sku]])-FIND("/",Table14[[#This Row],[spawner_sku]])),Table1[Entity Prefab],0)),10,1,1,"Entities"))</f>
        <v>25</v>
      </c>
      <c r="DM92" s="75">
        <f ca="1">ROUND((Table14[[#This Row],[XP]]*Table14[[#This Row],[entity_spawned (AVG)]])*(Table14[[#This Row],[activating_chance]]/100),0)</f>
        <v>325</v>
      </c>
      <c r="DN9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92" s="72">
        <v>10</v>
      </c>
      <c r="DP92" s="72">
        <v>16</v>
      </c>
      <c r="DQ92" s="72" t="b">
        <v>1</v>
      </c>
      <c r="DS92" t="s">
        <v>395</v>
      </c>
      <c r="DT92">
        <v>2</v>
      </c>
      <c r="DU92">
        <v>160</v>
      </c>
      <c r="DV92">
        <v>100</v>
      </c>
      <c r="DW92" s="75">
        <f ca="1">INDIRECT(ADDRESS(11+(MATCH(RIGHT(Table18[[#This Row],[spawner_sku]],LEN(Table18[[#This Row],[spawner_sku]])-FIND("/",Table18[[#This Row],[spawner_sku]])),Table1[Entity Prefab],0)),10,1,1,"Entities"))</f>
        <v>25</v>
      </c>
      <c r="DX92" s="75">
        <f ca="1">ROUND((Table18[[#This Row],[XP]]*Table18[[#This Row],[entity_spawned (AVG)]])*(Table18[[#This Row],[activating_chance]]/100),0)</f>
        <v>50</v>
      </c>
      <c r="DY9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92">
        <v>2</v>
      </c>
      <c r="EA92">
        <v>3</v>
      </c>
      <c r="EB92" t="b">
        <v>0</v>
      </c>
      <c r="ED92" t="s">
        <v>227</v>
      </c>
      <c r="EE92">
        <v>2</v>
      </c>
      <c r="EF92">
        <v>140</v>
      </c>
      <c r="EG92">
        <v>30</v>
      </c>
      <c r="EH9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92" s="75">
        <f ca="1">ROUND((Table1820[[#This Row],[XP]]*Table1820[[#This Row],[entity_spawned (AVG)]])*(Table1820[[#This Row],[activating_chance]]/100),0)</f>
        <v>15</v>
      </c>
      <c r="EJ9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92">
        <v>2</v>
      </c>
      <c r="EL92">
        <v>2</v>
      </c>
      <c r="EM92" t="b">
        <v>0</v>
      </c>
      <c r="EO92" t="s">
        <v>7346</v>
      </c>
      <c r="EP92">
        <v>6.5</v>
      </c>
      <c r="EQ92">
        <v>100</v>
      </c>
      <c r="ER92">
        <v>100</v>
      </c>
      <c r="ES92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ET92" s="75">
        <f ca="1">ROUND((Table182023[[#This Row],[XP]]*Table182023[[#This Row],[entity_spawned (AVG)]])*(Table182023[[#This Row],[activating_chance]]/100),0)</f>
        <v>228</v>
      </c>
      <c r="EU92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92" s="152">
        <v>5</v>
      </c>
      <c r="EW92" s="152">
        <v>8</v>
      </c>
      <c r="EX92" s="152" t="b">
        <v>1</v>
      </c>
      <c r="EZ92" t="s">
        <v>490</v>
      </c>
      <c r="FA92">
        <v>1</v>
      </c>
      <c r="FB92">
        <v>110</v>
      </c>
      <c r="FC92">
        <v>100</v>
      </c>
      <c r="FD92" s="75">
        <f ca="1">INDIRECT(ADDRESS(11+(MATCH(RIGHT(Table18202324[[#This Row],[spawner_sku]],LEN(Table18202324[[#This Row],[spawner_sku]])-FIND("/",Table18202324[[#This Row],[spawner_sku]])),Table1[Entity Prefab],0)),10,1,1,"Entities"))</f>
        <v>28</v>
      </c>
      <c r="FE92" s="75">
        <f ca="1">ROUND((Table18202324[[#This Row],[XP]]*Table18202324[[#This Row],[entity_spawned (AVG)]])*(Table18202324[[#This Row],[activating_chance]]/100),0)</f>
        <v>28</v>
      </c>
      <c r="FF92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92">
        <v>1</v>
      </c>
      <c r="FH92">
        <v>1</v>
      </c>
      <c r="FI92" t="b">
        <v>0</v>
      </c>
    </row>
    <row r="93" spans="2:165" x14ac:dyDescent="0.25">
      <c r="B93" s="73" t="s">
        <v>228</v>
      </c>
      <c r="C93">
        <v>10</v>
      </c>
      <c r="D93">
        <v>200</v>
      </c>
      <c r="E93">
        <v>100</v>
      </c>
      <c r="F93" s="75">
        <f ca="1">INDIRECT(ADDRESS(11+(MATCH(RIGHT(Table245[[#This Row],[spawner_sku]],LEN(Table245[[#This Row],[spawner_sku]])-FIND("/",Table245[[#This Row],[spawner_sku]])),Table1[Entity Prefab],0)),10,1,1,"Entities"))</f>
        <v>25</v>
      </c>
      <c r="G93" s="75">
        <f ca="1">ROUND((Table245[[#This Row],[XP]]*Table245[[#This Row],[entity_spawned (AVG)]])*(Table245[[#This Row],[activating_chance]]/100),0)</f>
        <v>250</v>
      </c>
      <c r="H9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3" s="72">
        <v>5</v>
      </c>
      <c r="J93" s="72">
        <v>15</v>
      </c>
      <c r="K93" s="72" t="b">
        <v>1</v>
      </c>
      <c r="M93" t="s">
        <v>235</v>
      </c>
      <c r="N93">
        <v>1</v>
      </c>
      <c r="O93">
        <v>100</v>
      </c>
      <c r="P93">
        <v>100</v>
      </c>
      <c r="Q93" s="75">
        <f ca="1">INDIRECT(ADDRESS(11+(MATCH(RIGHT(Table3[[#This Row],[spawner_sku]],LEN(Table3[[#This Row],[spawner_sku]])-FIND("/",Table3[[#This Row],[spawner_sku]])),Table1[Entity Prefab],0)),10,1,1,"Entities"))</f>
        <v>25</v>
      </c>
      <c r="R93" s="75">
        <f ca="1">ROUND((Table3[[#This Row],[XP]]*Table3[[#This Row],[entity_spawned (AVG)]])*(Table3[[#This Row],[activating_chance]]/100),0)</f>
        <v>25</v>
      </c>
      <c r="S93" t="str">
        <f ca="1">INDIRECT(ADDRESS(11+(MATCH(RIGHT(Table3[[#This Row],[spawner_sku]],LEN(Table3[[#This Row],[spawner_sku]])-FIND("/",Table3[[#This Row],[spawner_sku]])),Table28[Entity Prefab],0)),24,1,1,"Entities"))</f>
        <v>yes</v>
      </c>
      <c r="T93">
        <v>1</v>
      </c>
      <c r="U93">
        <v>1</v>
      </c>
      <c r="V93" t="b">
        <v>0</v>
      </c>
      <c r="W93" s="72"/>
      <c r="X93" t="s">
        <v>256</v>
      </c>
      <c r="Y93">
        <v>1</v>
      </c>
      <c r="Z93">
        <v>140</v>
      </c>
      <c r="AA93">
        <v>100</v>
      </c>
      <c r="AB93" s="75">
        <f ca="1">INDIRECT(ADDRESS(11+(MATCH(RIGHT(Table39[[#This Row],[spawner_sku]],LEN(Table39[[#This Row],[spawner_sku]])-FIND("/",Table39[[#This Row],[spawner_sku]])),Table1[Entity Prefab],0)),10,1,1,"Entities"))</f>
        <v>25</v>
      </c>
      <c r="AC93" s="75">
        <f ca="1">ROUND((Table39[[#This Row],[XP]]*Table39[[#This Row],[entity_spawned (AVG)]])*(Table39[[#This Row],[activating_chance]]/100),0)</f>
        <v>25</v>
      </c>
      <c r="AD93" t="str">
        <f ca="1">INDIRECT(ADDRESS(11+(MATCH(RIGHT(Table39[[#This Row],[spawner_sku]],LEN(Table39[[#This Row],[spawner_sku]])-FIND("/",Table39[[#This Row],[spawner_sku]])),Table28[Entity Prefab],0)),24,1,1,"Entities"))</f>
        <v>no</v>
      </c>
      <c r="AE93">
        <v>1</v>
      </c>
      <c r="AF93">
        <v>1</v>
      </c>
      <c r="AG93" t="b">
        <v>0</v>
      </c>
      <c r="AI93" t="s">
        <v>228</v>
      </c>
      <c r="AJ93">
        <v>2</v>
      </c>
      <c r="AK93">
        <v>120</v>
      </c>
      <c r="AL93">
        <v>100</v>
      </c>
      <c r="AM93" s="75">
        <f ca="1">INDIRECT(ADDRESS(11+(MATCH(RIGHT(Table2[[#This Row],[spawner_sku]],LEN(Table2[[#This Row],[spawner_sku]])-FIND("/",Table2[[#This Row],[spawner_sku]])),Table1[Entity Prefab],0)),10,1,1,"Entities"))</f>
        <v>25</v>
      </c>
      <c r="AN93" s="75">
        <f ca="1">ROUND((Table2[[#This Row],[XP]]*Table2[[#This Row],[entity_spawned (AVG)]])*(Table2[[#This Row],[activating_chance]]/100),0)</f>
        <v>50</v>
      </c>
      <c r="AO9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93" s="72">
        <v>1</v>
      </c>
      <c r="AQ93" s="72">
        <v>3</v>
      </c>
      <c r="AR93" s="72" t="b">
        <v>0</v>
      </c>
      <c r="AT93" t="s">
        <v>233</v>
      </c>
      <c r="AU93">
        <v>1</v>
      </c>
      <c r="AV93">
        <v>300</v>
      </c>
      <c r="AW93">
        <v>100</v>
      </c>
      <c r="AX93" s="75">
        <f ca="1">INDIRECT(ADDRESS(11+(MATCH(RIGHT(Table6[[#This Row],[spawner_sku]],LEN(Table6[[#This Row],[spawner_sku]])-FIND("/",Table6[[#This Row],[spawner_sku]])),Table1[Entity Prefab],0)),10,1,1,"Entities"))</f>
        <v>195</v>
      </c>
      <c r="AY93" s="75">
        <f ca="1">ROUND((Table6[[#This Row],[XP]]*Table6[[#This Row],[entity_spawned (AVG)]])*(Table6[[#This Row],[activating_chance]]/100),0)</f>
        <v>195</v>
      </c>
      <c r="AZ93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93">
        <v>1</v>
      </c>
      <c r="BB93">
        <v>1</v>
      </c>
      <c r="BC93" t="b">
        <v>0</v>
      </c>
      <c r="BE93" t="s">
        <v>241</v>
      </c>
      <c r="BF93">
        <v>1</v>
      </c>
      <c r="BG93">
        <v>1500</v>
      </c>
      <c r="BH93">
        <v>100</v>
      </c>
      <c r="BI93" s="75">
        <f ca="1">INDIRECT(ADDRESS(11+(MATCH(RIGHT(Table610[[#This Row],[spawner_sku]],LEN(Table610[[#This Row],[spawner_sku]])-FIND("/",Table610[[#This Row],[spawner_sku]])),Table1[Entity Prefab],0)),10,1,1,"Entities"))</f>
        <v>130</v>
      </c>
      <c r="BJ93" s="75">
        <f ca="1">ROUND((Table610[[#This Row],[XP]]*Table610[[#This Row],[entity_spawned (AVG)]])*(Table610[[#This Row],[activating_chance]]/100),0)</f>
        <v>130</v>
      </c>
      <c r="BK93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93">
        <v>1</v>
      </c>
      <c r="BM93">
        <v>1</v>
      </c>
      <c r="BN93" t="b">
        <v>0</v>
      </c>
      <c r="BP93" t="s">
        <v>230</v>
      </c>
      <c r="BQ93">
        <v>7</v>
      </c>
      <c r="BR93">
        <v>200</v>
      </c>
      <c r="BS93">
        <v>80</v>
      </c>
      <c r="BT9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93" s="75">
        <f ca="1">ROUND((Table61011[[#This Row],[XP]]*Table61011[[#This Row],[entity_spawned (AVG)]])*(Table61011[[#This Row],[activating_chance]]/100),0)</f>
        <v>140</v>
      </c>
      <c r="BV9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3" s="72">
        <v>6</v>
      </c>
      <c r="BX93" s="72">
        <v>8</v>
      </c>
      <c r="BY93" s="72" t="b">
        <v>1</v>
      </c>
      <c r="CA93" t="s">
        <v>228</v>
      </c>
      <c r="CB93">
        <v>10</v>
      </c>
      <c r="CC93">
        <v>180</v>
      </c>
      <c r="CD93">
        <v>100</v>
      </c>
      <c r="CE93" s="75">
        <f ca="1">INDIRECT(ADDRESS(11+(MATCH(RIGHT(Table11[[#This Row],[spawner_sku]],LEN(Table11[[#This Row],[spawner_sku]])-FIND("/",Table11[[#This Row],[spawner_sku]])),Table1[Entity Prefab],0)),10,1,1,"Entities"))</f>
        <v>25</v>
      </c>
      <c r="CF93">
        <f ca="1">ROUND((Table11[[#This Row],[XP]]*Table11[[#This Row],[entity_spawned (AVG)]])*(Table11[[#This Row],[activating_chance]]/100),0)</f>
        <v>250</v>
      </c>
      <c r="CG93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93" s="72">
        <v>10</v>
      </c>
      <c r="CI93" s="72">
        <v>10</v>
      </c>
      <c r="CJ93" s="72" t="b">
        <v>1</v>
      </c>
      <c r="CL93" t="s">
        <v>491</v>
      </c>
      <c r="CM93">
        <v>1</v>
      </c>
      <c r="CN93">
        <v>110</v>
      </c>
      <c r="CO93">
        <v>100</v>
      </c>
      <c r="CP93" s="75">
        <f ca="1">INDIRECT(ADDRESS(11+(MATCH(RIGHT(Table12[[#This Row],[spawner_sku]],LEN(Table12[[#This Row],[spawner_sku]])-FIND("/",Table12[[#This Row],[spawner_sku]])),Table1[Entity Prefab],0)),10,1,1,"Entities"))</f>
        <v>25</v>
      </c>
      <c r="CQ93" s="75">
        <f ca="1">ROUND((Table12[[#This Row],[XP]]*Table12[[#This Row],[entity_spawned (AVG)]])*(Table12[[#This Row],[activating_chance]]/100),0)</f>
        <v>25</v>
      </c>
      <c r="CR93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93" s="72">
        <v>1</v>
      </c>
      <c r="CT93" s="72">
        <v>1</v>
      </c>
      <c r="CU93" s="72" t="b">
        <v>0</v>
      </c>
      <c r="CW93" t="s">
        <v>242</v>
      </c>
      <c r="CX93">
        <v>1</v>
      </c>
      <c r="CY93">
        <v>1500</v>
      </c>
      <c r="CZ93">
        <v>100</v>
      </c>
      <c r="DA93" s="75">
        <f ca="1">INDIRECT(ADDRESS(11+(MATCH(RIGHT(Table13[[#This Row],[spawner_sku]],LEN(Table13[[#This Row],[spawner_sku]])-FIND("/",Table13[[#This Row],[spawner_sku]])),Table1[Entity Prefab],0)),10,1,1,"Entities"))</f>
        <v>130</v>
      </c>
      <c r="DB93" s="75">
        <f ca="1">ROUND((Table13[[#This Row],[XP]]*Table13[[#This Row],[entity_spawned (AVG)]])*(Table13[[#This Row],[activating_chance]]/100),0)</f>
        <v>130</v>
      </c>
      <c r="DC93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93" s="72">
        <v>1</v>
      </c>
      <c r="DE93" s="72">
        <v>1</v>
      </c>
      <c r="DF93" s="72" t="b">
        <v>0</v>
      </c>
      <c r="DH93" t="s">
        <v>227</v>
      </c>
      <c r="DI93">
        <v>3.5</v>
      </c>
      <c r="DJ93">
        <v>80</v>
      </c>
      <c r="DK93">
        <v>100</v>
      </c>
      <c r="DL93" s="75">
        <f ca="1">INDIRECT(ADDRESS(11+(MATCH(RIGHT(Table14[[#This Row],[spawner_sku]],LEN(Table14[[#This Row],[spawner_sku]])-FIND("/",Table14[[#This Row],[spawner_sku]])),Table1[Entity Prefab],0)),10,1,1,"Entities"))</f>
        <v>25</v>
      </c>
      <c r="DM93" s="75">
        <f ca="1">ROUND((Table14[[#This Row],[XP]]*Table14[[#This Row],[entity_spawned (AVG)]])*(Table14[[#This Row],[activating_chance]]/100),0)</f>
        <v>88</v>
      </c>
      <c r="DN9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93" s="72">
        <v>3</v>
      </c>
      <c r="DP93" s="72">
        <v>4</v>
      </c>
      <c r="DQ93" s="72" t="b">
        <v>0</v>
      </c>
      <c r="DS93" t="s">
        <v>395</v>
      </c>
      <c r="DT93">
        <v>8</v>
      </c>
      <c r="DU93">
        <v>160</v>
      </c>
      <c r="DV93">
        <v>30</v>
      </c>
      <c r="DW93" s="75">
        <f ca="1">INDIRECT(ADDRESS(11+(MATCH(RIGHT(Table18[[#This Row],[spawner_sku]],LEN(Table18[[#This Row],[spawner_sku]])-FIND("/",Table18[[#This Row],[spawner_sku]])),Table1[Entity Prefab],0)),10,1,1,"Entities"))</f>
        <v>25</v>
      </c>
      <c r="DX93" s="75">
        <f ca="1">ROUND((Table18[[#This Row],[XP]]*Table18[[#This Row],[entity_spawned (AVG)]])*(Table18[[#This Row],[activating_chance]]/100),0)</f>
        <v>60</v>
      </c>
      <c r="DY9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93">
        <v>6</v>
      </c>
      <c r="EA93">
        <v>10</v>
      </c>
      <c r="EB93" t="b">
        <v>1</v>
      </c>
      <c r="ED93" t="s">
        <v>227</v>
      </c>
      <c r="EE93">
        <v>7</v>
      </c>
      <c r="EF93">
        <v>160</v>
      </c>
      <c r="EG93">
        <v>100</v>
      </c>
      <c r="EH93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93" s="75">
        <f ca="1">ROUND((Table1820[[#This Row],[XP]]*Table1820[[#This Row],[entity_spawned (AVG)]])*(Table1820[[#This Row],[activating_chance]]/100),0)</f>
        <v>175</v>
      </c>
      <c r="EJ9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93">
        <v>6</v>
      </c>
      <c r="EL93">
        <v>8</v>
      </c>
      <c r="EM93" t="b">
        <v>1</v>
      </c>
      <c r="EO93" t="s">
        <v>7346</v>
      </c>
      <c r="EP93">
        <v>2.5</v>
      </c>
      <c r="EQ93">
        <v>80</v>
      </c>
      <c r="ER93">
        <v>100</v>
      </c>
      <c r="ES93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ET93" s="75">
        <f ca="1">ROUND((Table182023[[#This Row],[XP]]*Table182023[[#This Row],[entity_spawned (AVG)]])*(Table182023[[#This Row],[activating_chance]]/100),0)</f>
        <v>88</v>
      </c>
      <c r="EU93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93" s="152">
        <v>2</v>
      </c>
      <c r="EW93" s="152">
        <v>3</v>
      </c>
      <c r="EX93" s="152" t="b">
        <v>0</v>
      </c>
      <c r="EZ93" t="s">
        <v>490</v>
      </c>
      <c r="FA93">
        <v>1</v>
      </c>
      <c r="FB93">
        <v>110</v>
      </c>
      <c r="FC93">
        <v>100</v>
      </c>
      <c r="FD93" s="75">
        <f ca="1">INDIRECT(ADDRESS(11+(MATCH(RIGHT(Table18202324[[#This Row],[spawner_sku]],LEN(Table18202324[[#This Row],[spawner_sku]])-FIND("/",Table18202324[[#This Row],[spawner_sku]])),Table1[Entity Prefab],0)),10,1,1,"Entities"))</f>
        <v>28</v>
      </c>
      <c r="FE93" s="75">
        <f ca="1">ROUND((Table18202324[[#This Row],[XP]]*Table18202324[[#This Row],[entity_spawned (AVG)]])*(Table18202324[[#This Row],[activating_chance]]/100),0)</f>
        <v>28</v>
      </c>
      <c r="FF93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93">
        <v>1</v>
      </c>
      <c r="FH93">
        <v>1</v>
      </c>
      <c r="FI93" t="b">
        <v>0</v>
      </c>
    </row>
    <row r="94" spans="2:165" x14ac:dyDescent="0.25">
      <c r="B94" s="73" t="s">
        <v>228</v>
      </c>
      <c r="C94">
        <v>1.5</v>
      </c>
      <c r="D94">
        <v>80</v>
      </c>
      <c r="E94">
        <v>100</v>
      </c>
      <c r="F94" s="75">
        <f ca="1">INDIRECT(ADDRESS(11+(MATCH(RIGHT(Table245[[#This Row],[spawner_sku]],LEN(Table245[[#This Row],[spawner_sku]])-FIND("/",Table245[[#This Row],[spawner_sku]])),Table1[Entity Prefab],0)),10,1,1,"Entities"))</f>
        <v>25</v>
      </c>
      <c r="G94" s="75">
        <f ca="1">ROUND((Table245[[#This Row],[XP]]*Table245[[#This Row],[entity_spawned (AVG)]])*(Table245[[#This Row],[activating_chance]]/100),0)</f>
        <v>38</v>
      </c>
      <c r="H9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4" s="72">
        <v>1</v>
      </c>
      <c r="J94" s="72">
        <v>2</v>
      </c>
      <c r="K94" s="72" t="b">
        <v>0</v>
      </c>
      <c r="M94" t="s">
        <v>235</v>
      </c>
      <c r="N94">
        <v>1</v>
      </c>
      <c r="O94">
        <v>180</v>
      </c>
      <c r="P94">
        <v>100</v>
      </c>
      <c r="Q94" s="75">
        <f ca="1">INDIRECT(ADDRESS(11+(MATCH(RIGHT(Table3[[#This Row],[spawner_sku]],LEN(Table3[[#This Row],[spawner_sku]])-FIND("/",Table3[[#This Row],[spawner_sku]])),Table1[Entity Prefab],0)),10,1,1,"Entities"))</f>
        <v>25</v>
      </c>
      <c r="R94" s="75">
        <f ca="1">ROUND((Table3[[#This Row],[XP]]*Table3[[#This Row],[entity_spawned (AVG)]])*(Table3[[#This Row],[activating_chance]]/100),0)</f>
        <v>25</v>
      </c>
      <c r="S94" t="str">
        <f ca="1">INDIRECT(ADDRESS(11+(MATCH(RIGHT(Table3[[#This Row],[spawner_sku]],LEN(Table3[[#This Row],[spawner_sku]])-FIND("/",Table3[[#This Row],[spawner_sku]])),Table28[Entity Prefab],0)),24,1,1,"Entities"))</f>
        <v>yes</v>
      </c>
      <c r="T94">
        <v>1</v>
      </c>
      <c r="U94">
        <v>1</v>
      </c>
      <c r="V94" t="b">
        <v>0</v>
      </c>
      <c r="W94" s="72"/>
      <c r="X94" t="s">
        <v>256</v>
      </c>
      <c r="Y94">
        <v>1</v>
      </c>
      <c r="Z94">
        <v>170</v>
      </c>
      <c r="AA94">
        <v>90</v>
      </c>
      <c r="AB94" s="75">
        <f ca="1">INDIRECT(ADDRESS(11+(MATCH(RIGHT(Table39[[#This Row],[spawner_sku]],LEN(Table39[[#This Row],[spawner_sku]])-FIND("/",Table39[[#This Row],[spawner_sku]])),Table1[Entity Prefab],0)),10,1,1,"Entities"))</f>
        <v>25</v>
      </c>
      <c r="AC94" s="75">
        <f ca="1">ROUND((Table39[[#This Row],[XP]]*Table39[[#This Row],[entity_spawned (AVG)]])*(Table39[[#This Row],[activating_chance]]/100),0)</f>
        <v>23</v>
      </c>
      <c r="AD94" t="str">
        <f ca="1">INDIRECT(ADDRESS(11+(MATCH(RIGHT(Table39[[#This Row],[spawner_sku]],LEN(Table39[[#This Row],[spawner_sku]])-FIND("/",Table39[[#This Row],[spawner_sku]])),Table28[Entity Prefab],0)),24,1,1,"Entities"))</f>
        <v>no</v>
      </c>
      <c r="AE94">
        <v>1</v>
      </c>
      <c r="AF94">
        <v>1</v>
      </c>
      <c r="AG94" t="b">
        <v>0</v>
      </c>
      <c r="AI94" t="s">
        <v>228</v>
      </c>
      <c r="AJ94">
        <v>7</v>
      </c>
      <c r="AK94">
        <v>200</v>
      </c>
      <c r="AL94">
        <v>100</v>
      </c>
      <c r="AM94" s="75">
        <f ca="1">INDIRECT(ADDRESS(11+(MATCH(RIGHT(Table2[[#This Row],[spawner_sku]],LEN(Table2[[#This Row],[spawner_sku]])-FIND("/",Table2[[#This Row],[spawner_sku]])),Table1[Entity Prefab],0)),10,1,1,"Entities"))</f>
        <v>25</v>
      </c>
      <c r="AN94" s="75">
        <f ca="1">ROUND((Table2[[#This Row],[XP]]*Table2[[#This Row],[entity_spawned (AVG)]])*(Table2[[#This Row],[activating_chance]]/100),0)</f>
        <v>175</v>
      </c>
      <c r="AO9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94" s="72">
        <v>6</v>
      </c>
      <c r="AQ94" s="72">
        <v>8</v>
      </c>
      <c r="AR94" s="72" t="b">
        <v>1</v>
      </c>
      <c r="AT94" t="s">
        <v>233</v>
      </c>
      <c r="AU94">
        <v>1</v>
      </c>
      <c r="AV94">
        <v>300</v>
      </c>
      <c r="AW94">
        <v>100</v>
      </c>
      <c r="AX94" s="75">
        <f ca="1">INDIRECT(ADDRESS(11+(MATCH(RIGHT(Table6[[#This Row],[spawner_sku]],LEN(Table6[[#This Row],[spawner_sku]])-FIND("/",Table6[[#This Row],[spawner_sku]])),Table1[Entity Prefab],0)),10,1,1,"Entities"))</f>
        <v>195</v>
      </c>
      <c r="AY94" s="75">
        <f ca="1">ROUND((Table6[[#This Row],[XP]]*Table6[[#This Row],[entity_spawned (AVG)]])*(Table6[[#This Row],[activating_chance]]/100),0)</f>
        <v>195</v>
      </c>
      <c r="AZ94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94">
        <v>1</v>
      </c>
      <c r="BB94">
        <v>1</v>
      </c>
      <c r="BC94" t="b">
        <v>0</v>
      </c>
      <c r="BE94" t="s">
        <v>243</v>
      </c>
      <c r="BF94">
        <v>1</v>
      </c>
      <c r="BG94">
        <v>200</v>
      </c>
      <c r="BH94">
        <v>100</v>
      </c>
      <c r="BI94" s="75">
        <f ca="1">INDIRECT(ADDRESS(11+(MATCH(RIGHT(Table610[[#This Row],[spawner_sku]],LEN(Table610[[#This Row],[spawner_sku]])-FIND("/",Table610[[#This Row],[spawner_sku]])),Table1[Entity Prefab],0)),10,1,1,"Entities"))</f>
        <v>28</v>
      </c>
      <c r="BJ94" s="75">
        <f ca="1">ROUND((Table610[[#This Row],[XP]]*Table610[[#This Row],[entity_spawned (AVG)]])*(Table610[[#This Row],[activating_chance]]/100),0)</f>
        <v>28</v>
      </c>
      <c r="BK94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94">
        <v>1</v>
      </c>
      <c r="BM94">
        <v>1</v>
      </c>
      <c r="BN94" t="b">
        <v>0</v>
      </c>
      <c r="BP94" t="s">
        <v>391</v>
      </c>
      <c r="BQ94">
        <v>7</v>
      </c>
      <c r="BR94">
        <v>200</v>
      </c>
      <c r="BS94">
        <v>100</v>
      </c>
      <c r="BT9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94" s="75">
        <f ca="1">ROUND((Table61011[[#This Row],[XP]]*Table61011[[#This Row],[entity_spawned (AVG)]])*(Table61011[[#This Row],[activating_chance]]/100),0)</f>
        <v>175</v>
      </c>
      <c r="BV9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4" s="72">
        <v>6</v>
      </c>
      <c r="BX94" s="72">
        <v>8</v>
      </c>
      <c r="BY94" s="72" t="b">
        <v>1</v>
      </c>
      <c r="CA94" t="s">
        <v>228</v>
      </c>
      <c r="CB94">
        <v>1.5</v>
      </c>
      <c r="CC94">
        <v>180</v>
      </c>
      <c r="CD94">
        <v>100</v>
      </c>
      <c r="CE94" s="75">
        <f ca="1">INDIRECT(ADDRESS(11+(MATCH(RIGHT(Table11[[#This Row],[spawner_sku]],LEN(Table11[[#This Row],[spawner_sku]])-FIND("/",Table11[[#This Row],[spawner_sku]])),Table1[Entity Prefab],0)),10,1,1,"Entities"))</f>
        <v>25</v>
      </c>
      <c r="CF94">
        <f ca="1">ROUND((Table11[[#This Row],[XP]]*Table11[[#This Row],[entity_spawned (AVG)]])*(Table11[[#This Row],[activating_chance]]/100),0)</f>
        <v>38</v>
      </c>
      <c r="CG94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94" s="72">
        <v>1</v>
      </c>
      <c r="CI94" s="72">
        <v>2</v>
      </c>
      <c r="CJ94" s="72" t="b">
        <v>0</v>
      </c>
      <c r="CL94" t="s">
        <v>491</v>
      </c>
      <c r="CM94">
        <v>1</v>
      </c>
      <c r="CN94">
        <v>110</v>
      </c>
      <c r="CO94">
        <v>100</v>
      </c>
      <c r="CP94" s="75">
        <f ca="1">INDIRECT(ADDRESS(11+(MATCH(RIGHT(Table12[[#This Row],[spawner_sku]],LEN(Table12[[#This Row],[spawner_sku]])-FIND("/",Table12[[#This Row],[spawner_sku]])),Table1[Entity Prefab],0)),10,1,1,"Entities"))</f>
        <v>25</v>
      </c>
      <c r="CQ94" s="75">
        <f ca="1">ROUND((Table12[[#This Row],[XP]]*Table12[[#This Row],[entity_spawned (AVG)]])*(Table12[[#This Row],[activating_chance]]/100),0)</f>
        <v>25</v>
      </c>
      <c r="CR94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94" s="72">
        <v>1</v>
      </c>
      <c r="CT94" s="72">
        <v>1</v>
      </c>
      <c r="CU94" s="72" t="b">
        <v>0</v>
      </c>
      <c r="CW94" t="s">
        <v>242</v>
      </c>
      <c r="CX94">
        <v>1</v>
      </c>
      <c r="CY94">
        <v>1500</v>
      </c>
      <c r="CZ94">
        <v>30</v>
      </c>
      <c r="DA94" s="75">
        <f ca="1">INDIRECT(ADDRESS(11+(MATCH(RIGHT(Table13[[#This Row],[spawner_sku]],LEN(Table13[[#This Row],[spawner_sku]])-FIND("/",Table13[[#This Row],[spawner_sku]])),Table1[Entity Prefab],0)),10,1,1,"Entities"))</f>
        <v>130</v>
      </c>
      <c r="DB94" s="75">
        <f ca="1">ROUND((Table13[[#This Row],[XP]]*Table13[[#This Row],[entity_spawned (AVG)]])*(Table13[[#This Row],[activating_chance]]/100),0)</f>
        <v>39</v>
      </c>
      <c r="DC94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94" s="72">
        <v>1</v>
      </c>
      <c r="DE94" s="72">
        <v>1</v>
      </c>
      <c r="DF94" s="72" t="b">
        <v>0</v>
      </c>
      <c r="DH94" t="s">
        <v>227</v>
      </c>
      <c r="DI94">
        <v>2.5</v>
      </c>
      <c r="DJ94">
        <v>80</v>
      </c>
      <c r="DK94">
        <v>30</v>
      </c>
      <c r="DL94" s="75">
        <f ca="1">INDIRECT(ADDRESS(11+(MATCH(RIGHT(Table14[[#This Row],[spawner_sku]],LEN(Table14[[#This Row],[spawner_sku]])-FIND("/",Table14[[#This Row],[spawner_sku]])),Table1[Entity Prefab],0)),10,1,1,"Entities"))</f>
        <v>25</v>
      </c>
      <c r="DM94" s="75">
        <f ca="1">ROUND((Table14[[#This Row],[XP]]*Table14[[#This Row],[entity_spawned (AVG)]])*(Table14[[#This Row],[activating_chance]]/100),0)</f>
        <v>19</v>
      </c>
      <c r="DN9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94" s="72">
        <v>2</v>
      </c>
      <c r="DP94" s="72">
        <v>3</v>
      </c>
      <c r="DQ94" s="72" t="b">
        <v>0</v>
      </c>
      <c r="DS94" t="s">
        <v>395</v>
      </c>
      <c r="DT94">
        <v>2</v>
      </c>
      <c r="DU94">
        <v>100</v>
      </c>
      <c r="DV94">
        <v>80</v>
      </c>
      <c r="DW94" s="75">
        <f ca="1">INDIRECT(ADDRESS(11+(MATCH(RIGHT(Table18[[#This Row],[spawner_sku]],LEN(Table18[[#This Row],[spawner_sku]])-FIND("/",Table18[[#This Row],[spawner_sku]])),Table1[Entity Prefab],0)),10,1,1,"Entities"))</f>
        <v>25</v>
      </c>
      <c r="DX94" s="75">
        <f ca="1">ROUND((Table18[[#This Row],[XP]]*Table18[[#This Row],[entity_spawned (AVG)]])*(Table18[[#This Row],[activating_chance]]/100),0)</f>
        <v>40</v>
      </c>
      <c r="DY9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94">
        <v>2</v>
      </c>
      <c r="EA94">
        <v>3</v>
      </c>
      <c r="EB94" t="b">
        <v>0</v>
      </c>
      <c r="ED94" t="s">
        <v>227</v>
      </c>
      <c r="EE94">
        <v>3</v>
      </c>
      <c r="EF94">
        <v>140</v>
      </c>
      <c r="EG94">
        <v>100</v>
      </c>
      <c r="EH94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94" s="75">
        <f ca="1">ROUND((Table1820[[#This Row],[XP]]*Table1820[[#This Row],[entity_spawned (AVG)]])*(Table1820[[#This Row],[activating_chance]]/100),0)</f>
        <v>75</v>
      </c>
      <c r="EJ9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94">
        <v>2</v>
      </c>
      <c r="EL94">
        <v>4</v>
      </c>
      <c r="EM94" t="b">
        <v>0</v>
      </c>
      <c r="EO94" t="s">
        <v>7346</v>
      </c>
      <c r="EP94">
        <v>7.5</v>
      </c>
      <c r="EQ94">
        <v>100</v>
      </c>
      <c r="ER94">
        <v>100</v>
      </c>
      <c r="ES94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ET94" s="75">
        <f ca="1">ROUND((Table182023[[#This Row],[XP]]*Table182023[[#This Row],[entity_spawned (AVG)]])*(Table182023[[#This Row],[activating_chance]]/100),0)</f>
        <v>263</v>
      </c>
      <c r="EU94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94" s="152">
        <v>5</v>
      </c>
      <c r="EW94" s="152">
        <v>10</v>
      </c>
      <c r="EX94" s="152" t="b">
        <v>1</v>
      </c>
      <c r="EZ94" t="s">
        <v>7350</v>
      </c>
      <c r="FA94">
        <v>1</v>
      </c>
      <c r="FB94">
        <v>100</v>
      </c>
      <c r="FC94">
        <v>100</v>
      </c>
      <c r="FD94" s="75">
        <f ca="1">INDIRECT(ADDRESS(11+(MATCH(RIGHT(Table18202324[[#This Row],[spawner_sku]],LEN(Table18202324[[#This Row],[spawner_sku]])-FIND("/",Table18202324[[#This Row],[spawner_sku]])),Table1[Entity Prefab],0)),10,1,1,"Entities"))</f>
        <v>95</v>
      </c>
      <c r="FE94" s="75">
        <f ca="1">ROUND((Table18202324[[#This Row],[XP]]*Table18202324[[#This Row],[entity_spawned (AVG)]])*(Table18202324[[#This Row],[activating_chance]]/100),0)</f>
        <v>95</v>
      </c>
      <c r="FF94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94">
        <v>1</v>
      </c>
      <c r="FH94">
        <v>1</v>
      </c>
      <c r="FI94" t="b">
        <v>0</v>
      </c>
    </row>
    <row r="95" spans="2:165" x14ac:dyDescent="0.25">
      <c r="B95" s="73" t="s">
        <v>228</v>
      </c>
      <c r="C95">
        <v>1.5</v>
      </c>
      <c r="D95">
        <v>140</v>
      </c>
      <c r="E95">
        <v>85</v>
      </c>
      <c r="F95" s="75">
        <f ca="1">INDIRECT(ADDRESS(11+(MATCH(RIGHT(Table245[[#This Row],[spawner_sku]],LEN(Table245[[#This Row],[spawner_sku]])-FIND("/",Table245[[#This Row],[spawner_sku]])),Table1[Entity Prefab],0)),10,1,1,"Entities"))</f>
        <v>25</v>
      </c>
      <c r="G95" s="75">
        <f ca="1">ROUND((Table245[[#This Row],[XP]]*Table245[[#This Row],[entity_spawned (AVG)]])*(Table245[[#This Row],[activating_chance]]/100),0)</f>
        <v>32</v>
      </c>
      <c r="H9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5" s="72">
        <v>1</v>
      </c>
      <c r="J95" s="72">
        <v>2</v>
      </c>
      <c r="K95" s="72" t="b">
        <v>0</v>
      </c>
      <c r="M95" t="s">
        <v>235</v>
      </c>
      <c r="N95">
        <v>1</v>
      </c>
      <c r="O95">
        <v>180</v>
      </c>
      <c r="P95">
        <v>80</v>
      </c>
      <c r="Q95" s="75">
        <f ca="1">INDIRECT(ADDRESS(11+(MATCH(RIGHT(Table3[[#This Row],[spawner_sku]],LEN(Table3[[#This Row],[spawner_sku]])-FIND("/",Table3[[#This Row],[spawner_sku]])),Table1[Entity Prefab],0)),10,1,1,"Entities"))</f>
        <v>25</v>
      </c>
      <c r="R95" s="75">
        <f ca="1">ROUND((Table3[[#This Row],[XP]]*Table3[[#This Row],[entity_spawned (AVG)]])*(Table3[[#This Row],[activating_chance]]/100),0)</f>
        <v>20</v>
      </c>
      <c r="S95" t="str">
        <f ca="1">INDIRECT(ADDRESS(11+(MATCH(RIGHT(Table3[[#This Row],[spawner_sku]],LEN(Table3[[#This Row],[spawner_sku]])-FIND("/",Table3[[#This Row],[spawner_sku]])),Table28[Entity Prefab],0)),24,1,1,"Entities"))</f>
        <v>yes</v>
      </c>
      <c r="T95">
        <v>1</v>
      </c>
      <c r="U95">
        <v>1</v>
      </c>
      <c r="V95" t="b">
        <v>0</v>
      </c>
      <c r="W95" s="72"/>
      <c r="X95" t="s">
        <v>256</v>
      </c>
      <c r="Y95">
        <v>1</v>
      </c>
      <c r="Z95">
        <v>160</v>
      </c>
      <c r="AA95">
        <v>100</v>
      </c>
      <c r="AB95" s="75">
        <f ca="1">INDIRECT(ADDRESS(11+(MATCH(RIGHT(Table39[[#This Row],[spawner_sku]],LEN(Table39[[#This Row],[spawner_sku]])-FIND("/",Table39[[#This Row],[spawner_sku]])),Table1[Entity Prefab],0)),10,1,1,"Entities"))</f>
        <v>25</v>
      </c>
      <c r="AC95" s="75">
        <f ca="1">ROUND((Table39[[#This Row],[XP]]*Table39[[#This Row],[entity_spawned (AVG)]])*(Table39[[#This Row],[activating_chance]]/100),0)</f>
        <v>25</v>
      </c>
      <c r="AD95" t="str">
        <f ca="1">INDIRECT(ADDRESS(11+(MATCH(RIGHT(Table39[[#This Row],[spawner_sku]],LEN(Table39[[#This Row],[spawner_sku]])-FIND("/",Table39[[#This Row],[spawner_sku]])),Table28[Entity Prefab],0)),24,1,1,"Entities"))</f>
        <v>no</v>
      </c>
      <c r="AE95">
        <v>1</v>
      </c>
      <c r="AF95">
        <v>1</v>
      </c>
      <c r="AG95" t="b">
        <v>0</v>
      </c>
      <c r="AI95" t="s">
        <v>228</v>
      </c>
      <c r="AJ95">
        <v>2</v>
      </c>
      <c r="AK95">
        <v>120</v>
      </c>
      <c r="AL95">
        <v>100</v>
      </c>
      <c r="AM95" s="75">
        <f ca="1">INDIRECT(ADDRESS(11+(MATCH(RIGHT(Table2[[#This Row],[spawner_sku]],LEN(Table2[[#This Row],[spawner_sku]])-FIND("/",Table2[[#This Row],[spawner_sku]])),Table1[Entity Prefab],0)),10,1,1,"Entities"))</f>
        <v>25</v>
      </c>
      <c r="AN95" s="75">
        <f ca="1">ROUND((Table2[[#This Row],[XP]]*Table2[[#This Row],[entity_spawned (AVG)]])*(Table2[[#This Row],[activating_chance]]/100),0)</f>
        <v>50</v>
      </c>
      <c r="AO9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95" s="72">
        <v>1</v>
      </c>
      <c r="AQ95" s="72">
        <v>3</v>
      </c>
      <c r="AR95" s="72" t="b">
        <v>0</v>
      </c>
      <c r="AT95" t="s">
        <v>234</v>
      </c>
      <c r="AU95">
        <v>1</v>
      </c>
      <c r="AV95">
        <v>340</v>
      </c>
      <c r="AW95">
        <v>100</v>
      </c>
      <c r="AX95" s="75">
        <f ca="1">INDIRECT(ADDRESS(11+(MATCH(RIGHT(Table6[[#This Row],[spawner_sku]],LEN(Table6[[#This Row],[spawner_sku]])-FIND("/",Table6[[#This Row],[spawner_sku]])),Table1[Entity Prefab],0)),10,1,1,"Entities"))</f>
        <v>263</v>
      </c>
      <c r="AY95" s="75">
        <f ca="1">ROUND((Table6[[#This Row],[XP]]*Table6[[#This Row],[entity_spawned (AVG)]])*(Table6[[#This Row],[activating_chance]]/100),0)</f>
        <v>263</v>
      </c>
      <c r="AZ95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95">
        <v>1</v>
      </c>
      <c r="BB95">
        <v>1</v>
      </c>
      <c r="BC95" t="b">
        <v>0</v>
      </c>
      <c r="BE95" t="s">
        <v>243</v>
      </c>
      <c r="BF95">
        <v>1</v>
      </c>
      <c r="BG95">
        <v>200</v>
      </c>
      <c r="BH95">
        <v>100</v>
      </c>
      <c r="BI95" s="75">
        <f ca="1">INDIRECT(ADDRESS(11+(MATCH(RIGHT(Table610[[#This Row],[spawner_sku]],LEN(Table610[[#This Row],[spawner_sku]])-FIND("/",Table610[[#This Row],[spawner_sku]])),Table1[Entity Prefab],0)),10,1,1,"Entities"))</f>
        <v>28</v>
      </c>
      <c r="BJ95" s="75">
        <f ca="1">ROUND((Table610[[#This Row],[XP]]*Table610[[#This Row],[entity_spawned (AVG)]])*(Table610[[#This Row],[activating_chance]]/100),0)</f>
        <v>28</v>
      </c>
      <c r="BK95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95">
        <v>1</v>
      </c>
      <c r="BM95">
        <v>1</v>
      </c>
      <c r="BN95" t="b">
        <v>0</v>
      </c>
      <c r="BP95" t="s">
        <v>391</v>
      </c>
      <c r="BQ95">
        <v>6.5</v>
      </c>
      <c r="BR95">
        <v>220</v>
      </c>
      <c r="BS95">
        <v>100</v>
      </c>
      <c r="BT9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95" s="75">
        <f ca="1">ROUND((Table61011[[#This Row],[XP]]*Table61011[[#This Row],[entity_spawned (AVG)]])*(Table61011[[#This Row],[activating_chance]]/100),0)</f>
        <v>163</v>
      </c>
      <c r="BV9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5" s="72">
        <v>5</v>
      </c>
      <c r="BX95" s="72">
        <v>8</v>
      </c>
      <c r="BY95" s="72" t="b">
        <v>1</v>
      </c>
      <c r="CA95" t="s">
        <v>228</v>
      </c>
      <c r="CB95">
        <v>10</v>
      </c>
      <c r="CC95">
        <v>180</v>
      </c>
      <c r="CD95">
        <v>100</v>
      </c>
      <c r="CE95" s="75">
        <f ca="1">INDIRECT(ADDRESS(11+(MATCH(RIGHT(Table11[[#This Row],[spawner_sku]],LEN(Table11[[#This Row],[spawner_sku]])-FIND("/",Table11[[#This Row],[spawner_sku]])),Table1[Entity Prefab],0)),10,1,1,"Entities"))</f>
        <v>25</v>
      </c>
      <c r="CF95">
        <f ca="1">ROUND((Table11[[#This Row],[XP]]*Table11[[#This Row],[entity_spawned (AVG)]])*(Table11[[#This Row],[activating_chance]]/100),0)</f>
        <v>250</v>
      </c>
      <c r="CG95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95" s="72">
        <v>10</v>
      </c>
      <c r="CI95" s="72">
        <v>10</v>
      </c>
      <c r="CJ95" s="72" t="b">
        <v>1</v>
      </c>
      <c r="CL95" t="s">
        <v>491</v>
      </c>
      <c r="CM95">
        <v>1</v>
      </c>
      <c r="CN95">
        <v>110</v>
      </c>
      <c r="CO95">
        <v>100</v>
      </c>
      <c r="CP95" s="75">
        <f ca="1">INDIRECT(ADDRESS(11+(MATCH(RIGHT(Table12[[#This Row],[spawner_sku]],LEN(Table12[[#This Row],[spawner_sku]])-FIND("/",Table12[[#This Row],[spawner_sku]])),Table1[Entity Prefab],0)),10,1,1,"Entities"))</f>
        <v>25</v>
      </c>
      <c r="CQ95" s="75">
        <f ca="1">ROUND((Table12[[#This Row],[XP]]*Table12[[#This Row],[entity_spawned (AVG)]])*(Table12[[#This Row],[activating_chance]]/100),0)</f>
        <v>25</v>
      </c>
      <c r="CR95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95" s="72">
        <v>1</v>
      </c>
      <c r="CT95" s="72">
        <v>1</v>
      </c>
      <c r="CU95" s="72" t="b">
        <v>0</v>
      </c>
      <c r="CW95" t="s">
        <v>242</v>
      </c>
      <c r="CX95">
        <v>1</v>
      </c>
      <c r="CY95">
        <v>1500</v>
      </c>
      <c r="CZ95">
        <v>10</v>
      </c>
      <c r="DA95" s="75">
        <f ca="1">INDIRECT(ADDRESS(11+(MATCH(RIGHT(Table13[[#This Row],[spawner_sku]],LEN(Table13[[#This Row],[spawner_sku]])-FIND("/",Table13[[#This Row],[spawner_sku]])),Table1[Entity Prefab],0)),10,1,1,"Entities"))</f>
        <v>130</v>
      </c>
      <c r="DB95" s="75">
        <f ca="1">ROUND((Table13[[#This Row],[XP]]*Table13[[#This Row],[entity_spawned (AVG)]])*(Table13[[#This Row],[activating_chance]]/100),0)</f>
        <v>13</v>
      </c>
      <c r="DC95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95" s="72">
        <v>1</v>
      </c>
      <c r="DE95" s="72">
        <v>1</v>
      </c>
      <c r="DF95" s="72" t="b">
        <v>0</v>
      </c>
      <c r="DH95" t="s">
        <v>227</v>
      </c>
      <c r="DI95">
        <v>3.5</v>
      </c>
      <c r="DJ95">
        <v>140</v>
      </c>
      <c r="DK95">
        <v>100</v>
      </c>
      <c r="DL95" s="75">
        <f ca="1">INDIRECT(ADDRESS(11+(MATCH(RIGHT(Table14[[#This Row],[spawner_sku]],LEN(Table14[[#This Row],[spawner_sku]])-FIND("/",Table14[[#This Row],[spawner_sku]])),Table1[Entity Prefab],0)),10,1,1,"Entities"))</f>
        <v>25</v>
      </c>
      <c r="DM95" s="75">
        <f ca="1">ROUND((Table14[[#This Row],[XP]]*Table14[[#This Row],[entity_spawned (AVG)]])*(Table14[[#This Row],[activating_chance]]/100),0)</f>
        <v>88</v>
      </c>
      <c r="DN9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95" s="72">
        <v>3</v>
      </c>
      <c r="DP95" s="72">
        <v>4</v>
      </c>
      <c r="DQ95" s="72" t="b">
        <v>0</v>
      </c>
      <c r="DS95" t="s">
        <v>395</v>
      </c>
      <c r="DT95">
        <v>11</v>
      </c>
      <c r="DU95">
        <v>200</v>
      </c>
      <c r="DV95">
        <v>100</v>
      </c>
      <c r="DW95" s="75">
        <f ca="1">INDIRECT(ADDRESS(11+(MATCH(RIGHT(Table18[[#This Row],[spawner_sku]],LEN(Table18[[#This Row],[spawner_sku]])-FIND("/",Table18[[#This Row],[spawner_sku]])),Table1[Entity Prefab],0)),10,1,1,"Entities"))</f>
        <v>25</v>
      </c>
      <c r="DX95" s="75">
        <f ca="1">ROUND((Table18[[#This Row],[XP]]*Table18[[#This Row],[entity_spawned (AVG)]])*(Table18[[#This Row],[activating_chance]]/100),0)</f>
        <v>275</v>
      </c>
      <c r="DY9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95">
        <v>10</v>
      </c>
      <c r="EA95">
        <v>12</v>
      </c>
      <c r="EB95" t="b">
        <v>1</v>
      </c>
      <c r="ED95" t="s">
        <v>395</v>
      </c>
      <c r="EE95">
        <v>3</v>
      </c>
      <c r="EF95">
        <v>120</v>
      </c>
      <c r="EG95">
        <v>100</v>
      </c>
      <c r="EH95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95" s="75">
        <f ca="1">ROUND((Table1820[[#This Row],[XP]]*Table1820[[#This Row],[entity_spawned (AVG)]])*(Table1820[[#This Row],[activating_chance]]/100),0)</f>
        <v>75</v>
      </c>
      <c r="EJ9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95">
        <v>3</v>
      </c>
      <c r="EL95">
        <v>4</v>
      </c>
      <c r="EM95" t="b">
        <v>0</v>
      </c>
      <c r="EO95" t="s">
        <v>7346</v>
      </c>
      <c r="EP95">
        <v>2.5</v>
      </c>
      <c r="EQ95">
        <v>60</v>
      </c>
      <c r="ER95">
        <v>80</v>
      </c>
      <c r="ES95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ET95" s="75">
        <f ca="1">ROUND((Table182023[[#This Row],[XP]]*Table182023[[#This Row],[entity_spawned (AVG)]])*(Table182023[[#This Row],[activating_chance]]/100),0)</f>
        <v>70</v>
      </c>
      <c r="EU95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95" s="152">
        <v>2</v>
      </c>
      <c r="EW95" s="152">
        <v>3</v>
      </c>
      <c r="EX95" s="152" t="b">
        <v>0</v>
      </c>
      <c r="EZ95" t="s">
        <v>7350</v>
      </c>
      <c r="FA95">
        <v>1</v>
      </c>
      <c r="FB95">
        <v>90</v>
      </c>
      <c r="FC95">
        <v>100</v>
      </c>
      <c r="FD95" s="75">
        <f ca="1">INDIRECT(ADDRESS(11+(MATCH(RIGHT(Table18202324[[#This Row],[spawner_sku]],LEN(Table18202324[[#This Row],[spawner_sku]])-FIND("/",Table18202324[[#This Row],[spawner_sku]])),Table1[Entity Prefab],0)),10,1,1,"Entities"))</f>
        <v>95</v>
      </c>
      <c r="FE95" s="75">
        <f ca="1">ROUND((Table18202324[[#This Row],[XP]]*Table18202324[[#This Row],[entity_spawned (AVG)]])*(Table18202324[[#This Row],[activating_chance]]/100),0)</f>
        <v>95</v>
      </c>
      <c r="FF95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95">
        <v>1</v>
      </c>
      <c r="FH95">
        <v>1</v>
      </c>
      <c r="FI95" t="b">
        <v>0</v>
      </c>
    </row>
    <row r="96" spans="2:165" x14ac:dyDescent="0.25">
      <c r="B96" s="73" t="s">
        <v>228</v>
      </c>
      <c r="C96">
        <v>2</v>
      </c>
      <c r="D96">
        <v>110</v>
      </c>
      <c r="E96">
        <v>100</v>
      </c>
      <c r="F96" s="75">
        <f ca="1">INDIRECT(ADDRESS(11+(MATCH(RIGHT(Table245[[#This Row],[spawner_sku]],LEN(Table245[[#This Row],[spawner_sku]])-FIND("/",Table245[[#This Row],[spawner_sku]])),Table1[Entity Prefab],0)),10,1,1,"Entities"))</f>
        <v>25</v>
      </c>
      <c r="G96" s="75">
        <f ca="1">ROUND((Table245[[#This Row],[XP]]*Table245[[#This Row],[entity_spawned (AVG)]])*(Table245[[#This Row],[activating_chance]]/100),0)</f>
        <v>50</v>
      </c>
      <c r="H9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6" s="72">
        <v>1</v>
      </c>
      <c r="J96" s="72">
        <v>3</v>
      </c>
      <c r="K96" s="72" t="b">
        <v>0</v>
      </c>
      <c r="M96" t="s">
        <v>238</v>
      </c>
      <c r="N96">
        <v>1</v>
      </c>
      <c r="O96">
        <v>2500</v>
      </c>
      <c r="P96">
        <v>100</v>
      </c>
      <c r="Q96" s="75">
        <f ca="1">INDIRECT(ADDRESS(11+(MATCH(RIGHT(Table3[[#This Row],[spawner_sku]],LEN(Table3[[#This Row],[spawner_sku]])-FIND("/",Table3[[#This Row],[spawner_sku]])),Table1[Entity Prefab],0)),10,1,1,"Entities"))</f>
        <v>263</v>
      </c>
      <c r="R96" s="75">
        <f ca="1">ROUND((Table3[[#This Row],[XP]]*Table3[[#This Row],[entity_spawned (AVG)]])*(Table3[[#This Row],[activating_chance]]/100),0)</f>
        <v>263</v>
      </c>
      <c r="S96" t="str">
        <f ca="1">INDIRECT(ADDRESS(11+(MATCH(RIGHT(Table3[[#This Row],[spawner_sku]],LEN(Table3[[#This Row],[spawner_sku]])-FIND("/",Table3[[#This Row],[spawner_sku]])),Table28[Entity Prefab],0)),24,1,1,"Entities"))</f>
        <v>yes</v>
      </c>
      <c r="T96">
        <v>1</v>
      </c>
      <c r="U96">
        <v>1</v>
      </c>
      <c r="V96" t="b">
        <v>0</v>
      </c>
      <c r="W96" s="72"/>
      <c r="X96" t="s">
        <v>256</v>
      </c>
      <c r="Y96">
        <v>1</v>
      </c>
      <c r="Z96">
        <v>160</v>
      </c>
      <c r="AA96">
        <v>100</v>
      </c>
      <c r="AB96" s="75">
        <f ca="1">INDIRECT(ADDRESS(11+(MATCH(RIGHT(Table39[[#This Row],[spawner_sku]],LEN(Table39[[#This Row],[spawner_sku]])-FIND("/",Table39[[#This Row],[spawner_sku]])),Table1[Entity Prefab],0)),10,1,1,"Entities"))</f>
        <v>25</v>
      </c>
      <c r="AC96" s="75">
        <f ca="1">ROUND((Table39[[#This Row],[XP]]*Table39[[#This Row],[entity_spawned (AVG)]])*(Table39[[#This Row],[activating_chance]]/100),0)</f>
        <v>25</v>
      </c>
      <c r="AD96" t="str">
        <f ca="1">INDIRECT(ADDRESS(11+(MATCH(RIGHT(Table39[[#This Row],[spawner_sku]],LEN(Table39[[#This Row],[spawner_sku]])-FIND("/",Table39[[#This Row],[spawner_sku]])),Table28[Entity Prefab],0)),24,1,1,"Entities"))</f>
        <v>no</v>
      </c>
      <c r="AE96">
        <v>1</v>
      </c>
      <c r="AF96">
        <v>1</v>
      </c>
      <c r="AG96" t="b">
        <v>0</v>
      </c>
      <c r="AI96" t="s">
        <v>228</v>
      </c>
      <c r="AJ96">
        <v>3</v>
      </c>
      <c r="AK96">
        <v>160</v>
      </c>
      <c r="AL96">
        <v>100</v>
      </c>
      <c r="AM96" s="75">
        <f ca="1">INDIRECT(ADDRESS(11+(MATCH(RIGHT(Table2[[#This Row],[spawner_sku]],LEN(Table2[[#This Row],[spawner_sku]])-FIND("/",Table2[[#This Row],[spawner_sku]])),Table1[Entity Prefab],0)),10,1,1,"Entities"))</f>
        <v>25</v>
      </c>
      <c r="AN96" s="75">
        <f ca="1">ROUND((Table2[[#This Row],[XP]]*Table2[[#This Row],[entity_spawned (AVG)]])*(Table2[[#This Row],[activating_chance]]/100),0)</f>
        <v>75</v>
      </c>
      <c r="AO9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96" s="72">
        <v>2</v>
      </c>
      <c r="AQ96" s="72">
        <v>4</v>
      </c>
      <c r="AR96" s="72" t="b">
        <v>0</v>
      </c>
      <c r="AT96" t="s">
        <v>234</v>
      </c>
      <c r="AU96">
        <v>1</v>
      </c>
      <c r="AV96">
        <v>340</v>
      </c>
      <c r="AW96">
        <v>100</v>
      </c>
      <c r="AX96" s="75">
        <f ca="1">INDIRECT(ADDRESS(11+(MATCH(RIGHT(Table6[[#This Row],[spawner_sku]],LEN(Table6[[#This Row],[spawner_sku]])-FIND("/",Table6[[#This Row],[spawner_sku]])),Table1[Entity Prefab],0)),10,1,1,"Entities"))</f>
        <v>263</v>
      </c>
      <c r="AY96" s="75">
        <f ca="1">ROUND((Table6[[#This Row],[XP]]*Table6[[#This Row],[entity_spawned (AVG)]])*(Table6[[#This Row],[activating_chance]]/100),0)</f>
        <v>263</v>
      </c>
      <c r="AZ96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96">
        <v>1</v>
      </c>
      <c r="BB96">
        <v>1</v>
      </c>
      <c r="BC96" t="b">
        <v>0</v>
      </c>
      <c r="BE96" t="s">
        <v>243</v>
      </c>
      <c r="BF96">
        <v>1</v>
      </c>
      <c r="BG96">
        <v>200</v>
      </c>
      <c r="BH96">
        <v>100</v>
      </c>
      <c r="BI96" s="75">
        <f ca="1">INDIRECT(ADDRESS(11+(MATCH(RIGHT(Table610[[#This Row],[spawner_sku]],LEN(Table610[[#This Row],[spawner_sku]])-FIND("/",Table610[[#This Row],[spawner_sku]])),Table1[Entity Prefab],0)),10,1,1,"Entities"))</f>
        <v>28</v>
      </c>
      <c r="BJ96" s="75">
        <f ca="1">ROUND((Table610[[#This Row],[XP]]*Table610[[#This Row],[entity_spawned (AVG)]])*(Table610[[#This Row],[activating_chance]]/100),0)</f>
        <v>28</v>
      </c>
      <c r="BK96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96">
        <v>1</v>
      </c>
      <c r="BM96">
        <v>1</v>
      </c>
      <c r="BN96" t="b">
        <v>0</v>
      </c>
      <c r="BP96" t="s">
        <v>395</v>
      </c>
      <c r="BQ96">
        <v>3.5</v>
      </c>
      <c r="BR96">
        <v>220</v>
      </c>
      <c r="BS96">
        <v>100</v>
      </c>
      <c r="BT9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96" s="75">
        <f ca="1">ROUND((Table61011[[#This Row],[XP]]*Table61011[[#This Row],[entity_spawned (AVG)]])*(Table61011[[#This Row],[activating_chance]]/100),0)</f>
        <v>88</v>
      </c>
      <c r="BV9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6" s="72">
        <v>3</v>
      </c>
      <c r="BX96" s="72">
        <v>4</v>
      </c>
      <c r="BY96" s="72" t="b">
        <v>0</v>
      </c>
      <c r="CA96" t="s">
        <v>395</v>
      </c>
      <c r="CB96">
        <v>6</v>
      </c>
      <c r="CC96">
        <v>200</v>
      </c>
      <c r="CD96">
        <v>100</v>
      </c>
      <c r="CE96" s="75">
        <f ca="1">INDIRECT(ADDRESS(11+(MATCH(RIGHT(Table11[[#This Row],[spawner_sku]],LEN(Table11[[#This Row],[spawner_sku]])-FIND("/",Table11[[#This Row],[spawner_sku]])),Table1[Entity Prefab],0)),10,1,1,"Entities"))</f>
        <v>25</v>
      </c>
      <c r="CF96">
        <f ca="1">ROUND((Table11[[#This Row],[XP]]*Table11[[#This Row],[entity_spawned (AVG)]])*(Table11[[#This Row],[activating_chance]]/100),0)</f>
        <v>150</v>
      </c>
      <c r="CG96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96" s="72">
        <v>6</v>
      </c>
      <c r="CI96" s="72">
        <v>6</v>
      </c>
      <c r="CJ96" s="72" t="b">
        <v>1</v>
      </c>
      <c r="CL96" t="s">
        <v>453</v>
      </c>
      <c r="CM96">
        <v>1</v>
      </c>
      <c r="CN96">
        <v>300</v>
      </c>
      <c r="CO96">
        <v>100</v>
      </c>
      <c r="CP96" s="75">
        <f ca="1">INDIRECT(ADDRESS(11+(MATCH(RIGHT(Table12[[#This Row],[spawner_sku]],LEN(Table12[[#This Row],[spawner_sku]])-FIND("/",Table12[[#This Row],[spawner_sku]])),Table1[Entity Prefab],0)),10,1,1,"Entities"))</f>
        <v>75</v>
      </c>
      <c r="CQ96" s="75">
        <f ca="1">ROUND((Table12[[#This Row],[XP]]*Table12[[#This Row],[entity_spawned (AVG)]])*(Table12[[#This Row],[activating_chance]]/100),0)</f>
        <v>75</v>
      </c>
      <c r="CR96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96" s="72">
        <v>1</v>
      </c>
      <c r="CT96" s="72">
        <v>1</v>
      </c>
      <c r="CU96" s="72" t="b">
        <v>0</v>
      </c>
      <c r="CW96" t="s">
        <v>243</v>
      </c>
      <c r="CX96">
        <v>1</v>
      </c>
      <c r="CY96">
        <v>200</v>
      </c>
      <c r="CZ96">
        <v>100</v>
      </c>
      <c r="DA96" s="75">
        <f ca="1">INDIRECT(ADDRESS(11+(MATCH(RIGHT(Table13[[#This Row],[spawner_sku]],LEN(Table13[[#This Row],[spawner_sku]])-FIND("/",Table13[[#This Row],[spawner_sku]])),Table1[Entity Prefab],0)),10,1,1,"Entities"))</f>
        <v>28</v>
      </c>
      <c r="DB96" s="75">
        <f ca="1">ROUND((Table13[[#This Row],[XP]]*Table13[[#This Row],[entity_spawned (AVG)]])*(Table13[[#This Row],[activating_chance]]/100),0)</f>
        <v>28</v>
      </c>
      <c r="DC96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96" s="72">
        <v>1</v>
      </c>
      <c r="DE96" s="72">
        <v>1</v>
      </c>
      <c r="DF96" s="72" t="b">
        <v>0</v>
      </c>
      <c r="DH96" t="s">
        <v>227</v>
      </c>
      <c r="DI96">
        <v>10</v>
      </c>
      <c r="DJ96">
        <v>180</v>
      </c>
      <c r="DK96">
        <v>100</v>
      </c>
      <c r="DL96" s="75">
        <f ca="1">INDIRECT(ADDRESS(11+(MATCH(RIGHT(Table14[[#This Row],[spawner_sku]],LEN(Table14[[#This Row],[spawner_sku]])-FIND("/",Table14[[#This Row],[spawner_sku]])),Table1[Entity Prefab],0)),10,1,1,"Entities"))</f>
        <v>25</v>
      </c>
      <c r="DM96" s="75">
        <f ca="1">ROUND((Table14[[#This Row],[XP]]*Table14[[#This Row],[entity_spawned (AVG)]])*(Table14[[#This Row],[activating_chance]]/100),0)</f>
        <v>250</v>
      </c>
      <c r="DN9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96" s="72">
        <v>8</v>
      </c>
      <c r="DP96" s="72">
        <v>12</v>
      </c>
      <c r="DQ96" s="72" t="b">
        <v>1</v>
      </c>
      <c r="DS96" t="s">
        <v>395</v>
      </c>
      <c r="DT96">
        <v>3</v>
      </c>
      <c r="DU96">
        <v>100</v>
      </c>
      <c r="DV96">
        <v>100</v>
      </c>
      <c r="DW96" s="75">
        <f ca="1">INDIRECT(ADDRESS(11+(MATCH(RIGHT(Table18[[#This Row],[spawner_sku]],LEN(Table18[[#This Row],[spawner_sku]])-FIND("/",Table18[[#This Row],[spawner_sku]])),Table1[Entity Prefab],0)),10,1,1,"Entities"))</f>
        <v>25</v>
      </c>
      <c r="DX96" s="75">
        <f ca="1">ROUND((Table18[[#This Row],[XP]]*Table18[[#This Row],[entity_spawned (AVG)]])*(Table18[[#This Row],[activating_chance]]/100),0)</f>
        <v>75</v>
      </c>
      <c r="DY9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96">
        <v>3</v>
      </c>
      <c r="EA96">
        <v>4</v>
      </c>
      <c r="EB96" t="b">
        <v>0</v>
      </c>
      <c r="ED96" t="s">
        <v>395</v>
      </c>
      <c r="EE96">
        <v>9</v>
      </c>
      <c r="EF96">
        <v>140</v>
      </c>
      <c r="EG96">
        <v>30</v>
      </c>
      <c r="EH96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96" s="75">
        <f ca="1">ROUND((Table1820[[#This Row],[XP]]*Table1820[[#This Row],[entity_spawned (AVG)]])*(Table1820[[#This Row],[activating_chance]]/100),0)</f>
        <v>68</v>
      </c>
      <c r="EJ9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96">
        <v>8</v>
      </c>
      <c r="EL96">
        <v>10</v>
      </c>
      <c r="EM96" t="b">
        <v>1</v>
      </c>
      <c r="EO96" t="s">
        <v>7346</v>
      </c>
      <c r="EP96">
        <v>3</v>
      </c>
      <c r="EQ96">
        <v>85</v>
      </c>
      <c r="ER96">
        <v>100</v>
      </c>
      <c r="ES96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ET96" s="75">
        <f ca="1">ROUND((Table182023[[#This Row],[XP]]*Table182023[[#This Row],[entity_spawned (AVG)]])*(Table182023[[#This Row],[activating_chance]]/100),0)</f>
        <v>105</v>
      </c>
      <c r="EU96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96" s="152">
        <v>2</v>
      </c>
      <c r="EW96" s="152">
        <v>4</v>
      </c>
      <c r="EX96" s="152" t="b">
        <v>0</v>
      </c>
      <c r="EZ96" t="s">
        <v>7350</v>
      </c>
      <c r="FA96">
        <v>1</v>
      </c>
      <c r="FB96">
        <v>90</v>
      </c>
      <c r="FC96">
        <v>100</v>
      </c>
      <c r="FD96" s="75">
        <f ca="1">INDIRECT(ADDRESS(11+(MATCH(RIGHT(Table18202324[[#This Row],[spawner_sku]],LEN(Table18202324[[#This Row],[spawner_sku]])-FIND("/",Table18202324[[#This Row],[spawner_sku]])),Table1[Entity Prefab],0)),10,1,1,"Entities"))</f>
        <v>95</v>
      </c>
      <c r="FE96" s="75">
        <f ca="1">ROUND((Table18202324[[#This Row],[XP]]*Table18202324[[#This Row],[entity_spawned (AVG)]])*(Table18202324[[#This Row],[activating_chance]]/100),0)</f>
        <v>95</v>
      </c>
      <c r="FF96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96">
        <v>1</v>
      </c>
      <c r="FH96">
        <v>1</v>
      </c>
      <c r="FI96" t="b">
        <v>0</v>
      </c>
    </row>
    <row r="97" spans="2:165" x14ac:dyDescent="0.25">
      <c r="B97" s="73" t="s">
        <v>228</v>
      </c>
      <c r="C97">
        <v>7.5</v>
      </c>
      <c r="D97">
        <v>180</v>
      </c>
      <c r="E97">
        <v>100</v>
      </c>
      <c r="F97" s="75">
        <f ca="1">INDIRECT(ADDRESS(11+(MATCH(RIGHT(Table245[[#This Row],[spawner_sku]],LEN(Table245[[#This Row],[spawner_sku]])-FIND("/",Table245[[#This Row],[spawner_sku]])),Table1[Entity Prefab],0)),10,1,1,"Entities"))</f>
        <v>25</v>
      </c>
      <c r="G97" s="75">
        <f ca="1">ROUND((Table245[[#This Row],[XP]]*Table245[[#This Row],[entity_spawned (AVG)]])*(Table245[[#This Row],[activating_chance]]/100),0)</f>
        <v>188</v>
      </c>
      <c r="H9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7" s="72">
        <v>5</v>
      </c>
      <c r="J97" s="72">
        <v>10</v>
      </c>
      <c r="K97" s="72" t="b">
        <v>1</v>
      </c>
      <c r="M97" t="s">
        <v>240</v>
      </c>
      <c r="N97">
        <v>1</v>
      </c>
      <c r="O97">
        <v>2000</v>
      </c>
      <c r="P97">
        <v>100</v>
      </c>
      <c r="Q97" s="75">
        <f ca="1">INDIRECT(ADDRESS(11+(MATCH(RIGHT(Table3[[#This Row],[spawner_sku]],LEN(Table3[[#This Row],[spawner_sku]])-FIND("/",Table3[[#This Row],[spawner_sku]])),Table1[Entity Prefab],0)),10,1,1,"Entities"))</f>
        <v>175</v>
      </c>
      <c r="R97" s="75">
        <f ca="1">ROUND((Table3[[#This Row],[XP]]*Table3[[#This Row],[entity_spawned (AVG)]])*(Table3[[#This Row],[activating_chance]]/100),0)</f>
        <v>175</v>
      </c>
      <c r="S97" t="str">
        <f ca="1">INDIRECT(ADDRESS(11+(MATCH(RIGHT(Table3[[#This Row],[spawner_sku]],LEN(Table3[[#This Row],[spawner_sku]])-FIND("/",Table3[[#This Row],[spawner_sku]])),Table28[Entity Prefab],0)),24,1,1,"Entities"))</f>
        <v>yes</v>
      </c>
      <c r="T97">
        <v>1</v>
      </c>
      <c r="U97">
        <v>1</v>
      </c>
      <c r="V97" t="b">
        <v>0</v>
      </c>
      <c r="W97" s="72"/>
      <c r="X97" t="s">
        <v>256</v>
      </c>
      <c r="Y97">
        <v>1</v>
      </c>
      <c r="Z97">
        <v>160</v>
      </c>
      <c r="AA97">
        <v>100</v>
      </c>
      <c r="AB97" s="75">
        <f ca="1">INDIRECT(ADDRESS(11+(MATCH(RIGHT(Table39[[#This Row],[spawner_sku]],LEN(Table39[[#This Row],[spawner_sku]])-FIND("/",Table39[[#This Row],[spawner_sku]])),Table1[Entity Prefab],0)),10,1,1,"Entities"))</f>
        <v>25</v>
      </c>
      <c r="AC97" s="75">
        <f ca="1">ROUND((Table39[[#This Row],[XP]]*Table39[[#This Row],[entity_spawned (AVG)]])*(Table39[[#This Row],[activating_chance]]/100),0)</f>
        <v>25</v>
      </c>
      <c r="AD97" t="str">
        <f ca="1">INDIRECT(ADDRESS(11+(MATCH(RIGHT(Table39[[#This Row],[spawner_sku]],LEN(Table39[[#This Row],[spawner_sku]])-FIND("/",Table39[[#This Row],[spawner_sku]])),Table28[Entity Prefab],0)),24,1,1,"Entities"))</f>
        <v>no</v>
      </c>
      <c r="AE97">
        <v>1</v>
      </c>
      <c r="AF97">
        <v>1</v>
      </c>
      <c r="AG97" t="b">
        <v>0</v>
      </c>
      <c r="AI97" t="s">
        <v>228</v>
      </c>
      <c r="AJ97">
        <v>1</v>
      </c>
      <c r="AK97">
        <v>160</v>
      </c>
      <c r="AL97">
        <v>100</v>
      </c>
      <c r="AM97" s="75">
        <f ca="1">INDIRECT(ADDRESS(11+(MATCH(RIGHT(Table2[[#This Row],[spawner_sku]],LEN(Table2[[#This Row],[spawner_sku]])-FIND("/",Table2[[#This Row],[spawner_sku]])),Table1[Entity Prefab],0)),10,1,1,"Entities"))</f>
        <v>25</v>
      </c>
      <c r="AN97" s="75">
        <f ca="1">ROUND((Table2[[#This Row],[XP]]*Table2[[#This Row],[entity_spawned (AVG)]])*(Table2[[#This Row],[activating_chance]]/100),0)</f>
        <v>25</v>
      </c>
      <c r="AO9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97" s="72">
        <v>1</v>
      </c>
      <c r="AQ97" s="72">
        <v>1</v>
      </c>
      <c r="AR97" s="72" t="b">
        <v>0</v>
      </c>
      <c r="AT97" t="s">
        <v>234</v>
      </c>
      <c r="AU97">
        <v>1</v>
      </c>
      <c r="AV97">
        <v>340</v>
      </c>
      <c r="AW97">
        <v>100</v>
      </c>
      <c r="AX97" s="75">
        <f ca="1">INDIRECT(ADDRESS(11+(MATCH(RIGHT(Table6[[#This Row],[spawner_sku]],LEN(Table6[[#This Row],[spawner_sku]])-FIND("/",Table6[[#This Row],[spawner_sku]])),Table1[Entity Prefab],0)),10,1,1,"Entities"))</f>
        <v>263</v>
      </c>
      <c r="AY97" s="75">
        <f ca="1">ROUND((Table6[[#This Row],[XP]]*Table6[[#This Row],[entity_spawned (AVG)]])*(Table6[[#This Row],[activating_chance]]/100),0)</f>
        <v>263</v>
      </c>
      <c r="AZ97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97">
        <v>1</v>
      </c>
      <c r="BB97">
        <v>1</v>
      </c>
      <c r="BC97" t="b">
        <v>0</v>
      </c>
      <c r="BE97" t="s">
        <v>243</v>
      </c>
      <c r="BF97">
        <v>1</v>
      </c>
      <c r="BG97">
        <v>200</v>
      </c>
      <c r="BH97">
        <v>100</v>
      </c>
      <c r="BI97" s="75">
        <f ca="1">INDIRECT(ADDRESS(11+(MATCH(RIGHT(Table610[[#This Row],[spawner_sku]],LEN(Table610[[#This Row],[spawner_sku]])-FIND("/",Table610[[#This Row],[spawner_sku]])),Table1[Entity Prefab],0)),10,1,1,"Entities"))</f>
        <v>28</v>
      </c>
      <c r="BJ97" s="75">
        <f ca="1">ROUND((Table610[[#This Row],[XP]]*Table610[[#This Row],[entity_spawned (AVG)]])*(Table610[[#This Row],[activating_chance]]/100),0)</f>
        <v>28</v>
      </c>
      <c r="BK97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97">
        <v>1</v>
      </c>
      <c r="BM97">
        <v>1</v>
      </c>
      <c r="BN97" t="b">
        <v>0</v>
      </c>
      <c r="BP97" t="s">
        <v>395</v>
      </c>
      <c r="BQ97">
        <v>2.5</v>
      </c>
      <c r="BR97">
        <v>200</v>
      </c>
      <c r="BS97">
        <v>30</v>
      </c>
      <c r="BT9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97" s="75">
        <f ca="1">ROUND((Table61011[[#This Row],[XP]]*Table61011[[#This Row],[entity_spawned (AVG)]])*(Table61011[[#This Row],[activating_chance]]/100),0)</f>
        <v>19</v>
      </c>
      <c r="BV9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7" s="72">
        <v>2</v>
      </c>
      <c r="BX97" s="72">
        <v>3</v>
      </c>
      <c r="BY97" s="72" t="b">
        <v>0</v>
      </c>
      <c r="CA97" t="s">
        <v>395</v>
      </c>
      <c r="CB97">
        <v>2</v>
      </c>
      <c r="CC97">
        <v>200</v>
      </c>
      <c r="CD97">
        <v>100</v>
      </c>
      <c r="CE97" s="75">
        <f ca="1">INDIRECT(ADDRESS(11+(MATCH(RIGHT(Table11[[#This Row],[spawner_sku]],LEN(Table11[[#This Row],[spawner_sku]])-FIND("/",Table11[[#This Row],[spawner_sku]])),Table1[Entity Prefab],0)),10,1,1,"Entities"))</f>
        <v>25</v>
      </c>
      <c r="CF97">
        <f ca="1">ROUND((Table11[[#This Row],[XP]]*Table11[[#This Row],[entity_spawned (AVG)]])*(Table11[[#This Row],[activating_chance]]/100),0)</f>
        <v>50</v>
      </c>
      <c r="CG97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97" s="72">
        <v>2</v>
      </c>
      <c r="CI97" s="72">
        <v>2</v>
      </c>
      <c r="CJ97" s="72" t="b">
        <v>0</v>
      </c>
      <c r="CL97" t="s">
        <v>453</v>
      </c>
      <c r="CM97">
        <v>1</v>
      </c>
      <c r="CN97">
        <v>300</v>
      </c>
      <c r="CO97">
        <v>100</v>
      </c>
      <c r="CP97" s="75">
        <f ca="1">INDIRECT(ADDRESS(11+(MATCH(RIGHT(Table12[[#This Row],[spawner_sku]],LEN(Table12[[#This Row],[spawner_sku]])-FIND("/",Table12[[#This Row],[spawner_sku]])),Table1[Entity Prefab],0)),10,1,1,"Entities"))</f>
        <v>75</v>
      </c>
      <c r="CQ97" s="75">
        <f ca="1">ROUND((Table12[[#This Row],[XP]]*Table12[[#This Row],[entity_spawned (AVG)]])*(Table12[[#This Row],[activating_chance]]/100),0)</f>
        <v>75</v>
      </c>
      <c r="CR97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97" s="72">
        <v>1</v>
      </c>
      <c r="CT97" s="72">
        <v>1</v>
      </c>
      <c r="CU97" s="72" t="b">
        <v>0</v>
      </c>
      <c r="CW97" t="s">
        <v>243</v>
      </c>
      <c r="CX97">
        <v>1</v>
      </c>
      <c r="CY97">
        <v>200</v>
      </c>
      <c r="CZ97">
        <v>100</v>
      </c>
      <c r="DA97" s="75">
        <f ca="1">INDIRECT(ADDRESS(11+(MATCH(RIGHT(Table13[[#This Row],[spawner_sku]],LEN(Table13[[#This Row],[spawner_sku]])-FIND("/",Table13[[#This Row],[spawner_sku]])),Table1[Entity Prefab],0)),10,1,1,"Entities"))</f>
        <v>28</v>
      </c>
      <c r="DB97" s="75">
        <f ca="1">ROUND((Table13[[#This Row],[XP]]*Table13[[#This Row],[entity_spawned (AVG)]])*(Table13[[#This Row],[activating_chance]]/100),0)</f>
        <v>28</v>
      </c>
      <c r="DC97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97" s="72">
        <v>1</v>
      </c>
      <c r="DE97" s="72">
        <v>1</v>
      </c>
      <c r="DF97" s="72" t="b">
        <v>0</v>
      </c>
      <c r="DH97" t="s">
        <v>227</v>
      </c>
      <c r="DI97">
        <v>2</v>
      </c>
      <c r="DJ97">
        <v>100</v>
      </c>
      <c r="DK97">
        <v>100</v>
      </c>
      <c r="DL97" s="75">
        <f ca="1">INDIRECT(ADDRESS(11+(MATCH(RIGHT(Table14[[#This Row],[spawner_sku]],LEN(Table14[[#This Row],[spawner_sku]])-FIND("/",Table14[[#This Row],[spawner_sku]])),Table1[Entity Prefab],0)),10,1,1,"Entities"))</f>
        <v>25</v>
      </c>
      <c r="DM97" s="75">
        <f ca="1">ROUND((Table14[[#This Row],[XP]]*Table14[[#This Row],[entity_spawned (AVG)]])*(Table14[[#This Row],[activating_chance]]/100),0)</f>
        <v>50</v>
      </c>
      <c r="DN9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97" s="72">
        <v>2</v>
      </c>
      <c r="DP97" s="72">
        <v>2</v>
      </c>
      <c r="DQ97" s="72" t="b">
        <v>0</v>
      </c>
      <c r="DS97" t="s">
        <v>395</v>
      </c>
      <c r="DT97">
        <v>2</v>
      </c>
      <c r="DU97">
        <v>160</v>
      </c>
      <c r="DV97">
        <v>80</v>
      </c>
      <c r="DW97" s="75">
        <f ca="1">INDIRECT(ADDRESS(11+(MATCH(RIGHT(Table18[[#This Row],[spawner_sku]],LEN(Table18[[#This Row],[spawner_sku]])-FIND("/",Table18[[#This Row],[spawner_sku]])),Table1[Entity Prefab],0)),10,1,1,"Entities"))</f>
        <v>25</v>
      </c>
      <c r="DX97" s="75">
        <f ca="1">ROUND((Table18[[#This Row],[XP]]*Table18[[#This Row],[entity_spawned (AVG)]])*(Table18[[#This Row],[activating_chance]]/100),0)</f>
        <v>40</v>
      </c>
      <c r="DY9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97">
        <v>2</v>
      </c>
      <c r="EA97">
        <v>3</v>
      </c>
      <c r="EB97" t="b">
        <v>0</v>
      </c>
      <c r="ED97" t="s">
        <v>395</v>
      </c>
      <c r="EE97">
        <v>2</v>
      </c>
      <c r="EF97">
        <v>120</v>
      </c>
      <c r="EG97">
        <v>100</v>
      </c>
      <c r="EH97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97" s="75">
        <f ca="1">ROUND((Table1820[[#This Row],[XP]]*Table1820[[#This Row],[entity_spawned (AVG)]])*(Table1820[[#This Row],[activating_chance]]/100),0)</f>
        <v>50</v>
      </c>
      <c r="EJ9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97">
        <v>2</v>
      </c>
      <c r="EL97">
        <v>3</v>
      </c>
      <c r="EM97" t="b">
        <v>0</v>
      </c>
      <c r="EO97" t="s">
        <v>7343</v>
      </c>
      <c r="EP97">
        <v>1.5</v>
      </c>
      <c r="EQ97">
        <v>100</v>
      </c>
      <c r="ER97">
        <v>100</v>
      </c>
      <c r="ES97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ET97" s="75">
        <f ca="1">ROUND((Table182023[[#This Row],[XP]]*Table182023[[#This Row],[entity_spawned (AVG)]])*(Table182023[[#This Row],[activating_chance]]/100),0)</f>
        <v>195</v>
      </c>
      <c r="EU97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EV97" s="152">
        <v>1</v>
      </c>
      <c r="EW97" s="152">
        <v>2</v>
      </c>
      <c r="EX97" s="152" t="b">
        <v>0</v>
      </c>
      <c r="EZ97" t="s">
        <v>7350</v>
      </c>
      <c r="FA97">
        <v>1</v>
      </c>
      <c r="FB97">
        <v>85</v>
      </c>
      <c r="FC97">
        <v>100</v>
      </c>
      <c r="FD97" s="75">
        <f ca="1">INDIRECT(ADDRESS(11+(MATCH(RIGHT(Table18202324[[#This Row],[spawner_sku]],LEN(Table18202324[[#This Row],[spawner_sku]])-FIND("/",Table18202324[[#This Row],[spawner_sku]])),Table1[Entity Prefab],0)),10,1,1,"Entities"))</f>
        <v>95</v>
      </c>
      <c r="FE97" s="75">
        <f ca="1">ROUND((Table18202324[[#This Row],[XP]]*Table18202324[[#This Row],[entity_spawned (AVG)]])*(Table18202324[[#This Row],[activating_chance]]/100),0)</f>
        <v>95</v>
      </c>
      <c r="FF97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97">
        <v>1</v>
      </c>
      <c r="FH97">
        <v>1</v>
      </c>
      <c r="FI97" t="b">
        <v>0</v>
      </c>
    </row>
    <row r="98" spans="2:165" x14ac:dyDescent="0.25">
      <c r="B98" s="73" t="s">
        <v>228</v>
      </c>
      <c r="C98">
        <v>5.5</v>
      </c>
      <c r="D98">
        <v>160</v>
      </c>
      <c r="E98">
        <v>100</v>
      </c>
      <c r="F98" s="75">
        <f ca="1">INDIRECT(ADDRESS(11+(MATCH(RIGHT(Table245[[#This Row],[spawner_sku]],LEN(Table245[[#This Row],[spawner_sku]])-FIND("/",Table245[[#This Row],[spawner_sku]])),Table1[Entity Prefab],0)),10,1,1,"Entities"))</f>
        <v>25</v>
      </c>
      <c r="G98" s="75">
        <f ca="1">ROUND((Table245[[#This Row],[XP]]*Table245[[#This Row],[entity_spawned (AVG)]])*(Table245[[#This Row],[activating_chance]]/100),0)</f>
        <v>138</v>
      </c>
      <c r="H9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8" s="72">
        <v>5</v>
      </c>
      <c r="J98" s="72">
        <v>6</v>
      </c>
      <c r="K98" s="72" t="b">
        <v>1</v>
      </c>
      <c r="M98" t="s">
        <v>240</v>
      </c>
      <c r="N98">
        <v>1</v>
      </c>
      <c r="O98">
        <v>2000</v>
      </c>
      <c r="P98">
        <v>100</v>
      </c>
      <c r="Q98" s="75">
        <f ca="1">INDIRECT(ADDRESS(11+(MATCH(RIGHT(Table3[[#This Row],[spawner_sku]],LEN(Table3[[#This Row],[spawner_sku]])-FIND("/",Table3[[#This Row],[spawner_sku]])),Table1[Entity Prefab],0)),10,1,1,"Entities"))</f>
        <v>175</v>
      </c>
      <c r="R98" s="75">
        <f ca="1">ROUND((Table3[[#This Row],[XP]]*Table3[[#This Row],[entity_spawned (AVG)]])*(Table3[[#This Row],[activating_chance]]/100),0)</f>
        <v>175</v>
      </c>
      <c r="S98" t="str">
        <f ca="1">INDIRECT(ADDRESS(11+(MATCH(RIGHT(Table3[[#This Row],[spawner_sku]],LEN(Table3[[#This Row],[spawner_sku]])-FIND("/",Table3[[#This Row],[spawner_sku]])),Table28[Entity Prefab],0)),24,1,1,"Entities"))</f>
        <v>yes</v>
      </c>
      <c r="T98">
        <v>1</v>
      </c>
      <c r="U98">
        <v>1</v>
      </c>
      <c r="V98" t="b">
        <v>0</v>
      </c>
      <c r="W98" s="72"/>
      <c r="X98" t="s">
        <v>256</v>
      </c>
      <c r="Y98">
        <v>1</v>
      </c>
      <c r="Z98">
        <v>170</v>
      </c>
      <c r="AA98">
        <v>100</v>
      </c>
      <c r="AB98" s="75">
        <f ca="1">INDIRECT(ADDRESS(11+(MATCH(RIGHT(Table39[[#This Row],[spawner_sku]],LEN(Table39[[#This Row],[spawner_sku]])-FIND("/",Table39[[#This Row],[spawner_sku]])),Table1[Entity Prefab],0)),10,1,1,"Entities"))</f>
        <v>25</v>
      </c>
      <c r="AC98" s="75">
        <f ca="1">ROUND((Table39[[#This Row],[XP]]*Table39[[#This Row],[entity_spawned (AVG)]])*(Table39[[#This Row],[activating_chance]]/100),0)</f>
        <v>25</v>
      </c>
      <c r="AD98" t="str">
        <f ca="1">INDIRECT(ADDRESS(11+(MATCH(RIGHT(Table39[[#This Row],[spawner_sku]],LEN(Table39[[#This Row],[spawner_sku]])-FIND("/",Table39[[#This Row],[spawner_sku]])),Table28[Entity Prefab],0)),24,1,1,"Entities"))</f>
        <v>no</v>
      </c>
      <c r="AE98">
        <v>1</v>
      </c>
      <c r="AF98">
        <v>1</v>
      </c>
      <c r="AG98" t="b">
        <v>0</v>
      </c>
      <c r="AI98" t="s">
        <v>228</v>
      </c>
      <c r="AJ98">
        <v>2</v>
      </c>
      <c r="AK98">
        <v>140</v>
      </c>
      <c r="AL98">
        <v>85</v>
      </c>
      <c r="AM98" s="75">
        <f ca="1">INDIRECT(ADDRESS(11+(MATCH(RIGHT(Table2[[#This Row],[spawner_sku]],LEN(Table2[[#This Row],[spawner_sku]])-FIND("/",Table2[[#This Row],[spawner_sku]])),Table1[Entity Prefab],0)),10,1,1,"Entities"))</f>
        <v>25</v>
      </c>
      <c r="AN98" s="75">
        <f ca="1">ROUND((Table2[[#This Row],[XP]]*Table2[[#This Row],[entity_spawned (AVG)]])*(Table2[[#This Row],[activating_chance]]/100),0)</f>
        <v>43</v>
      </c>
      <c r="AO9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98" s="72">
        <v>1</v>
      </c>
      <c r="AQ98" s="72">
        <v>3</v>
      </c>
      <c r="AR98" s="72" t="b">
        <v>0</v>
      </c>
      <c r="AT98" t="s">
        <v>629</v>
      </c>
      <c r="AU98">
        <v>1</v>
      </c>
      <c r="AV98">
        <v>120</v>
      </c>
      <c r="AW98">
        <v>100</v>
      </c>
      <c r="AX98" s="75">
        <f ca="1">INDIRECT(ADDRESS(11+(MATCH(RIGHT(Table6[[#This Row],[spawner_sku]],LEN(Table6[[#This Row],[spawner_sku]])-FIND("/",Table6[[#This Row],[spawner_sku]])),Table1[Entity Prefab],0)),10,1,1,"Entities"))</f>
        <v>50</v>
      </c>
      <c r="AY98" s="75">
        <f ca="1">ROUND((Table6[[#This Row],[XP]]*Table6[[#This Row],[entity_spawned (AVG)]])*(Table6[[#This Row],[activating_chance]]/100),0)</f>
        <v>50</v>
      </c>
      <c r="AZ98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98">
        <v>1</v>
      </c>
      <c r="BB98">
        <v>1</v>
      </c>
      <c r="BC98" t="b">
        <v>0</v>
      </c>
      <c r="BE98" t="s">
        <v>244</v>
      </c>
      <c r="BF98">
        <v>1</v>
      </c>
      <c r="BG98">
        <v>240</v>
      </c>
      <c r="BH98">
        <v>100</v>
      </c>
      <c r="BI98" s="75">
        <f ca="1">INDIRECT(ADDRESS(11+(MATCH(RIGHT(Table610[[#This Row],[spawner_sku]],LEN(Table610[[#This Row],[spawner_sku]])-FIND("/",Table610[[#This Row],[spawner_sku]])),Table1[Entity Prefab],0)),10,1,1,"Entities"))</f>
        <v>25</v>
      </c>
      <c r="BJ98" s="75">
        <f ca="1">ROUND((Table610[[#This Row],[XP]]*Table610[[#This Row],[entity_spawned (AVG)]])*(Table610[[#This Row],[activating_chance]]/100),0)</f>
        <v>25</v>
      </c>
      <c r="BK98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98">
        <v>1</v>
      </c>
      <c r="BM98">
        <v>1</v>
      </c>
      <c r="BN98" t="b">
        <v>0</v>
      </c>
      <c r="BP98" t="s">
        <v>395</v>
      </c>
      <c r="BQ98">
        <v>5.5</v>
      </c>
      <c r="BR98">
        <v>220</v>
      </c>
      <c r="BS98">
        <v>100</v>
      </c>
      <c r="BT9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98" s="75">
        <f ca="1">ROUND((Table61011[[#This Row],[XP]]*Table61011[[#This Row],[entity_spawned (AVG)]])*(Table61011[[#This Row],[activating_chance]]/100),0)</f>
        <v>138</v>
      </c>
      <c r="BV9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8" s="72">
        <v>5</v>
      </c>
      <c r="BX98" s="72">
        <v>6</v>
      </c>
      <c r="BY98" s="72" t="b">
        <v>1</v>
      </c>
      <c r="CA98" t="s">
        <v>231</v>
      </c>
      <c r="CB98">
        <v>1</v>
      </c>
      <c r="CC98">
        <v>5000</v>
      </c>
      <c r="CD98">
        <v>75</v>
      </c>
      <c r="CE98" s="75">
        <f ca="1">INDIRECT(ADDRESS(11+(MATCH(RIGHT(Table11[[#This Row],[spawner_sku]],LEN(Table11[[#This Row],[spawner_sku]])-FIND("/",Table11[[#This Row],[spawner_sku]])),Table1[Entity Prefab],0)),10,1,1,"Entities"))</f>
        <v>75</v>
      </c>
      <c r="CF98">
        <f ca="1">ROUND((Table11[[#This Row],[XP]]*Table11[[#This Row],[entity_spawned (AVG)]])*(Table11[[#This Row],[activating_chance]]/100),0)</f>
        <v>56</v>
      </c>
      <c r="CG98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98" s="72">
        <v>1</v>
      </c>
      <c r="CI98" s="72">
        <v>1</v>
      </c>
      <c r="CJ98" s="72" t="b">
        <v>0</v>
      </c>
      <c r="CL98" t="s">
        <v>529</v>
      </c>
      <c r="CM98">
        <v>1</v>
      </c>
      <c r="CN98">
        <v>130</v>
      </c>
      <c r="CO98">
        <v>100</v>
      </c>
      <c r="CP98" s="75">
        <f ca="1">INDIRECT(ADDRESS(11+(MATCH(RIGHT(Table12[[#This Row],[spawner_sku]],LEN(Table12[[#This Row],[spawner_sku]])-FIND("/",Table12[[#This Row],[spawner_sku]])),Table1[Entity Prefab],0)),10,1,1,"Entities"))</f>
        <v>50</v>
      </c>
      <c r="CQ98" s="75">
        <f ca="1">ROUND((Table12[[#This Row],[XP]]*Table12[[#This Row],[entity_spawned (AVG)]])*(Table12[[#This Row],[activating_chance]]/100),0)</f>
        <v>50</v>
      </c>
      <c r="CR98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98" s="72">
        <v>1</v>
      </c>
      <c r="CT98" s="72">
        <v>1</v>
      </c>
      <c r="CU98" s="72" t="b">
        <v>0</v>
      </c>
      <c r="CW98" t="s">
        <v>243</v>
      </c>
      <c r="CX98">
        <v>1</v>
      </c>
      <c r="CY98">
        <v>200</v>
      </c>
      <c r="CZ98">
        <v>100</v>
      </c>
      <c r="DA98" s="75">
        <f ca="1">INDIRECT(ADDRESS(11+(MATCH(RIGHT(Table13[[#This Row],[spawner_sku]],LEN(Table13[[#This Row],[spawner_sku]])-FIND("/",Table13[[#This Row],[spawner_sku]])),Table1[Entity Prefab],0)),10,1,1,"Entities"))</f>
        <v>28</v>
      </c>
      <c r="DB98" s="75">
        <f ca="1">ROUND((Table13[[#This Row],[XP]]*Table13[[#This Row],[entity_spawned (AVG)]])*(Table13[[#This Row],[activating_chance]]/100),0)</f>
        <v>28</v>
      </c>
      <c r="DC98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98" s="72">
        <v>1</v>
      </c>
      <c r="DE98" s="72">
        <v>1</v>
      </c>
      <c r="DF98" s="72" t="b">
        <v>0</v>
      </c>
      <c r="DH98" t="s">
        <v>227</v>
      </c>
      <c r="DI98">
        <v>3</v>
      </c>
      <c r="DJ98">
        <v>150</v>
      </c>
      <c r="DK98">
        <v>30</v>
      </c>
      <c r="DL98" s="75">
        <f ca="1">INDIRECT(ADDRESS(11+(MATCH(RIGHT(Table14[[#This Row],[spawner_sku]],LEN(Table14[[#This Row],[spawner_sku]])-FIND("/",Table14[[#This Row],[spawner_sku]])),Table1[Entity Prefab],0)),10,1,1,"Entities"))</f>
        <v>25</v>
      </c>
      <c r="DM98" s="75">
        <f ca="1">ROUND((Table14[[#This Row],[XP]]*Table14[[#This Row],[entity_spawned (AVG)]])*(Table14[[#This Row],[activating_chance]]/100),0)</f>
        <v>23</v>
      </c>
      <c r="DN9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98" s="72">
        <v>2</v>
      </c>
      <c r="DP98" s="72">
        <v>4</v>
      </c>
      <c r="DQ98" s="72" t="b">
        <v>0</v>
      </c>
      <c r="DS98" t="s">
        <v>395</v>
      </c>
      <c r="DT98">
        <v>3</v>
      </c>
      <c r="DU98">
        <v>160</v>
      </c>
      <c r="DV98">
        <v>100</v>
      </c>
      <c r="DW98" s="75">
        <f ca="1">INDIRECT(ADDRESS(11+(MATCH(RIGHT(Table18[[#This Row],[spawner_sku]],LEN(Table18[[#This Row],[spawner_sku]])-FIND("/",Table18[[#This Row],[spawner_sku]])),Table1[Entity Prefab],0)),10,1,1,"Entities"))</f>
        <v>25</v>
      </c>
      <c r="DX98" s="75">
        <f ca="1">ROUND((Table18[[#This Row],[XP]]*Table18[[#This Row],[entity_spawned (AVG)]])*(Table18[[#This Row],[activating_chance]]/100),0)</f>
        <v>75</v>
      </c>
      <c r="DY9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98">
        <v>3</v>
      </c>
      <c r="EA98">
        <v>4</v>
      </c>
      <c r="EB98" t="b">
        <v>0</v>
      </c>
      <c r="ED98" t="s">
        <v>395</v>
      </c>
      <c r="EE98">
        <v>2</v>
      </c>
      <c r="EF98">
        <v>120</v>
      </c>
      <c r="EG98">
        <v>100</v>
      </c>
      <c r="EH98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98" s="75">
        <f ca="1">ROUND((Table1820[[#This Row],[XP]]*Table1820[[#This Row],[entity_spawned (AVG)]])*(Table1820[[#This Row],[activating_chance]]/100),0)</f>
        <v>50</v>
      </c>
      <c r="EJ9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98">
        <v>2</v>
      </c>
      <c r="EL98">
        <v>3</v>
      </c>
      <c r="EM98" t="b">
        <v>0</v>
      </c>
      <c r="EO98" t="s">
        <v>7343</v>
      </c>
      <c r="EP98">
        <v>1.5</v>
      </c>
      <c r="EQ98">
        <v>100</v>
      </c>
      <c r="ER98">
        <v>100</v>
      </c>
      <c r="ES98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ET98" s="75">
        <f ca="1">ROUND((Table182023[[#This Row],[XP]]*Table182023[[#This Row],[entity_spawned (AVG)]])*(Table182023[[#This Row],[activating_chance]]/100),0)</f>
        <v>195</v>
      </c>
      <c r="EU98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EV98" s="152">
        <v>1</v>
      </c>
      <c r="EW98" s="152">
        <v>2</v>
      </c>
      <c r="EX98" s="152" t="b">
        <v>0</v>
      </c>
      <c r="EZ98" t="s">
        <v>7352</v>
      </c>
      <c r="FA98">
        <v>1</v>
      </c>
      <c r="FB98">
        <v>500</v>
      </c>
      <c r="FC98">
        <v>100</v>
      </c>
      <c r="FD98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FE98" s="75">
        <f ca="1">ROUND((Table18202324[[#This Row],[XP]]*Table18202324[[#This Row],[entity_spawned (AVG)]])*(Table18202324[[#This Row],[activating_chance]]/100),0)</f>
        <v>130</v>
      </c>
      <c r="FF98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98">
        <v>1</v>
      </c>
      <c r="FH98">
        <v>1</v>
      </c>
      <c r="FI98" t="b">
        <v>0</v>
      </c>
    </row>
    <row r="99" spans="2:165" x14ac:dyDescent="0.25">
      <c r="B99" s="73" t="s">
        <v>228</v>
      </c>
      <c r="C99">
        <v>3.5</v>
      </c>
      <c r="D99">
        <v>160</v>
      </c>
      <c r="E99">
        <v>100</v>
      </c>
      <c r="F99" s="75">
        <f ca="1">INDIRECT(ADDRESS(11+(MATCH(RIGHT(Table245[[#This Row],[spawner_sku]],LEN(Table245[[#This Row],[spawner_sku]])-FIND("/",Table245[[#This Row],[spawner_sku]])),Table1[Entity Prefab],0)),10,1,1,"Entities"))</f>
        <v>25</v>
      </c>
      <c r="G99" s="75">
        <f ca="1">ROUND((Table245[[#This Row],[XP]]*Table245[[#This Row],[entity_spawned (AVG)]])*(Table245[[#This Row],[activating_chance]]/100),0)</f>
        <v>88</v>
      </c>
      <c r="H9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9" s="72">
        <v>3</v>
      </c>
      <c r="J99" s="72">
        <v>4</v>
      </c>
      <c r="K99" s="72" t="b">
        <v>0</v>
      </c>
      <c r="M99" t="s">
        <v>240</v>
      </c>
      <c r="N99">
        <v>1</v>
      </c>
      <c r="O99">
        <v>2000</v>
      </c>
      <c r="P99">
        <v>100</v>
      </c>
      <c r="Q99" s="75">
        <f ca="1">INDIRECT(ADDRESS(11+(MATCH(RIGHT(Table3[[#This Row],[spawner_sku]],LEN(Table3[[#This Row],[spawner_sku]])-FIND("/",Table3[[#This Row],[spawner_sku]])),Table1[Entity Prefab],0)),10,1,1,"Entities"))</f>
        <v>175</v>
      </c>
      <c r="R99" s="75">
        <f ca="1">ROUND((Table3[[#This Row],[XP]]*Table3[[#This Row],[entity_spawned (AVG)]])*(Table3[[#This Row],[activating_chance]]/100),0)</f>
        <v>175</v>
      </c>
      <c r="S99" t="str">
        <f ca="1">INDIRECT(ADDRESS(11+(MATCH(RIGHT(Table3[[#This Row],[spawner_sku]],LEN(Table3[[#This Row],[spawner_sku]])-FIND("/",Table3[[#This Row],[spawner_sku]])),Table28[Entity Prefab],0)),24,1,1,"Entities"))</f>
        <v>yes</v>
      </c>
      <c r="T99">
        <v>1</v>
      </c>
      <c r="U99">
        <v>1</v>
      </c>
      <c r="V99" t="b">
        <v>0</v>
      </c>
      <c r="W99" s="72"/>
      <c r="X99" t="s">
        <v>256</v>
      </c>
      <c r="Y99">
        <v>1</v>
      </c>
      <c r="Z99">
        <v>140</v>
      </c>
      <c r="AA99">
        <v>100</v>
      </c>
      <c r="AB99" s="75">
        <f ca="1">INDIRECT(ADDRESS(11+(MATCH(RIGHT(Table39[[#This Row],[spawner_sku]],LEN(Table39[[#This Row],[spawner_sku]])-FIND("/",Table39[[#This Row],[spawner_sku]])),Table1[Entity Prefab],0)),10,1,1,"Entities"))</f>
        <v>25</v>
      </c>
      <c r="AC99" s="75">
        <f ca="1">ROUND((Table39[[#This Row],[XP]]*Table39[[#This Row],[entity_spawned (AVG)]])*(Table39[[#This Row],[activating_chance]]/100),0)</f>
        <v>25</v>
      </c>
      <c r="AD99" t="str">
        <f ca="1">INDIRECT(ADDRESS(11+(MATCH(RIGHT(Table39[[#This Row],[spawner_sku]],LEN(Table39[[#This Row],[spawner_sku]])-FIND("/",Table39[[#This Row],[spawner_sku]])),Table28[Entity Prefab],0)),24,1,1,"Entities"))</f>
        <v>no</v>
      </c>
      <c r="AE99">
        <v>1</v>
      </c>
      <c r="AF99">
        <v>1</v>
      </c>
      <c r="AG99" t="b">
        <v>0</v>
      </c>
      <c r="AI99" t="s">
        <v>228</v>
      </c>
      <c r="AJ99">
        <v>6.5</v>
      </c>
      <c r="AK99">
        <v>160</v>
      </c>
      <c r="AL99">
        <v>100</v>
      </c>
      <c r="AM99" s="75">
        <f ca="1">INDIRECT(ADDRESS(11+(MATCH(RIGHT(Table2[[#This Row],[spawner_sku]],LEN(Table2[[#This Row],[spawner_sku]])-FIND("/",Table2[[#This Row],[spawner_sku]])),Table1[Entity Prefab],0)),10,1,1,"Entities"))</f>
        <v>25</v>
      </c>
      <c r="AN99" s="75">
        <f ca="1">ROUND((Table2[[#This Row],[XP]]*Table2[[#This Row],[entity_spawned (AVG)]])*(Table2[[#This Row],[activating_chance]]/100),0)</f>
        <v>163</v>
      </c>
      <c r="AO9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99" s="72">
        <v>5</v>
      </c>
      <c r="AQ99" s="72">
        <v>8</v>
      </c>
      <c r="AR99" s="72" t="b">
        <v>1</v>
      </c>
      <c r="AT99" t="s">
        <v>629</v>
      </c>
      <c r="AU99">
        <v>1</v>
      </c>
      <c r="AV99">
        <v>120</v>
      </c>
      <c r="AW99">
        <v>100</v>
      </c>
      <c r="AX99" s="75">
        <f ca="1">INDIRECT(ADDRESS(11+(MATCH(RIGHT(Table6[[#This Row],[spawner_sku]],LEN(Table6[[#This Row],[spawner_sku]])-FIND("/",Table6[[#This Row],[spawner_sku]])),Table1[Entity Prefab],0)),10,1,1,"Entities"))</f>
        <v>50</v>
      </c>
      <c r="AY99" s="75">
        <f ca="1">ROUND((Table6[[#This Row],[XP]]*Table6[[#This Row],[entity_spawned (AVG)]])*(Table6[[#This Row],[activating_chance]]/100),0)</f>
        <v>50</v>
      </c>
      <c r="AZ99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99">
        <v>1</v>
      </c>
      <c r="BB99">
        <v>1</v>
      </c>
      <c r="BC99" t="b">
        <v>0</v>
      </c>
      <c r="BE99" t="s">
        <v>244</v>
      </c>
      <c r="BF99">
        <v>1</v>
      </c>
      <c r="BG99">
        <v>220</v>
      </c>
      <c r="BH99">
        <v>100</v>
      </c>
      <c r="BI99" s="75">
        <f ca="1">INDIRECT(ADDRESS(11+(MATCH(RIGHT(Table610[[#This Row],[spawner_sku]],LEN(Table610[[#This Row],[spawner_sku]])-FIND("/",Table610[[#This Row],[spawner_sku]])),Table1[Entity Prefab],0)),10,1,1,"Entities"))</f>
        <v>25</v>
      </c>
      <c r="BJ99" s="75">
        <f ca="1">ROUND((Table610[[#This Row],[XP]]*Table610[[#This Row],[entity_spawned (AVG)]])*(Table610[[#This Row],[activating_chance]]/100),0)</f>
        <v>25</v>
      </c>
      <c r="BK99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99">
        <v>1</v>
      </c>
      <c r="BM99">
        <v>1</v>
      </c>
      <c r="BN99" t="b">
        <v>0</v>
      </c>
      <c r="BP99" t="s">
        <v>395</v>
      </c>
      <c r="BQ99">
        <v>1.5</v>
      </c>
      <c r="BR99">
        <v>160</v>
      </c>
      <c r="BS99">
        <v>100</v>
      </c>
      <c r="BT9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99" s="75">
        <f ca="1">ROUND((Table61011[[#This Row],[XP]]*Table61011[[#This Row],[entity_spawned (AVG)]])*(Table61011[[#This Row],[activating_chance]]/100),0)</f>
        <v>38</v>
      </c>
      <c r="BV9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9" s="72">
        <v>1</v>
      </c>
      <c r="BX99" s="72">
        <v>2</v>
      </c>
      <c r="BY99" s="72" t="b">
        <v>0</v>
      </c>
      <c r="CA99" t="s">
        <v>231</v>
      </c>
      <c r="CB99">
        <v>1</v>
      </c>
      <c r="CC99">
        <v>5000</v>
      </c>
      <c r="CD99">
        <v>75</v>
      </c>
      <c r="CE99" s="75">
        <f ca="1">INDIRECT(ADDRESS(11+(MATCH(RIGHT(Table11[[#This Row],[spawner_sku]],LEN(Table11[[#This Row],[spawner_sku]])-FIND("/",Table11[[#This Row],[spawner_sku]])),Table1[Entity Prefab],0)),10,1,1,"Entities"))</f>
        <v>75</v>
      </c>
      <c r="CF99">
        <f ca="1">ROUND((Table11[[#This Row],[XP]]*Table11[[#This Row],[entity_spawned (AVG)]])*(Table11[[#This Row],[activating_chance]]/100),0)</f>
        <v>56</v>
      </c>
      <c r="CG99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99" s="72">
        <v>1</v>
      </c>
      <c r="CI99" s="72">
        <v>1</v>
      </c>
      <c r="CJ99" s="72" t="b">
        <v>0</v>
      </c>
      <c r="CL99" t="s">
        <v>529</v>
      </c>
      <c r="CM99">
        <v>1</v>
      </c>
      <c r="CN99">
        <v>130</v>
      </c>
      <c r="CO99">
        <v>100</v>
      </c>
      <c r="CP99" s="75">
        <f ca="1">INDIRECT(ADDRESS(11+(MATCH(RIGHT(Table12[[#This Row],[spawner_sku]],LEN(Table12[[#This Row],[spawner_sku]])-FIND("/",Table12[[#This Row],[spawner_sku]])),Table1[Entity Prefab],0)),10,1,1,"Entities"))</f>
        <v>50</v>
      </c>
      <c r="CQ99" s="75">
        <f ca="1">ROUND((Table12[[#This Row],[XP]]*Table12[[#This Row],[entity_spawned (AVG)]])*(Table12[[#This Row],[activating_chance]]/100),0)</f>
        <v>50</v>
      </c>
      <c r="CR99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99" s="72">
        <v>1</v>
      </c>
      <c r="CT99" s="72">
        <v>1</v>
      </c>
      <c r="CU99" s="72" t="b">
        <v>0</v>
      </c>
      <c r="CW99" t="s">
        <v>243</v>
      </c>
      <c r="CX99">
        <v>1</v>
      </c>
      <c r="CY99">
        <v>200</v>
      </c>
      <c r="CZ99">
        <v>100</v>
      </c>
      <c r="DA99" s="75">
        <f ca="1">INDIRECT(ADDRESS(11+(MATCH(RIGHT(Table13[[#This Row],[spawner_sku]],LEN(Table13[[#This Row],[spawner_sku]])-FIND("/",Table13[[#This Row],[spawner_sku]])),Table1[Entity Prefab],0)),10,1,1,"Entities"))</f>
        <v>28</v>
      </c>
      <c r="DB99" s="75">
        <f ca="1">ROUND((Table13[[#This Row],[XP]]*Table13[[#This Row],[entity_spawned (AVG)]])*(Table13[[#This Row],[activating_chance]]/100),0)</f>
        <v>28</v>
      </c>
      <c r="DC99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99" s="72">
        <v>1</v>
      </c>
      <c r="DE99" s="72">
        <v>1</v>
      </c>
      <c r="DF99" s="72" t="b">
        <v>0</v>
      </c>
      <c r="DH99" t="s">
        <v>227</v>
      </c>
      <c r="DI99">
        <v>3.5</v>
      </c>
      <c r="DJ99">
        <v>100</v>
      </c>
      <c r="DK99">
        <v>30</v>
      </c>
      <c r="DL99" s="75">
        <f ca="1">INDIRECT(ADDRESS(11+(MATCH(RIGHT(Table14[[#This Row],[spawner_sku]],LEN(Table14[[#This Row],[spawner_sku]])-FIND("/",Table14[[#This Row],[spawner_sku]])),Table1[Entity Prefab],0)),10,1,1,"Entities"))</f>
        <v>25</v>
      </c>
      <c r="DM99" s="75">
        <f ca="1">ROUND((Table14[[#This Row],[XP]]*Table14[[#This Row],[entity_spawned (AVG)]])*(Table14[[#This Row],[activating_chance]]/100),0)</f>
        <v>26</v>
      </c>
      <c r="DN9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99" s="72">
        <v>3</v>
      </c>
      <c r="DP99" s="72">
        <v>4</v>
      </c>
      <c r="DQ99" s="72" t="b">
        <v>0</v>
      </c>
      <c r="DS99" t="s">
        <v>395</v>
      </c>
      <c r="DT99">
        <v>7</v>
      </c>
      <c r="DU99">
        <v>180</v>
      </c>
      <c r="DV99">
        <v>30</v>
      </c>
      <c r="DW99" s="75">
        <f ca="1">INDIRECT(ADDRESS(11+(MATCH(RIGHT(Table18[[#This Row],[spawner_sku]],LEN(Table18[[#This Row],[spawner_sku]])-FIND("/",Table18[[#This Row],[spawner_sku]])),Table1[Entity Prefab],0)),10,1,1,"Entities"))</f>
        <v>25</v>
      </c>
      <c r="DX99" s="75">
        <f ca="1">ROUND((Table18[[#This Row],[XP]]*Table18[[#This Row],[entity_spawned (AVG)]])*(Table18[[#This Row],[activating_chance]]/100),0)</f>
        <v>53</v>
      </c>
      <c r="DY9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99">
        <v>6</v>
      </c>
      <c r="EA99">
        <v>8</v>
      </c>
      <c r="EB99" t="b">
        <v>1</v>
      </c>
      <c r="ED99" t="s">
        <v>395</v>
      </c>
      <c r="EE99">
        <v>1</v>
      </c>
      <c r="EF99">
        <v>120</v>
      </c>
      <c r="EG99">
        <v>100</v>
      </c>
      <c r="EH9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99" s="75">
        <f ca="1">ROUND((Table1820[[#This Row],[XP]]*Table1820[[#This Row],[entity_spawned (AVG)]])*(Table1820[[#This Row],[activating_chance]]/100),0)</f>
        <v>25</v>
      </c>
      <c r="EJ9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99">
        <v>1</v>
      </c>
      <c r="EL99">
        <v>2</v>
      </c>
      <c r="EM99" t="b">
        <v>0</v>
      </c>
      <c r="EO99" t="s">
        <v>7343</v>
      </c>
      <c r="EP99">
        <v>3</v>
      </c>
      <c r="EQ99">
        <v>100</v>
      </c>
      <c r="ER99">
        <v>80</v>
      </c>
      <c r="ES99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ET99" s="75">
        <f ca="1">ROUND((Table182023[[#This Row],[XP]]*Table182023[[#This Row],[entity_spawned (AVG)]])*(Table182023[[#This Row],[activating_chance]]/100),0)</f>
        <v>312</v>
      </c>
      <c r="EU99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EV99" s="152">
        <v>2</v>
      </c>
      <c r="EW99" s="152">
        <v>4</v>
      </c>
      <c r="EX99" s="152" t="b">
        <v>0</v>
      </c>
      <c r="EZ99" t="s">
        <v>7352</v>
      </c>
      <c r="FA99">
        <v>1</v>
      </c>
      <c r="FB99">
        <v>500</v>
      </c>
      <c r="FC99">
        <v>100</v>
      </c>
      <c r="FD99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FE99" s="75">
        <f ca="1">ROUND((Table18202324[[#This Row],[XP]]*Table18202324[[#This Row],[entity_spawned (AVG)]])*(Table18202324[[#This Row],[activating_chance]]/100),0)</f>
        <v>130</v>
      </c>
      <c r="FF99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99">
        <v>1</v>
      </c>
      <c r="FH99">
        <v>1</v>
      </c>
      <c r="FI99" t="b">
        <v>0</v>
      </c>
    </row>
    <row r="100" spans="2:165" x14ac:dyDescent="0.25">
      <c r="B100" s="73" t="s">
        <v>228</v>
      </c>
      <c r="C100">
        <v>3</v>
      </c>
      <c r="D100">
        <v>110</v>
      </c>
      <c r="E100">
        <v>30</v>
      </c>
      <c r="F100" s="75">
        <f ca="1">INDIRECT(ADDRESS(11+(MATCH(RIGHT(Table245[[#This Row],[spawner_sku]],LEN(Table245[[#This Row],[spawner_sku]])-FIND("/",Table245[[#This Row],[spawner_sku]])),Table1[Entity Prefab],0)),10,1,1,"Entities"))</f>
        <v>25</v>
      </c>
      <c r="G100" s="75">
        <f ca="1">ROUND((Table245[[#This Row],[XP]]*Table245[[#This Row],[entity_spawned (AVG)]])*(Table245[[#This Row],[activating_chance]]/100),0)</f>
        <v>23</v>
      </c>
      <c r="H10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0" s="72">
        <v>2</v>
      </c>
      <c r="J100" s="72">
        <v>4</v>
      </c>
      <c r="K100" s="72" t="b">
        <v>0</v>
      </c>
      <c r="M100" t="s">
        <v>240</v>
      </c>
      <c r="N100">
        <v>1</v>
      </c>
      <c r="O100">
        <v>2000</v>
      </c>
      <c r="P100">
        <v>100</v>
      </c>
      <c r="Q100" s="75">
        <f ca="1">INDIRECT(ADDRESS(11+(MATCH(RIGHT(Table3[[#This Row],[spawner_sku]],LEN(Table3[[#This Row],[spawner_sku]])-FIND("/",Table3[[#This Row],[spawner_sku]])),Table1[Entity Prefab],0)),10,1,1,"Entities"))</f>
        <v>175</v>
      </c>
      <c r="R100" s="75">
        <f ca="1">ROUND((Table3[[#This Row],[XP]]*Table3[[#This Row],[entity_spawned (AVG)]])*(Table3[[#This Row],[activating_chance]]/100),0)</f>
        <v>175</v>
      </c>
      <c r="S100" t="str">
        <f ca="1">INDIRECT(ADDRESS(11+(MATCH(RIGHT(Table3[[#This Row],[spawner_sku]],LEN(Table3[[#This Row],[spawner_sku]])-FIND("/",Table3[[#This Row],[spawner_sku]])),Table28[Entity Prefab],0)),24,1,1,"Entities"))</f>
        <v>yes</v>
      </c>
      <c r="T100">
        <v>1</v>
      </c>
      <c r="U100">
        <v>1</v>
      </c>
      <c r="V100" t="b">
        <v>0</v>
      </c>
      <c r="W100" s="72"/>
      <c r="AI100" t="s">
        <v>228</v>
      </c>
      <c r="AJ100">
        <v>1</v>
      </c>
      <c r="AK100">
        <v>120</v>
      </c>
      <c r="AL100">
        <v>100</v>
      </c>
      <c r="AM100" s="75">
        <f ca="1">INDIRECT(ADDRESS(11+(MATCH(RIGHT(Table2[[#This Row],[spawner_sku]],LEN(Table2[[#This Row],[spawner_sku]])-FIND("/",Table2[[#This Row],[spawner_sku]])),Table1[Entity Prefab],0)),10,1,1,"Entities"))</f>
        <v>25</v>
      </c>
      <c r="AN100" s="75">
        <f ca="1">ROUND((Table2[[#This Row],[XP]]*Table2[[#This Row],[entity_spawned (AVG)]])*(Table2[[#This Row],[activating_chance]]/100),0)</f>
        <v>25</v>
      </c>
      <c r="AO10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00" s="72">
        <v>1</v>
      </c>
      <c r="AQ100" s="72">
        <v>1</v>
      </c>
      <c r="AR100" s="72" t="b">
        <v>0</v>
      </c>
      <c r="AT100" t="s">
        <v>629</v>
      </c>
      <c r="AU100">
        <v>1</v>
      </c>
      <c r="AV100">
        <v>120</v>
      </c>
      <c r="AW100">
        <v>80</v>
      </c>
      <c r="AX100" s="75">
        <f ca="1">INDIRECT(ADDRESS(11+(MATCH(RIGHT(Table6[[#This Row],[spawner_sku]],LEN(Table6[[#This Row],[spawner_sku]])-FIND("/",Table6[[#This Row],[spawner_sku]])),Table1[Entity Prefab],0)),10,1,1,"Entities"))</f>
        <v>50</v>
      </c>
      <c r="AY100" s="75">
        <f ca="1">ROUND((Table6[[#This Row],[XP]]*Table6[[#This Row],[entity_spawned (AVG)]])*(Table6[[#This Row],[activating_chance]]/100),0)</f>
        <v>40</v>
      </c>
      <c r="AZ100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00">
        <v>1</v>
      </c>
      <c r="BB100">
        <v>1</v>
      </c>
      <c r="BC100" t="b">
        <v>0</v>
      </c>
      <c r="BE100" t="s">
        <v>244</v>
      </c>
      <c r="BF100">
        <v>1</v>
      </c>
      <c r="BG100">
        <v>220</v>
      </c>
      <c r="BH100">
        <v>100</v>
      </c>
      <c r="BI100" s="75">
        <f ca="1">INDIRECT(ADDRESS(11+(MATCH(RIGHT(Table610[[#This Row],[spawner_sku]],LEN(Table610[[#This Row],[spawner_sku]])-FIND("/",Table610[[#This Row],[spawner_sku]])),Table1[Entity Prefab],0)),10,1,1,"Entities"))</f>
        <v>25</v>
      </c>
      <c r="BJ100" s="75">
        <f ca="1">ROUND((Table610[[#This Row],[XP]]*Table610[[#This Row],[entity_spawned (AVG)]])*(Table610[[#This Row],[activating_chance]]/100),0)</f>
        <v>25</v>
      </c>
      <c r="BK100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0">
        <v>1</v>
      </c>
      <c r="BM100">
        <v>1</v>
      </c>
      <c r="BN100" t="b">
        <v>0</v>
      </c>
      <c r="BP100" t="s">
        <v>395</v>
      </c>
      <c r="BQ100">
        <v>6.5</v>
      </c>
      <c r="BR100">
        <v>240</v>
      </c>
      <c r="BS100">
        <v>100</v>
      </c>
      <c r="BT10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00" s="75">
        <f ca="1">ROUND((Table61011[[#This Row],[XP]]*Table61011[[#This Row],[entity_spawned (AVG)]])*(Table61011[[#This Row],[activating_chance]]/100),0)</f>
        <v>163</v>
      </c>
      <c r="BV10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0" s="72">
        <v>5</v>
      </c>
      <c r="BX100" s="72">
        <v>8</v>
      </c>
      <c r="BY100" s="72" t="b">
        <v>1</v>
      </c>
      <c r="CA100" t="s">
        <v>231</v>
      </c>
      <c r="CB100">
        <v>1</v>
      </c>
      <c r="CC100">
        <v>5000</v>
      </c>
      <c r="CD100">
        <v>75</v>
      </c>
      <c r="CE100" s="75">
        <f ca="1">INDIRECT(ADDRESS(11+(MATCH(RIGHT(Table11[[#This Row],[spawner_sku]],LEN(Table11[[#This Row],[spawner_sku]])-FIND("/",Table11[[#This Row],[spawner_sku]])),Table1[Entity Prefab],0)),10,1,1,"Entities"))</f>
        <v>75</v>
      </c>
      <c r="CF100">
        <f ca="1">ROUND((Table11[[#This Row],[XP]]*Table11[[#This Row],[entity_spawned (AVG)]])*(Table11[[#This Row],[activating_chance]]/100),0)</f>
        <v>56</v>
      </c>
      <c r="CG100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100" s="72">
        <v>1</v>
      </c>
      <c r="CI100" s="72">
        <v>1</v>
      </c>
      <c r="CJ100" s="72" t="b">
        <v>0</v>
      </c>
      <c r="CL100" t="s">
        <v>447</v>
      </c>
      <c r="CM100">
        <v>1</v>
      </c>
      <c r="CN100">
        <v>240</v>
      </c>
      <c r="CO100">
        <v>100</v>
      </c>
      <c r="CP100" s="75">
        <f ca="1">INDIRECT(ADDRESS(11+(MATCH(RIGHT(Table12[[#This Row],[spawner_sku]],LEN(Table12[[#This Row],[spawner_sku]])-FIND("/",Table12[[#This Row],[spawner_sku]])),Table1[Entity Prefab],0)),10,1,1,"Entities"))</f>
        <v>50</v>
      </c>
      <c r="CQ100" s="75">
        <f ca="1">ROUND((Table12[[#This Row],[XP]]*Table12[[#This Row],[entity_spawned (AVG)]])*(Table12[[#This Row],[activating_chance]]/100),0)</f>
        <v>50</v>
      </c>
      <c r="CR100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00" s="72">
        <v>1</v>
      </c>
      <c r="CT100" s="72">
        <v>1</v>
      </c>
      <c r="CU100" s="72" t="b">
        <v>0</v>
      </c>
      <c r="CW100" t="s">
        <v>243</v>
      </c>
      <c r="CX100">
        <v>1.5</v>
      </c>
      <c r="CY100">
        <v>200</v>
      </c>
      <c r="CZ100">
        <v>100</v>
      </c>
      <c r="DA100" s="75">
        <f ca="1">INDIRECT(ADDRESS(11+(MATCH(RIGHT(Table13[[#This Row],[spawner_sku]],LEN(Table13[[#This Row],[spawner_sku]])-FIND("/",Table13[[#This Row],[spawner_sku]])),Table1[Entity Prefab],0)),10,1,1,"Entities"))</f>
        <v>28</v>
      </c>
      <c r="DB100" s="75">
        <f ca="1">ROUND((Table13[[#This Row],[XP]]*Table13[[#This Row],[entity_spawned (AVG)]])*(Table13[[#This Row],[activating_chance]]/100),0)</f>
        <v>42</v>
      </c>
      <c r="DC100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100" s="72">
        <v>1</v>
      </c>
      <c r="DE100" s="72">
        <v>2</v>
      </c>
      <c r="DF100" s="72" t="b">
        <v>0</v>
      </c>
      <c r="DH100" t="s">
        <v>227</v>
      </c>
      <c r="DI100">
        <v>3.5</v>
      </c>
      <c r="DJ100">
        <v>120</v>
      </c>
      <c r="DK100">
        <v>30</v>
      </c>
      <c r="DL100" s="75">
        <f ca="1">INDIRECT(ADDRESS(11+(MATCH(RIGHT(Table14[[#This Row],[spawner_sku]],LEN(Table14[[#This Row],[spawner_sku]])-FIND("/",Table14[[#This Row],[spawner_sku]])),Table1[Entity Prefab],0)),10,1,1,"Entities"))</f>
        <v>25</v>
      </c>
      <c r="DM100" s="75">
        <f ca="1">ROUND((Table14[[#This Row],[XP]]*Table14[[#This Row],[entity_spawned (AVG)]])*(Table14[[#This Row],[activating_chance]]/100),0)</f>
        <v>26</v>
      </c>
      <c r="DN10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00" s="72">
        <v>3</v>
      </c>
      <c r="DP100" s="72">
        <v>4</v>
      </c>
      <c r="DQ100" s="72" t="b">
        <v>0</v>
      </c>
      <c r="DS100" t="s">
        <v>395</v>
      </c>
      <c r="DT100">
        <v>2</v>
      </c>
      <c r="DU100">
        <v>160</v>
      </c>
      <c r="DV100">
        <v>100</v>
      </c>
      <c r="DW100" s="75">
        <f ca="1">INDIRECT(ADDRESS(11+(MATCH(RIGHT(Table18[[#This Row],[spawner_sku]],LEN(Table18[[#This Row],[spawner_sku]])-FIND("/",Table18[[#This Row],[spawner_sku]])),Table1[Entity Prefab],0)),10,1,1,"Entities"))</f>
        <v>25</v>
      </c>
      <c r="DX100" s="75">
        <f ca="1">ROUND((Table18[[#This Row],[XP]]*Table18[[#This Row],[entity_spawned (AVG)]])*(Table18[[#This Row],[activating_chance]]/100),0)</f>
        <v>50</v>
      </c>
      <c r="DY10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00">
        <v>2</v>
      </c>
      <c r="EA100">
        <v>3</v>
      </c>
      <c r="EB100" t="b">
        <v>0</v>
      </c>
      <c r="ED100" t="s">
        <v>395</v>
      </c>
      <c r="EE100">
        <v>2</v>
      </c>
      <c r="EF100">
        <v>200</v>
      </c>
      <c r="EG100">
        <v>30</v>
      </c>
      <c r="EH100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100" s="75">
        <f ca="1">ROUND((Table1820[[#This Row],[XP]]*Table1820[[#This Row],[entity_spawned (AVG)]])*(Table1820[[#This Row],[activating_chance]]/100),0)</f>
        <v>15</v>
      </c>
      <c r="EJ10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00">
        <v>2</v>
      </c>
      <c r="EL100">
        <v>3</v>
      </c>
      <c r="EM100" t="b">
        <v>0</v>
      </c>
      <c r="EO100" t="s">
        <v>7343</v>
      </c>
      <c r="EP100">
        <v>1.5</v>
      </c>
      <c r="EQ100">
        <v>100</v>
      </c>
      <c r="ER100">
        <v>80</v>
      </c>
      <c r="ES100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ET100" s="75">
        <f ca="1">ROUND((Table182023[[#This Row],[XP]]*Table182023[[#This Row],[entity_spawned (AVG)]])*(Table182023[[#This Row],[activating_chance]]/100),0)</f>
        <v>156</v>
      </c>
      <c r="EU100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EV100" s="152">
        <v>1</v>
      </c>
      <c r="EW100" s="152">
        <v>2</v>
      </c>
      <c r="EX100" s="152" t="b">
        <v>0</v>
      </c>
      <c r="EZ100" t="s">
        <v>7352</v>
      </c>
      <c r="FA100">
        <v>1</v>
      </c>
      <c r="FB100">
        <v>500</v>
      </c>
      <c r="FC100">
        <v>100</v>
      </c>
      <c r="FD100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FE100" s="75">
        <f ca="1">ROUND((Table18202324[[#This Row],[XP]]*Table18202324[[#This Row],[entity_spawned (AVG)]])*(Table18202324[[#This Row],[activating_chance]]/100),0)</f>
        <v>130</v>
      </c>
      <c r="FF100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100">
        <v>1</v>
      </c>
      <c r="FH100">
        <v>1</v>
      </c>
      <c r="FI100" t="b">
        <v>0</v>
      </c>
    </row>
    <row r="101" spans="2:165" x14ac:dyDescent="0.25">
      <c r="B101" s="73" t="s">
        <v>228</v>
      </c>
      <c r="C101">
        <v>2</v>
      </c>
      <c r="D101">
        <v>130</v>
      </c>
      <c r="E101">
        <v>100</v>
      </c>
      <c r="F101" s="75">
        <f ca="1">INDIRECT(ADDRESS(11+(MATCH(RIGHT(Table245[[#This Row],[spawner_sku]],LEN(Table245[[#This Row],[spawner_sku]])-FIND("/",Table245[[#This Row],[spawner_sku]])),Table1[Entity Prefab],0)),10,1,1,"Entities"))</f>
        <v>25</v>
      </c>
      <c r="G101" s="75">
        <f ca="1">ROUND((Table245[[#This Row],[XP]]*Table245[[#This Row],[entity_spawned (AVG)]])*(Table245[[#This Row],[activating_chance]]/100),0)</f>
        <v>50</v>
      </c>
      <c r="H10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1" s="72">
        <v>1</v>
      </c>
      <c r="J101" s="72">
        <v>3</v>
      </c>
      <c r="K101" s="72" t="b">
        <v>0</v>
      </c>
      <c r="M101" t="s">
        <v>241</v>
      </c>
      <c r="N101">
        <v>1</v>
      </c>
      <c r="O101">
        <v>1500</v>
      </c>
      <c r="P101">
        <v>100</v>
      </c>
      <c r="Q101" s="75">
        <f ca="1">INDIRECT(ADDRESS(11+(MATCH(RIGHT(Table3[[#This Row],[spawner_sku]],LEN(Table3[[#This Row],[spawner_sku]])-FIND("/",Table3[[#This Row],[spawner_sku]])),Table1[Entity Prefab],0)),10,1,1,"Entities"))</f>
        <v>130</v>
      </c>
      <c r="R101" s="75">
        <f ca="1">ROUND((Table3[[#This Row],[XP]]*Table3[[#This Row],[entity_spawned (AVG)]])*(Table3[[#This Row],[activating_chance]]/100),0)</f>
        <v>130</v>
      </c>
      <c r="S101" t="str">
        <f ca="1">INDIRECT(ADDRESS(11+(MATCH(RIGHT(Table3[[#This Row],[spawner_sku]],LEN(Table3[[#This Row],[spawner_sku]])-FIND("/",Table3[[#This Row],[spawner_sku]])),Table28[Entity Prefab],0)),24,1,1,"Entities"))</f>
        <v>yes</v>
      </c>
      <c r="T101">
        <v>1</v>
      </c>
      <c r="U101">
        <v>1</v>
      </c>
      <c r="V101" t="b">
        <v>0</v>
      </c>
      <c r="W101" s="72"/>
      <c r="AI101" t="s">
        <v>228</v>
      </c>
      <c r="AJ101">
        <v>6.5</v>
      </c>
      <c r="AK101">
        <v>180</v>
      </c>
      <c r="AL101">
        <v>100</v>
      </c>
      <c r="AM101" s="75">
        <f ca="1">INDIRECT(ADDRESS(11+(MATCH(RIGHT(Table2[[#This Row],[spawner_sku]],LEN(Table2[[#This Row],[spawner_sku]])-FIND("/",Table2[[#This Row],[spawner_sku]])),Table1[Entity Prefab],0)),10,1,1,"Entities"))</f>
        <v>25</v>
      </c>
      <c r="AN101" s="75">
        <f ca="1">ROUND((Table2[[#This Row],[XP]]*Table2[[#This Row],[entity_spawned (AVG)]])*(Table2[[#This Row],[activating_chance]]/100),0)</f>
        <v>163</v>
      </c>
      <c r="AO10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01" s="72">
        <v>5</v>
      </c>
      <c r="AQ101" s="72">
        <v>8</v>
      </c>
      <c r="AR101" s="72" t="b">
        <v>1</v>
      </c>
      <c r="AT101" t="s">
        <v>629</v>
      </c>
      <c r="AU101">
        <v>1</v>
      </c>
      <c r="AV101">
        <v>120</v>
      </c>
      <c r="AW101">
        <v>100</v>
      </c>
      <c r="AX101" s="75">
        <f ca="1">INDIRECT(ADDRESS(11+(MATCH(RIGHT(Table6[[#This Row],[spawner_sku]],LEN(Table6[[#This Row],[spawner_sku]])-FIND("/",Table6[[#This Row],[spawner_sku]])),Table1[Entity Prefab],0)),10,1,1,"Entities"))</f>
        <v>50</v>
      </c>
      <c r="AY101" s="75">
        <f ca="1">ROUND((Table6[[#This Row],[XP]]*Table6[[#This Row],[entity_spawned (AVG)]])*(Table6[[#This Row],[activating_chance]]/100),0)</f>
        <v>50</v>
      </c>
      <c r="AZ101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01">
        <v>1</v>
      </c>
      <c r="BB101">
        <v>1</v>
      </c>
      <c r="BC101" t="b">
        <v>0</v>
      </c>
      <c r="BE101" t="s">
        <v>244</v>
      </c>
      <c r="BF101">
        <v>1</v>
      </c>
      <c r="BG101">
        <v>220</v>
      </c>
      <c r="BH101">
        <v>100</v>
      </c>
      <c r="BI101" s="75">
        <f ca="1">INDIRECT(ADDRESS(11+(MATCH(RIGHT(Table610[[#This Row],[spawner_sku]],LEN(Table610[[#This Row],[spawner_sku]])-FIND("/",Table610[[#This Row],[spawner_sku]])),Table1[Entity Prefab],0)),10,1,1,"Entities"))</f>
        <v>25</v>
      </c>
      <c r="BJ101" s="75">
        <f ca="1">ROUND((Table610[[#This Row],[XP]]*Table610[[#This Row],[entity_spawned (AVG)]])*(Table610[[#This Row],[activating_chance]]/100),0)</f>
        <v>25</v>
      </c>
      <c r="BK101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1">
        <v>1</v>
      </c>
      <c r="BM101">
        <v>1</v>
      </c>
      <c r="BN101" t="b">
        <v>0</v>
      </c>
      <c r="BP101" t="s">
        <v>395</v>
      </c>
      <c r="BQ101">
        <v>10</v>
      </c>
      <c r="BR101">
        <v>260</v>
      </c>
      <c r="BS101">
        <v>100</v>
      </c>
      <c r="BT10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01" s="75">
        <f ca="1">ROUND((Table61011[[#This Row],[XP]]*Table61011[[#This Row],[entity_spawned (AVG)]])*(Table61011[[#This Row],[activating_chance]]/100),0)</f>
        <v>250</v>
      </c>
      <c r="BV10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1" s="72">
        <v>8</v>
      </c>
      <c r="BX101" s="72">
        <v>12</v>
      </c>
      <c r="BY101" s="72" t="b">
        <v>1</v>
      </c>
      <c r="CA101" t="s">
        <v>231</v>
      </c>
      <c r="CB101">
        <v>1</v>
      </c>
      <c r="CC101">
        <v>5000</v>
      </c>
      <c r="CD101">
        <v>75</v>
      </c>
      <c r="CE101" s="75">
        <f ca="1">INDIRECT(ADDRESS(11+(MATCH(RIGHT(Table11[[#This Row],[spawner_sku]],LEN(Table11[[#This Row],[spawner_sku]])-FIND("/",Table11[[#This Row],[spawner_sku]])),Table1[Entity Prefab],0)),10,1,1,"Entities"))</f>
        <v>75</v>
      </c>
      <c r="CF101">
        <f ca="1">ROUND((Table11[[#This Row],[XP]]*Table11[[#This Row],[entity_spawned (AVG)]])*(Table11[[#This Row],[activating_chance]]/100),0)</f>
        <v>56</v>
      </c>
      <c r="CG101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101" s="72">
        <v>1</v>
      </c>
      <c r="CI101" s="72">
        <v>1</v>
      </c>
      <c r="CJ101" s="72" t="b">
        <v>0</v>
      </c>
      <c r="CL101" t="s">
        <v>447</v>
      </c>
      <c r="CM101">
        <v>1</v>
      </c>
      <c r="CN101">
        <v>240</v>
      </c>
      <c r="CO101">
        <v>100</v>
      </c>
      <c r="CP101" s="75">
        <f ca="1">INDIRECT(ADDRESS(11+(MATCH(RIGHT(Table12[[#This Row],[spawner_sku]],LEN(Table12[[#This Row],[spawner_sku]])-FIND("/",Table12[[#This Row],[spawner_sku]])),Table1[Entity Prefab],0)),10,1,1,"Entities"))</f>
        <v>50</v>
      </c>
      <c r="CQ101" s="75">
        <f ca="1">ROUND((Table12[[#This Row],[XP]]*Table12[[#This Row],[entity_spawned (AVG)]])*(Table12[[#This Row],[activating_chance]]/100),0)</f>
        <v>50</v>
      </c>
      <c r="CR101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01" s="72">
        <v>1</v>
      </c>
      <c r="CT101" s="72">
        <v>1</v>
      </c>
      <c r="CU101" s="72" t="b">
        <v>0</v>
      </c>
      <c r="CW101" t="s">
        <v>243</v>
      </c>
      <c r="CX101">
        <v>1.5</v>
      </c>
      <c r="CY101">
        <v>200</v>
      </c>
      <c r="CZ101">
        <v>100</v>
      </c>
      <c r="DA101" s="75">
        <f ca="1">INDIRECT(ADDRESS(11+(MATCH(RIGHT(Table13[[#This Row],[spawner_sku]],LEN(Table13[[#This Row],[spawner_sku]])-FIND("/",Table13[[#This Row],[spawner_sku]])),Table1[Entity Prefab],0)),10,1,1,"Entities"))</f>
        <v>28</v>
      </c>
      <c r="DB101" s="75">
        <f ca="1">ROUND((Table13[[#This Row],[XP]]*Table13[[#This Row],[entity_spawned (AVG)]])*(Table13[[#This Row],[activating_chance]]/100),0)</f>
        <v>42</v>
      </c>
      <c r="DC101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101" s="72">
        <v>1</v>
      </c>
      <c r="DE101" s="72">
        <v>2</v>
      </c>
      <c r="DF101" s="72" t="b">
        <v>0</v>
      </c>
      <c r="DH101" t="s">
        <v>227</v>
      </c>
      <c r="DI101">
        <v>13</v>
      </c>
      <c r="DJ101">
        <v>200</v>
      </c>
      <c r="DK101">
        <v>100</v>
      </c>
      <c r="DL101" s="75">
        <f ca="1">INDIRECT(ADDRESS(11+(MATCH(RIGHT(Table14[[#This Row],[spawner_sku]],LEN(Table14[[#This Row],[spawner_sku]])-FIND("/",Table14[[#This Row],[spawner_sku]])),Table1[Entity Prefab],0)),10,1,1,"Entities"))</f>
        <v>25</v>
      </c>
      <c r="DM101" s="75">
        <f ca="1">ROUND((Table14[[#This Row],[XP]]*Table14[[#This Row],[entity_spawned (AVG)]])*(Table14[[#This Row],[activating_chance]]/100),0)</f>
        <v>325</v>
      </c>
      <c r="DN10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01" s="72">
        <v>12</v>
      </c>
      <c r="DP101" s="72">
        <v>14</v>
      </c>
      <c r="DQ101" s="72" t="b">
        <v>1</v>
      </c>
      <c r="DS101" t="s">
        <v>395</v>
      </c>
      <c r="DT101">
        <v>10</v>
      </c>
      <c r="DU101">
        <v>180</v>
      </c>
      <c r="DV101">
        <v>100</v>
      </c>
      <c r="DW101" s="75">
        <f ca="1">INDIRECT(ADDRESS(11+(MATCH(RIGHT(Table18[[#This Row],[spawner_sku]],LEN(Table18[[#This Row],[spawner_sku]])-FIND("/",Table18[[#This Row],[spawner_sku]])),Table1[Entity Prefab],0)),10,1,1,"Entities"))</f>
        <v>25</v>
      </c>
      <c r="DX101" s="75">
        <f ca="1">ROUND((Table18[[#This Row],[XP]]*Table18[[#This Row],[entity_spawned (AVG)]])*(Table18[[#This Row],[activating_chance]]/100),0)</f>
        <v>250</v>
      </c>
      <c r="DY10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01">
        <v>8</v>
      </c>
      <c r="EA101">
        <v>12</v>
      </c>
      <c r="EB101" t="b">
        <v>1</v>
      </c>
      <c r="ED101" t="s">
        <v>395</v>
      </c>
      <c r="EE101">
        <v>2</v>
      </c>
      <c r="EF101">
        <v>120</v>
      </c>
      <c r="EG101">
        <v>80</v>
      </c>
      <c r="EH101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101" s="75">
        <f ca="1">ROUND((Table1820[[#This Row],[XP]]*Table1820[[#This Row],[entity_spawned (AVG)]])*(Table1820[[#This Row],[activating_chance]]/100),0)</f>
        <v>40</v>
      </c>
      <c r="EJ10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01">
        <v>2</v>
      </c>
      <c r="EL101">
        <v>3</v>
      </c>
      <c r="EM101" t="b">
        <v>0</v>
      </c>
      <c r="EO101" t="s">
        <v>7343</v>
      </c>
      <c r="EP101">
        <v>2</v>
      </c>
      <c r="EQ101">
        <v>100</v>
      </c>
      <c r="ER101">
        <v>100</v>
      </c>
      <c r="ES101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ET101" s="75">
        <f ca="1">ROUND((Table182023[[#This Row],[XP]]*Table182023[[#This Row],[entity_spawned (AVG)]])*(Table182023[[#This Row],[activating_chance]]/100),0)</f>
        <v>260</v>
      </c>
      <c r="EU101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EV101" s="152">
        <v>1</v>
      </c>
      <c r="EW101" s="152">
        <v>3</v>
      </c>
      <c r="EX101" s="152" t="b">
        <v>0</v>
      </c>
      <c r="EZ101" t="s">
        <v>7352</v>
      </c>
      <c r="FA101">
        <v>1</v>
      </c>
      <c r="FB101">
        <v>500</v>
      </c>
      <c r="FC101">
        <v>100</v>
      </c>
      <c r="FD101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FE101" s="75">
        <f ca="1">ROUND((Table18202324[[#This Row],[XP]]*Table18202324[[#This Row],[entity_spawned (AVG)]])*(Table18202324[[#This Row],[activating_chance]]/100),0)</f>
        <v>130</v>
      </c>
      <c r="FF101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101">
        <v>1</v>
      </c>
      <c r="FH101">
        <v>1</v>
      </c>
      <c r="FI101" t="b">
        <v>0</v>
      </c>
    </row>
    <row r="102" spans="2:165" x14ac:dyDescent="0.25">
      <c r="B102" s="73" t="s">
        <v>228</v>
      </c>
      <c r="C102">
        <v>1.5</v>
      </c>
      <c r="D102">
        <v>160</v>
      </c>
      <c r="E102">
        <v>100</v>
      </c>
      <c r="F102" s="75">
        <f ca="1">INDIRECT(ADDRESS(11+(MATCH(RIGHT(Table245[[#This Row],[spawner_sku]],LEN(Table245[[#This Row],[spawner_sku]])-FIND("/",Table245[[#This Row],[spawner_sku]])),Table1[Entity Prefab],0)),10,1,1,"Entities"))</f>
        <v>25</v>
      </c>
      <c r="G102" s="75">
        <f ca="1">ROUND((Table245[[#This Row],[XP]]*Table245[[#This Row],[entity_spawned (AVG)]])*(Table245[[#This Row],[activating_chance]]/100),0)</f>
        <v>38</v>
      </c>
      <c r="H10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2" s="72">
        <v>1</v>
      </c>
      <c r="J102" s="72">
        <v>2</v>
      </c>
      <c r="K102" s="72" t="b">
        <v>0</v>
      </c>
      <c r="M102" t="s">
        <v>243</v>
      </c>
      <c r="N102">
        <v>1</v>
      </c>
      <c r="O102">
        <v>200</v>
      </c>
      <c r="P102">
        <v>100</v>
      </c>
      <c r="Q102" s="75">
        <f ca="1">INDIRECT(ADDRESS(11+(MATCH(RIGHT(Table3[[#This Row],[spawner_sku]],LEN(Table3[[#This Row],[spawner_sku]])-FIND("/",Table3[[#This Row],[spawner_sku]])),Table1[Entity Prefab],0)),10,1,1,"Entities"))</f>
        <v>28</v>
      </c>
      <c r="R102" s="75">
        <f ca="1">ROUND((Table3[[#This Row],[XP]]*Table3[[#This Row],[entity_spawned (AVG)]])*(Table3[[#This Row],[activating_chance]]/100),0)</f>
        <v>28</v>
      </c>
      <c r="S102" t="str">
        <f ca="1">INDIRECT(ADDRESS(11+(MATCH(RIGHT(Table3[[#This Row],[spawner_sku]],LEN(Table3[[#This Row],[spawner_sku]])-FIND("/",Table3[[#This Row],[spawner_sku]])),Table28[Entity Prefab],0)),24,1,1,"Entities"))</f>
        <v>no</v>
      </c>
      <c r="T102">
        <v>1</v>
      </c>
      <c r="U102">
        <v>1</v>
      </c>
      <c r="V102" t="b">
        <v>0</v>
      </c>
      <c r="W102" s="72"/>
      <c r="AI102" t="s">
        <v>228</v>
      </c>
      <c r="AJ102">
        <v>3.5</v>
      </c>
      <c r="AK102">
        <v>100</v>
      </c>
      <c r="AL102">
        <v>100</v>
      </c>
      <c r="AM102" s="75">
        <f ca="1">INDIRECT(ADDRESS(11+(MATCH(RIGHT(Table2[[#This Row],[spawner_sku]],LEN(Table2[[#This Row],[spawner_sku]])-FIND("/",Table2[[#This Row],[spawner_sku]])),Table1[Entity Prefab],0)),10,1,1,"Entities"))</f>
        <v>25</v>
      </c>
      <c r="AN102" s="75">
        <f ca="1">ROUND((Table2[[#This Row],[XP]]*Table2[[#This Row],[entity_spawned (AVG)]])*(Table2[[#This Row],[activating_chance]]/100),0)</f>
        <v>88</v>
      </c>
      <c r="AO10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02" s="72">
        <v>3</v>
      </c>
      <c r="AQ102" s="72">
        <v>4</v>
      </c>
      <c r="AR102" s="72" t="b">
        <v>0</v>
      </c>
      <c r="AT102" t="s">
        <v>389</v>
      </c>
      <c r="AU102">
        <v>1</v>
      </c>
      <c r="AV102">
        <v>450</v>
      </c>
      <c r="AW102">
        <v>100</v>
      </c>
      <c r="AX102" s="75">
        <f ca="1">INDIRECT(ADDRESS(11+(MATCH(RIGHT(Table6[[#This Row],[spawner_sku]],LEN(Table6[[#This Row],[spawner_sku]])-FIND("/",Table6[[#This Row],[spawner_sku]])),Table1[Entity Prefab],0)),10,1,1,"Entities"))</f>
        <v>0</v>
      </c>
      <c r="AY102" s="75">
        <f ca="1">ROUND((Table6[[#This Row],[XP]]*Table6[[#This Row],[entity_spawned (AVG)]])*(Table6[[#This Row],[activating_chance]]/100),0)</f>
        <v>0</v>
      </c>
      <c r="AZ102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02">
        <v>1</v>
      </c>
      <c r="BB102">
        <v>1</v>
      </c>
      <c r="BC102" t="b">
        <v>0</v>
      </c>
      <c r="BE102" t="s">
        <v>244</v>
      </c>
      <c r="BF102">
        <v>1</v>
      </c>
      <c r="BG102">
        <v>220</v>
      </c>
      <c r="BH102">
        <v>100</v>
      </c>
      <c r="BI102" s="75">
        <f ca="1">INDIRECT(ADDRESS(11+(MATCH(RIGHT(Table610[[#This Row],[spawner_sku]],LEN(Table610[[#This Row],[spawner_sku]])-FIND("/",Table610[[#This Row],[spawner_sku]])),Table1[Entity Prefab],0)),10,1,1,"Entities"))</f>
        <v>25</v>
      </c>
      <c r="BJ102" s="75">
        <f ca="1">ROUND((Table610[[#This Row],[XP]]*Table610[[#This Row],[entity_spawned (AVG)]])*(Table610[[#This Row],[activating_chance]]/100),0)</f>
        <v>25</v>
      </c>
      <c r="BK102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2">
        <v>1</v>
      </c>
      <c r="BM102">
        <v>1</v>
      </c>
      <c r="BN102" t="b">
        <v>0</v>
      </c>
      <c r="BP102" t="s">
        <v>395</v>
      </c>
      <c r="BQ102">
        <v>3</v>
      </c>
      <c r="BR102">
        <v>220</v>
      </c>
      <c r="BS102">
        <v>100</v>
      </c>
      <c r="BT10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02" s="75">
        <f ca="1">ROUND((Table61011[[#This Row],[XP]]*Table61011[[#This Row],[entity_spawned (AVG)]])*(Table61011[[#This Row],[activating_chance]]/100),0)</f>
        <v>75</v>
      </c>
      <c r="BV10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2" s="72">
        <v>2</v>
      </c>
      <c r="BX102" s="72">
        <v>4</v>
      </c>
      <c r="BY102" s="72" t="b">
        <v>0</v>
      </c>
      <c r="CA102" t="s">
        <v>231</v>
      </c>
      <c r="CB102">
        <v>1</v>
      </c>
      <c r="CC102">
        <v>5000</v>
      </c>
      <c r="CD102">
        <v>75</v>
      </c>
      <c r="CE102" s="75">
        <f ca="1">INDIRECT(ADDRESS(11+(MATCH(RIGHT(Table11[[#This Row],[spawner_sku]],LEN(Table11[[#This Row],[spawner_sku]])-FIND("/",Table11[[#This Row],[spawner_sku]])),Table1[Entity Prefab],0)),10,1,1,"Entities"))</f>
        <v>75</v>
      </c>
      <c r="CF102">
        <f ca="1">ROUND((Table11[[#This Row],[XP]]*Table11[[#This Row],[entity_spawned (AVG)]])*(Table11[[#This Row],[activating_chance]]/100),0)</f>
        <v>56</v>
      </c>
      <c r="CG102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102" s="72">
        <v>1</v>
      </c>
      <c r="CI102" s="72">
        <v>1</v>
      </c>
      <c r="CJ102" s="72" t="b">
        <v>0</v>
      </c>
      <c r="CL102" t="s">
        <v>396</v>
      </c>
      <c r="CM102">
        <v>1</v>
      </c>
      <c r="CN102">
        <v>120</v>
      </c>
      <c r="CO102">
        <v>100</v>
      </c>
      <c r="CP102" s="75">
        <f ca="1">INDIRECT(ADDRESS(11+(MATCH(RIGHT(Table12[[#This Row],[spawner_sku]],LEN(Table12[[#This Row],[spawner_sku]])-FIND("/",Table12[[#This Row],[spawner_sku]])),Table1[Entity Prefab],0)),10,1,1,"Entities"))</f>
        <v>25</v>
      </c>
      <c r="CQ102" s="75">
        <f ca="1">ROUND((Table12[[#This Row],[XP]]*Table12[[#This Row],[entity_spawned (AVG)]])*(Table12[[#This Row],[activating_chance]]/100),0)</f>
        <v>25</v>
      </c>
      <c r="CR102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02" s="72">
        <v>1</v>
      </c>
      <c r="CT102" s="72">
        <v>1</v>
      </c>
      <c r="CU102" s="72" t="b">
        <v>0</v>
      </c>
      <c r="CW102" t="s">
        <v>243</v>
      </c>
      <c r="CX102">
        <v>1.5</v>
      </c>
      <c r="CY102">
        <v>200</v>
      </c>
      <c r="CZ102">
        <v>100</v>
      </c>
      <c r="DA102" s="75">
        <f ca="1">INDIRECT(ADDRESS(11+(MATCH(RIGHT(Table13[[#This Row],[spawner_sku]],LEN(Table13[[#This Row],[spawner_sku]])-FIND("/",Table13[[#This Row],[spawner_sku]])),Table1[Entity Prefab],0)),10,1,1,"Entities"))</f>
        <v>28</v>
      </c>
      <c r="DB102" s="75">
        <f ca="1">ROUND((Table13[[#This Row],[XP]]*Table13[[#This Row],[entity_spawned (AVG)]])*(Table13[[#This Row],[activating_chance]]/100),0)</f>
        <v>42</v>
      </c>
      <c r="DC102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102" s="72">
        <v>1</v>
      </c>
      <c r="DE102" s="72">
        <v>2</v>
      </c>
      <c r="DF102" s="72" t="b">
        <v>0</v>
      </c>
      <c r="DH102" t="s">
        <v>227</v>
      </c>
      <c r="DI102">
        <v>8</v>
      </c>
      <c r="DJ102">
        <v>120</v>
      </c>
      <c r="DK102">
        <v>100</v>
      </c>
      <c r="DL102" s="75">
        <f ca="1">INDIRECT(ADDRESS(11+(MATCH(RIGHT(Table14[[#This Row],[spawner_sku]],LEN(Table14[[#This Row],[spawner_sku]])-FIND("/",Table14[[#This Row],[spawner_sku]])),Table1[Entity Prefab],0)),10,1,1,"Entities"))</f>
        <v>25</v>
      </c>
      <c r="DM102" s="75">
        <f ca="1">ROUND((Table14[[#This Row],[XP]]*Table14[[#This Row],[entity_spawned (AVG)]])*(Table14[[#This Row],[activating_chance]]/100),0)</f>
        <v>200</v>
      </c>
      <c r="DN10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02" s="72">
        <v>6</v>
      </c>
      <c r="DP102" s="72">
        <v>10</v>
      </c>
      <c r="DQ102" s="72" t="b">
        <v>1</v>
      </c>
      <c r="DS102" t="s">
        <v>395</v>
      </c>
      <c r="DT102">
        <v>3</v>
      </c>
      <c r="DU102">
        <v>100</v>
      </c>
      <c r="DV102">
        <v>100</v>
      </c>
      <c r="DW102" s="75">
        <f ca="1">INDIRECT(ADDRESS(11+(MATCH(RIGHT(Table18[[#This Row],[spawner_sku]],LEN(Table18[[#This Row],[spawner_sku]])-FIND("/",Table18[[#This Row],[spawner_sku]])),Table1[Entity Prefab],0)),10,1,1,"Entities"))</f>
        <v>25</v>
      </c>
      <c r="DX102" s="75">
        <f ca="1">ROUND((Table18[[#This Row],[XP]]*Table18[[#This Row],[entity_spawned (AVG)]])*(Table18[[#This Row],[activating_chance]]/100),0)</f>
        <v>75</v>
      </c>
      <c r="DY10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02">
        <v>3</v>
      </c>
      <c r="EA102">
        <v>4</v>
      </c>
      <c r="EB102" t="b">
        <v>0</v>
      </c>
      <c r="ED102" t="s">
        <v>395</v>
      </c>
      <c r="EE102">
        <v>1</v>
      </c>
      <c r="EF102">
        <v>100</v>
      </c>
      <c r="EG102">
        <v>100</v>
      </c>
      <c r="EH10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102" s="75">
        <f ca="1">ROUND((Table1820[[#This Row],[XP]]*Table1820[[#This Row],[entity_spawned (AVG)]])*(Table1820[[#This Row],[activating_chance]]/100),0)</f>
        <v>25</v>
      </c>
      <c r="EJ10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02">
        <v>1</v>
      </c>
      <c r="EL102">
        <v>2</v>
      </c>
      <c r="EM102" t="b">
        <v>0</v>
      </c>
      <c r="EO102" t="s">
        <v>7343</v>
      </c>
      <c r="EP102">
        <v>1</v>
      </c>
      <c r="EQ102">
        <v>100</v>
      </c>
      <c r="ER102">
        <v>100</v>
      </c>
      <c r="ES102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ET102" s="75">
        <f ca="1">ROUND((Table182023[[#This Row],[XP]]*Table182023[[#This Row],[entity_spawned (AVG)]])*(Table182023[[#This Row],[activating_chance]]/100),0)</f>
        <v>130</v>
      </c>
      <c r="EU102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EV102" s="152">
        <v>1</v>
      </c>
      <c r="EW102" s="152">
        <v>1</v>
      </c>
      <c r="EX102" s="152" t="b">
        <v>0</v>
      </c>
      <c r="EZ102" t="s">
        <v>7352</v>
      </c>
      <c r="FA102">
        <v>1</v>
      </c>
      <c r="FB102">
        <v>500</v>
      </c>
      <c r="FC102">
        <v>100</v>
      </c>
      <c r="FD102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FE102" s="75">
        <f ca="1">ROUND((Table18202324[[#This Row],[XP]]*Table18202324[[#This Row],[entity_spawned (AVG)]])*(Table18202324[[#This Row],[activating_chance]]/100),0)</f>
        <v>130</v>
      </c>
      <c r="FF102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102">
        <v>1</v>
      </c>
      <c r="FH102">
        <v>1</v>
      </c>
      <c r="FI102" t="b">
        <v>0</v>
      </c>
    </row>
    <row r="103" spans="2:165" x14ac:dyDescent="0.25">
      <c r="B103" s="73" t="s">
        <v>228</v>
      </c>
      <c r="C103">
        <v>2.5</v>
      </c>
      <c r="D103">
        <v>130</v>
      </c>
      <c r="E103">
        <v>60</v>
      </c>
      <c r="F103" s="75">
        <f ca="1">INDIRECT(ADDRESS(11+(MATCH(RIGHT(Table245[[#This Row],[spawner_sku]],LEN(Table245[[#This Row],[spawner_sku]])-FIND("/",Table245[[#This Row],[spawner_sku]])),Table1[Entity Prefab],0)),10,1,1,"Entities"))</f>
        <v>25</v>
      </c>
      <c r="G103" s="75">
        <f ca="1">ROUND((Table245[[#This Row],[XP]]*Table245[[#This Row],[entity_spawned (AVG)]])*(Table245[[#This Row],[activating_chance]]/100),0)</f>
        <v>38</v>
      </c>
      <c r="H10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3" s="72">
        <v>2</v>
      </c>
      <c r="J103" s="72">
        <v>3</v>
      </c>
      <c r="K103" s="72" t="b">
        <v>0</v>
      </c>
      <c r="M103" t="s">
        <v>243</v>
      </c>
      <c r="N103">
        <v>1</v>
      </c>
      <c r="O103">
        <v>200</v>
      </c>
      <c r="P103">
        <v>100</v>
      </c>
      <c r="Q103" s="75">
        <f ca="1">INDIRECT(ADDRESS(11+(MATCH(RIGHT(Table3[[#This Row],[spawner_sku]],LEN(Table3[[#This Row],[spawner_sku]])-FIND("/",Table3[[#This Row],[spawner_sku]])),Table1[Entity Prefab],0)),10,1,1,"Entities"))</f>
        <v>28</v>
      </c>
      <c r="R103" s="75">
        <f ca="1">ROUND((Table3[[#This Row],[XP]]*Table3[[#This Row],[entity_spawned (AVG)]])*(Table3[[#This Row],[activating_chance]]/100),0)</f>
        <v>28</v>
      </c>
      <c r="S103" t="str">
        <f ca="1">INDIRECT(ADDRESS(11+(MATCH(RIGHT(Table3[[#This Row],[spawner_sku]],LEN(Table3[[#This Row],[spawner_sku]])-FIND("/",Table3[[#This Row],[spawner_sku]])),Table28[Entity Prefab],0)),24,1,1,"Entities"))</f>
        <v>no</v>
      </c>
      <c r="T103">
        <v>1</v>
      </c>
      <c r="U103">
        <v>1</v>
      </c>
      <c r="V103" t="b">
        <v>0</v>
      </c>
      <c r="W103" s="72"/>
      <c r="AI103" t="s">
        <v>228</v>
      </c>
      <c r="AJ103">
        <v>1</v>
      </c>
      <c r="AK103">
        <v>100</v>
      </c>
      <c r="AL103">
        <v>85</v>
      </c>
      <c r="AM103" s="75">
        <f ca="1">INDIRECT(ADDRESS(11+(MATCH(RIGHT(Table2[[#This Row],[spawner_sku]],LEN(Table2[[#This Row],[spawner_sku]])-FIND("/",Table2[[#This Row],[spawner_sku]])),Table1[Entity Prefab],0)),10,1,1,"Entities"))</f>
        <v>25</v>
      </c>
      <c r="AN103" s="75">
        <f ca="1">ROUND((Table2[[#This Row],[XP]]*Table2[[#This Row],[entity_spawned (AVG)]])*(Table2[[#This Row],[activating_chance]]/100),0)</f>
        <v>21</v>
      </c>
      <c r="AO10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03" s="72">
        <v>1</v>
      </c>
      <c r="AQ103" s="72">
        <v>1</v>
      </c>
      <c r="AR103" s="72" t="b">
        <v>0</v>
      </c>
      <c r="AT103" t="s">
        <v>389</v>
      </c>
      <c r="AU103">
        <v>1</v>
      </c>
      <c r="AV103">
        <v>450</v>
      </c>
      <c r="AW103">
        <v>100</v>
      </c>
      <c r="AX103" s="75">
        <f ca="1">INDIRECT(ADDRESS(11+(MATCH(RIGHT(Table6[[#This Row],[spawner_sku]],LEN(Table6[[#This Row],[spawner_sku]])-FIND("/",Table6[[#This Row],[spawner_sku]])),Table1[Entity Prefab],0)),10,1,1,"Entities"))</f>
        <v>0</v>
      </c>
      <c r="AY103" s="75">
        <f ca="1">ROUND((Table6[[#This Row],[XP]]*Table6[[#This Row],[entity_spawned (AVG)]])*(Table6[[#This Row],[activating_chance]]/100),0)</f>
        <v>0</v>
      </c>
      <c r="AZ103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03">
        <v>1</v>
      </c>
      <c r="BB103">
        <v>1</v>
      </c>
      <c r="BC103" t="b">
        <v>0</v>
      </c>
      <c r="BE103" t="s">
        <v>244</v>
      </c>
      <c r="BF103">
        <v>1</v>
      </c>
      <c r="BG103">
        <v>220</v>
      </c>
      <c r="BH103">
        <v>100</v>
      </c>
      <c r="BI103" s="75">
        <f ca="1">INDIRECT(ADDRESS(11+(MATCH(RIGHT(Table610[[#This Row],[spawner_sku]],LEN(Table610[[#This Row],[spawner_sku]])-FIND("/",Table610[[#This Row],[spawner_sku]])),Table1[Entity Prefab],0)),10,1,1,"Entities"))</f>
        <v>25</v>
      </c>
      <c r="BJ103" s="75">
        <f ca="1">ROUND((Table610[[#This Row],[XP]]*Table610[[#This Row],[entity_spawned (AVG)]])*(Table610[[#This Row],[activating_chance]]/100),0)</f>
        <v>25</v>
      </c>
      <c r="BK103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3">
        <v>1</v>
      </c>
      <c r="BM103">
        <v>1</v>
      </c>
      <c r="BN103" t="b">
        <v>0</v>
      </c>
      <c r="BP103" t="s">
        <v>395</v>
      </c>
      <c r="BQ103">
        <v>2</v>
      </c>
      <c r="BR103">
        <v>190</v>
      </c>
      <c r="BS103">
        <v>100</v>
      </c>
      <c r="BT10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03" s="75">
        <f ca="1">ROUND((Table61011[[#This Row],[XP]]*Table61011[[#This Row],[entity_spawned (AVG)]])*(Table61011[[#This Row],[activating_chance]]/100),0)</f>
        <v>50</v>
      </c>
      <c r="BV10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3" s="72">
        <v>1</v>
      </c>
      <c r="BX103" s="72">
        <v>3</v>
      </c>
      <c r="BY103" s="72" t="b">
        <v>0</v>
      </c>
      <c r="CA103" t="s">
        <v>231</v>
      </c>
      <c r="CB103">
        <v>1</v>
      </c>
      <c r="CC103">
        <v>5000</v>
      </c>
      <c r="CD103">
        <v>100</v>
      </c>
      <c r="CE103" s="75">
        <f ca="1">INDIRECT(ADDRESS(11+(MATCH(RIGHT(Table11[[#This Row],[spawner_sku]],LEN(Table11[[#This Row],[spawner_sku]])-FIND("/",Table11[[#This Row],[spawner_sku]])),Table1[Entity Prefab],0)),10,1,1,"Entities"))</f>
        <v>75</v>
      </c>
      <c r="CF103">
        <f ca="1">ROUND((Table11[[#This Row],[XP]]*Table11[[#This Row],[entity_spawned (AVG)]])*(Table11[[#This Row],[activating_chance]]/100),0)</f>
        <v>75</v>
      </c>
      <c r="CG103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103" s="72">
        <v>1</v>
      </c>
      <c r="CI103" s="72">
        <v>1</v>
      </c>
      <c r="CJ103" s="72" t="b">
        <v>0</v>
      </c>
      <c r="CL103" t="s">
        <v>396</v>
      </c>
      <c r="CM103">
        <v>1</v>
      </c>
      <c r="CN103">
        <v>120</v>
      </c>
      <c r="CO103">
        <v>100</v>
      </c>
      <c r="CP103" s="75">
        <f ca="1">INDIRECT(ADDRESS(11+(MATCH(RIGHT(Table12[[#This Row],[spawner_sku]],LEN(Table12[[#This Row],[spawner_sku]])-FIND("/",Table12[[#This Row],[spawner_sku]])),Table1[Entity Prefab],0)),10,1,1,"Entities"))</f>
        <v>25</v>
      </c>
      <c r="CQ103" s="75">
        <f ca="1">ROUND((Table12[[#This Row],[XP]]*Table12[[#This Row],[entity_spawned (AVG)]])*(Table12[[#This Row],[activating_chance]]/100),0)</f>
        <v>25</v>
      </c>
      <c r="CR103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03" s="72">
        <v>1</v>
      </c>
      <c r="CT103" s="72">
        <v>1</v>
      </c>
      <c r="CU103" s="72" t="b">
        <v>0</v>
      </c>
      <c r="CW103" t="s">
        <v>243</v>
      </c>
      <c r="CX103">
        <v>1</v>
      </c>
      <c r="CY103">
        <v>200</v>
      </c>
      <c r="CZ103">
        <v>100</v>
      </c>
      <c r="DA103" s="75">
        <f ca="1">INDIRECT(ADDRESS(11+(MATCH(RIGHT(Table13[[#This Row],[spawner_sku]],LEN(Table13[[#This Row],[spawner_sku]])-FIND("/",Table13[[#This Row],[spawner_sku]])),Table1[Entity Prefab],0)),10,1,1,"Entities"))</f>
        <v>28</v>
      </c>
      <c r="DB103" s="75">
        <f ca="1">ROUND((Table13[[#This Row],[XP]]*Table13[[#This Row],[entity_spawned (AVG)]])*(Table13[[#This Row],[activating_chance]]/100),0)</f>
        <v>28</v>
      </c>
      <c r="DC103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103" s="72">
        <v>1</v>
      </c>
      <c r="DE103" s="72">
        <v>1</v>
      </c>
      <c r="DF103" s="72" t="b">
        <v>0</v>
      </c>
      <c r="DH103" t="s">
        <v>227</v>
      </c>
      <c r="DI103">
        <v>18</v>
      </c>
      <c r="DJ103">
        <v>200</v>
      </c>
      <c r="DK103">
        <v>80</v>
      </c>
      <c r="DL103" s="75">
        <f ca="1">INDIRECT(ADDRESS(11+(MATCH(RIGHT(Table14[[#This Row],[spawner_sku]],LEN(Table14[[#This Row],[spawner_sku]])-FIND("/",Table14[[#This Row],[spawner_sku]])),Table1[Entity Prefab],0)),10,1,1,"Entities"))</f>
        <v>25</v>
      </c>
      <c r="DM103" s="75">
        <f ca="1">ROUND((Table14[[#This Row],[XP]]*Table14[[#This Row],[entity_spawned (AVG)]])*(Table14[[#This Row],[activating_chance]]/100),0)</f>
        <v>360</v>
      </c>
      <c r="DN10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03" s="72">
        <v>16</v>
      </c>
      <c r="DP103" s="72">
        <v>20</v>
      </c>
      <c r="DQ103" s="72" t="b">
        <v>1</v>
      </c>
      <c r="DS103" t="s">
        <v>395</v>
      </c>
      <c r="DT103">
        <v>12</v>
      </c>
      <c r="DU103">
        <v>180</v>
      </c>
      <c r="DV103">
        <v>100</v>
      </c>
      <c r="DW103" s="75">
        <f ca="1">INDIRECT(ADDRESS(11+(MATCH(RIGHT(Table18[[#This Row],[spawner_sku]],LEN(Table18[[#This Row],[spawner_sku]])-FIND("/",Table18[[#This Row],[spawner_sku]])),Table1[Entity Prefab],0)),10,1,1,"Entities"))</f>
        <v>25</v>
      </c>
      <c r="DX103" s="75">
        <f ca="1">ROUND((Table18[[#This Row],[XP]]*Table18[[#This Row],[entity_spawned (AVG)]])*(Table18[[#This Row],[activating_chance]]/100),0)</f>
        <v>300</v>
      </c>
      <c r="DY10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03">
        <v>10</v>
      </c>
      <c r="EA103">
        <v>15</v>
      </c>
      <c r="EB103" t="b">
        <v>1</v>
      </c>
      <c r="ED103" t="s">
        <v>395</v>
      </c>
      <c r="EE103">
        <v>2</v>
      </c>
      <c r="EF103">
        <v>200</v>
      </c>
      <c r="EG103">
        <v>100</v>
      </c>
      <c r="EH103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103" s="75">
        <f ca="1">ROUND((Table1820[[#This Row],[XP]]*Table1820[[#This Row],[entity_spawned (AVG)]])*(Table1820[[#This Row],[activating_chance]]/100),0)</f>
        <v>50</v>
      </c>
      <c r="EJ10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03">
        <v>2</v>
      </c>
      <c r="EL103">
        <v>2</v>
      </c>
      <c r="EM103" t="b">
        <v>0</v>
      </c>
      <c r="EO103" t="s">
        <v>7343</v>
      </c>
      <c r="EP103">
        <v>2.5</v>
      </c>
      <c r="EQ103">
        <v>100</v>
      </c>
      <c r="ER103">
        <v>100</v>
      </c>
      <c r="ES103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ET103" s="75">
        <f ca="1">ROUND((Table182023[[#This Row],[XP]]*Table182023[[#This Row],[entity_spawned (AVG)]])*(Table182023[[#This Row],[activating_chance]]/100),0)</f>
        <v>325</v>
      </c>
      <c r="EU103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EV103" s="152">
        <v>2</v>
      </c>
      <c r="EW103" s="152">
        <v>3</v>
      </c>
      <c r="EX103" s="152" t="b">
        <v>0</v>
      </c>
      <c r="EZ103" t="s">
        <v>7352</v>
      </c>
      <c r="FA103">
        <v>1</v>
      </c>
      <c r="FB103">
        <v>500</v>
      </c>
      <c r="FC103">
        <v>100</v>
      </c>
      <c r="FD103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FE103" s="75">
        <f ca="1">ROUND((Table18202324[[#This Row],[XP]]*Table18202324[[#This Row],[entity_spawned (AVG)]])*(Table18202324[[#This Row],[activating_chance]]/100),0)</f>
        <v>130</v>
      </c>
      <c r="FF103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103">
        <v>1</v>
      </c>
      <c r="FH103">
        <v>1</v>
      </c>
      <c r="FI103" t="b">
        <v>0</v>
      </c>
    </row>
    <row r="104" spans="2:165" x14ac:dyDescent="0.25">
      <c r="B104" s="73" t="s">
        <v>228</v>
      </c>
      <c r="C104">
        <v>2</v>
      </c>
      <c r="D104">
        <v>90</v>
      </c>
      <c r="E104">
        <v>90</v>
      </c>
      <c r="F104" s="75">
        <f ca="1">INDIRECT(ADDRESS(11+(MATCH(RIGHT(Table245[[#This Row],[spawner_sku]],LEN(Table245[[#This Row],[spawner_sku]])-FIND("/",Table245[[#This Row],[spawner_sku]])),Table1[Entity Prefab],0)),10,1,1,"Entities"))</f>
        <v>25</v>
      </c>
      <c r="G104" s="75">
        <f ca="1">ROUND((Table245[[#This Row],[XP]]*Table245[[#This Row],[entity_spawned (AVG)]])*(Table245[[#This Row],[activating_chance]]/100),0)</f>
        <v>45</v>
      </c>
      <c r="H10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4" s="72">
        <v>1</v>
      </c>
      <c r="J104" s="72">
        <v>3</v>
      </c>
      <c r="K104" s="72" t="b">
        <v>0</v>
      </c>
      <c r="M104" t="s">
        <v>244</v>
      </c>
      <c r="N104">
        <v>1</v>
      </c>
      <c r="O104">
        <v>220</v>
      </c>
      <c r="P104">
        <v>100</v>
      </c>
      <c r="Q104" s="75">
        <f ca="1">INDIRECT(ADDRESS(11+(MATCH(RIGHT(Table3[[#This Row],[spawner_sku]],LEN(Table3[[#This Row],[spawner_sku]])-FIND("/",Table3[[#This Row],[spawner_sku]])),Table1[Entity Prefab],0)),10,1,1,"Entities"))</f>
        <v>25</v>
      </c>
      <c r="R104" s="75">
        <f ca="1">ROUND((Table3[[#This Row],[XP]]*Table3[[#This Row],[entity_spawned (AVG)]])*(Table3[[#This Row],[activating_chance]]/100),0)</f>
        <v>25</v>
      </c>
      <c r="S104" t="str">
        <f ca="1">INDIRECT(ADDRESS(11+(MATCH(RIGHT(Table3[[#This Row],[spawner_sku]],LEN(Table3[[#This Row],[spawner_sku]])-FIND("/",Table3[[#This Row],[spawner_sku]])),Table28[Entity Prefab],0)),24,1,1,"Entities"))</f>
        <v>yes</v>
      </c>
      <c r="T104">
        <v>1</v>
      </c>
      <c r="U104">
        <v>1</v>
      </c>
      <c r="V104" t="b">
        <v>0</v>
      </c>
      <c r="W104" s="72"/>
      <c r="AI104" t="s">
        <v>228</v>
      </c>
      <c r="AJ104">
        <v>2</v>
      </c>
      <c r="AK104">
        <v>120</v>
      </c>
      <c r="AL104">
        <v>100</v>
      </c>
      <c r="AM104" s="75">
        <f ca="1">INDIRECT(ADDRESS(11+(MATCH(RIGHT(Table2[[#This Row],[spawner_sku]],LEN(Table2[[#This Row],[spawner_sku]])-FIND("/",Table2[[#This Row],[spawner_sku]])),Table1[Entity Prefab],0)),10,1,1,"Entities"))</f>
        <v>25</v>
      </c>
      <c r="AN104" s="75">
        <f ca="1">ROUND((Table2[[#This Row],[XP]]*Table2[[#This Row],[entity_spawned (AVG)]])*(Table2[[#This Row],[activating_chance]]/100),0)</f>
        <v>50</v>
      </c>
      <c r="AO10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04" s="72">
        <v>1</v>
      </c>
      <c r="AQ104" s="72">
        <v>3</v>
      </c>
      <c r="AR104" s="72" t="b">
        <v>0</v>
      </c>
      <c r="AT104" t="s">
        <v>389</v>
      </c>
      <c r="AU104">
        <v>1</v>
      </c>
      <c r="AV104">
        <v>450</v>
      </c>
      <c r="AW104">
        <v>100</v>
      </c>
      <c r="AX104" s="75">
        <f ca="1">INDIRECT(ADDRESS(11+(MATCH(RIGHT(Table6[[#This Row],[spawner_sku]],LEN(Table6[[#This Row],[spawner_sku]])-FIND("/",Table6[[#This Row],[spawner_sku]])),Table1[Entity Prefab],0)),10,1,1,"Entities"))</f>
        <v>0</v>
      </c>
      <c r="AY104" s="75">
        <f ca="1">ROUND((Table6[[#This Row],[XP]]*Table6[[#This Row],[entity_spawned (AVG)]])*(Table6[[#This Row],[activating_chance]]/100),0)</f>
        <v>0</v>
      </c>
      <c r="AZ104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04">
        <v>1</v>
      </c>
      <c r="BB104">
        <v>1</v>
      </c>
      <c r="BC104" t="b">
        <v>0</v>
      </c>
      <c r="BE104" t="s">
        <v>244</v>
      </c>
      <c r="BF104">
        <v>1</v>
      </c>
      <c r="BG104">
        <v>240</v>
      </c>
      <c r="BH104">
        <v>100</v>
      </c>
      <c r="BI104" s="75">
        <f ca="1">INDIRECT(ADDRESS(11+(MATCH(RIGHT(Table610[[#This Row],[spawner_sku]],LEN(Table610[[#This Row],[spawner_sku]])-FIND("/",Table610[[#This Row],[spawner_sku]])),Table1[Entity Prefab],0)),10,1,1,"Entities"))</f>
        <v>25</v>
      </c>
      <c r="BJ104" s="75">
        <f ca="1">ROUND((Table610[[#This Row],[XP]]*Table610[[#This Row],[entity_spawned (AVG)]])*(Table610[[#This Row],[activating_chance]]/100),0)</f>
        <v>25</v>
      </c>
      <c r="BK104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4">
        <v>1</v>
      </c>
      <c r="BM104">
        <v>1</v>
      </c>
      <c r="BN104" t="b">
        <v>0</v>
      </c>
      <c r="BP104" t="s">
        <v>395</v>
      </c>
      <c r="BQ104">
        <v>3</v>
      </c>
      <c r="BR104">
        <v>220</v>
      </c>
      <c r="BS104">
        <v>100</v>
      </c>
      <c r="BT10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04" s="75">
        <f ca="1">ROUND((Table61011[[#This Row],[XP]]*Table61011[[#This Row],[entity_spawned (AVG)]])*(Table61011[[#This Row],[activating_chance]]/100),0)</f>
        <v>75</v>
      </c>
      <c r="BV10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4" s="72">
        <v>2</v>
      </c>
      <c r="BX104" s="72">
        <v>4</v>
      </c>
      <c r="BY104" s="72" t="b">
        <v>0</v>
      </c>
      <c r="CA104" t="s">
        <v>232</v>
      </c>
      <c r="CB104">
        <v>1</v>
      </c>
      <c r="CC104">
        <v>250</v>
      </c>
      <c r="CD104">
        <v>100</v>
      </c>
      <c r="CE104" s="75">
        <f ca="1">INDIRECT(ADDRESS(11+(MATCH(RIGHT(Table11[[#This Row],[spawner_sku]],LEN(Table11[[#This Row],[spawner_sku]])-FIND("/",Table11[[#This Row],[spawner_sku]])),Table1[Entity Prefab],0)),10,1,1,"Entities"))</f>
        <v>143</v>
      </c>
      <c r="CF104">
        <f ca="1">ROUND((Table11[[#This Row],[XP]]*Table11[[#This Row],[entity_spawned (AVG)]])*(Table11[[#This Row],[activating_chance]]/100),0)</f>
        <v>143</v>
      </c>
      <c r="CG104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04" s="72">
        <v>1</v>
      </c>
      <c r="CI104" s="72">
        <v>1</v>
      </c>
      <c r="CJ104" s="72" t="b">
        <v>0</v>
      </c>
      <c r="CL104" t="s">
        <v>396</v>
      </c>
      <c r="CM104">
        <v>2.5</v>
      </c>
      <c r="CN104">
        <v>120</v>
      </c>
      <c r="CO104">
        <v>100</v>
      </c>
      <c r="CP104" s="75">
        <f ca="1">INDIRECT(ADDRESS(11+(MATCH(RIGHT(Table12[[#This Row],[spawner_sku]],LEN(Table12[[#This Row],[spawner_sku]])-FIND("/",Table12[[#This Row],[spawner_sku]])),Table1[Entity Prefab],0)),10,1,1,"Entities"))</f>
        <v>25</v>
      </c>
      <c r="CQ104" s="75">
        <f ca="1">ROUND((Table12[[#This Row],[XP]]*Table12[[#This Row],[entity_spawned (AVG)]])*(Table12[[#This Row],[activating_chance]]/100),0)</f>
        <v>63</v>
      </c>
      <c r="CR104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04" s="72">
        <v>2</v>
      </c>
      <c r="CT104" s="72">
        <v>3</v>
      </c>
      <c r="CU104" s="72" t="b">
        <v>0</v>
      </c>
      <c r="CW104" t="s">
        <v>472</v>
      </c>
      <c r="CX104">
        <v>1</v>
      </c>
      <c r="CY104">
        <v>280</v>
      </c>
      <c r="CZ104">
        <v>100</v>
      </c>
      <c r="DA104" s="75">
        <f ca="1">INDIRECT(ADDRESS(11+(MATCH(RIGHT(Table13[[#This Row],[spawner_sku]],LEN(Table13[[#This Row],[spawner_sku]])-FIND("/",Table13[[#This Row],[spawner_sku]])),Table1[Entity Prefab],0)),10,1,1,"Entities"))</f>
        <v>143</v>
      </c>
      <c r="DB104" s="75">
        <f ca="1">ROUND((Table13[[#This Row],[XP]]*Table13[[#This Row],[entity_spawned (AVG)]])*(Table13[[#This Row],[activating_chance]]/100),0)</f>
        <v>143</v>
      </c>
      <c r="DC104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04" s="72">
        <v>1</v>
      </c>
      <c r="DE104" s="72">
        <v>1</v>
      </c>
      <c r="DF104" s="72" t="b">
        <v>0</v>
      </c>
      <c r="DH104" t="s">
        <v>227</v>
      </c>
      <c r="DI104">
        <v>3.5</v>
      </c>
      <c r="DJ104">
        <v>200</v>
      </c>
      <c r="DK104">
        <v>100</v>
      </c>
      <c r="DL104" s="75">
        <f ca="1">INDIRECT(ADDRESS(11+(MATCH(RIGHT(Table14[[#This Row],[spawner_sku]],LEN(Table14[[#This Row],[spawner_sku]])-FIND("/",Table14[[#This Row],[spawner_sku]])),Table1[Entity Prefab],0)),10,1,1,"Entities"))</f>
        <v>25</v>
      </c>
      <c r="DM104" s="75">
        <f ca="1">ROUND((Table14[[#This Row],[XP]]*Table14[[#This Row],[entity_spawned (AVG)]])*(Table14[[#This Row],[activating_chance]]/100),0)</f>
        <v>88</v>
      </c>
      <c r="DN10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04" s="72">
        <v>3</v>
      </c>
      <c r="DP104" s="72">
        <v>4</v>
      </c>
      <c r="DQ104" s="72" t="b">
        <v>0</v>
      </c>
      <c r="DS104" t="s">
        <v>395</v>
      </c>
      <c r="DT104">
        <v>3</v>
      </c>
      <c r="DU104">
        <v>100</v>
      </c>
      <c r="DV104">
        <v>10</v>
      </c>
      <c r="DW104" s="75">
        <f ca="1">INDIRECT(ADDRESS(11+(MATCH(RIGHT(Table18[[#This Row],[spawner_sku]],LEN(Table18[[#This Row],[spawner_sku]])-FIND("/",Table18[[#This Row],[spawner_sku]])),Table1[Entity Prefab],0)),10,1,1,"Entities"))</f>
        <v>25</v>
      </c>
      <c r="DX104" s="75">
        <f ca="1">ROUND((Table18[[#This Row],[XP]]*Table18[[#This Row],[entity_spawned (AVG)]])*(Table18[[#This Row],[activating_chance]]/100),0)</f>
        <v>8</v>
      </c>
      <c r="DY10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04">
        <v>3</v>
      </c>
      <c r="EA104">
        <v>4</v>
      </c>
      <c r="EB104" t="b">
        <v>0</v>
      </c>
      <c r="ED104" t="s">
        <v>395</v>
      </c>
      <c r="EE104">
        <v>5</v>
      </c>
      <c r="EF104">
        <v>200</v>
      </c>
      <c r="EG104">
        <v>100</v>
      </c>
      <c r="EH104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104" s="75">
        <f ca="1">ROUND((Table1820[[#This Row],[XP]]*Table1820[[#This Row],[entity_spawned (AVG)]])*(Table1820[[#This Row],[activating_chance]]/100),0)</f>
        <v>125</v>
      </c>
      <c r="EJ10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04">
        <v>5</v>
      </c>
      <c r="EL104">
        <v>6</v>
      </c>
      <c r="EM104" t="b">
        <v>1</v>
      </c>
      <c r="EO104" t="s">
        <v>7343</v>
      </c>
      <c r="EP104">
        <v>2</v>
      </c>
      <c r="EQ104">
        <v>100</v>
      </c>
      <c r="ER104">
        <v>30</v>
      </c>
      <c r="ES104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ET104" s="75">
        <f ca="1">ROUND((Table182023[[#This Row],[XP]]*Table182023[[#This Row],[entity_spawned (AVG)]])*(Table182023[[#This Row],[activating_chance]]/100),0)</f>
        <v>78</v>
      </c>
      <c r="EU104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EV104" s="152">
        <v>1</v>
      </c>
      <c r="EW104" s="152">
        <v>3</v>
      </c>
      <c r="EX104" s="152" t="b">
        <v>0</v>
      </c>
      <c r="EZ104" t="s">
        <v>7352</v>
      </c>
      <c r="FA104">
        <v>1</v>
      </c>
      <c r="FB104">
        <v>500</v>
      </c>
      <c r="FC104">
        <v>100</v>
      </c>
      <c r="FD104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FE104" s="75">
        <f ca="1">ROUND((Table18202324[[#This Row],[XP]]*Table18202324[[#This Row],[entity_spawned (AVG)]])*(Table18202324[[#This Row],[activating_chance]]/100),0)</f>
        <v>130</v>
      </c>
      <c r="FF104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104">
        <v>1</v>
      </c>
      <c r="FH104">
        <v>1</v>
      </c>
      <c r="FI104" t="b">
        <v>0</v>
      </c>
    </row>
    <row r="105" spans="2:165" x14ac:dyDescent="0.25">
      <c r="B105" s="73" t="s">
        <v>228</v>
      </c>
      <c r="C105">
        <v>1</v>
      </c>
      <c r="D105">
        <v>80</v>
      </c>
      <c r="E105">
        <v>80</v>
      </c>
      <c r="F105" s="75">
        <f ca="1">INDIRECT(ADDRESS(11+(MATCH(RIGHT(Table245[[#This Row],[spawner_sku]],LEN(Table245[[#This Row],[spawner_sku]])-FIND("/",Table245[[#This Row],[spawner_sku]])),Table1[Entity Prefab],0)),10,1,1,"Entities"))</f>
        <v>25</v>
      </c>
      <c r="G105" s="75">
        <f ca="1">ROUND((Table245[[#This Row],[XP]]*Table245[[#This Row],[entity_spawned (AVG)]])*(Table245[[#This Row],[activating_chance]]/100),0)</f>
        <v>20</v>
      </c>
      <c r="H10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5" s="72">
        <v>1</v>
      </c>
      <c r="J105" s="72">
        <v>1</v>
      </c>
      <c r="K105" s="72" t="b">
        <v>0</v>
      </c>
      <c r="M105" t="s">
        <v>244</v>
      </c>
      <c r="N105">
        <v>1</v>
      </c>
      <c r="O105">
        <v>240</v>
      </c>
      <c r="P105">
        <v>100</v>
      </c>
      <c r="Q105" s="75">
        <f ca="1">INDIRECT(ADDRESS(11+(MATCH(RIGHT(Table3[[#This Row],[spawner_sku]],LEN(Table3[[#This Row],[spawner_sku]])-FIND("/",Table3[[#This Row],[spawner_sku]])),Table1[Entity Prefab],0)),10,1,1,"Entities"))</f>
        <v>25</v>
      </c>
      <c r="R105" s="75">
        <f ca="1">ROUND((Table3[[#This Row],[XP]]*Table3[[#This Row],[entity_spawned (AVG)]])*(Table3[[#This Row],[activating_chance]]/100),0)</f>
        <v>25</v>
      </c>
      <c r="S105" t="str">
        <f ca="1">INDIRECT(ADDRESS(11+(MATCH(RIGHT(Table3[[#This Row],[spawner_sku]],LEN(Table3[[#This Row],[spawner_sku]])-FIND("/",Table3[[#This Row],[spawner_sku]])),Table28[Entity Prefab],0)),24,1,1,"Entities"))</f>
        <v>yes</v>
      </c>
      <c r="T105">
        <v>1</v>
      </c>
      <c r="U105">
        <v>1</v>
      </c>
      <c r="V105" t="b">
        <v>0</v>
      </c>
      <c r="W105" s="72"/>
      <c r="AI105" t="s">
        <v>228</v>
      </c>
      <c r="AJ105">
        <v>1.5</v>
      </c>
      <c r="AK105">
        <v>80</v>
      </c>
      <c r="AL105">
        <v>80</v>
      </c>
      <c r="AM105" s="75">
        <f ca="1">INDIRECT(ADDRESS(11+(MATCH(RIGHT(Table2[[#This Row],[spawner_sku]],LEN(Table2[[#This Row],[spawner_sku]])-FIND("/",Table2[[#This Row],[spawner_sku]])),Table1[Entity Prefab],0)),10,1,1,"Entities"))</f>
        <v>25</v>
      </c>
      <c r="AN105" s="75">
        <f ca="1">ROUND((Table2[[#This Row],[XP]]*Table2[[#This Row],[entity_spawned (AVG)]])*(Table2[[#This Row],[activating_chance]]/100),0)</f>
        <v>30</v>
      </c>
      <c r="AO10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05" s="72">
        <v>1</v>
      </c>
      <c r="AQ105" s="72">
        <v>2</v>
      </c>
      <c r="AR105" s="72" t="b">
        <v>0</v>
      </c>
      <c r="AT105" t="s">
        <v>445</v>
      </c>
      <c r="AU105">
        <v>1</v>
      </c>
      <c r="AV105">
        <v>190</v>
      </c>
      <c r="AW105">
        <v>100</v>
      </c>
      <c r="AX105" s="75">
        <f ca="1">INDIRECT(ADDRESS(11+(MATCH(RIGHT(Table6[[#This Row],[spawner_sku]],LEN(Table6[[#This Row],[spawner_sku]])-FIND("/",Table6[[#This Row],[spawner_sku]])),Table1[Entity Prefab],0)),10,1,1,"Entities"))</f>
        <v>0</v>
      </c>
      <c r="AY105" s="75">
        <f ca="1">ROUND((Table6[[#This Row],[XP]]*Table6[[#This Row],[entity_spawned (AVG)]])*(Table6[[#This Row],[activating_chance]]/100),0)</f>
        <v>0</v>
      </c>
      <c r="AZ105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05">
        <v>1</v>
      </c>
      <c r="BB105">
        <v>1</v>
      </c>
      <c r="BC105" t="b">
        <v>0</v>
      </c>
      <c r="BE105" t="s">
        <v>244</v>
      </c>
      <c r="BF105">
        <v>1</v>
      </c>
      <c r="BG105">
        <v>220</v>
      </c>
      <c r="BH105">
        <v>100</v>
      </c>
      <c r="BI105" s="75">
        <f ca="1">INDIRECT(ADDRESS(11+(MATCH(RIGHT(Table610[[#This Row],[spawner_sku]],LEN(Table610[[#This Row],[spawner_sku]])-FIND("/",Table610[[#This Row],[spawner_sku]])),Table1[Entity Prefab],0)),10,1,1,"Entities"))</f>
        <v>25</v>
      </c>
      <c r="BJ105" s="75">
        <f ca="1">ROUND((Table610[[#This Row],[XP]]*Table610[[#This Row],[entity_spawned (AVG)]])*(Table610[[#This Row],[activating_chance]]/100),0)</f>
        <v>25</v>
      </c>
      <c r="BK105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5">
        <v>1</v>
      </c>
      <c r="BM105">
        <v>1</v>
      </c>
      <c r="BN105" t="b">
        <v>0</v>
      </c>
      <c r="BP105" t="s">
        <v>395</v>
      </c>
      <c r="BQ105">
        <v>3.5</v>
      </c>
      <c r="BR105">
        <v>220</v>
      </c>
      <c r="BS105">
        <v>100</v>
      </c>
      <c r="BT10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05" s="75">
        <f ca="1">ROUND((Table61011[[#This Row],[XP]]*Table61011[[#This Row],[entity_spawned (AVG)]])*(Table61011[[#This Row],[activating_chance]]/100),0)</f>
        <v>88</v>
      </c>
      <c r="BV10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5" s="72">
        <v>3</v>
      </c>
      <c r="BX105" s="72">
        <v>4</v>
      </c>
      <c r="BY105" s="72" t="b">
        <v>0</v>
      </c>
      <c r="CA105" t="s">
        <v>232</v>
      </c>
      <c r="CB105">
        <v>1</v>
      </c>
      <c r="CC105">
        <v>250</v>
      </c>
      <c r="CD105">
        <v>100</v>
      </c>
      <c r="CE105" s="75">
        <f ca="1">INDIRECT(ADDRESS(11+(MATCH(RIGHT(Table11[[#This Row],[spawner_sku]],LEN(Table11[[#This Row],[spawner_sku]])-FIND("/",Table11[[#This Row],[spawner_sku]])),Table1[Entity Prefab],0)),10,1,1,"Entities"))</f>
        <v>143</v>
      </c>
      <c r="CF105">
        <f ca="1">ROUND((Table11[[#This Row],[XP]]*Table11[[#This Row],[entity_spawned (AVG)]])*(Table11[[#This Row],[activating_chance]]/100),0)</f>
        <v>143</v>
      </c>
      <c r="CG105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05" s="72">
        <v>1</v>
      </c>
      <c r="CI105" s="72">
        <v>1</v>
      </c>
      <c r="CJ105" s="72" t="b">
        <v>0</v>
      </c>
      <c r="CL105" t="s">
        <v>396</v>
      </c>
      <c r="CM105">
        <v>1</v>
      </c>
      <c r="CN105">
        <v>120</v>
      </c>
      <c r="CO105">
        <v>100</v>
      </c>
      <c r="CP105" s="75">
        <f ca="1">INDIRECT(ADDRESS(11+(MATCH(RIGHT(Table12[[#This Row],[spawner_sku]],LEN(Table12[[#This Row],[spawner_sku]])-FIND("/",Table12[[#This Row],[spawner_sku]])),Table1[Entity Prefab],0)),10,1,1,"Entities"))</f>
        <v>25</v>
      </c>
      <c r="CQ105" s="75">
        <f ca="1">ROUND((Table12[[#This Row],[XP]]*Table12[[#This Row],[entity_spawned (AVG)]])*(Table12[[#This Row],[activating_chance]]/100),0)</f>
        <v>25</v>
      </c>
      <c r="CR105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05" s="72">
        <v>1</v>
      </c>
      <c r="CT105" s="72">
        <v>1</v>
      </c>
      <c r="CU105" s="72" t="b">
        <v>0</v>
      </c>
      <c r="CW105" t="s">
        <v>388</v>
      </c>
      <c r="CX105">
        <v>1</v>
      </c>
      <c r="CY105">
        <v>220</v>
      </c>
      <c r="CZ105">
        <v>100</v>
      </c>
      <c r="DA105" s="75">
        <f ca="1">INDIRECT(ADDRESS(11+(MATCH(RIGHT(Table13[[#This Row],[spawner_sku]],LEN(Table13[[#This Row],[spawner_sku]])-FIND("/",Table13[[#This Row],[spawner_sku]])),Table1[Entity Prefab],0)),10,1,1,"Entities"))</f>
        <v>75</v>
      </c>
      <c r="DB105" s="75">
        <f ca="1">ROUND((Table13[[#This Row],[XP]]*Table13[[#This Row],[entity_spawned (AVG)]])*(Table13[[#This Row],[activating_chance]]/100),0)</f>
        <v>75</v>
      </c>
      <c r="DC105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05" s="72">
        <v>1</v>
      </c>
      <c r="DE105" s="72">
        <v>1</v>
      </c>
      <c r="DF105" s="72" t="b">
        <v>0</v>
      </c>
      <c r="DH105" t="s">
        <v>227</v>
      </c>
      <c r="DI105">
        <v>6.5</v>
      </c>
      <c r="DJ105">
        <v>150</v>
      </c>
      <c r="DK105">
        <v>100</v>
      </c>
      <c r="DL105" s="75">
        <f ca="1">INDIRECT(ADDRESS(11+(MATCH(RIGHT(Table14[[#This Row],[spawner_sku]],LEN(Table14[[#This Row],[spawner_sku]])-FIND("/",Table14[[#This Row],[spawner_sku]])),Table1[Entity Prefab],0)),10,1,1,"Entities"))</f>
        <v>25</v>
      </c>
      <c r="DM105" s="75">
        <f ca="1">ROUND((Table14[[#This Row],[XP]]*Table14[[#This Row],[entity_spawned (AVG)]])*(Table14[[#This Row],[activating_chance]]/100),0)</f>
        <v>163</v>
      </c>
      <c r="DN10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05" s="72">
        <v>5</v>
      </c>
      <c r="DP105" s="72">
        <v>8</v>
      </c>
      <c r="DQ105" s="72" t="b">
        <v>1</v>
      </c>
      <c r="DS105" t="s">
        <v>395</v>
      </c>
      <c r="DT105">
        <v>2</v>
      </c>
      <c r="DU105">
        <v>100</v>
      </c>
      <c r="DV105">
        <v>100</v>
      </c>
      <c r="DW105" s="75">
        <f ca="1">INDIRECT(ADDRESS(11+(MATCH(RIGHT(Table18[[#This Row],[spawner_sku]],LEN(Table18[[#This Row],[spawner_sku]])-FIND("/",Table18[[#This Row],[spawner_sku]])),Table1[Entity Prefab],0)),10,1,1,"Entities"))</f>
        <v>25</v>
      </c>
      <c r="DX105" s="75">
        <f ca="1">ROUND((Table18[[#This Row],[XP]]*Table18[[#This Row],[entity_spawned (AVG)]])*(Table18[[#This Row],[activating_chance]]/100),0)</f>
        <v>50</v>
      </c>
      <c r="DY10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05">
        <v>2</v>
      </c>
      <c r="EA105">
        <v>2</v>
      </c>
      <c r="EB105" t="b">
        <v>0</v>
      </c>
      <c r="ED105" t="s">
        <v>395</v>
      </c>
      <c r="EE105">
        <v>3</v>
      </c>
      <c r="EF105">
        <v>200</v>
      </c>
      <c r="EG105">
        <v>100</v>
      </c>
      <c r="EH105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105" s="75">
        <f ca="1">ROUND((Table1820[[#This Row],[XP]]*Table1820[[#This Row],[entity_spawned (AVG)]])*(Table1820[[#This Row],[activating_chance]]/100),0)</f>
        <v>75</v>
      </c>
      <c r="EJ10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05">
        <v>3</v>
      </c>
      <c r="EL105">
        <v>4</v>
      </c>
      <c r="EM105" t="b">
        <v>0</v>
      </c>
      <c r="EO105" t="s">
        <v>7343</v>
      </c>
      <c r="EP105">
        <v>1.5</v>
      </c>
      <c r="EQ105">
        <v>100</v>
      </c>
      <c r="ER105">
        <v>100</v>
      </c>
      <c r="ES105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ET105" s="75">
        <f ca="1">ROUND((Table182023[[#This Row],[XP]]*Table182023[[#This Row],[entity_spawned (AVG)]])*(Table182023[[#This Row],[activating_chance]]/100),0)</f>
        <v>195</v>
      </c>
      <c r="EU105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EV105" s="152">
        <v>1</v>
      </c>
      <c r="EW105" s="152">
        <v>2</v>
      </c>
      <c r="EX105" s="152" t="b">
        <v>0</v>
      </c>
      <c r="EZ105" t="s">
        <v>7352</v>
      </c>
      <c r="FA105">
        <v>1</v>
      </c>
      <c r="FB105">
        <v>500</v>
      </c>
      <c r="FC105">
        <v>100</v>
      </c>
      <c r="FD105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FE105" s="75">
        <f ca="1">ROUND((Table18202324[[#This Row],[XP]]*Table18202324[[#This Row],[entity_spawned (AVG)]])*(Table18202324[[#This Row],[activating_chance]]/100),0)</f>
        <v>130</v>
      </c>
      <c r="FF105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105">
        <v>1</v>
      </c>
      <c r="FH105">
        <v>1</v>
      </c>
      <c r="FI105" t="b">
        <v>0</v>
      </c>
    </row>
    <row r="106" spans="2:165" x14ac:dyDescent="0.25">
      <c r="B106" s="73" t="s">
        <v>228</v>
      </c>
      <c r="C106">
        <v>3.5</v>
      </c>
      <c r="D106">
        <v>160</v>
      </c>
      <c r="E106">
        <v>40</v>
      </c>
      <c r="F106" s="75">
        <f ca="1">INDIRECT(ADDRESS(11+(MATCH(RIGHT(Table245[[#This Row],[spawner_sku]],LEN(Table245[[#This Row],[spawner_sku]])-FIND("/",Table245[[#This Row],[spawner_sku]])),Table1[Entity Prefab],0)),10,1,1,"Entities"))</f>
        <v>25</v>
      </c>
      <c r="G106" s="75">
        <f ca="1">ROUND((Table245[[#This Row],[XP]]*Table245[[#This Row],[entity_spawned (AVG)]])*(Table245[[#This Row],[activating_chance]]/100),0)</f>
        <v>35</v>
      </c>
      <c r="H10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6" s="72">
        <v>3</v>
      </c>
      <c r="J106" s="72">
        <v>4</v>
      </c>
      <c r="K106" s="72" t="b">
        <v>0</v>
      </c>
      <c r="M106" t="s">
        <v>244</v>
      </c>
      <c r="N106">
        <v>1</v>
      </c>
      <c r="O106">
        <v>220</v>
      </c>
      <c r="P106">
        <v>60</v>
      </c>
      <c r="Q106" s="75">
        <f ca="1">INDIRECT(ADDRESS(11+(MATCH(RIGHT(Table3[[#This Row],[spawner_sku]],LEN(Table3[[#This Row],[spawner_sku]])-FIND("/",Table3[[#This Row],[spawner_sku]])),Table1[Entity Prefab],0)),10,1,1,"Entities"))</f>
        <v>25</v>
      </c>
      <c r="R106" s="75">
        <f ca="1">ROUND((Table3[[#This Row],[XP]]*Table3[[#This Row],[entity_spawned (AVG)]])*(Table3[[#This Row],[activating_chance]]/100),0)</f>
        <v>15</v>
      </c>
      <c r="S106" t="str">
        <f ca="1">INDIRECT(ADDRESS(11+(MATCH(RIGHT(Table3[[#This Row],[spawner_sku]],LEN(Table3[[#This Row],[spawner_sku]])-FIND("/",Table3[[#This Row],[spawner_sku]])),Table28[Entity Prefab],0)),24,1,1,"Entities"))</f>
        <v>yes</v>
      </c>
      <c r="T106">
        <v>1</v>
      </c>
      <c r="U106">
        <v>1</v>
      </c>
      <c r="V106" t="b">
        <v>0</v>
      </c>
      <c r="W106" s="72"/>
      <c r="AI106" t="s">
        <v>228</v>
      </c>
      <c r="AJ106">
        <v>2</v>
      </c>
      <c r="AK106">
        <v>120</v>
      </c>
      <c r="AL106">
        <v>80</v>
      </c>
      <c r="AM106" s="75">
        <f ca="1">INDIRECT(ADDRESS(11+(MATCH(RIGHT(Table2[[#This Row],[spawner_sku]],LEN(Table2[[#This Row],[spawner_sku]])-FIND("/",Table2[[#This Row],[spawner_sku]])),Table1[Entity Prefab],0)),10,1,1,"Entities"))</f>
        <v>25</v>
      </c>
      <c r="AN106" s="75">
        <f ca="1">ROUND((Table2[[#This Row],[XP]]*Table2[[#This Row],[entity_spawned (AVG)]])*(Table2[[#This Row],[activating_chance]]/100),0)</f>
        <v>40</v>
      </c>
      <c r="AO10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06" s="72">
        <v>1</v>
      </c>
      <c r="AQ106" s="72">
        <v>3</v>
      </c>
      <c r="AR106" s="72" t="b">
        <v>0</v>
      </c>
      <c r="AT106" t="s">
        <v>445</v>
      </c>
      <c r="AU106">
        <v>1</v>
      </c>
      <c r="AV106">
        <v>190</v>
      </c>
      <c r="AW106">
        <v>100</v>
      </c>
      <c r="AX106" s="75">
        <f ca="1">INDIRECT(ADDRESS(11+(MATCH(RIGHT(Table6[[#This Row],[spawner_sku]],LEN(Table6[[#This Row],[spawner_sku]])-FIND("/",Table6[[#This Row],[spawner_sku]])),Table1[Entity Prefab],0)),10,1,1,"Entities"))</f>
        <v>0</v>
      </c>
      <c r="AY106" s="75">
        <f ca="1">ROUND((Table6[[#This Row],[XP]]*Table6[[#This Row],[entity_spawned (AVG)]])*(Table6[[#This Row],[activating_chance]]/100),0)</f>
        <v>0</v>
      </c>
      <c r="AZ106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06">
        <v>1</v>
      </c>
      <c r="BB106">
        <v>1</v>
      </c>
      <c r="BC106" t="b">
        <v>0</v>
      </c>
      <c r="BE106" t="s">
        <v>244</v>
      </c>
      <c r="BF106">
        <v>1</v>
      </c>
      <c r="BG106">
        <v>240</v>
      </c>
      <c r="BH106">
        <v>100</v>
      </c>
      <c r="BI106" s="75">
        <f ca="1">INDIRECT(ADDRESS(11+(MATCH(RIGHT(Table610[[#This Row],[spawner_sku]],LEN(Table610[[#This Row],[spawner_sku]])-FIND("/",Table610[[#This Row],[spawner_sku]])),Table1[Entity Prefab],0)),10,1,1,"Entities"))</f>
        <v>25</v>
      </c>
      <c r="BJ106" s="75">
        <f ca="1">ROUND((Table610[[#This Row],[XP]]*Table610[[#This Row],[entity_spawned (AVG)]])*(Table610[[#This Row],[activating_chance]]/100),0)</f>
        <v>25</v>
      </c>
      <c r="BK106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6">
        <v>1</v>
      </c>
      <c r="BM106">
        <v>1</v>
      </c>
      <c r="BN106" t="b">
        <v>0</v>
      </c>
      <c r="BP106" t="s">
        <v>395</v>
      </c>
      <c r="BQ106">
        <v>9</v>
      </c>
      <c r="BR106">
        <v>240</v>
      </c>
      <c r="BS106">
        <v>100</v>
      </c>
      <c r="BT10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06" s="75">
        <f ca="1">ROUND((Table61011[[#This Row],[XP]]*Table61011[[#This Row],[entity_spawned (AVG)]])*(Table61011[[#This Row],[activating_chance]]/100),0)</f>
        <v>225</v>
      </c>
      <c r="BV10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6" s="72">
        <v>6</v>
      </c>
      <c r="BX106" s="72">
        <v>12</v>
      </c>
      <c r="BY106" s="72" t="b">
        <v>1</v>
      </c>
      <c r="CA106" t="s">
        <v>232</v>
      </c>
      <c r="CB106">
        <v>1</v>
      </c>
      <c r="CC106">
        <v>250</v>
      </c>
      <c r="CD106">
        <v>100</v>
      </c>
      <c r="CE106" s="75">
        <f ca="1">INDIRECT(ADDRESS(11+(MATCH(RIGHT(Table11[[#This Row],[spawner_sku]],LEN(Table11[[#This Row],[spawner_sku]])-FIND("/",Table11[[#This Row],[spawner_sku]])),Table1[Entity Prefab],0)),10,1,1,"Entities"))</f>
        <v>143</v>
      </c>
      <c r="CF106">
        <f ca="1">ROUND((Table11[[#This Row],[XP]]*Table11[[#This Row],[entity_spawned (AVG)]])*(Table11[[#This Row],[activating_chance]]/100),0)</f>
        <v>143</v>
      </c>
      <c r="CG106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06" s="72">
        <v>1</v>
      </c>
      <c r="CI106" s="72">
        <v>1</v>
      </c>
      <c r="CJ106" s="72" t="b">
        <v>0</v>
      </c>
      <c r="CL106" t="s">
        <v>396</v>
      </c>
      <c r="CM106">
        <v>3.5</v>
      </c>
      <c r="CN106">
        <v>120</v>
      </c>
      <c r="CO106">
        <v>100</v>
      </c>
      <c r="CP106" s="75">
        <f ca="1">INDIRECT(ADDRESS(11+(MATCH(RIGHT(Table12[[#This Row],[spawner_sku]],LEN(Table12[[#This Row],[spawner_sku]])-FIND("/",Table12[[#This Row],[spawner_sku]])),Table1[Entity Prefab],0)),10,1,1,"Entities"))</f>
        <v>25</v>
      </c>
      <c r="CQ106" s="75">
        <f ca="1">ROUND((Table12[[#This Row],[XP]]*Table12[[#This Row],[entity_spawned (AVG)]])*(Table12[[#This Row],[activating_chance]]/100),0)</f>
        <v>88</v>
      </c>
      <c r="CR106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06" s="72">
        <v>3</v>
      </c>
      <c r="CT106" s="72">
        <v>4</v>
      </c>
      <c r="CU106" s="72" t="b">
        <v>0</v>
      </c>
      <c r="CW106" t="s">
        <v>388</v>
      </c>
      <c r="CX106">
        <v>1</v>
      </c>
      <c r="CY106">
        <v>220</v>
      </c>
      <c r="CZ106">
        <v>100</v>
      </c>
      <c r="DA106" s="75">
        <f ca="1">INDIRECT(ADDRESS(11+(MATCH(RIGHT(Table13[[#This Row],[spawner_sku]],LEN(Table13[[#This Row],[spawner_sku]])-FIND("/",Table13[[#This Row],[spawner_sku]])),Table1[Entity Prefab],0)),10,1,1,"Entities"))</f>
        <v>75</v>
      </c>
      <c r="DB106" s="75">
        <f ca="1">ROUND((Table13[[#This Row],[XP]]*Table13[[#This Row],[entity_spawned (AVG)]])*(Table13[[#This Row],[activating_chance]]/100),0)</f>
        <v>75</v>
      </c>
      <c r="DC106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06" s="72">
        <v>1</v>
      </c>
      <c r="DE106" s="72">
        <v>1</v>
      </c>
      <c r="DF106" s="72" t="b">
        <v>0</v>
      </c>
      <c r="DH106" t="s">
        <v>227</v>
      </c>
      <c r="DI106">
        <v>2</v>
      </c>
      <c r="DJ106">
        <v>100</v>
      </c>
      <c r="DK106">
        <v>100</v>
      </c>
      <c r="DL106" s="75">
        <f ca="1">INDIRECT(ADDRESS(11+(MATCH(RIGHT(Table14[[#This Row],[spawner_sku]],LEN(Table14[[#This Row],[spawner_sku]])-FIND("/",Table14[[#This Row],[spawner_sku]])),Table1[Entity Prefab],0)),10,1,1,"Entities"))</f>
        <v>25</v>
      </c>
      <c r="DM106" s="75">
        <f ca="1">ROUND((Table14[[#This Row],[XP]]*Table14[[#This Row],[entity_spawned (AVG)]])*(Table14[[#This Row],[activating_chance]]/100),0)</f>
        <v>50</v>
      </c>
      <c r="DN10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06" s="72">
        <v>2</v>
      </c>
      <c r="DP106" s="72">
        <v>2</v>
      </c>
      <c r="DQ106" s="72" t="b">
        <v>0</v>
      </c>
      <c r="DS106" t="s">
        <v>231</v>
      </c>
      <c r="DT106">
        <v>1</v>
      </c>
      <c r="DU106">
        <v>5000</v>
      </c>
      <c r="DV106">
        <v>100</v>
      </c>
      <c r="DW106" s="75">
        <f ca="1">INDIRECT(ADDRESS(11+(MATCH(RIGHT(Table18[[#This Row],[spawner_sku]],LEN(Table18[[#This Row],[spawner_sku]])-FIND("/",Table18[[#This Row],[spawner_sku]])),Table1[Entity Prefab],0)),10,1,1,"Entities"))</f>
        <v>75</v>
      </c>
      <c r="DX106" s="75">
        <f ca="1">ROUND((Table18[[#This Row],[XP]]*Table18[[#This Row],[entity_spawned (AVG)]])*(Table18[[#This Row],[activating_chance]]/100),0)</f>
        <v>75</v>
      </c>
      <c r="DY10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06">
        <v>1</v>
      </c>
      <c r="EA106">
        <v>1</v>
      </c>
      <c r="EB106" t="b">
        <v>0</v>
      </c>
      <c r="ED106" t="s">
        <v>231</v>
      </c>
      <c r="EE106">
        <v>1</v>
      </c>
      <c r="EF106">
        <v>5000</v>
      </c>
      <c r="EG106">
        <v>100</v>
      </c>
      <c r="EH106" s="75">
        <f ca="1">INDIRECT(ADDRESS(11+(MATCH(RIGHT(Table1820[[#This Row],[spawner_sku]],LEN(Table1820[[#This Row],[spawner_sku]])-FIND("/",Table1820[[#This Row],[spawner_sku]])),Table1[Entity Prefab],0)),10,1,1,"Entities"))</f>
        <v>75</v>
      </c>
      <c r="EI106" s="75">
        <f ca="1">ROUND((Table1820[[#This Row],[XP]]*Table1820[[#This Row],[entity_spawned (AVG)]])*(Table1820[[#This Row],[activating_chance]]/100),0)</f>
        <v>75</v>
      </c>
      <c r="EJ10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06">
        <v>1</v>
      </c>
      <c r="EL106">
        <v>1</v>
      </c>
      <c r="EM106" t="b">
        <v>0</v>
      </c>
      <c r="EO106" t="s">
        <v>7343</v>
      </c>
      <c r="EP106">
        <v>2.5</v>
      </c>
      <c r="EQ106">
        <v>100</v>
      </c>
      <c r="ER106">
        <v>100</v>
      </c>
      <c r="ES106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ET106" s="75">
        <f ca="1">ROUND((Table182023[[#This Row],[XP]]*Table182023[[#This Row],[entity_spawned (AVG)]])*(Table182023[[#This Row],[activating_chance]]/100),0)</f>
        <v>325</v>
      </c>
      <c r="EU106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EV106" s="152">
        <v>2</v>
      </c>
      <c r="EW106" s="152">
        <v>3</v>
      </c>
      <c r="EX106" s="152" t="b">
        <v>0</v>
      </c>
      <c r="EZ106" t="s">
        <v>7352</v>
      </c>
      <c r="FA106">
        <v>1</v>
      </c>
      <c r="FB106">
        <v>500</v>
      </c>
      <c r="FC106">
        <v>100</v>
      </c>
      <c r="FD106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FE106" s="75">
        <f ca="1">ROUND((Table18202324[[#This Row],[XP]]*Table18202324[[#This Row],[entity_spawned (AVG)]])*(Table18202324[[#This Row],[activating_chance]]/100),0)</f>
        <v>130</v>
      </c>
      <c r="FF106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106">
        <v>1</v>
      </c>
      <c r="FH106">
        <v>1</v>
      </c>
      <c r="FI106" t="b">
        <v>0</v>
      </c>
    </row>
    <row r="107" spans="2:165" x14ac:dyDescent="0.25">
      <c r="B107" s="73" t="s">
        <v>228</v>
      </c>
      <c r="C107">
        <v>3</v>
      </c>
      <c r="D107">
        <v>140</v>
      </c>
      <c r="E107">
        <v>100</v>
      </c>
      <c r="F107" s="75">
        <f ca="1">INDIRECT(ADDRESS(11+(MATCH(RIGHT(Table245[[#This Row],[spawner_sku]],LEN(Table245[[#This Row],[spawner_sku]])-FIND("/",Table245[[#This Row],[spawner_sku]])),Table1[Entity Prefab],0)),10,1,1,"Entities"))</f>
        <v>25</v>
      </c>
      <c r="G107" s="75">
        <f ca="1">ROUND((Table245[[#This Row],[XP]]*Table245[[#This Row],[entity_spawned (AVG)]])*(Table245[[#This Row],[activating_chance]]/100),0)</f>
        <v>75</v>
      </c>
      <c r="H10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7" s="72">
        <v>2</v>
      </c>
      <c r="J107" s="72">
        <v>4</v>
      </c>
      <c r="K107" s="72" t="b">
        <v>0</v>
      </c>
      <c r="M107" t="s">
        <v>244</v>
      </c>
      <c r="N107">
        <v>1</v>
      </c>
      <c r="O107">
        <v>240</v>
      </c>
      <c r="P107">
        <v>100</v>
      </c>
      <c r="Q107" s="75">
        <f ca="1">INDIRECT(ADDRESS(11+(MATCH(RIGHT(Table3[[#This Row],[spawner_sku]],LEN(Table3[[#This Row],[spawner_sku]])-FIND("/",Table3[[#This Row],[spawner_sku]])),Table1[Entity Prefab],0)),10,1,1,"Entities"))</f>
        <v>25</v>
      </c>
      <c r="R107" s="75">
        <f ca="1">ROUND((Table3[[#This Row],[XP]]*Table3[[#This Row],[entity_spawned (AVG)]])*(Table3[[#This Row],[activating_chance]]/100),0)</f>
        <v>25</v>
      </c>
      <c r="S107" t="str">
        <f ca="1">INDIRECT(ADDRESS(11+(MATCH(RIGHT(Table3[[#This Row],[spawner_sku]],LEN(Table3[[#This Row],[spawner_sku]])-FIND("/",Table3[[#This Row],[spawner_sku]])),Table28[Entity Prefab],0)),24,1,1,"Entities"))</f>
        <v>yes</v>
      </c>
      <c r="T107">
        <v>1</v>
      </c>
      <c r="U107">
        <v>1</v>
      </c>
      <c r="V107" t="b">
        <v>0</v>
      </c>
      <c r="W107" s="72"/>
      <c r="AI107" t="s">
        <v>228</v>
      </c>
      <c r="AJ107">
        <v>1</v>
      </c>
      <c r="AK107">
        <v>120</v>
      </c>
      <c r="AL107">
        <v>100</v>
      </c>
      <c r="AM107" s="75">
        <f ca="1">INDIRECT(ADDRESS(11+(MATCH(RIGHT(Table2[[#This Row],[spawner_sku]],LEN(Table2[[#This Row],[spawner_sku]])-FIND("/",Table2[[#This Row],[spawner_sku]])),Table1[Entity Prefab],0)),10,1,1,"Entities"))</f>
        <v>25</v>
      </c>
      <c r="AN107" s="75">
        <f ca="1">ROUND((Table2[[#This Row],[XP]]*Table2[[#This Row],[entity_spawned (AVG)]])*(Table2[[#This Row],[activating_chance]]/100),0)</f>
        <v>25</v>
      </c>
      <c r="AO10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07" s="72">
        <v>1</v>
      </c>
      <c r="AQ107" s="72">
        <v>1</v>
      </c>
      <c r="AR107" s="72" t="b">
        <v>0</v>
      </c>
      <c r="AT107" t="s">
        <v>445</v>
      </c>
      <c r="AU107">
        <v>1</v>
      </c>
      <c r="AV107">
        <v>190</v>
      </c>
      <c r="AW107">
        <v>100</v>
      </c>
      <c r="AX107" s="75">
        <f ca="1">INDIRECT(ADDRESS(11+(MATCH(RIGHT(Table6[[#This Row],[spawner_sku]],LEN(Table6[[#This Row],[spawner_sku]])-FIND("/",Table6[[#This Row],[spawner_sku]])),Table1[Entity Prefab],0)),10,1,1,"Entities"))</f>
        <v>0</v>
      </c>
      <c r="AY107" s="75">
        <f ca="1">ROUND((Table6[[#This Row],[XP]]*Table6[[#This Row],[entity_spawned (AVG)]])*(Table6[[#This Row],[activating_chance]]/100),0)</f>
        <v>0</v>
      </c>
      <c r="AZ107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07">
        <v>1</v>
      </c>
      <c r="BB107">
        <v>1</v>
      </c>
      <c r="BC107" t="b">
        <v>0</v>
      </c>
      <c r="BE107" t="s">
        <v>452</v>
      </c>
      <c r="BF107">
        <v>1</v>
      </c>
      <c r="BG107">
        <v>180</v>
      </c>
      <c r="BH107">
        <v>100</v>
      </c>
      <c r="BI107" s="75">
        <f ca="1">INDIRECT(ADDRESS(11+(MATCH(RIGHT(Table610[[#This Row],[spawner_sku]],LEN(Table610[[#This Row],[spawner_sku]])-FIND("/",Table610[[#This Row],[spawner_sku]])),Table1[Entity Prefab],0)),10,1,1,"Entities"))</f>
        <v>70</v>
      </c>
      <c r="BJ107" s="75">
        <f ca="1">ROUND((Table610[[#This Row],[XP]]*Table610[[#This Row],[entity_spawned (AVG)]])*(Table610[[#This Row],[activating_chance]]/100),0)</f>
        <v>70</v>
      </c>
      <c r="BK107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7">
        <v>1</v>
      </c>
      <c r="BM107">
        <v>1</v>
      </c>
      <c r="BN107" t="b">
        <v>0</v>
      </c>
      <c r="BP107" t="s">
        <v>395</v>
      </c>
      <c r="BQ107">
        <v>3</v>
      </c>
      <c r="BR107">
        <v>200</v>
      </c>
      <c r="BS107">
        <v>100</v>
      </c>
      <c r="BT10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07" s="75">
        <f ca="1">ROUND((Table61011[[#This Row],[XP]]*Table61011[[#This Row],[entity_spawned (AVG)]])*(Table61011[[#This Row],[activating_chance]]/100),0)</f>
        <v>75</v>
      </c>
      <c r="BV10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7" s="72">
        <v>2</v>
      </c>
      <c r="BX107" s="72">
        <v>4</v>
      </c>
      <c r="BY107" s="72" t="b">
        <v>0</v>
      </c>
      <c r="CA107" t="s">
        <v>232</v>
      </c>
      <c r="CB107">
        <v>1</v>
      </c>
      <c r="CC107">
        <v>250</v>
      </c>
      <c r="CD107">
        <v>100</v>
      </c>
      <c r="CE107" s="75">
        <f ca="1">INDIRECT(ADDRESS(11+(MATCH(RIGHT(Table11[[#This Row],[spawner_sku]],LEN(Table11[[#This Row],[spawner_sku]])-FIND("/",Table11[[#This Row],[spawner_sku]])),Table1[Entity Prefab],0)),10,1,1,"Entities"))</f>
        <v>143</v>
      </c>
      <c r="CF107">
        <f ca="1">ROUND((Table11[[#This Row],[XP]]*Table11[[#This Row],[entity_spawned (AVG)]])*(Table11[[#This Row],[activating_chance]]/100),0)</f>
        <v>143</v>
      </c>
      <c r="CG107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07" s="72">
        <v>1</v>
      </c>
      <c r="CI107" s="72">
        <v>1</v>
      </c>
      <c r="CJ107" s="72" t="b">
        <v>0</v>
      </c>
      <c r="CL107" t="s">
        <v>396</v>
      </c>
      <c r="CM107">
        <v>1</v>
      </c>
      <c r="CN107">
        <v>120</v>
      </c>
      <c r="CO107">
        <v>100</v>
      </c>
      <c r="CP107" s="75">
        <f ca="1">INDIRECT(ADDRESS(11+(MATCH(RIGHT(Table12[[#This Row],[spawner_sku]],LEN(Table12[[#This Row],[spawner_sku]])-FIND("/",Table12[[#This Row],[spawner_sku]])),Table1[Entity Prefab],0)),10,1,1,"Entities"))</f>
        <v>25</v>
      </c>
      <c r="CQ107" s="75">
        <f ca="1">ROUND((Table12[[#This Row],[XP]]*Table12[[#This Row],[entity_spawned (AVG)]])*(Table12[[#This Row],[activating_chance]]/100),0)</f>
        <v>25</v>
      </c>
      <c r="CR107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07" s="72">
        <v>1</v>
      </c>
      <c r="CT107" s="72">
        <v>1</v>
      </c>
      <c r="CU107" s="72" t="b">
        <v>0</v>
      </c>
      <c r="CW107" t="s">
        <v>388</v>
      </c>
      <c r="CX107">
        <v>1</v>
      </c>
      <c r="CY107">
        <v>220</v>
      </c>
      <c r="CZ107">
        <v>100</v>
      </c>
      <c r="DA107" s="75">
        <f ca="1">INDIRECT(ADDRESS(11+(MATCH(RIGHT(Table13[[#This Row],[spawner_sku]],LEN(Table13[[#This Row],[spawner_sku]])-FIND("/",Table13[[#This Row],[spawner_sku]])),Table1[Entity Prefab],0)),10,1,1,"Entities"))</f>
        <v>75</v>
      </c>
      <c r="DB107" s="75">
        <f ca="1">ROUND((Table13[[#This Row],[XP]]*Table13[[#This Row],[entity_spawned (AVG)]])*(Table13[[#This Row],[activating_chance]]/100),0)</f>
        <v>75</v>
      </c>
      <c r="DC107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07" s="72">
        <v>1</v>
      </c>
      <c r="DE107" s="72">
        <v>1</v>
      </c>
      <c r="DF107" s="72" t="b">
        <v>0</v>
      </c>
      <c r="DH107" t="s">
        <v>227</v>
      </c>
      <c r="DI107">
        <v>6.5</v>
      </c>
      <c r="DJ107">
        <v>150</v>
      </c>
      <c r="DK107">
        <v>100</v>
      </c>
      <c r="DL107" s="75">
        <f ca="1">INDIRECT(ADDRESS(11+(MATCH(RIGHT(Table14[[#This Row],[spawner_sku]],LEN(Table14[[#This Row],[spawner_sku]])-FIND("/",Table14[[#This Row],[spawner_sku]])),Table1[Entity Prefab],0)),10,1,1,"Entities"))</f>
        <v>25</v>
      </c>
      <c r="DM107" s="75">
        <f ca="1">ROUND((Table14[[#This Row],[XP]]*Table14[[#This Row],[entity_spawned (AVG)]])*(Table14[[#This Row],[activating_chance]]/100),0)</f>
        <v>163</v>
      </c>
      <c r="DN10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07" s="72">
        <v>5</v>
      </c>
      <c r="DP107" s="72">
        <v>8</v>
      </c>
      <c r="DQ107" s="72" t="b">
        <v>1</v>
      </c>
      <c r="DS107" t="s">
        <v>231</v>
      </c>
      <c r="DT107">
        <v>1</v>
      </c>
      <c r="DU107">
        <v>5000</v>
      </c>
      <c r="DV107">
        <v>100</v>
      </c>
      <c r="DW107" s="75">
        <f ca="1">INDIRECT(ADDRESS(11+(MATCH(RIGHT(Table18[[#This Row],[spawner_sku]],LEN(Table18[[#This Row],[spawner_sku]])-FIND("/",Table18[[#This Row],[spawner_sku]])),Table1[Entity Prefab],0)),10,1,1,"Entities"))</f>
        <v>75</v>
      </c>
      <c r="DX107" s="75">
        <f ca="1">ROUND((Table18[[#This Row],[XP]]*Table18[[#This Row],[entity_spawned (AVG)]])*(Table18[[#This Row],[activating_chance]]/100),0)</f>
        <v>75</v>
      </c>
      <c r="DY10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07">
        <v>1</v>
      </c>
      <c r="EA107">
        <v>1</v>
      </c>
      <c r="EB107" t="b">
        <v>0</v>
      </c>
      <c r="ED107" t="s">
        <v>231</v>
      </c>
      <c r="EE107">
        <v>1</v>
      </c>
      <c r="EF107">
        <v>5000</v>
      </c>
      <c r="EG107">
        <v>75</v>
      </c>
      <c r="EH107" s="75">
        <f ca="1">INDIRECT(ADDRESS(11+(MATCH(RIGHT(Table1820[[#This Row],[spawner_sku]],LEN(Table1820[[#This Row],[spawner_sku]])-FIND("/",Table1820[[#This Row],[spawner_sku]])),Table1[Entity Prefab],0)),10,1,1,"Entities"))</f>
        <v>75</v>
      </c>
      <c r="EI107" s="75">
        <f ca="1">ROUND((Table1820[[#This Row],[XP]]*Table1820[[#This Row],[entity_spawned (AVG)]])*(Table1820[[#This Row],[activating_chance]]/100),0)</f>
        <v>56</v>
      </c>
      <c r="EJ10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07">
        <v>1</v>
      </c>
      <c r="EL107">
        <v>1</v>
      </c>
      <c r="EM107" t="b">
        <v>0</v>
      </c>
      <c r="EO107" t="s">
        <v>7343</v>
      </c>
      <c r="EP107">
        <v>1.5</v>
      </c>
      <c r="EQ107">
        <v>100</v>
      </c>
      <c r="ER107">
        <v>80</v>
      </c>
      <c r="ES107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ET107" s="75">
        <f ca="1">ROUND((Table182023[[#This Row],[XP]]*Table182023[[#This Row],[entity_spawned (AVG)]])*(Table182023[[#This Row],[activating_chance]]/100),0)</f>
        <v>156</v>
      </c>
      <c r="EU107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EV107" s="152">
        <v>1</v>
      </c>
      <c r="EW107" s="152">
        <v>2</v>
      </c>
      <c r="EX107" s="152" t="b">
        <v>0</v>
      </c>
      <c r="EZ107" t="s">
        <v>7345</v>
      </c>
      <c r="FA107">
        <v>2.5</v>
      </c>
      <c r="FB107">
        <v>100</v>
      </c>
      <c r="FC107">
        <v>100</v>
      </c>
      <c r="FD107" s="75">
        <f ca="1">INDIRECT(ADDRESS(11+(MATCH(RIGHT(Table18202324[[#This Row],[spawner_sku]],LEN(Table18202324[[#This Row],[spawner_sku]])-FIND("/",Table18202324[[#This Row],[spawner_sku]])),Table1[Entity Prefab],0)),10,1,1,"Entities"))</f>
        <v>143</v>
      </c>
      <c r="FE107" s="75">
        <f ca="1">ROUND((Table18202324[[#This Row],[XP]]*Table18202324[[#This Row],[entity_spawned (AVG)]])*(Table18202324[[#This Row],[activating_chance]]/100),0)</f>
        <v>358</v>
      </c>
      <c r="FF107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07">
        <v>2</v>
      </c>
      <c r="FH107">
        <v>3</v>
      </c>
      <c r="FI107" t="b">
        <v>0</v>
      </c>
    </row>
    <row r="108" spans="2:165" x14ac:dyDescent="0.25">
      <c r="B108" s="73" t="s">
        <v>228</v>
      </c>
      <c r="C108">
        <v>2.5</v>
      </c>
      <c r="D108">
        <v>80</v>
      </c>
      <c r="E108">
        <v>60</v>
      </c>
      <c r="F108" s="75">
        <f ca="1">INDIRECT(ADDRESS(11+(MATCH(RIGHT(Table245[[#This Row],[spawner_sku]],LEN(Table245[[#This Row],[spawner_sku]])-FIND("/",Table245[[#This Row],[spawner_sku]])),Table1[Entity Prefab],0)),10,1,1,"Entities"))</f>
        <v>25</v>
      </c>
      <c r="G108" s="75">
        <f ca="1">ROUND((Table245[[#This Row],[XP]]*Table245[[#This Row],[entity_spawned (AVG)]])*(Table245[[#This Row],[activating_chance]]/100),0)</f>
        <v>38</v>
      </c>
      <c r="H10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8" s="72">
        <v>2</v>
      </c>
      <c r="J108" s="72">
        <v>3</v>
      </c>
      <c r="K108" s="72" t="b">
        <v>0</v>
      </c>
      <c r="M108" t="s">
        <v>469</v>
      </c>
      <c r="N108">
        <v>1</v>
      </c>
      <c r="O108">
        <v>220</v>
      </c>
      <c r="P108">
        <v>100</v>
      </c>
      <c r="Q108" s="75">
        <f ca="1">INDIRECT(ADDRESS(11+(MATCH(RIGHT(Table3[[#This Row],[spawner_sku]],LEN(Table3[[#This Row],[spawner_sku]])-FIND("/",Table3[[#This Row],[spawner_sku]])),Table1[Entity Prefab],0)),10,1,1,"Entities"))</f>
        <v>50</v>
      </c>
      <c r="R108" s="75">
        <f ca="1">ROUND((Table3[[#This Row],[XP]]*Table3[[#This Row],[entity_spawned (AVG)]])*(Table3[[#This Row],[activating_chance]]/100),0)</f>
        <v>50</v>
      </c>
      <c r="S108" t="str">
        <f ca="1">INDIRECT(ADDRESS(11+(MATCH(RIGHT(Table3[[#This Row],[spawner_sku]],LEN(Table3[[#This Row],[spawner_sku]])-FIND("/",Table3[[#This Row],[spawner_sku]])),Table28[Entity Prefab],0)),24,1,1,"Entities"))</f>
        <v>yes</v>
      </c>
      <c r="T108">
        <v>1</v>
      </c>
      <c r="U108">
        <v>1</v>
      </c>
      <c r="V108" t="b">
        <v>0</v>
      </c>
      <c r="W108" s="72"/>
      <c r="AI108" t="s">
        <v>228</v>
      </c>
      <c r="AJ108">
        <v>1.5</v>
      </c>
      <c r="AK108">
        <v>100</v>
      </c>
      <c r="AL108">
        <v>100</v>
      </c>
      <c r="AM108" s="75">
        <f ca="1">INDIRECT(ADDRESS(11+(MATCH(RIGHT(Table2[[#This Row],[spawner_sku]],LEN(Table2[[#This Row],[spawner_sku]])-FIND("/",Table2[[#This Row],[spawner_sku]])),Table1[Entity Prefab],0)),10,1,1,"Entities"))</f>
        <v>25</v>
      </c>
      <c r="AN108" s="75">
        <f ca="1">ROUND((Table2[[#This Row],[XP]]*Table2[[#This Row],[entity_spawned (AVG)]])*(Table2[[#This Row],[activating_chance]]/100),0)</f>
        <v>38</v>
      </c>
      <c r="AO10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08" s="72">
        <v>1</v>
      </c>
      <c r="AQ108" s="72">
        <v>2</v>
      </c>
      <c r="AR108" s="72" t="b">
        <v>0</v>
      </c>
      <c r="AT108" t="s">
        <v>445</v>
      </c>
      <c r="AU108">
        <v>1</v>
      </c>
      <c r="AV108">
        <v>190</v>
      </c>
      <c r="AW108">
        <v>90</v>
      </c>
      <c r="AX108" s="75">
        <f ca="1">INDIRECT(ADDRESS(11+(MATCH(RIGHT(Table6[[#This Row],[spawner_sku]],LEN(Table6[[#This Row],[spawner_sku]])-FIND("/",Table6[[#This Row],[spawner_sku]])),Table1[Entity Prefab],0)),10,1,1,"Entities"))</f>
        <v>0</v>
      </c>
      <c r="AY108" s="75">
        <f ca="1">ROUND((Table6[[#This Row],[XP]]*Table6[[#This Row],[entity_spawned (AVG)]])*(Table6[[#This Row],[activating_chance]]/100),0)</f>
        <v>0</v>
      </c>
      <c r="AZ108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08">
        <v>1</v>
      </c>
      <c r="BB108">
        <v>1</v>
      </c>
      <c r="BC108" t="b">
        <v>0</v>
      </c>
      <c r="BE108" t="s">
        <v>452</v>
      </c>
      <c r="BF108">
        <v>1</v>
      </c>
      <c r="BG108">
        <v>180</v>
      </c>
      <c r="BH108">
        <v>100</v>
      </c>
      <c r="BI108" s="75">
        <f ca="1">INDIRECT(ADDRESS(11+(MATCH(RIGHT(Table610[[#This Row],[spawner_sku]],LEN(Table610[[#This Row],[spawner_sku]])-FIND("/",Table610[[#This Row],[spawner_sku]])),Table1[Entity Prefab],0)),10,1,1,"Entities"))</f>
        <v>70</v>
      </c>
      <c r="BJ108" s="75">
        <f ca="1">ROUND((Table610[[#This Row],[XP]]*Table610[[#This Row],[entity_spawned (AVG)]])*(Table610[[#This Row],[activating_chance]]/100),0)</f>
        <v>70</v>
      </c>
      <c r="BK108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8">
        <v>1</v>
      </c>
      <c r="BM108">
        <v>1</v>
      </c>
      <c r="BN108" t="b">
        <v>0</v>
      </c>
      <c r="BP108" t="s">
        <v>395</v>
      </c>
      <c r="BQ108">
        <v>7</v>
      </c>
      <c r="BR108">
        <v>220</v>
      </c>
      <c r="BS108">
        <v>100</v>
      </c>
      <c r="BT10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08" s="75">
        <f ca="1">ROUND((Table61011[[#This Row],[XP]]*Table61011[[#This Row],[entity_spawned (AVG)]])*(Table61011[[#This Row],[activating_chance]]/100),0)</f>
        <v>175</v>
      </c>
      <c r="BV10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8" s="72">
        <v>6</v>
      </c>
      <c r="BX108" s="72">
        <v>8</v>
      </c>
      <c r="BY108" s="72" t="b">
        <v>1</v>
      </c>
      <c r="CA108" t="s">
        <v>232</v>
      </c>
      <c r="CB108">
        <v>1</v>
      </c>
      <c r="CC108">
        <v>250</v>
      </c>
      <c r="CD108">
        <v>100</v>
      </c>
      <c r="CE108" s="75">
        <f ca="1">INDIRECT(ADDRESS(11+(MATCH(RIGHT(Table11[[#This Row],[spawner_sku]],LEN(Table11[[#This Row],[spawner_sku]])-FIND("/",Table11[[#This Row],[spawner_sku]])),Table1[Entity Prefab],0)),10,1,1,"Entities"))</f>
        <v>143</v>
      </c>
      <c r="CF108">
        <f ca="1">ROUND((Table11[[#This Row],[XP]]*Table11[[#This Row],[entity_spawned (AVG)]])*(Table11[[#This Row],[activating_chance]]/100),0)</f>
        <v>143</v>
      </c>
      <c r="CG108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08" s="72">
        <v>1</v>
      </c>
      <c r="CI108" s="72">
        <v>1</v>
      </c>
      <c r="CJ108" s="72" t="b">
        <v>0</v>
      </c>
      <c r="CL108" t="s">
        <v>396</v>
      </c>
      <c r="CM108">
        <v>1</v>
      </c>
      <c r="CN108">
        <v>120</v>
      </c>
      <c r="CO108">
        <v>100</v>
      </c>
      <c r="CP108" s="75">
        <f ca="1">INDIRECT(ADDRESS(11+(MATCH(RIGHT(Table12[[#This Row],[spawner_sku]],LEN(Table12[[#This Row],[spawner_sku]])-FIND("/",Table12[[#This Row],[spawner_sku]])),Table1[Entity Prefab],0)),10,1,1,"Entities"))</f>
        <v>25</v>
      </c>
      <c r="CQ108" s="75">
        <f ca="1">ROUND((Table12[[#This Row],[XP]]*Table12[[#This Row],[entity_spawned (AVG)]])*(Table12[[#This Row],[activating_chance]]/100),0)</f>
        <v>25</v>
      </c>
      <c r="CR108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08" s="72">
        <v>1</v>
      </c>
      <c r="CT108" s="72">
        <v>1</v>
      </c>
      <c r="CU108" s="72" t="b">
        <v>0</v>
      </c>
      <c r="CW108" t="s">
        <v>388</v>
      </c>
      <c r="CX108">
        <v>1</v>
      </c>
      <c r="CY108">
        <v>220</v>
      </c>
      <c r="CZ108">
        <v>100</v>
      </c>
      <c r="DA108" s="75">
        <f ca="1">INDIRECT(ADDRESS(11+(MATCH(RIGHT(Table13[[#This Row],[spawner_sku]],LEN(Table13[[#This Row],[spawner_sku]])-FIND("/",Table13[[#This Row],[spawner_sku]])),Table1[Entity Prefab],0)),10,1,1,"Entities"))</f>
        <v>75</v>
      </c>
      <c r="DB108" s="75">
        <f ca="1">ROUND((Table13[[#This Row],[XP]]*Table13[[#This Row],[entity_spawned (AVG)]])*(Table13[[#This Row],[activating_chance]]/100),0)</f>
        <v>75</v>
      </c>
      <c r="DC108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08" s="72">
        <v>1</v>
      </c>
      <c r="DE108" s="72">
        <v>1</v>
      </c>
      <c r="DF108" s="72" t="b">
        <v>0</v>
      </c>
      <c r="DH108" t="s">
        <v>227</v>
      </c>
      <c r="DI108">
        <v>10</v>
      </c>
      <c r="DJ108">
        <v>180</v>
      </c>
      <c r="DK108">
        <v>80</v>
      </c>
      <c r="DL108" s="75">
        <f ca="1">INDIRECT(ADDRESS(11+(MATCH(RIGHT(Table14[[#This Row],[spawner_sku]],LEN(Table14[[#This Row],[spawner_sku]])-FIND("/",Table14[[#This Row],[spawner_sku]])),Table1[Entity Prefab],0)),10,1,1,"Entities"))</f>
        <v>25</v>
      </c>
      <c r="DM108" s="75">
        <f ca="1">ROUND((Table14[[#This Row],[XP]]*Table14[[#This Row],[entity_spawned (AVG)]])*(Table14[[#This Row],[activating_chance]]/100),0)</f>
        <v>200</v>
      </c>
      <c r="DN10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08" s="72">
        <v>8</v>
      </c>
      <c r="DP108" s="72">
        <v>12</v>
      </c>
      <c r="DQ108" s="72" t="b">
        <v>1</v>
      </c>
      <c r="DS108" t="s">
        <v>231</v>
      </c>
      <c r="DT108">
        <v>1</v>
      </c>
      <c r="DU108">
        <v>5000</v>
      </c>
      <c r="DV108">
        <v>75</v>
      </c>
      <c r="DW108" s="75">
        <f ca="1">INDIRECT(ADDRESS(11+(MATCH(RIGHT(Table18[[#This Row],[spawner_sku]],LEN(Table18[[#This Row],[spawner_sku]])-FIND("/",Table18[[#This Row],[spawner_sku]])),Table1[Entity Prefab],0)),10,1,1,"Entities"))</f>
        <v>75</v>
      </c>
      <c r="DX108" s="75">
        <f ca="1">ROUND((Table18[[#This Row],[XP]]*Table18[[#This Row],[entity_spawned (AVG)]])*(Table18[[#This Row],[activating_chance]]/100),0)</f>
        <v>56</v>
      </c>
      <c r="DY10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08">
        <v>1</v>
      </c>
      <c r="EA108">
        <v>1</v>
      </c>
      <c r="EB108" t="b">
        <v>0</v>
      </c>
      <c r="ED108" t="s">
        <v>231</v>
      </c>
      <c r="EE108">
        <v>1</v>
      </c>
      <c r="EF108">
        <v>5000</v>
      </c>
      <c r="EG108">
        <v>75</v>
      </c>
      <c r="EH108" s="75">
        <f ca="1">INDIRECT(ADDRESS(11+(MATCH(RIGHT(Table1820[[#This Row],[spawner_sku]],LEN(Table1820[[#This Row],[spawner_sku]])-FIND("/",Table1820[[#This Row],[spawner_sku]])),Table1[Entity Prefab],0)),10,1,1,"Entities"))</f>
        <v>75</v>
      </c>
      <c r="EI108" s="75">
        <f ca="1">ROUND((Table1820[[#This Row],[XP]]*Table1820[[#This Row],[entity_spawned (AVG)]])*(Table1820[[#This Row],[activating_chance]]/100),0)</f>
        <v>56</v>
      </c>
      <c r="EJ10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08">
        <v>1</v>
      </c>
      <c r="EL108">
        <v>1</v>
      </c>
      <c r="EM108" t="b">
        <v>0</v>
      </c>
      <c r="EO108" t="s">
        <v>7343</v>
      </c>
      <c r="EP108">
        <v>1.5</v>
      </c>
      <c r="EQ108">
        <v>100</v>
      </c>
      <c r="ER108">
        <v>100</v>
      </c>
      <c r="ES108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ET108" s="75">
        <f ca="1">ROUND((Table182023[[#This Row],[XP]]*Table182023[[#This Row],[entity_spawned (AVG)]])*(Table182023[[#This Row],[activating_chance]]/100),0)</f>
        <v>195</v>
      </c>
      <c r="EU108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EV108" s="152">
        <v>1</v>
      </c>
      <c r="EW108" s="152">
        <v>2</v>
      </c>
      <c r="EX108" s="152" t="b">
        <v>0</v>
      </c>
      <c r="EZ108" t="s">
        <v>7345</v>
      </c>
      <c r="FA108">
        <v>2.5</v>
      </c>
      <c r="FB108">
        <v>80</v>
      </c>
      <c r="FC108">
        <v>100</v>
      </c>
      <c r="FD108" s="75">
        <f ca="1">INDIRECT(ADDRESS(11+(MATCH(RIGHT(Table18202324[[#This Row],[spawner_sku]],LEN(Table18202324[[#This Row],[spawner_sku]])-FIND("/",Table18202324[[#This Row],[spawner_sku]])),Table1[Entity Prefab],0)),10,1,1,"Entities"))</f>
        <v>143</v>
      </c>
      <c r="FE108" s="75">
        <f ca="1">ROUND((Table18202324[[#This Row],[XP]]*Table18202324[[#This Row],[entity_spawned (AVG)]])*(Table18202324[[#This Row],[activating_chance]]/100),0)</f>
        <v>358</v>
      </c>
      <c r="FF108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08">
        <v>2</v>
      </c>
      <c r="FH108">
        <v>3</v>
      </c>
      <c r="FI108" t="b">
        <v>0</v>
      </c>
    </row>
    <row r="109" spans="2:165" x14ac:dyDescent="0.25">
      <c r="B109" s="73" t="s">
        <v>228</v>
      </c>
      <c r="C109">
        <v>5.5</v>
      </c>
      <c r="D109">
        <v>160</v>
      </c>
      <c r="E109">
        <v>10</v>
      </c>
      <c r="F109" s="75">
        <f ca="1">INDIRECT(ADDRESS(11+(MATCH(RIGHT(Table245[[#This Row],[spawner_sku]],LEN(Table245[[#This Row],[spawner_sku]])-FIND("/",Table245[[#This Row],[spawner_sku]])),Table1[Entity Prefab],0)),10,1,1,"Entities"))</f>
        <v>25</v>
      </c>
      <c r="G109" s="75">
        <f ca="1">ROUND((Table245[[#This Row],[XP]]*Table245[[#This Row],[entity_spawned (AVG)]])*(Table245[[#This Row],[activating_chance]]/100),0)</f>
        <v>14</v>
      </c>
      <c r="H10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9" s="72">
        <v>5</v>
      </c>
      <c r="J109" s="72">
        <v>6</v>
      </c>
      <c r="K109" s="72" t="b">
        <v>1</v>
      </c>
      <c r="M109" t="s">
        <v>469</v>
      </c>
      <c r="N109">
        <v>1</v>
      </c>
      <c r="O109">
        <v>220</v>
      </c>
      <c r="P109">
        <v>100</v>
      </c>
      <c r="Q109" s="75">
        <f ca="1">INDIRECT(ADDRESS(11+(MATCH(RIGHT(Table3[[#This Row],[spawner_sku]],LEN(Table3[[#This Row],[spawner_sku]])-FIND("/",Table3[[#This Row],[spawner_sku]])),Table1[Entity Prefab],0)),10,1,1,"Entities"))</f>
        <v>50</v>
      </c>
      <c r="R109" s="75">
        <f ca="1">ROUND((Table3[[#This Row],[XP]]*Table3[[#This Row],[entity_spawned (AVG)]])*(Table3[[#This Row],[activating_chance]]/100),0)</f>
        <v>50</v>
      </c>
      <c r="S109" t="str">
        <f ca="1">INDIRECT(ADDRESS(11+(MATCH(RIGHT(Table3[[#This Row],[spawner_sku]],LEN(Table3[[#This Row],[spawner_sku]])-FIND("/",Table3[[#This Row],[spawner_sku]])),Table28[Entity Prefab],0)),24,1,1,"Entities"))</f>
        <v>yes</v>
      </c>
      <c r="T109">
        <v>1</v>
      </c>
      <c r="U109">
        <v>1</v>
      </c>
      <c r="V109" t="b">
        <v>0</v>
      </c>
      <c r="W109" s="72"/>
      <c r="AI109" t="s">
        <v>228</v>
      </c>
      <c r="AJ109">
        <v>2</v>
      </c>
      <c r="AK109">
        <v>120</v>
      </c>
      <c r="AL109">
        <v>100</v>
      </c>
      <c r="AM109" s="75">
        <f ca="1">INDIRECT(ADDRESS(11+(MATCH(RIGHT(Table2[[#This Row],[spawner_sku]],LEN(Table2[[#This Row],[spawner_sku]])-FIND("/",Table2[[#This Row],[spawner_sku]])),Table1[Entity Prefab],0)),10,1,1,"Entities"))</f>
        <v>25</v>
      </c>
      <c r="AN109" s="75">
        <f ca="1">ROUND((Table2[[#This Row],[XP]]*Table2[[#This Row],[entity_spawned (AVG)]])*(Table2[[#This Row],[activating_chance]]/100),0)</f>
        <v>50</v>
      </c>
      <c r="AO10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09" s="72">
        <v>1</v>
      </c>
      <c r="AQ109" s="72">
        <v>3</v>
      </c>
      <c r="AR109" s="72" t="b">
        <v>0</v>
      </c>
      <c r="AT109" t="s">
        <v>445</v>
      </c>
      <c r="AU109">
        <v>1</v>
      </c>
      <c r="AV109">
        <v>190</v>
      </c>
      <c r="AW109">
        <v>100</v>
      </c>
      <c r="AX109" s="75">
        <f ca="1">INDIRECT(ADDRESS(11+(MATCH(RIGHT(Table6[[#This Row],[spawner_sku]],LEN(Table6[[#This Row],[spawner_sku]])-FIND("/",Table6[[#This Row],[spawner_sku]])),Table1[Entity Prefab],0)),10,1,1,"Entities"))</f>
        <v>0</v>
      </c>
      <c r="AY109" s="75">
        <f ca="1">ROUND((Table6[[#This Row],[XP]]*Table6[[#This Row],[entity_spawned (AVG)]])*(Table6[[#This Row],[activating_chance]]/100),0)</f>
        <v>0</v>
      </c>
      <c r="AZ109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09">
        <v>1</v>
      </c>
      <c r="BB109">
        <v>1</v>
      </c>
      <c r="BC109" t="b">
        <v>0</v>
      </c>
      <c r="BE109" t="s">
        <v>452</v>
      </c>
      <c r="BF109">
        <v>1</v>
      </c>
      <c r="BG109">
        <v>100</v>
      </c>
      <c r="BH109">
        <v>100</v>
      </c>
      <c r="BI109" s="75">
        <f ca="1">INDIRECT(ADDRESS(11+(MATCH(RIGHT(Table610[[#This Row],[spawner_sku]],LEN(Table610[[#This Row],[spawner_sku]])-FIND("/",Table610[[#This Row],[spawner_sku]])),Table1[Entity Prefab],0)),10,1,1,"Entities"))</f>
        <v>70</v>
      </c>
      <c r="BJ109" s="75">
        <f ca="1">ROUND((Table610[[#This Row],[XP]]*Table610[[#This Row],[entity_spawned (AVG)]])*(Table610[[#This Row],[activating_chance]]/100),0)</f>
        <v>70</v>
      </c>
      <c r="BK109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9">
        <v>1</v>
      </c>
      <c r="BM109">
        <v>1</v>
      </c>
      <c r="BN109" t="b">
        <v>0</v>
      </c>
      <c r="BP109" t="s">
        <v>395</v>
      </c>
      <c r="BQ109">
        <v>8</v>
      </c>
      <c r="BR109">
        <v>230</v>
      </c>
      <c r="BS109">
        <v>100</v>
      </c>
      <c r="BT10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09" s="75">
        <f ca="1">ROUND((Table61011[[#This Row],[XP]]*Table61011[[#This Row],[entity_spawned (AVG)]])*(Table61011[[#This Row],[activating_chance]]/100),0)</f>
        <v>200</v>
      </c>
      <c r="BV10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9" s="72">
        <v>6</v>
      </c>
      <c r="BX109" s="72">
        <v>10</v>
      </c>
      <c r="BY109" s="72" t="b">
        <v>1</v>
      </c>
      <c r="CA109" t="s">
        <v>232</v>
      </c>
      <c r="CB109">
        <v>1</v>
      </c>
      <c r="CC109">
        <v>250</v>
      </c>
      <c r="CD109">
        <v>100</v>
      </c>
      <c r="CE109" s="75">
        <f ca="1">INDIRECT(ADDRESS(11+(MATCH(RIGHT(Table11[[#This Row],[spawner_sku]],LEN(Table11[[#This Row],[spawner_sku]])-FIND("/",Table11[[#This Row],[spawner_sku]])),Table1[Entity Prefab],0)),10,1,1,"Entities"))</f>
        <v>143</v>
      </c>
      <c r="CF109">
        <f ca="1">ROUND((Table11[[#This Row],[XP]]*Table11[[#This Row],[entity_spawned (AVG)]])*(Table11[[#This Row],[activating_chance]]/100),0)</f>
        <v>143</v>
      </c>
      <c r="CG109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09" s="72">
        <v>1</v>
      </c>
      <c r="CI109" s="72">
        <v>1</v>
      </c>
      <c r="CJ109" s="72" t="b">
        <v>0</v>
      </c>
      <c r="CL109" t="s">
        <v>396</v>
      </c>
      <c r="CM109">
        <v>1</v>
      </c>
      <c r="CN109">
        <v>120</v>
      </c>
      <c r="CO109">
        <v>100</v>
      </c>
      <c r="CP109" s="75">
        <f ca="1">INDIRECT(ADDRESS(11+(MATCH(RIGHT(Table12[[#This Row],[spawner_sku]],LEN(Table12[[#This Row],[spawner_sku]])-FIND("/",Table12[[#This Row],[spawner_sku]])),Table1[Entity Prefab],0)),10,1,1,"Entities"))</f>
        <v>25</v>
      </c>
      <c r="CQ109" s="75">
        <f ca="1">ROUND((Table12[[#This Row],[XP]]*Table12[[#This Row],[entity_spawned (AVG)]])*(Table12[[#This Row],[activating_chance]]/100),0)</f>
        <v>25</v>
      </c>
      <c r="CR109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09" s="72">
        <v>1</v>
      </c>
      <c r="CT109" s="72">
        <v>1</v>
      </c>
      <c r="CU109" s="72" t="b">
        <v>0</v>
      </c>
      <c r="CW109" t="s">
        <v>388</v>
      </c>
      <c r="CX109">
        <v>1</v>
      </c>
      <c r="CY109">
        <v>220</v>
      </c>
      <c r="CZ109">
        <v>100</v>
      </c>
      <c r="DA109" s="75">
        <f ca="1">INDIRECT(ADDRESS(11+(MATCH(RIGHT(Table13[[#This Row],[spawner_sku]],LEN(Table13[[#This Row],[spawner_sku]])-FIND("/",Table13[[#This Row],[spawner_sku]])),Table1[Entity Prefab],0)),10,1,1,"Entities"))</f>
        <v>75</v>
      </c>
      <c r="DB109" s="75">
        <f ca="1">ROUND((Table13[[#This Row],[XP]]*Table13[[#This Row],[entity_spawned (AVG)]])*(Table13[[#This Row],[activating_chance]]/100),0)</f>
        <v>75</v>
      </c>
      <c r="DC109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09" s="72">
        <v>1</v>
      </c>
      <c r="DE109" s="72">
        <v>1</v>
      </c>
      <c r="DF109" s="72" t="b">
        <v>0</v>
      </c>
      <c r="DH109" t="s">
        <v>227</v>
      </c>
      <c r="DI109">
        <v>10</v>
      </c>
      <c r="DJ109">
        <v>180</v>
      </c>
      <c r="DK109">
        <v>10</v>
      </c>
      <c r="DL109" s="75">
        <f ca="1">INDIRECT(ADDRESS(11+(MATCH(RIGHT(Table14[[#This Row],[spawner_sku]],LEN(Table14[[#This Row],[spawner_sku]])-FIND("/",Table14[[#This Row],[spawner_sku]])),Table1[Entity Prefab],0)),10,1,1,"Entities"))</f>
        <v>25</v>
      </c>
      <c r="DM109" s="75">
        <f ca="1">ROUND((Table14[[#This Row],[XP]]*Table14[[#This Row],[entity_spawned (AVG)]])*(Table14[[#This Row],[activating_chance]]/100),0)</f>
        <v>25</v>
      </c>
      <c r="DN10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09" s="72">
        <v>8</v>
      </c>
      <c r="DP109" s="72">
        <v>12</v>
      </c>
      <c r="DQ109" s="72" t="b">
        <v>1</v>
      </c>
      <c r="DS109" t="s">
        <v>231</v>
      </c>
      <c r="DT109">
        <v>1</v>
      </c>
      <c r="DU109">
        <v>5000</v>
      </c>
      <c r="DV109">
        <v>75</v>
      </c>
      <c r="DW109" s="75">
        <f ca="1">INDIRECT(ADDRESS(11+(MATCH(RIGHT(Table18[[#This Row],[spawner_sku]],LEN(Table18[[#This Row],[spawner_sku]])-FIND("/",Table18[[#This Row],[spawner_sku]])),Table1[Entity Prefab],0)),10,1,1,"Entities"))</f>
        <v>75</v>
      </c>
      <c r="DX109" s="75">
        <f ca="1">ROUND((Table18[[#This Row],[XP]]*Table18[[#This Row],[entity_spawned (AVG)]])*(Table18[[#This Row],[activating_chance]]/100),0)</f>
        <v>56</v>
      </c>
      <c r="DY10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09">
        <v>1</v>
      </c>
      <c r="EA109">
        <v>1</v>
      </c>
      <c r="EB109" t="b">
        <v>0</v>
      </c>
      <c r="ED109" t="s">
        <v>231</v>
      </c>
      <c r="EE109">
        <v>1</v>
      </c>
      <c r="EF109">
        <v>5000</v>
      </c>
      <c r="EG109">
        <v>75</v>
      </c>
      <c r="EH109" s="75">
        <f ca="1">INDIRECT(ADDRESS(11+(MATCH(RIGHT(Table1820[[#This Row],[spawner_sku]],LEN(Table1820[[#This Row],[spawner_sku]])-FIND("/",Table1820[[#This Row],[spawner_sku]])),Table1[Entity Prefab],0)),10,1,1,"Entities"))</f>
        <v>75</v>
      </c>
      <c r="EI109" s="75">
        <f ca="1">ROUND((Table1820[[#This Row],[XP]]*Table1820[[#This Row],[entity_spawned (AVG)]])*(Table1820[[#This Row],[activating_chance]]/100),0)</f>
        <v>56</v>
      </c>
      <c r="EJ10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09">
        <v>1</v>
      </c>
      <c r="EL109">
        <v>1</v>
      </c>
      <c r="EM109" t="b">
        <v>0</v>
      </c>
      <c r="EO109" t="s">
        <v>7343</v>
      </c>
      <c r="EP109">
        <v>1.5</v>
      </c>
      <c r="EQ109">
        <v>100</v>
      </c>
      <c r="ER109">
        <v>80</v>
      </c>
      <c r="ES109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ET109" s="75">
        <f ca="1">ROUND((Table182023[[#This Row],[XP]]*Table182023[[#This Row],[entity_spawned (AVG)]])*(Table182023[[#This Row],[activating_chance]]/100),0)</f>
        <v>156</v>
      </c>
      <c r="EU109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EV109" s="152">
        <v>1</v>
      </c>
      <c r="EW109" s="152">
        <v>2</v>
      </c>
      <c r="EX109" s="152" t="b">
        <v>0</v>
      </c>
      <c r="EZ109" t="s">
        <v>7345</v>
      </c>
      <c r="FA109">
        <v>2.5</v>
      </c>
      <c r="FB109">
        <v>80</v>
      </c>
      <c r="FC109">
        <v>100</v>
      </c>
      <c r="FD109" s="75">
        <f ca="1">INDIRECT(ADDRESS(11+(MATCH(RIGHT(Table18202324[[#This Row],[spawner_sku]],LEN(Table18202324[[#This Row],[spawner_sku]])-FIND("/",Table18202324[[#This Row],[spawner_sku]])),Table1[Entity Prefab],0)),10,1,1,"Entities"))</f>
        <v>143</v>
      </c>
      <c r="FE109" s="75">
        <f ca="1">ROUND((Table18202324[[#This Row],[XP]]*Table18202324[[#This Row],[entity_spawned (AVG)]])*(Table18202324[[#This Row],[activating_chance]]/100),0)</f>
        <v>358</v>
      </c>
      <c r="FF109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09">
        <v>2</v>
      </c>
      <c r="FH109">
        <v>3</v>
      </c>
      <c r="FI109" t="b">
        <v>0</v>
      </c>
    </row>
    <row r="110" spans="2:165" x14ac:dyDescent="0.25">
      <c r="B110" s="73" t="s">
        <v>228</v>
      </c>
      <c r="C110">
        <v>3.5</v>
      </c>
      <c r="D110">
        <v>160</v>
      </c>
      <c r="E110">
        <v>70</v>
      </c>
      <c r="F110" s="75">
        <f ca="1">INDIRECT(ADDRESS(11+(MATCH(RIGHT(Table245[[#This Row],[spawner_sku]],LEN(Table245[[#This Row],[spawner_sku]])-FIND("/",Table245[[#This Row],[spawner_sku]])),Table1[Entity Prefab],0)),10,1,1,"Entities"))</f>
        <v>25</v>
      </c>
      <c r="G110" s="75">
        <f ca="1">ROUND((Table245[[#This Row],[XP]]*Table245[[#This Row],[entity_spawned (AVG)]])*(Table245[[#This Row],[activating_chance]]/100),0)</f>
        <v>61</v>
      </c>
      <c r="H11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0" s="72">
        <v>3</v>
      </c>
      <c r="J110" s="72">
        <v>4</v>
      </c>
      <c r="K110" s="72" t="b">
        <v>0</v>
      </c>
      <c r="M110" t="s">
        <v>469</v>
      </c>
      <c r="N110">
        <v>1</v>
      </c>
      <c r="O110">
        <v>220</v>
      </c>
      <c r="P110">
        <v>100</v>
      </c>
      <c r="Q110" s="75">
        <f ca="1">INDIRECT(ADDRESS(11+(MATCH(RIGHT(Table3[[#This Row],[spawner_sku]],LEN(Table3[[#This Row],[spawner_sku]])-FIND("/",Table3[[#This Row],[spawner_sku]])),Table1[Entity Prefab],0)),10,1,1,"Entities"))</f>
        <v>50</v>
      </c>
      <c r="R110" s="75">
        <f ca="1">ROUND((Table3[[#This Row],[XP]]*Table3[[#This Row],[entity_spawned (AVG)]])*(Table3[[#This Row],[activating_chance]]/100),0)</f>
        <v>50</v>
      </c>
      <c r="S110" t="str">
        <f ca="1">INDIRECT(ADDRESS(11+(MATCH(RIGHT(Table3[[#This Row],[spawner_sku]],LEN(Table3[[#This Row],[spawner_sku]])-FIND("/",Table3[[#This Row],[spawner_sku]])),Table28[Entity Prefab],0)),24,1,1,"Entities"))</f>
        <v>yes</v>
      </c>
      <c r="T110">
        <v>1</v>
      </c>
      <c r="U110">
        <v>1</v>
      </c>
      <c r="V110" t="b">
        <v>0</v>
      </c>
      <c r="W110" s="72"/>
      <c r="AI110" t="s">
        <v>228</v>
      </c>
      <c r="AJ110">
        <v>2</v>
      </c>
      <c r="AK110">
        <v>160</v>
      </c>
      <c r="AL110">
        <v>100</v>
      </c>
      <c r="AM110" s="75">
        <f ca="1">INDIRECT(ADDRESS(11+(MATCH(RIGHT(Table2[[#This Row],[spawner_sku]],LEN(Table2[[#This Row],[spawner_sku]])-FIND("/",Table2[[#This Row],[spawner_sku]])),Table1[Entity Prefab],0)),10,1,1,"Entities"))</f>
        <v>25</v>
      </c>
      <c r="AN110" s="75">
        <f ca="1">ROUND((Table2[[#This Row],[XP]]*Table2[[#This Row],[entity_spawned (AVG)]])*(Table2[[#This Row],[activating_chance]]/100),0)</f>
        <v>50</v>
      </c>
      <c r="AO11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10" s="72">
        <v>1</v>
      </c>
      <c r="AQ110" s="72">
        <v>3</v>
      </c>
      <c r="AR110" s="72" t="b">
        <v>0</v>
      </c>
      <c r="AT110" t="s">
        <v>445</v>
      </c>
      <c r="AU110">
        <v>1</v>
      </c>
      <c r="AV110">
        <v>190</v>
      </c>
      <c r="AW110">
        <v>100</v>
      </c>
      <c r="AX110" s="75">
        <f ca="1">INDIRECT(ADDRESS(11+(MATCH(RIGHT(Table6[[#This Row],[spawner_sku]],LEN(Table6[[#This Row],[spawner_sku]])-FIND("/",Table6[[#This Row],[spawner_sku]])),Table1[Entity Prefab],0)),10,1,1,"Entities"))</f>
        <v>0</v>
      </c>
      <c r="AY110" s="75">
        <f ca="1">ROUND((Table6[[#This Row],[XP]]*Table6[[#This Row],[entity_spawned (AVG)]])*(Table6[[#This Row],[activating_chance]]/100),0)</f>
        <v>0</v>
      </c>
      <c r="AZ110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10">
        <v>1</v>
      </c>
      <c r="BB110">
        <v>1</v>
      </c>
      <c r="BC110" t="b">
        <v>0</v>
      </c>
      <c r="BE110" t="s">
        <v>452</v>
      </c>
      <c r="BF110">
        <v>1</v>
      </c>
      <c r="BG110">
        <v>180</v>
      </c>
      <c r="BH110">
        <v>100</v>
      </c>
      <c r="BI110" s="75">
        <f ca="1">INDIRECT(ADDRESS(11+(MATCH(RIGHT(Table610[[#This Row],[spawner_sku]],LEN(Table610[[#This Row],[spawner_sku]])-FIND("/",Table610[[#This Row],[spawner_sku]])),Table1[Entity Prefab],0)),10,1,1,"Entities"))</f>
        <v>70</v>
      </c>
      <c r="BJ110" s="75">
        <f ca="1">ROUND((Table610[[#This Row],[XP]]*Table610[[#This Row],[entity_spawned (AVG)]])*(Table610[[#This Row],[activating_chance]]/100),0)</f>
        <v>70</v>
      </c>
      <c r="BK110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10">
        <v>1</v>
      </c>
      <c r="BM110">
        <v>1</v>
      </c>
      <c r="BN110" t="b">
        <v>0</v>
      </c>
      <c r="BP110" t="s">
        <v>395</v>
      </c>
      <c r="BQ110">
        <v>3</v>
      </c>
      <c r="BR110">
        <v>220</v>
      </c>
      <c r="BS110">
        <v>100</v>
      </c>
      <c r="BT11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10" s="75">
        <f ca="1">ROUND((Table61011[[#This Row],[XP]]*Table61011[[#This Row],[entity_spawned (AVG)]])*(Table61011[[#This Row],[activating_chance]]/100),0)</f>
        <v>75</v>
      </c>
      <c r="BV11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0" s="72">
        <v>2</v>
      </c>
      <c r="BX110" s="72">
        <v>4</v>
      </c>
      <c r="BY110" s="72" t="b">
        <v>0</v>
      </c>
      <c r="CA110" t="s">
        <v>232</v>
      </c>
      <c r="CB110">
        <v>1</v>
      </c>
      <c r="CC110">
        <v>250</v>
      </c>
      <c r="CD110">
        <v>100</v>
      </c>
      <c r="CE110" s="75">
        <f ca="1">INDIRECT(ADDRESS(11+(MATCH(RIGHT(Table11[[#This Row],[spawner_sku]],LEN(Table11[[#This Row],[spawner_sku]])-FIND("/",Table11[[#This Row],[spawner_sku]])),Table1[Entity Prefab],0)),10,1,1,"Entities"))</f>
        <v>143</v>
      </c>
      <c r="CF110">
        <f ca="1">ROUND((Table11[[#This Row],[XP]]*Table11[[#This Row],[entity_spawned (AVG)]])*(Table11[[#This Row],[activating_chance]]/100),0)</f>
        <v>143</v>
      </c>
      <c r="CG110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10" s="72">
        <v>1</v>
      </c>
      <c r="CI110" s="72">
        <v>1</v>
      </c>
      <c r="CJ110" s="72" t="b">
        <v>0</v>
      </c>
      <c r="CL110" t="s">
        <v>396</v>
      </c>
      <c r="CM110">
        <v>2.5</v>
      </c>
      <c r="CN110">
        <v>120</v>
      </c>
      <c r="CO110">
        <v>100</v>
      </c>
      <c r="CP110" s="75">
        <f ca="1">INDIRECT(ADDRESS(11+(MATCH(RIGHT(Table12[[#This Row],[spawner_sku]],LEN(Table12[[#This Row],[spawner_sku]])-FIND("/",Table12[[#This Row],[spawner_sku]])),Table1[Entity Prefab],0)),10,1,1,"Entities"))</f>
        <v>25</v>
      </c>
      <c r="CQ110" s="75">
        <f ca="1">ROUND((Table12[[#This Row],[XP]]*Table12[[#This Row],[entity_spawned (AVG)]])*(Table12[[#This Row],[activating_chance]]/100),0)</f>
        <v>63</v>
      </c>
      <c r="CR110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10" s="72">
        <v>2</v>
      </c>
      <c r="CT110" s="72">
        <v>3</v>
      </c>
      <c r="CU110" s="72" t="b">
        <v>0</v>
      </c>
      <c r="CW110" t="s">
        <v>388</v>
      </c>
      <c r="CX110">
        <v>1</v>
      </c>
      <c r="CY110">
        <v>220</v>
      </c>
      <c r="CZ110">
        <v>100</v>
      </c>
      <c r="DA110" s="75">
        <f ca="1">INDIRECT(ADDRESS(11+(MATCH(RIGHT(Table13[[#This Row],[spawner_sku]],LEN(Table13[[#This Row],[spawner_sku]])-FIND("/",Table13[[#This Row],[spawner_sku]])),Table1[Entity Prefab],0)),10,1,1,"Entities"))</f>
        <v>75</v>
      </c>
      <c r="DB110" s="75">
        <f ca="1">ROUND((Table13[[#This Row],[XP]]*Table13[[#This Row],[entity_spawned (AVG)]])*(Table13[[#This Row],[activating_chance]]/100),0)</f>
        <v>75</v>
      </c>
      <c r="DC110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10" s="72">
        <v>1</v>
      </c>
      <c r="DE110" s="72">
        <v>1</v>
      </c>
      <c r="DF110" s="72" t="b">
        <v>0</v>
      </c>
      <c r="DH110" t="s">
        <v>227</v>
      </c>
      <c r="DI110">
        <v>5.5</v>
      </c>
      <c r="DJ110">
        <v>180</v>
      </c>
      <c r="DK110">
        <v>100</v>
      </c>
      <c r="DL110" s="75">
        <f ca="1">INDIRECT(ADDRESS(11+(MATCH(RIGHT(Table14[[#This Row],[spawner_sku]],LEN(Table14[[#This Row],[spawner_sku]])-FIND("/",Table14[[#This Row],[spawner_sku]])),Table1[Entity Prefab],0)),10,1,1,"Entities"))</f>
        <v>25</v>
      </c>
      <c r="DM110" s="75">
        <f ca="1">ROUND((Table14[[#This Row],[XP]]*Table14[[#This Row],[entity_spawned (AVG)]])*(Table14[[#This Row],[activating_chance]]/100),0)</f>
        <v>138</v>
      </c>
      <c r="DN11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10" s="72">
        <v>5</v>
      </c>
      <c r="DP110" s="72">
        <v>6</v>
      </c>
      <c r="DQ110" s="72" t="b">
        <v>1</v>
      </c>
      <c r="DS110" t="s">
        <v>231</v>
      </c>
      <c r="DT110">
        <v>1</v>
      </c>
      <c r="DU110">
        <v>5000</v>
      </c>
      <c r="DV110">
        <v>75</v>
      </c>
      <c r="DW110" s="75">
        <f ca="1">INDIRECT(ADDRESS(11+(MATCH(RIGHT(Table18[[#This Row],[spawner_sku]],LEN(Table18[[#This Row],[spawner_sku]])-FIND("/",Table18[[#This Row],[spawner_sku]])),Table1[Entity Prefab],0)),10,1,1,"Entities"))</f>
        <v>75</v>
      </c>
      <c r="DX110" s="75">
        <f ca="1">ROUND((Table18[[#This Row],[XP]]*Table18[[#This Row],[entity_spawned (AVG)]])*(Table18[[#This Row],[activating_chance]]/100),0)</f>
        <v>56</v>
      </c>
      <c r="DY11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10">
        <v>1</v>
      </c>
      <c r="EA110">
        <v>1</v>
      </c>
      <c r="EB110" t="b">
        <v>0</v>
      </c>
      <c r="ED110" t="s">
        <v>232</v>
      </c>
      <c r="EE110">
        <v>1</v>
      </c>
      <c r="EF110">
        <v>250</v>
      </c>
      <c r="EG110">
        <v>90</v>
      </c>
      <c r="EH110" s="75">
        <f ca="1">INDIRECT(ADDRESS(11+(MATCH(RIGHT(Table1820[[#This Row],[spawner_sku]],LEN(Table1820[[#This Row],[spawner_sku]])-FIND("/",Table1820[[#This Row],[spawner_sku]])),Table1[Entity Prefab],0)),10,1,1,"Entities"))</f>
        <v>143</v>
      </c>
      <c r="EI110" s="75">
        <f ca="1">ROUND((Table1820[[#This Row],[XP]]*Table1820[[#This Row],[entity_spawned (AVG)]])*(Table1820[[#This Row],[activating_chance]]/100),0)</f>
        <v>129</v>
      </c>
      <c r="EJ110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10">
        <v>1</v>
      </c>
      <c r="EL110">
        <v>1</v>
      </c>
      <c r="EM110" t="b">
        <v>0</v>
      </c>
      <c r="EO110" t="s">
        <v>7343</v>
      </c>
      <c r="EP110">
        <v>2.5</v>
      </c>
      <c r="EQ110">
        <v>100</v>
      </c>
      <c r="ER110">
        <v>100</v>
      </c>
      <c r="ES110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ET110" s="75">
        <f ca="1">ROUND((Table182023[[#This Row],[XP]]*Table182023[[#This Row],[entity_spawned (AVG)]])*(Table182023[[#This Row],[activating_chance]]/100),0)</f>
        <v>325</v>
      </c>
      <c r="EU110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EV110" s="152">
        <v>2</v>
      </c>
      <c r="EW110" s="152">
        <v>3</v>
      </c>
      <c r="EX110" s="152" t="b">
        <v>0</v>
      </c>
      <c r="EZ110" t="s">
        <v>7345</v>
      </c>
      <c r="FA110">
        <v>2.5</v>
      </c>
      <c r="FB110">
        <v>100</v>
      </c>
      <c r="FC110">
        <v>100</v>
      </c>
      <c r="FD110" s="75">
        <f ca="1">INDIRECT(ADDRESS(11+(MATCH(RIGHT(Table18202324[[#This Row],[spawner_sku]],LEN(Table18202324[[#This Row],[spawner_sku]])-FIND("/",Table18202324[[#This Row],[spawner_sku]])),Table1[Entity Prefab],0)),10,1,1,"Entities"))</f>
        <v>143</v>
      </c>
      <c r="FE110" s="75">
        <f ca="1">ROUND((Table18202324[[#This Row],[XP]]*Table18202324[[#This Row],[entity_spawned (AVG)]])*(Table18202324[[#This Row],[activating_chance]]/100),0)</f>
        <v>358</v>
      </c>
      <c r="FF110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10">
        <v>2</v>
      </c>
      <c r="FH110">
        <v>3</v>
      </c>
      <c r="FI110" t="b">
        <v>0</v>
      </c>
    </row>
    <row r="111" spans="2:165" x14ac:dyDescent="0.25">
      <c r="B111" s="73" t="s">
        <v>228</v>
      </c>
      <c r="C111">
        <v>3.5</v>
      </c>
      <c r="D111">
        <v>140</v>
      </c>
      <c r="E111">
        <v>85</v>
      </c>
      <c r="F111" s="75">
        <f ca="1">INDIRECT(ADDRESS(11+(MATCH(RIGHT(Table245[[#This Row],[spawner_sku]],LEN(Table245[[#This Row],[spawner_sku]])-FIND("/",Table245[[#This Row],[spawner_sku]])),Table1[Entity Prefab],0)),10,1,1,"Entities"))</f>
        <v>25</v>
      </c>
      <c r="G111" s="75">
        <f ca="1">ROUND((Table245[[#This Row],[XP]]*Table245[[#This Row],[entity_spawned (AVG)]])*(Table245[[#This Row],[activating_chance]]/100),0)</f>
        <v>74</v>
      </c>
      <c r="H11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1" s="72">
        <v>3</v>
      </c>
      <c r="J111" s="72">
        <v>4</v>
      </c>
      <c r="K111" s="72" t="b">
        <v>0</v>
      </c>
      <c r="M111" t="s">
        <v>472</v>
      </c>
      <c r="N111">
        <v>1</v>
      </c>
      <c r="O111">
        <v>280</v>
      </c>
      <c r="P111">
        <v>100</v>
      </c>
      <c r="Q111" s="75">
        <f ca="1">INDIRECT(ADDRESS(11+(MATCH(RIGHT(Table3[[#This Row],[spawner_sku]],LEN(Table3[[#This Row],[spawner_sku]])-FIND("/",Table3[[#This Row],[spawner_sku]])),Table1[Entity Prefab],0)),10,1,1,"Entities"))</f>
        <v>143</v>
      </c>
      <c r="R111" s="75">
        <f ca="1">ROUND((Table3[[#This Row],[XP]]*Table3[[#This Row],[entity_spawned (AVG)]])*(Table3[[#This Row],[activating_chance]]/100),0)</f>
        <v>143</v>
      </c>
      <c r="S111" t="str">
        <f ca="1">INDIRECT(ADDRESS(11+(MATCH(RIGHT(Table3[[#This Row],[spawner_sku]],LEN(Table3[[#This Row],[spawner_sku]])-FIND("/",Table3[[#This Row],[spawner_sku]])),Table28[Entity Prefab],0)),24,1,1,"Entities"))</f>
        <v>yes</v>
      </c>
      <c r="T111">
        <v>1</v>
      </c>
      <c r="U111">
        <v>1</v>
      </c>
      <c r="V111" t="b">
        <v>0</v>
      </c>
      <c r="W111" s="72"/>
      <c r="AI111" t="s">
        <v>228</v>
      </c>
      <c r="AJ111">
        <v>1.5</v>
      </c>
      <c r="AK111">
        <v>80</v>
      </c>
      <c r="AL111">
        <v>100</v>
      </c>
      <c r="AM111" s="75">
        <f ca="1">INDIRECT(ADDRESS(11+(MATCH(RIGHT(Table2[[#This Row],[spawner_sku]],LEN(Table2[[#This Row],[spawner_sku]])-FIND("/",Table2[[#This Row],[spawner_sku]])),Table1[Entity Prefab],0)),10,1,1,"Entities"))</f>
        <v>25</v>
      </c>
      <c r="AN111" s="75">
        <f ca="1">ROUND((Table2[[#This Row],[XP]]*Table2[[#This Row],[entity_spawned (AVG)]])*(Table2[[#This Row],[activating_chance]]/100),0)</f>
        <v>38</v>
      </c>
      <c r="AO11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11" s="72">
        <v>1</v>
      </c>
      <c r="AQ111" s="72">
        <v>2</v>
      </c>
      <c r="AR111" s="72" t="b">
        <v>0</v>
      </c>
      <c r="AT111" t="s">
        <v>445</v>
      </c>
      <c r="AU111">
        <v>1</v>
      </c>
      <c r="AV111">
        <v>190</v>
      </c>
      <c r="AW111">
        <v>80</v>
      </c>
      <c r="AX111" s="75">
        <f ca="1">INDIRECT(ADDRESS(11+(MATCH(RIGHT(Table6[[#This Row],[spawner_sku]],LEN(Table6[[#This Row],[spawner_sku]])-FIND("/",Table6[[#This Row],[spawner_sku]])),Table1[Entity Prefab],0)),10,1,1,"Entities"))</f>
        <v>0</v>
      </c>
      <c r="AY111" s="75">
        <f ca="1">ROUND((Table6[[#This Row],[XP]]*Table6[[#This Row],[entity_spawned (AVG)]])*(Table6[[#This Row],[activating_chance]]/100),0)</f>
        <v>0</v>
      </c>
      <c r="AZ111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11">
        <v>1</v>
      </c>
      <c r="BB111">
        <v>1</v>
      </c>
      <c r="BC111" t="b">
        <v>0</v>
      </c>
      <c r="BE111" t="s">
        <v>452</v>
      </c>
      <c r="BF111">
        <v>1</v>
      </c>
      <c r="BG111">
        <v>100</v>
      </c>
      <c r="BH111">
        <v>100</v>
      </c>
      <c r="BI111" s="75">
        <f ca="1">INDIRECT(ADDRESS(11+(MATCH(RIGHT(Table610[[#This Row],[spawner_sku]],LEN(Table610[[#This Row],[spawner_sku]])-FIND("/",Table610[[#This Row],[spawner_sku]])),Table1[Entity Prefab],0)),10,1,1,"Entities"))</f>
        <v>70</v>
      </c>
      <c r="BJ111" s="75">
        <f ca="1">ROUND((Table610[[#This Row],[XP]]*Table610[[#This Row],[entity_spawned (AVG)]])*(Table610[[#This Row],[activating_chance]]/100),0)</f>
        <v>70</v>
      </c>
      <c r="BK111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11">
        <v>1</v>
      </c>
      <c r="BM111">
        <v>1</v>
      </c>
      <c r="BN111" t="b">
        <v>0</v>
      </c>
      <c r="BP111" t="s">
        <v>395</v>
      </c>
      <c r="BQ111">
        <v>10</v>
      </c>
      <c r="BR111">
        <v>260</v>
      </c>
      <c r="BS111">
        <v>40</v>
      </c>
      <c r="BT11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11" s="75">
        <f ca="1">ROUND((Table61011[[#This Row],[XP]]*Table61011[[#This Row],[entity_spawned (AVG)]])*(Table61011[[#This Row],[activating_chance]]/100),0)</f>
        <v>100</v>
      </c>
      <c r="BV11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1" s="72">
        <v>8</v>
      </c>
      <c r="BX111" s="72">
        <v>12</v>
      </c>
      <c r="BY111" s="72" t="b">
        <v>1</v>
      </c>
      <c r="CA111" t="s">
        <v>232</v>
      </c>
      <c r="CB111">
        <v>1</v>
      </c>
      <c r="CC111">
        <v>250</v>
      </c>
      <c r="CD111">
        <v>100</v>
      </c>
      <c r="CE111" s="75">
        <f ca="1">INDIRECT(ADDRESS(11+(MATCH(RIGHT(Table11[[#This Row],[spawner_sku]],LEN(Table11[[#This Row],[spawner_sku]])-FIND("/",Table11[[#This Row],[spawner_sku]])),Table1[Entity Prefab],0)),10,1,1,"Entities"))</f>
        <v>143</v>
      </c>
      <c r="CF111">
        <f ca="1">ROUND((Table11[[#This Row],[XP]]*Table11[[#This Row],[entity_spawned (AVG)]])*(Table11[[#This Row],[activating_chance]]/100),0)</f>
        <v>143</v>
      </c>
      <c r="CG111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11" s="72">
        <v>1</v>
      </c>
      <c r="CI111" s="72">
        <v>1</v>
      </c>
      <c r="CJ111" s="72" t="b">
        <v>0</v>
      </c>
      <c r="CL111" t="s">
        <v>396</v>
      </c>
      <c r="CM111">
        <v>1</v>
      </c>
      <c r="CN111">
        <v>120</v>
      </c>
      <c r="CO111">
        <v>100</v>
      </c>
      <c r="CP111" s="75">
        <f ca="1">INDIRECT(ADDRESS(11+(MATCH(RIGHT(Table12[[#This Row],[spawner_sku]],LEN(Table12[[#This Row],[spawner_sku]])-FIND("/",Table12[[#This Row],[spawner_sku]])),Table1[Entity Prefab],0)),10,1,1,"Entities"))</f>
        <v>25</v>
      </c>
      <c r="CQ111" s="75">
        <f ca="1">ROUND((Table12[[#This Row],[XP]]*Table12[[#This Row],[entity_spawned (AVG)]])*(Table12[[#This Row],[activating_chance]]/100),0)</f>
        <v>25</v>
      </c>
      <c r="CR111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11" s="72">
        <v>1</v>
      </c>
      <c r="CT111" s="72">
        <v>1</v>
      </c>
      <c r="CU111" s="72" t="b">
        <v>0</v>
      </c>
      <c r="CW111" t="s">
        <v>521</v>
      </c>
      <c r="CX111">
        <v>1</v>
      </c>
      <c r="CY111">
        <v>310</v>
      </c>
      <c r="CZ111">
        <v>100</v>
      </c>
      <c r="DA111" s="75">
        <f ca="1">INDIRECT(ADDRESS(11+(MATCH(RIGHT(Table13[[#This Row],[spawner_sku]],LEN(Table13[[#This Row],[spawner_sku]])-FIND("/",Table13[[#This Row],[spawner_sku]])),Table1[Entity Prefab],0)),10,1,1,"Entities"))</f>
        <v>83</v>
      </c>
      <c r="DB111" s="75">
        <f ca="1">ROUND((Table13[[#This Row],[XP]]*Table13[[#This Row],[entity_spawned (AVG)]])*(Table13[[#This Row],[activating_chance]]/100),0)</f>
        <v>83</v>
      </c>
      <c r="DC111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11" s="72">
        <v>1</v>
      </c>
      <c r="DE111" s="72">
        <v>1</v>
      </c>
      <c r="DF111" s="72" t="b">
        <v>0</v>
      </c>
      <c r="DH111" t="s">
        <v>227</v>
      </c>
      <c r="DI111">
        <v>18</v>
      </c>
      <c r="DJ111">
        <v>200</v>
      </c>
      <c r="DK111">
        <v>100</v>
      </c>
      <c r="DL111" s="75">
        <f ca="1">INDIRECT(ADDRESS(11+(MATCH(RIGHT(Table14[[#This Row],[spawner_sku]],LEN(Table14[[#This Row],[spawner_sku]])-FIND("/",Table14[[#This Row],[spawner_sku]])),Table1[Entity Prefab],0)),10,1,1,"Entities"))</f>
        <v>25</v>
      </c>
      <c r="DM111" s="75">
        <f ca="1">ROUND((Table14[[#This Row],[XP]]*Table14[[#This Row],[entity_spawned (AVG)]])*(Table14[[#This Row],[activating_chance]]/100),0)</f>
        <v>450</v>
      </c>
      <c r="DN11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11" s="72">
        <v>16</v>
      </c>
      <c r="DP111" s="72">
        <v>20</v>
      </c>
      <c r="DQ111" s="72" t="b">
        <v>1</v>
      </c>
      <c r="DS111" t="s">
        <v>233</v>
      </c>
      <c r="DT111">
        <v>1</v>
      </c>
      <c r="DU111">
        <v>200</v>
      </c>
      <c r="DV111">
        <v>100</v>
      </c>
      <c r="DW111" s="75">
        <f ca="1">INDIRECT(ADDRESS(11+(MATCH(RIGHT(Table18[[#This Row],[spawner_sku]],LEN(Table18[[#This Row],[spawner_sku]])-FIND("/",Table18[[#This Row],[spawner_sku]])),Table1[Entity Prefab],0)),10,1,1,"Entities"))</f>
        <v>195</v>
      </c>
      <c r="DX111" s="75">
        <f ca="1">ROUND((Table18[[#This Row],[XP]]*Table18[[#This Row],[entity_spawned (AVG)]])*(Table18[[#This Row],[activating_chance]]/100),0)</f>
        <v>195</v>
      </c>
      <c r="DY111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11">
        <v>1</v>
      </c>
      <c r="EA111">
        <v>1</v>
      </c>
      <c r="EB111" t="b">
        <v>0</v>
      </c>
      <c r="ED111" t="s">
        <v>232</v>
      </c>
      <c r="EE111">
        <v>1</v>
      </c>
      <c r="EF111">
        <v>250</v>
      </c>
      <c r="EG111">
        <v>100</v>
      </c>
      <c r="EH111" s="75">
        <f ca="1">INDIRECT(ADDRESS(11+(MATCH(RIGHT(Table1820[[#This Row],[spawner_sku]],LEN(Table1820[[#This Row],[spawner_sku]])-FIND("/",Table1820[[#This Row],[spawner_sku]])),Table1[Entity Prefab],0)),10,1,1,"Entities"))</f>
        <v>143</v>
      </c>
      <c r="EI111" s="75">
        <f ca="1">ROUND((Table1820[[#This Row],[XP]]*Table1820[[#This Row],[entity_spawned (AVG)]])*(Table1820[[#This Row],[activating_chance]]/100),0)</f>
        <v>143</v>
      </c>
      <c r="EJ111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11">
        <v>1</v>
      </c>
      <c r="EL111">
        <v>1</v>
      </c>
      <c r="EM111" t="b">
        <v>0</v>
      </c>
      <c r="EO111" t="s">
        <v>7343</v>
      </c>
      <c r="EP111">
        <v>1.5</v>
      </c>
      <c r="EQ111">
        <v>100</v>
      </c>
      <c r="ER111">
        <v>100</v>
      </c>
      <c r="ES111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ET111" s="75">
        <f ca="1">ROUND((Table182023[[#This Row],[XP]]*Table182023[[#This Row],[entity_spawned (AVG)]])*(Table182023[[#This Row],[activating_chance]]/100),0)</f>
        <v>195</v>
      </c>
      <c r="EU111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EV111" s="152">
        <v>1</v>
      </c>
      <c r="EW111" s="152">
        <v>2</v>
      </c>
      <c r="EX111" s="152" t="b">
        <v>0</v>
      </c>
      <c r="EZ111" t="s">
        <v>7346</v>
      </c>
      <c r="FA111">
        <v>6.5</v>
      </c>
      <c r="FB111">
        <v>100</v>
      </c>
      <c r="FC111">
        <v>100</v>
      </c>
      <c r="FD111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FE111" s="75">
        <f ca="1">ROUND((Table18202324[[#This Row],[XP]]*Table18202324[[#This Row],[entity_spawned (AVG)]])*(Table18202324[[#This Row],[activating_chance]]/100),0)</f>
        <v>228</v>
      </c>
      <c r="FF111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11">
        <v>5</v>
      </c>
      <c r="FH111">
        <v>8</v>
      </c>
      <c r="FI111" t="b">
        <v>1</v>
      </c>
    </row>
    <row r="112" spans="2:165" x14ac:dyDescent="0.25">
      <c r="B112" s="73" t="s">
        <v>228</v>
      </c>
      <c r="C112">
        <v>2.5</v>
      </c>
      <c r="D112">
        <v>120</v>
      </c>
      <c r="E112">
        <v>100</v>
      </c>
      <c r="F112" s="75">
        <f ca="1">INDIRECT(ADDRESS(11+(MATCH(RIGHT(Table245[[#This Row],[spawner_sku]],LEN(Table245[[#This Row],[spawner_sku]])-FIND("/",Table245[[#This Row],[spawner_sku]])),Table1[Entity Prefab],0)),10,1,1,"Entities"))</f>
        <v>25</v>
      </c>
      <c r="G112" s="75">
        <f ca="1">ROUND((Table245[[#This Row],[XP]]*Table245[[#This Row],[entity_spawned (AVG)]])*(Table245[[#This Row],[activating_chance]]/100),0)</f>
        <v>63</v>
      </c>
      <c r="H11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2" s="72">
        <v>2</v>
      </c>
      <c r="J112" s="72">
        <v>3</v>
      </c>
      <c r="K112" s="72" t="b">
        <v>0</v>
      </c>
      <c r="M112" t="s">
        <v>472</v>
      </c>
      <c r="N112">
        <v>1</v>
      </c>
      <c r="O112">
        <v>280</v>
      </c>
      <c r="P112">
        <v>100</v>
      </c>
      <c r="Q112" s="75">
        <f ca="1">INDIRECT(ADDRESS(11+(MATCH(RIGHT(Table3[[#This Row],[spawner_sku]],LEN(Table3[[#This Row],[spawner_sku]])-FIND("/",Table3[[#This Row],[spawner_sku]])),Table1[Entity Prefab],0)),10,1,1,"Entities"))</f>
        <v>143</v>
      </c>
      <c r="R112" s="75">
        <f ca="1">ROUND((Table3[[#This Row],[XP]]*Table3[[#This Row],[entity_spawned (AVG)]])*(Table3[[#This Row],[activating_chance]]/100),0)</f>
        <v>143</v>
      </c>
      <c r="S112" t="str">
        <f ca="1">INDIRECT(ADDRESS(11+(MATCH(RIGHT(Table3[[#This Row],[spawner_sku]],LEN(Table3[[#This Row],[spawner_sku]])-FIND("/",Table3[[#This Row],[spawner_sku]])),Table28[Entity Prefab],0)),24,1,1,"Entities"))</f>
        <v>yes</v>
      </c>
      <c r="T112">
        <v>1</v>
      </c>
      <c r="U112">
        <v>1</v>
      </c>
      <c r="V112" t="b">
        <v>0</v>
      </c>
      <c r="W112" s="72"/>
      <c r="AI112" t="s">
        <v>228</v>
      </c>
      <c r="AJ112">
        <v>2</v>
      </c>
      <c r="AK112">
        <v>110</v>
      </c>
      <c r="AL112">
        <v>100</v>
      </c>
      <c r="AM112" s="75">
        <f ca="1">INDIRECT(ADDRESS(11+(MATCH(RIGHT(Table2[[#This Row],[spawner_sku]],LEN(Table2[[#This Row],[spawner_sku]])-FIND("/",Table2[[#This Row],[spawner_sku]])),Table1[Entity Prefab],0)),10,1,1,"Entities"))</f>
        <v>25</v>
      </c>
      <c r="AN112" s="75">
        <f ca="1">ROUND((Table2[[#This Row],[XP]]*Table2[[#This Row],[entity_spawned (AVG)]])*(Table2[[#This Row],[activating_chance]]/100),0)</f>
        <v>50</v>
      </c>
      <c r="AO11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12" s="72">
        <v>1</v>
      </c>
      <c r="AQ112" s="72">
        <v>3</v>
      </c>
      <c r="AR112" s="72" t="b">
        <v>0</v>
      </c>
      <c r="AT112" t="s">
        <v>445</v>
      </c>
      <c r="AU112">
        <v>1</v>
      </c>
      <c r="AV112">
        <v>190</v>
      </c>
      <c r="AW112">
        <v>100</v>
      </c>
      <c r="AX112" s="75">
        <f ca="1">INDIRECT(ADDRESS(11+(MATCH(RIGHT(Table6[[#This Row],[spawner_sku]],LEN(Table6[[#This Row],[spawner_sku]])-FIND("/",Table6[[#This Row],[spawner_sku]])),Table1[Entity Prefab],0)),10,1,1,"Entities"))</f>
        <v>0</v>
      </c>
      <c r="AY112" s="75">
        <f ca="1">ROUND((Table6[[#This Row],[XP]]*Table6[[#This Row],[entity_spawned (AVG)]])*(Table6[[#This Row],[activating_chance]]/100),0)</f>
        <v>0</v>
      </c>
      <c r="AZ112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12">
        <v>1</v>
      </c>
      <c r="BB112">
        <v>1</v>
      </c>
      <c r="BC112" t="b">
        <v>0</v>
      </c>
      <c r="BE112" t="s">
        <v>452</v>
      </c>
      <c r="BF112">
        <v>1</v>
      </c>
      <c r="BG112">
        <v>180</v>
      </c>
      <c r="BH112">
        <v>100</v>
      </c>
      <c r="BI112" s="75">
        <f ca="1">INDIRECT(ADDRESS(11+(MATCH(RIGHT(Table610[[#This Row],[spawner_sku]],LEN(Table610[[#This Row],[spawner_sku]])-FIND("/",Table610[[#This Row],[spawner_sku]])),Table1[Entity Prefab],0)),10,1,1,"Entities"))</f>
        <v>70</v>
      </c>
      <c r="BJ112" s="75">
        <f ca="1">ROUND((Table610[[#This Row],[XP]]*Table610[[#This Row],[entity_spawned (AVG)]])*(Table610[[#This Row],[activating_chance]]/100),0)</f>
        <v>70</v>
      </c>
      <c r="BK112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12">
        <v>1</v>
      </c>
      <c r="BM112">
        <v>1</v>
      </c>
      <c r="BN112" t="b">
        <v>0</v>
      </c>
      <c r="BP112" t="s">
        <v>395</v>
      </c>
      <c r="BQ112">
        <v>3.5</v>
      </c>
      <c r="BR112">
        <v>220</v>
      </c>
      <c r="BS112">
        <v>100</v>
      </c>
      <c r="BT11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12" s="75">
        <f ca="1">ROUND((Table61011[[#This Row],[XP]]*Table61011[[#This Row],[entity_spawned (AVG)]])*(Table61011[[#This Row],[activating_chance]]/100),0)</f>
        <v>88</v>
      </c>
      <c r="BV11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2" s="72">
        <v>3</v>
      </c>
      <c r="BX112" s="72">
        <v>4</v>
      </c>
      <c r="BY112" s="72" t="b">
        <v>0</v>
      </c>
      <c r="CA112" t="s">
        <v>232</v>
      </c>
      <c r="CB112">
        <v>1</v>
      </c>
      <c r="CC112">
        <v>250</v>
      </c>
      <c r="CD112">
        <v>100</v>
      </c>
      <c r="CE112" s="75">
        <f ca="1">INDIRECT(ADDRESS(11+(MATCH(RIGHT(Table11[[#This Row],[spawner_sku]],LEN(Table11[[#This Row],[spawner_sku]])-FIND("/",Table11[[#This Row],[spawner_sku]])),Table1[Entity Prefab],0)),10,1,1,"Entities"))</f>
        <v>143</v>
      </c>
      <c r="CF112">
        <f ca="1">ROUND((Table11[[#This Row],[XP]]*Table11[[#This Row],[entity_spawned (AVG)]])*(Table11[[#This Row],[activating_chance]]/100),0)</f>
        <v>143</v>
      </c>
      <c r="CG112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12" s="72">
        <v>1</v>
      </c>
      <c r="CI112" s="72">
        <v>1</v>
      </c>
      <c r="CJ112" s="72" t="b">
        <v>0</v>
      </c>
      <c r="CL112" t="s">
        <v>396</v>
      </c>
      <c r="CM112">
        <v>1</v>
      </c>
      <c r="CN112">
        <v>120</v>
      </c>
      <c r="CO112">
        <v>100</v>
      </c>
      <c r="CP112" s="75">
        <f ca="1">INDIRECT(ADDRESS(11+(MATCH(RIGHT(Table12[[#This Row],[spawner_sku]],LEN(Table12[[#This Row],[spawner_sku]])-FIND("/",Table12[[#This Row],[spawner_sku]])),Table1[Entity Prefab],0)),10,1,1,"Entities"))</f>
        <v>25</v>
      </c>
      <c r="CQ112" s="75">
        <f ca="1">ROUND((Table12[[#This Row],[XP]]*Table12[[#This Row],[entity_spawned (AVG)]])*(Table12[[#This Row],[activating_chance]]/100),0)</f>
        <v>25</v>
      </c>
      <c r="CR112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12" s="72">
        <v>1</v>
      </c>
      <c r="CT112" s="72">
        <v>1</v>
      </c>
      <c r="CU112" s="72" t="b">
        <v>0</v>
      </c>
      <c r="CW112" t="s">
        <v>521</v>
      </c>
      <c r="CX112">
        <v>1</v>
      </c>
      <c r="CY112">
        <v>310</v>
      </c>
      <c r="CZ112">
        <v>100</v>
      </c>
      <c r="DA112" s="75">
        <f ca="1">INDIRECT(ADDRESS(11+(MATCH(RIGHT(Table13[[#This Row],[spawner_sku]],LEN(Table13[[#This Row],[spawner_sku]])-FIND("/",Table13[[#This Row],[spawner_sku]])),Table1[Entity Prefab],0)),10,1,1,"Entities"))</f>
        <v>83</v>
      </c>
      <c r="DB112" s="75">
        <f ca="1">ROUND((Table13[[#This Row],[XP]]*Table13[[#This Row],[entity_spawned (AVG)]])*(Table13[[#This Row],[activating_chance]]/100),0)</f>
        <v>83</v>
      </c>
      <c r="DC112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12" s="72">
        <v>1</v>
      </c>
      <c r="DE112" s="72">
        <v>1</v>
      </c>
      <c r="DF112" s="72" t="b">
        <v>0</v>
      </c>
      <c r="DH112" t="s">
        <v>227</v>
      </c>
      <c r="DI112">
        <v>10</v>
      </c>
      <c r="DJ112">
        <v>200</v>
      </c>
      <c r="DK112">
        <v>100</v>
      </c>
      <c r="DL112" s="75">
        <f ca="1">INDIRECT(ADDRESS(11+(MATCH(RIGHT(Table14[[#This Row],[spawner_sku]],LEN(Table14[[#This Row],[spawner_sku]])-FIND("/",Table14[[#This Row],[spawner_sku]])),Table1[Entity Prefab],0)),10,1,1,"Entities"))</f>
        <v>25</v>
      </c>
      <c r="DM112" s="75">
        <f ca="1">ROUND((Table14[[#This Row],[XP]]*Table14[[#This Row],[entity_spawned (AVG)]])*(Table14[[#This Row],[activating_chance]]/100),0)</f>
        <v>250</v>
      </c>
      <c r="DN11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12" s="72">
        <v>8</v>
      </c>
      <c r="DP112" s="72">
        <v>12</v>
      </c>
      <c r="DQ112" s="72" t="b">
        <v>1</v>
      </c>
      <c r="DS112" t="s">
        <v>233</v>
      </c>
      <c r="DT112">
        <v>1</v>
      </c>
      <c r="DU112">
        <v>200</v>
      </c>
      <c r="DV112">
        <v>100</v>
      </c>
      <c r="DW112" s="75">
        <f ca="1">INDIRECT(ADDRESS(11+(MATCH(RIGHT(Table18[[#This Row],[spawner_sku]],LEN(Table18[[#This Row],[spawner_sku]])-FIND("/",Table18[[#This Row],[spawner_sku]])),Table1[Entity Prefab],0)),10,1,1,"Entities"))</f>
        <v>195</v>
      </c>
      <c r="DX112" s="75">
        <f ca="1">ROUND((Table18[[#This Row],[XP]]*Table18[[#This Row],[entity_spawned (AVG)]])*(Table18[[#This Row],[activating_chance]]/100),0)</f>
        <v>195</v>
      </c>
      <c r="DY112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12">
        <v>1</v>
      </c>
      <c r="EA112">
        <v>1</v>
      </c>
      <c r="EB112" t="b">
        <v>0</v>
      </c>
      <c r="ED112" t="s">
        <v>232</v>
      </c>
      <c r="EE112">
        <v>1</v>
      </c>
      <c r="EF112">
        <v>250</v>
      </c>
      <c r="EG112">
        <v>100</v>
      </c>
      <c r="EH112" s="75">
        <f ca="1">INDIRECT(ADDRESS(11+(MATCH(RIGHT(Table1820[[#This Row],[spawner_sku]],LEN(Table1820[[#This Row],[spawner_sku]])-FIND("/",Table1820[[#This Row],[spawner_sku]])),Table1[Entity Prefab],0)),10,1,1,"Entities"))</f>
        <v>143</v>
      </c>
      <c r="EI112" s="75">
        <f ca="1">ROUND((Table1820[[#This Row],[XP]]*Table1820[[#This Row],[entity_spawned (AVG)]])*(Table1820[[#This Row],[activating_chance]]/100),0)</f>
        <v>143</v>
      </c>
      <c r="EJ112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12">
        <v>1</v>
      </c>
      <c r="EL112">
        <v>1</v>
      </c>
      <c r="EM112" t="b">
        <v>0</v>
      </c>
      <c r="EO112" t="s">
        <v>7343</v>
      </c>
      <c r="EP112">
        <v>2.5</v>
      </c>
      <c r="EQ112">
        <v>100</v>
      </c>
      <c r="ER112">
        <v>100</v>
      </c>
      <c r="ES112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ET112" s="75">
        <f ca="1">ROUND((Table182023[[#This Row],[XP]]*Table182023[[#This Row],[entity_spawned (AVG)]])*(Table182023[[#This Row],[activating_chance]]/100),0)</f>
        <v>325</v>
      </c>
      <c r="EU112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EV112" s="152">
        <v>2</v>
      </c>
      <c r="EW112" s="152">
        <v>3</v>
      </c>
      <c r="EX112" s="152" t="b">
        <v>0</v>
      </c>
      <c r="EZ112" t="s">
        <v>7346</v>
      </c>
      <c r="FA112">
        <v>3</v>
      </c>
      <c r="FB112">
        <v>90</v>
      </c>
      <c r="FC112">
        <v>80</v>
      </c>
      <c r="FD112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FE112" s="75">
        <f ca="1">ROUND((Table18202324[[#This Row],[XP]]*Table18202324[[#This Row],[entity_spawned (AVG)]])*(Table18202324[[#This Row],[activating_chance]]/100),0)</f>
        <v>84</v>
      </c>
      <c r="FF112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12">
        <v>2</v>
      </c>
      <c r="FH112">
        <v>4</v>
      </c>
      <c r="FI112" t="b">
        <v>0</v>
      </c>
    </row>
    <row r="113" spans="2:165" x14ac:dyDescent="0.25">
      <c r="B113" s="73" t="s">
        <v>228</v>
      </c>
      <c r="C113">
        <v>1.5</v>
      </c>
      <c r="D113">
        <v>180</v>
      </c>
      <c r="E113">
        <v>100</v>
      </c>
      <c r="F113" s="75">
        <f ca="1">INDIRECT(ADDRESS(11+(MATCH(RIGHT(Table245[[#This Row],[spawner_sku]],LEN(Table245[[#This Row],[spawner_sku]])-FIND("/",Table245[[#This Row],[spawner_sku]])),Table1[Entity Prefab],0)),10,1,1,"Entities"))</f>
        <v>25</v>
      </c>
      <c r="G113" s="75">
        <f ca="1">ROUND((Table245[[#This Row],[XP]]*Table245[[#This Row],[entity_spawned (AVG)]])*(Table245[[#This Row],[activating_chance]]/100),0)</f>
        <v>38</v>
      </c>
      <c r="H11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3" s="72">
        <v>1</v>
      </c>
      <c r="J113" s="72">
        <v>2</v>
      </c>
      <c r="K113" s="72" t="b">
        <v>0</v>
      </c>
      <c r="M113" t="s">
        <v>445</v>
      </c>
      <c r="N113">
        <v>1</v>
      </c>
      <c r="O113">
        <v>180</v>
      </c>
      <c r="P113">
        <v>100</v>
      </c>
      <c r="Q113" s="75">
        <f ca="1">INDIRECT(ADDRESS(11+(MATCH(RIGHT(Table3[[#This Row],[spawner_sku]],LEN(Table3[[#This Row],[spawner_sku]])-FIND("/",Table3[[#This Row],[spawner_sku]])),Table1[Entity Prefab],0)),10,1,1,"Entities"))</f>
        <v>0</v>
      </c>
      <c r="R113" s="75">
        <f ca="1">ROUND((Table3[[#This Row],[XP]]*Table3[[#This Row],[entity_spawned (AVG)]])*(Table3[[#This Row],[activating_chance]]/100),0)</f>
        <v>0</v>
      </c>
      <c r="S113" t="str">
        <f ca="1">INDIRECT(ADDRESS(11+(MATCH(RIGHT(Table3[[#This Row],[spawner_sku]],LEN(Table3[[#This Row],[spawner_sku]])-FIND("/",Table3[[#This Row],[spawner_sku]])),Table28[Entity Prefab],0)),24,1,1,"Entities"))</f>
        <v>yes</v>
      </c>
      <c r="T113">
        <v>1</v>
      </c>
      <c r="U113">
        <v>1</v>
      </c>
      <c r="V113" t="b">
        <v>0</v>
      </c>
      <c r="W113" s="72"/>
      <c r="AI113" t="s">
        <v>228</v>
      </c>
      <c r="AJ113">
        <v>6.5</v>
      </c>
      <c r="AK113">
        <v>140</v>
      </c>
      <c r="AL113">
        <v>40</v>
      </c>
      <c r="AM113" s="75">
        <f ca="1">INDIRECT(ADDRESS(11+(MATCH(RIGHT(Table2[[#This Row],[spawner_sku]],LEN(Table2[[#This Row],[spawner_sku]])-FIND("/",Table2[[#This Row],[spawner_sku]])),Table1[Entity Prefab],0)),10,1,1,"Entities"))</f>
        <v>25</v>
      </c>
      <c r="AN113" s="75">
        <f ca="1">ROUND((Table2[[#This Row],[XP]]*Table2[[#This Row],[entity_spawned (AVG)]])*(Table2[[#This Row],[activating_chance]]/100),0)</f>
        <v>65</v>
      </c>
      <c r="AO11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13" s="72">
        <v>5</v>
      </c>
      <c r="AQ113" s="72">
        <v>8</v>
      </c>
      <c r="AR113" s="72" t="b">
        <v>1</v>
      </c>
      <c r="AT113" t="s">
        <v>606</v>
      </c>
      <c r="AU113">
        <v>1</v>
      </c>
      <c r="AV113">
        <v>5000</v>
      </c>
      <c r="AW113">
        <v>30</v>
      </c>
      <c r="AX113" s="75">
        <f ca="1">INDIRECT(ADDRESS(11+(MATCH(RIGHT(Table6[[#This Row],[spawner_sku]],LEN(Table6[[#This Row],[spawner_sku]])-FIND("/",Table6[[#This Row],[spawner_sku]])),Table1[Entity Prefab],0)),10,1,1,"Entities"))</f>
        <v>25</v>
      </c>
      <c r="AY113" s="75">
        <f ca="1">ROUND((Table6[[#This Row],[XP]]*Table6[[#This Row],[entity_spawned (AVG)]])*(Table6[[#This Row],[activating_chance]]/100),0)</f>
        <v>8</v>
      </c>
      <c r="AZ113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13">
        <v>1</v>
      </c>
      <c r="BB113">
        <v>1</v>
      </c>
      <c r="BC113" t="b">
        <v>0</v>
      </c>
      <c r="BE113" t="s">
        <v>452</v>
      </c>
      <c r="BF113">
        <v>1</v>
      </c>
      <c r="BG113">
        <v>180</v>
      </c>
      <c r="BH113">
        <v>100</v>
      </c>
      <c r="BI113" s="75">
        <f ca="1">INDIRECT(ADDRESS(11+(MATCH(RIGHT(Table610[[#This Row],[spawner_sku]],LEN(Table610[[#This Row],[spawner_sku]])-FIND("/",Table610[[#This Row],[spawner_sku]])),Table1[Entity Prefab],0)),10,1,1,"Entities"))</f>
        <v>70</v>
      </c>
      <c r="BJ113" s="75">
        <f ca="1">ROUND((Table610[[#This Row],[XP]]*Table610[[#This Row],[entity_spawned (AVG)]])*(Table610[[#This Row],[activating_chance]]/100),0)</f>
        <v>70</v>
      </c>
      <c r="BK113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13">
        <v>1</v>
      </c>
      <c r="BM113">
        <v>1</v>
      </c>
      <c r="BN113" t="b">
        <v>0</v>
      </c>
      <c r="BP113" t="s">
        <v>395</v>
      </c>
      <c r="BQ113">
        <v>1.5</v>
      </c>
      <c r="BR113">
        <v>160</v>
      </c>
      <c r="BS113">
        <v>100</v>
      </c>
      <c r="BT11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13" s="75">
        <f ca="1">ROUND((Table61011[[#This Row],[XP]]*Table61011[[#This Row],[entity_spawned (AVG)]])*(Table61011[[#This Row],[activating_chance]]/100),0)</f>
        <v>38</v>
      </c>
      <c r="BV11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3" s="72">
        <v>1</v>
      </c>
      <c r="BX113" s="72">
        <v>2</v>
      </c>
      <c r="BY113" s="72" t="b">
        <v>0</v>
      </c>
      <c r="CA113" t="s">
        <v>232</v>
      </c>
      <c r="CB113">
        <v>1</v>
      </c>
      <c r="CC113">
        <v>250</v>
      </c>
      <c r="CD113">
        <v>100</v>
      </c>
      <c r="CE113" s="75">
        <f ca="1">INDIRECT(ADDRESS(11+(MATCH(RIGHT(Table11[[#This Row],[spawner_sku]],LEN(Table11[[#This Row],[spawner_sku]])-FIND("/",Table11[[#This Row],[spawner_sku]])),Table1[Entity Prefab],0)),10,1,1,"Entities"))</f>
        <v>143</v>
      </c>
      <c r="CF113">
        <f ca="1">ROUND((Table11[[#This Row],[XP]]*Table11[[#This Row],[entity_spawned (AVG)]])*(Table11[[#This Row],[activating_chance]]/100),0)</f>
        <v>143</v>
      </c>
      <c r="CG113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13" s="72">
        <v>1</v>
      </c>
      <c r="CI113" s="72">
        <v>1</v>
      </c>
      <c r="CJ113" s="72" t="b">
        <v>0</v>
      </c>
      <c r="CL113" t="s">
        <v>396</v>
      </c>
      <c r="CM113">
        <v>2.5</v>
      </c>
      <c r="CN113">
        <v>120</v>
      </c>
      <c r="CO113">
        <v>100</v>
      </c>
      <c r="CP113" s="75">
        <f ca="1">INDIRECT(ADDRESS(11+(MATCH(RIGHT(Table12[[#This Row],[spawner_sku]],LEN(Table12[[#This Row],[spawner_sku]])-FIND("/",Table12[[#This Row],[spawner_sku]])),Table1[Entity Prefab],0)),10,1,1,"Entities"))</f>
        <v>25</v>
      </c>
      <c r="CQ113" s="75">
        <f ca="1">ROUND((Table12[[#This Row],[XP]]*Table12[[#This Row],[entity_spawned (AVG)]])*(Table12[[#This Row],[activating_chance]]/100),0)</f>
        <v>63</v>
      </c>
      <c r="CR113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13" s="72">
        <v>2</v>
      </c>
      <c r="CT113" s="72">
        <v>3</v>
      </c>
      <c r="CU113" s="72" t="b">
        <v>0</v>
      </c>
      <c r="CW113" t="s">
        <v>390</v>
      </c>
      <c r="CX113">
        <v>1</v>
      </c>
      <c r="CY113">
        <v>200</v>
      </c>
      <c r="CZ113">
        <v>100</v>
      </c>
      <c r="DA113" s="75">
        <f ca="1">INDIRECT(ADDRESS(11+(MATCH(RIGHT(Table13[[#This Row],[spawner_sku]],LEN(Table13[[#This Row],[spawner_sku]])-FIND("/",Table13[[#This Row],[spawner_sku]])),Table1[Entity Prefab],0)),10,1,1,"Entities"))</f>
        <v>75</v>
      </c>
      <c r="DB113" s="75">
        <f ca="1">ROUND((Table13[[#This Row],[XP]]*Table13[[#This Row],[entity_spawned (AVG)]])*(Table13[[#This Row],[activating_chance]]/100),0)</f>
        <v>75</v>
      </c>
      <c r="DC113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13" s="72">
        <v>1</v>
      </c>
      <c r="DE113" s="72">
        <v>1</v>
      </c>
      <c r="DF113" s="72" t="b">
        <v>0</v>
      </c>
      <c r="DH113" t="s">
        <v>227</v>
      </c>
      <c r="DI113">
        <v>3.5</v>
      </c>
      <c r="DJ113">
        <v>140</v>
      </c>
      <c r="DK113">
        <v>10</v>
      </c>
      <c r="DL113" s="75">
        <f ca="1">INDIRECT(ADDRESS(11+(MATCH(RIGHT(Table14[[#This Row],[spawner_sku]],LEN(Table14[[#This Row],[spawner_sku]])-FIND("/",Table14[[#This Row],[spawner_sku]])),Table1[Entity Prefab],0)),10,1,1,"Entities"))</f>
        <v>25</v>
      </c>
      <c r="DM113" s="75">
        <f ca="1">ROUND((Table14[[#This Row],[XP]]*Table14[[#This Row],[entity_spawned (AVG)]])*(Table14[[#This Row],[activating_chance]]/100),0)</f>
        <v>9</v>
      </c>
      <c r="DN11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13" s="72">
        <v>3</v>
      </c>
      <c r="DP113" s="72">
        <v>4</v>
      </c>
      <c r="DQ113" s="72" t="b">
        <v>0</v>
      </c>
      <c r="DS113" t="s">
        <v>233</v>
      </c>
      <c r="DT113">
        <v>1</v>
      </c>
      <c r="DU113">
        <v>300</v>
      </c>
      <c r="DV113">
        <v>100</v>
      </c>
      <c r="DW113" s="75">
        <f ca="1">INDIRECT(ADDRESS(11+(MATCH(RIGHT(Table18[[#This Row],[spawner_sku]],LEN(Table18[[#This Row],[spawner_sku]])-FIND("/",Table18[[#This Row],[spawner_sku]])),Table1[Entity Prefab],0)),10,1,1,"Entities"))</f>
        <v>195</v>
      </c>
      <c r="DX113" s="75">
        <f ca="1">ROUND((Table18[[#This Row],[XP]]*Table18[[#This Row],[entity_spawned (AVG)]])*(Table18[[#This Row],[activating_chance]]/100),0)</f>
        <v>195</v>
      </c>
      <c r="DY113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13">
        <v>1</v>
      </c>
      <c r="EA113">
        <v>1</v>
      </c>
      <c r="EB113" t="b">
        <v>0</v>
      </c>
      <c r="ED113" t="s">
        <v>233</v>
      </c>
      <c r="EE113">
        <v>1</v>
      </c>
      <c r="EF113">
        <v>300</v>
      </c>
      <c r="EG113">
        <v>100</v>
      </c>
      <c r="EH113" s="75">
        <f ca="1">INDIRECT(ADDRESS(11+(MATCH(RIGHT(Table1820[[#This Row],[spawner_sku]],LEN(Table1820[[#This Row],[spawner_sku]])-FIND("/",Table1820[[#This Row],[spawner_sku]])),Table1[Entity Prefab],0)),10,1,1,"Entities"))</f>
        <v>195</v>
      </c>
      <c r="EI113" s="75">
        <f ca="1">ROUND((Table1820[[#This Row],[XP]]*Table1820[[#This Row],[entity_spawned (AVG)]])*(Table1820[[#This Row],[activating_chance]]/100),0)</f>
        <v>195</v>
      </c>
      <c r="EJ113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13">
        <v>1</v>
      </c>
      <c r="EL113">
        <v>1</v>
      </c>
      <c r="EM113" t="b">
        <v>0</v>
      </c>
      <c r="EO113" t="s">
        <v>7343</v>
      </c>
      <c r="EP113">
        <v>1.5</v>
      </c>
      <c r="EQ113">
        <v>100</v>
      </c>
      <c r="ER113">
        <v>80</v>
      </c>
      <c r="ES113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ET113" s="75">
        <f ca="1">ROUND((Table182023[[#This Row],[XP]]*Table182023[[#This Row],[entity_spawned (AVG)]])*(Table182023[[#This Row],[activating_chance]]/100),0)</f>
        <v>156</v>
      </c>
      <c r="EU113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EV113" s="152">
        <v>1</v>
      </c>
      <c r="EW113" s="152">
        <v>2</v>
      </c>
      <c r="EX113" s="152" t="b">
        <v>0</v>
      </c>
      <c r="EZ113" t="s">
        <v>7346</v>
      </c>
      <c r="FA113">
        <v>2</v>
      </c>
      <c r="FB113">
        <v>90</v>
      </c>
      <c r="FC113">
        <v>80</v>
      </c>
      <c r="FD113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FE113" s="75">
        <f ca="1">ROUND((Table18202324[[#This Row],[XP]]*Table18202324[[#This Row],[entity_spawned (AVG)]])*(Table18202324[[#This Row],[activating_chance]]/100),0)</f>
        <v>56</v>
      </c>
      <c r="FF113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13">
        <v>1</v>
      </c>
      <c r="FH113">
        <v>3</v>
      </c>
      <c r="FI113" t="b">
        <v>0</v>
      </c>
    </row>
    <row r="114" spans="2:165" x14ac:dyDescent="0.25">
      <c r="B114" s="73" t="s">
        <v>228</v>
      </c>
      <c r="C114">
        <v>1</v>
      </c>
      <c r="D114">
        <v>110</v>
      </c>
      <c r="E114">
        <v>90</v>
      </c>
      <c r="F114" s="75">
        <f ca="1">INDIRECT(ADDRESS(11+(MATCH(RIGHT(Table245[[#This Row],[spawner_sku]],LEN(Table245[[#This Row],[spawner_sku]])-FIND("/",Table245[[#This Row],[spawner_sku]])),Table1[Entity Prefab],0)),10,1,1,"Entities"))</f>
        <v>25</v>
      </c>
      <c r="G114" s="75">
        <f ca="1">ROUND((Table245[[#This Row],[XP]]*Table245[[#This Row],[entity_spawned (AVG)]])*(Table245[[#This Row],[activating_chance]]/100),0)</f>
        <v>23</v>
      </c>
      <c r="H11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4" s="72">
        <v>1</v>
      </c>
      <c r="J114" s="72">
        <v>1</v>
      </c>
      <c r="K114" s="72" t="b">
        <v>0</v>
      </c>
      <c r="M114" t="s">
        <v>445</v>
      </c>
      <c r="N114">
        <v>1</v>
      </c>
      <c r="O114">
        <v>180</v>
      </c>
      <c r="P114">
        <v>80</v>
      </c>
      <c r="Q114" s="75">
        <f ca="1">INDIRECT(ADDRESS(11+(MATCH(RIGHT(Table3[[#This Row],[spawner_sku]],LEN(Table3[[#This Row],[spawner_sku]])-FIND("/",Table3[[#This Row],[spawner_sku]])),Table1[Entity Prefab],0)),10,1,1,"Entities"))</f>
        <v>0</v>
      </c>
      <c r="R114" s="75">
        <f ca="1">ROUND((Table3[[#This Row],[XP]]*Table3[[#This Row],[entity_spawned (AVG)]])*(Table3[[#This Row],[activating_chance]]/100),0)</f>
        <v>0</v>
      </c>
      <c r="S114" t="str">
        <f ca="1">INDIRECT(ADDRESS(11+(MATCH(RIGHT(Table3[[#This Row],[spawner_sku]],LEN(Table3[[#This Row],[spawner_sku]])-FIND("/",Table3[[#This Row],[spawner_sku]])),Table28[Entity Prefab],0)),24,1,1,"Entities"))</f>
        <v>yes</v>
      </c>
      <c r="T114">
        <v>1</v>
      </c>
      <c r="U114">
        <v>1</v>
      </c>
      <c r="V114" t="b">
        <v>0</v>
      </c>
      <c r="W114" s="72"/>
      <c r="AI114" t="s">
        <v>228</v>
      </c>
      <c r="AJ114">
        <v>1</v>
      </c>
      <c r="AK114">
        <v>110</v>
      </c>
      <c r="AL114">
        <v>100</v>
      </c>
      <c r="AM114" s="75">
        <f ca="1">INDIRECT(ADDRESS(11+(MATCH(RIGHT(Table2[[#This Row],[spawner_sku]],LEN(Table2[[#This Row],[spawner_sku]])-FIND("/",Table2[[#This Row],[spawner_sku]])),Table1[Entity Prefab],0)),10,1,1,"Entities"))</f>
        <v>25</v>
      </c>
      <c r="AN114" s="75">
        <f ca="1">ROUND((Table2[[#This Row],[XP]]*Table2[[#This Row],[entity_spawned (AVG)]])*(Table2[[#This Row],[activating_chance]]/100),0)</f>
        <v>25</v>
      </c>
      <c r="AO11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14" s="72">
        <v>1</v>
      </c>
      <c r="AQ114" s="72">
        <v>1</v>
      </c>
      <c r="AR114" s="72" t="b">
        <v>0</v>
      </c>
      <c r="AT114" t="s">
        <v>606</v>
      </c>
      <c r="AU114">
        <v>1</v>
      </c>
      <c r="AV114">
        <v>5000</v>
      </c>
      <c r="AW114">
        <v>30</v>
      </c>
      <c r="AX114" s="75">
        <f ca="1">INDIRECT(ADDRESS(11+(MATCH(RIGHT(Table6[[#This Row],[spawner_sku]],LEN(Table6[[#This Row],[spawner_sku]])-FIND("/",Table6[[#This Row],[spawner_sku]])),Table1[Entity Prefab],0)),10,1,1,"Entities"))</f>
        <v>25</v>
      </c>
      <c r="AY114" s="75">
        <f ca="1">ROUND((Table6[[#This Row],[XP]]*Table6[[#This Row],[entity_spawned (AVG)]])*(Table6[[#This Row],[activating_chance]]/100),0)</f>
        <v>8</v>
      </c>
      <c r="AZ114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14">
        <v>1</v>
      </c>
      <c r="BB114">
        <v>1</v>
      </c>
      <c r="BC114" t="b">
        <v>0</v>
      </c>
      <c r="BE114" t="s">
        <v>452</v>
      </c>
      <c r="BF114">
        <v>1</v>
      </c>
      <c r="BG114">
        <v>100</v>
      </c>
      <c r="BH114">
        <v>100</v>
      </c>
      <c r="BI114" s="75">
        <f ca="1">INDIRECT(ADDRESS(11+(MATCH(RIGHT(Table610[[#This Row],[spawner_sku]],LEN(Table610[[#This Row],[spawner_sku]])-FIND("/",Table610[[#This Row],[spawner_sku]])),Table1[Entity Prefab],0)),10,1,1,"Entities"))</f>
        <v>70</v>
      </c>
      <c r="BJ114" s="75">
        <f ca="1">ROUND((Table610[[#This Row],[XP]]*Table610[[#This Row],[entity_spawned (AVG)]])*(Table610[[#This Row],[activating_chance]]/100),0)</f>
        <v>70</v>
      </c>
      <c r="BK114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14">
        <v>1</v>
      </c>
      <c r="BM114">
        <v>1</v>
      </c>
      <c r="BN114" t="b">
        <v>0</v>
      </c>
      <c r="BP114" t="s">
        <v>395</v>
      </c>
      <c r="BQ114">
        <v>2</v>
      </c>
      <c r="BR114">
        <v>220</v>
      </c>
      <c r="BS114">
        <v>100</v>
      </c>
      <c r="BT11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14" s="75">
        <f ca="1">ROUND((Table61011[[#This Row],[XP]]*Table61011[[#This Row],[entity_spawned (AVG)]])*(Table61011[[#This Row],[activating_chance]]/100),0)</f>
        <v>50</v>
      </c>
      <c r="BV11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4" s="72">
        <v>2</v>
      </c>
      <c r="BX114" s="72">
        <v>2</v>
      </c>
      <c r="BY114" s="72" t="b">
        <v>0</v>
      </c>
      <c r="CA114" t="s">
        <v>232</v>
      </c>
      <c r="CB114">
        <v>1</v>
      </c>
      <c r="CC114">
        <v>250</v>
      </c>
      <c r="CD114">
        <v>100</v>
      </c>
      <c r="CE114" s="75">
        <f ca="1">INDIRECT(ADDRESS(11+(MATCH(RIGHT(Table11[[#This Row],[spawner_sku]],LEN(Table11[[#This Row],[spawner_sku]])-FIND("/",Table11[[#This Row],[spawner_sku]])),Table1[Entity Prefab],0)),10,1,1,"Entities"))</f>
        <v>143</v>
      </c>
      <c r="CF114">
        <f ca="1">ROUND((Table11[[#This Row],[XP]]*Table11[[#This Row],[entity_spawned (AVG)]])*(Table11[[#This Row],[activating_chance]]/100),0)</f>
        <v>143</v>
      </c>
      <c r="CG114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14" s="72">
        <v>1</v>
      </c>
      <c r="CI114" s="72">
        <v>1</v>
      </c>
      <c r="CJ114" s="72" t="b">
        <v>0</v>
      </c>
      <c r="CL114" t="s">
        <v>396</v>
      </c>
      <c r="CM114">
        <v>1</v>
      </c>
      <c r="CN114">
        <v>120</v>
      </c>
      <c r="CO114">
        <v>80</v>
      </c>
      <c r="CP114" s="75">
        <f ca="1">INDIRECT(ADDRESS(11+(MATCH(RIGHT(Table12[[#This Row],[spawner_sku]],LEN(Table12[[#This Row],[spawner_sku]])-FIND("/",Table12[[#This Row],[spawner_sku]])),Table1[Entity Prefab],0)),10,1,1,"Entities"))</f>
        <v>25</v>
      </c>
      <c r="CQ114" s="75">
        <f ca="1">ROUND((Table12[[#This Row],[XP]]*Table12[[#This Row],[entity_spawned (AVG)]])*(Table12[[#This Row],[activating_chance]]/100),0)</f>
        <v>20</v>
      </c>
      <c r="CR114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14" s="72">
        <v>1</v>
      </c>
      <c r="CT114" s="72">
        <v>1</v>
      </c>
      <c r="CU114" s="72" t="b">
        <v>0</v>
      </c>
      <c r="CW114" t="s">
        <v>390</v>
      </c>
      <c r="CX114">
        <v>1</v>
      </c>
      <c r="CY114">
        <v>200</v>
      </c>
      <c r="CZ114">
        <v>80</v>
      </c>
      <c r="DA114" s="75">
        <f ca="1">INDIRECT(ADDRESS(11+(MATCH(RIGHT(Table13[[#This Row],[spawner_sku]],LEN(Table13[[#This Row],[spawner_sku]])-FIND("/",Table13[[#This Row],[spawner_sku]])),Table1[Entity Prefab],0)),10,1,1,"Entities"))</f>
        <v>75</v>
      </c>
      <c r="DB114" s="75">
        <f ca="1">ROUND((Table13[[#This Row],[XP]]*Table13[[#This Row],[entity_spawned (AVG)]])*(Table13[[#This Row],[activating_chance]]/100),0)</f>
        <v>60</v>
      </c>
      <c r="DC114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14" s="72">
        <v>1</v>
      </c>
      <c r="DE114" s="72">
        <v>1</v>
      </c>
      <c r="DF114" s="72" t="b">
        <v>0</v>
      </c>
      <c r="DH114" t="s">
        <v>227</v>
      </c>
      <c r="DI114">
        <v>7</v>
      </c>
      <c r="DJ114">
        <v>150</v>
      </c>
      <c r="DK114">
        <v>100</v>
      </c>
      <c r="DL114" s="75">
        <f ca="1">INDIRECT(ADDRESS(11+(MATCH(RIGHT(Table14[[#This Row],[spawner_sku]],LEN(Table14[[#This Row],[spawner_sku]])-FIND("/",Table14[[#This Row],[spawner_sku]])),Table1[Entity Prefab],0)),10,1,1,"Entities"))</f>
        <v>25</v>
      </c>
      <c r="DM114" s="75">
        <f ca="1">ROUND((Table14[[#This Row],[XP]]*Table14[[#This Row],[entity_spawned (AVG)]])*(Table14[[#This Row],[activating_chance]]/100),0)</f>
        <v>175</v>
      </c>
      <c r="DN11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14" s="72">
        <v>6</v>
      </c>
      <c r="DP114" s="72">
        <v>8</v>
      </c>
      <c r="DQ114" s="72" t="b">
        <v>1</v>
      </c>
      <c r="DS114" t="s">
        <v>233</v>
      </c>
      <c r="DT114">
        <v>1</v>
      </c>
      <c r="DU114">
        <v>200</v>
      </c>
      <c r="DV114">
        <v>100</v>
      </c>
      <c r="DW114" s="75">
        <f ca="1">INDIRECT(ADDRESS(11+(MATCH(RIGHT(Table18[[#This Row],[spawner_sku]],LEN(Table18[[#This Row],[spawner_sku]])-FIND("/",Table18[[#This Row],[spawner_sku]])),Table1[Entity Prefab],0)),10,1,1,"Entities"))</f>
        <v>195</v>
      </c>
      <c r="DX114" s="75">
        <f ca="1">ROUND((Table18[[#This Row],[XP]]*Table18[[#This Row],[entity_spawned (AVG)]])*(Table18[[#This Row],[activating_chance]]/100),0)</f>
        <v>195</v>
      </c>
      <c r="DY114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14">
        <v>1</v>
      </c>
      <c r="EA114">
        <v>1</v>
      </c>
      <c r="EB114" t="b">
        <v>0</v>
      </c>
      <c r="ED114" t="s">
        <v>233</v>
      </c>
      <c r="EE114">
        <v>1</v>
      </c>
      <c r="EF114">
        <v>300</v>
      </c>
      <c r="EG114">
        <v>100</v>
      </c>
      <c r="EH114" s="75">
        <f ca="1">INDIRECT(ADDRESS(11+(MATCH(RIGHT(Table1820[[#This Row],[spawner_sku]],LEN(Table1820[[#This Row],[spawner_sku]])-FIND("/",Table1820[[#This Row],[spawner_sku]])),Table1[Entity Prefab],0)),10,1,1,"Entities"))</f>
        <v>195</v>
      </c>
      <c r="EI114" s="75">
        <f ca="1">ROUND((Table1820[[#This Row],[XP]]*Table1820[[#This Row],[entity_spawned (AVG)]])*(Table1820[[#This Row],[activating_chance]]/100),0)</f>
        <v>195</v>
      </c>
      <c r="EJ114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14">
        <v>1</v>
      </c>
      <c r="EL114">
        <v>1</v>
      </c>
      <c r="EM114" t="b">
        <v>0</v>
      </c>
      <c r="EO114" t="s">
        <v>7343</v>
      </c>
      <c r="EP114">
        <v>1.5</v>
      </c>
      <c r="EQ114">
        <v>100</v>
      </c>
      <c r="ER114">
        <v>80</v>
      </c>
      <c r="ES114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ET114" s="75">
        <f ca="1">ROUND((Table182023[[#This Row],[XP]]*Table182023[[#This Row],[entity_spawned (AVG)]])*(Table182023[[#This Row],[activating_chance]]/100),0)</f>
        <v>156</v>
      </c>
      <c r="EU114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EV114" s="152">
        <v>1</v>
      </c>
      <c r="EW114" s="152">
        <v>2</v>
      </c>
      <c r="EX114" s="152" t="b">
        <v>0</v>
      </c>
      <c r="EZ114" t="s">
        <v>7346</v>
      </c>
      <c r="FA114">
        <v>5.5</v>
      </c>
      <c r="FB114">
        <v>100</v>
      </c>
      <c r="FC114">
        <v>100</v>
      </c>
      <c r="FD114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FE114" s="75">
        <f ca="1">ROUND((Table18202324[[#This Row],[XP]]*Table18202324[[#This Row],[entity_spawned (AVG)]])*(Table18202324[[#This Row],[activating_chance]]/100),0)</f>
        <v>193</v>
      </c>
      <c r="FF114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14">
        <v>5</v>
      </c>
      <c r="FH114">
        <v>6</v>
      </c>
      <c r="FI114" t="b">
        <v>1</v>
      </c>
    </row>
    <row r="115" spans="2:165" x14ac:dyDescent="0.25">
      <c r="B115" s="73" t="s">
        <v>228</v>
      </c>
      <c r="C115">
        <v>1</v>
      </c>
      <c r="D115">
        <v>80</v>
      </c>
      <c r="E115">
        <v>100</v>
      </c>
      <c r="F115" s="75">
        <f ca="1">INDIRECT(ADDRESS(11+(MATCH(RIGHT(Table245[[#This Row],[spawner_sku]],LEN(Table245[[#This Row],[spawner_sku]])-FIND("/",Table245[[#This Row],[spawner_sku]])),Table1[Entity Prefab],0)),10,1,1,"Entities"))</f>
        <v>25</v>
      </c>
      <c r="G115" s="75">
        <f ca="1">ROUND((Table245[[#This Row],[XP]]*Table245[[#This Row],[entity_spawned (AVG)]])*(Table245[[#This Row],[activating_chance]]/100),0)</f>
        <v>25</v>
      </c>
      <c r="H11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5" s="72">
        <v>1</v>
      </c>
      <c r="J115" s="72">
        <v>1</v>
      </c>
      <c r="K115" s="72" t="b">
        <v>0</v>
      </c>
      <c r="M115" t="s">
        <v>445</v>
      </c>
      <c r="N115">
        <v>1</v>
      </c>
      <c r="O115">
        <v>180</v>
      </c>
      <c r="P115">
        <v>100</v>
      </c>
      <c r="Q115" s="75">
        <f ca="1">INDIRECT(ADDRESS(11+(MATCH(RIGHT(Table3[[#This Row],[spawner_sku]],LEN(Table3[[#This Row],[spawner_sku]])-FIND("/",Table3[[#This Row],[spawner_sku]])),Table1[Entity Prefab],0)),10,1,1,"Entities"))</f>
        <v>0</v>
      </c>
      <c r="R115" s="75">
        <f ca="1">ROUND((Table3[[#This Row],[XP]]*Table3[[#This Row],[entity_spawned (AVG)]])*(Table3[[#This Row],[activating_chance]]/100),0)</f>
        <v>0</v>
      </c>
      <c r="S115" t="str">
        <f ca="1">INDIRECT(ADDRESS(11+(MATCH(RIGHT(Table3[[#This Row],[spawner_sku]],LEN(Table3[[#This Row],[spawner_sku]])-FIND("/",Table3[[#This Row],[spawner_sku]])),Table28[Entity Prefab],0)),24,1,1,"Entities"))</f>
        <v>yes</v>
      </c>
      <c r="T115">
        <v>1</v>
      </c>
      <c r="U115">
        <v>1</v>
      </c>
      <c r="V115" t="b">
        <v>0</v>
      </c>
      <c r="W115" s="72"/>
      <c r="AI115" t="s">
        <v>228</v>
      </c>
      <c r="AJ115">
        <v>2</v>
      </c>
      <c r="AK115">
        <v>120</v>
      </c>
      <c r="AL115">
        <v>100</v>
      </c>
      <c r="AM115" s="75">
        <f ca="1">INDIRECT(ADDRESS(11+(MATCH(RIGHT(Table2[[#This Row],[spawner_sku]],LEN(Table2[[#This Row],[spawner_sku]])-FIND("/",Table2[[#This Row],[spawner_sku]])),Table1[Entity Prefab],0)),10,1,1,"Entities"))</f>
        <v>25</v>
      </c>
      <c r="AN115" s="75">
        <f ca="1">ROUND((Table2[[#This Row],[XP]]*Table2[[#This Row],[entity_spawned (AVG)]])*(Table2[[#This Row],[activating_chance]]/100),0)</f>
        <v>50</v>
      </c>
      <c r="AO11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15" s="72">
        <v>1</v>
      </c>
      <c r="AQ115" s="72">
        <v>3</v>
      </c>
      <c r="AR115" s="72" t="b">
        <v>0</v>
      </c>
      <c r="AT115" t="s">
        <v>246</v>
      </c>
      <c r="AU115">
        <v>1</v>
      </c>
      <c r="AV115">
        <v>500</v>
      </c>
      <c r="AW115">
        <v>75</v>
      </c>
      <c r="AX115" s="75">
        <f ca="1">INDIRECT(ADDRESS(11+(MATCH(RIGHT(Table6[[#This Row],[spawner_sku]],LEN(Table6[[#This Row],[spawner_sku]])-FIND("/",Table6[[#This Row],[spawner_sku]])),Table1[Entity Prefab],0)),10,1,1,"Entities"))</f>
        <v>25</v>
      </c>
      <c r="AY115" s="75">
        <f ca="1">ROUND((Table6[[#This Row],[XP]]*Table6[[#This Row],[entity_spawned (AVG)]])*(Table6[[#This Row],[activating_chance]]/100),0)</f>
        <v>19</v>
      </c>
      <c r="AZ115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15">
        <v>1</v>
      </c>
      <c r="BB115">
        <v>1</v>
      </c>
      <c r="BC115" t="b">
        <v>0</v>
      </c>
      <c r="BE115" t="s">
        <v>452</v>
      </c>
      <c r="BF115">
        <v>1</v>
      </c>
      <c r="BG115">
        <v>180</v>
      </c>
      <c r="BH115">
        <v>100</v>
      </c>
      <c r="BI115" s="75">
        <f ca="1">INDIRECT(ADDRESS(11+(MATCH(RIGHT(Table610[[#This Row],[spawner_sku]],LEN(Table610[[#This Row],[spawner_sku]])-FIND("/",Table610[[#This Row],[spawner_sku]])),Table1[Entity Prefab],0)),10,1,1,"Entities"))</f>
        <v>70</v>
      </c>
      <c r="BJ115" s="75">
        <f ca="1">ROUND((Table610[[#This Row],[XP]]*Table610[[#This Row],[entity_spawned (AVG)]])*(Table610[[#This Row],[activating_chance]]/100),0)</f>
        <v>70</v>
      </c>
      <c r="BK115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15">
        <v>1</v>
      </c>
      <c r="BM115">
        <v>1</v>
      </c>
      <c r="BN115" t="b">
        <v>0</v>
      </c>
      <c r="BP115" t="s">
        <v>395</v>
      </c>
      <c r="BQ115">
        <v>1.5</v>
      </c>
      <c r="BR115">
        <v>150</v>
      </c>
      <c r="BS115">
        <v>100</v>
      </c>
      <c r="BT11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15" s="75">
        <f ca="1">ROUND((Table61011[[#This Row],[XP]]*Table61011[[#This Row],[entity_spawned (AVG)]])*(Table61011[[#This Row],[activating_chance]]/100),0)</f>
        <v>38</v>
      </c>
      <c r="BV11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5" s="72">
        <v>1</v>
      </c>
      <c r="BX115" s="72">
        <v>2</v>
      </c>
      <c r="BY115" s="72" t="b">
        <v>0</v>
      </c>
      <c r="CA115" t="s">
        <v>232</v>
      </c>
      <c r="CB115">
        <v>1</v>
      </c>
      <c r="CC115">
        <v>250</v>
      </c>
      <c r="CD115">
        <v>100</v>
      </c>
      <c r="CE115" s="75">
        <f ca="1">INDIRECT(ADDRESS(11+(MATCH(RIGHT(Table11[[#This Row],[spawner_sku]],LEN(Table11[[#This Row],[spawner_sku]])-FIND("/",Table11[[#This Row],[spawner_sku]])),Table1[Entity Prefab],0)),10,1,1,"Entities"))</f>
        <v>143</v>
      </c>
      <c r="CF115">
        <f ca="1">ROUND((Table11[[#This Row],[XP]]*Table11[[#This Row],[entity_spawned (AVG)]])*(Table11[[#This Row],[activating_chance]]/100),0)</f>
        <v>143</v>
      </c>
      <c r="CG115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15" s="72">
        <v>1</v>
      </c>
      <c r="CI115" s="72">
        <v>1</v>
      </c>
      <c r="CJ115" s="72" t="b">
        <v>0</v>
      </c>
      <c r="CL115" t="s">
        <v>396</v>
      </c>
      <c r="CM115">
        <v>1</v>
      </c>
      <c r="CN115">
        <v>120</v>
      </c>
      <c r="CO115">
        <v>80</v>
      </c>
      <c r="CP115" s="75">
        <f ca="1">INDIRECT(ADDRESS(11+(MATCH(RIGHT(Table12[[#This Row],[spawner_sku]],LEN(Table12[[#This Row],[spawner_sku]])-FIND("/",Table12[[#This Row],[spawner_sku]])),Table1[Entity Prefab],0)),10,1,1,"Entities"))</f>
        <v>25</v>
      </c>
      <c r="CQ115" s="75">
        <f ca="1">ROUND((Table12[[#This Row],[XP]]*Table12[[#This Row],[entity_spawned (AVG)]])*(Table12[[#This Row],[activating_chance]]/100),0)</f>
        <v>20</v>
      </c>
      <c r="CR115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15" s="72">
        <v>1</v>
      </c>
      <c r="CT115" s="72">
        <v>1</v>
      </c>
      <c r="CU115" s="72" t="b">
        <v>0</v>
      </c>
      <c r="CW115" t="s">
        <v>390</v>
      </c>
      <c r="CX115">
        <v>1</v>
      </c>
      <c r="CY115">
        <v>200</v>
      </c>
      <c r="CZ115">
        <v>100</v>
      </c>
      <c r="DA115" s="75">
        <f ca="1">INDIRECT(ADDRESS(11+(MATCH(RIGHT(Table13[[#This Row],[spawner_sku]],LEN(Table13[[#This Row],[spawner_sku]])-FIND("/",Table13[[#This Row],[spawner_sku]])),Table1[Entity Prefab],0)),10,1,1,"Entities"))</f>
        <v>75</v>
      </c>
      <c r="DB115" s="75">
        <f ca="1">ROUND((Table13[[#This Row],[XP]]*Table13[[#This Row],[entity_spawned (AVG)]])*(Table13[[#This Row],[activating_chance]]/100),0)</f>
        <v>75</v>
      </c>
      <c r="DC115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15" s="72">
        <v>1</v>
      </c>
      <c r="DE115" s="72">
        <v>1</v>
      </c>
      <c r="DF115" s="72" t="b">
        <v>0</v>
      </c>
      <c r="DH115" t="s">
        <v>227</v>
      </c>
      <c r="DI115">
        <v>13</v>
      </c>
      <c r="DJ115">
        <v>200</v>
      </c>
      <c r="DK115">
        <v>30</v>
      </c>
      <c r="DL115" s="75">
        <f ca="1">INDIRECT(ADDRESS(11+(MATCH(RIGHT(Table14[[#This Row],[spawner_sku]],LEN(Table14[[#This Row],[spawner_sku]])-FIND("/",Table14[[#This Row],[spawner_sku]])),Table1[Entity Prefab],0)),10,1,1,"Entities"))</f>
        <v>25</v>
      </c>
      <c r="DM115" s="75">
        <f ca="1">ROUND((Table14[[#This Row],[XP]]*Table14[[#This Row],[entity_spawned (AVG)]])*(Table14[[#This Row],[activating_chance]]/100),0)</f>
        <v>98</v>
      </c>
      <c r="DN11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15" s="72">
        <v>12</v>
      </c>
      <c r="DP115" s="72">
        <v>14</v>
      </c>
      <c r="DQ115" s="72" t="b">
        <v>1</v>
      </c>
      <c r="DS115" t="s">
        <v>233</v>
      </c>
      <c r="DT115">
        <v>1</v>
      </c>
      <c r="DU115">
        <v>200</v>
      </c>
      <c r="DV115">
        <v>100</v>
      </c>
      <c r="DW115" s="75">
        <f ca="1">INDIRECT(ADDRESS(11+(MATCH(RIGHT(Table18[[#This Row],[spawner_sku]],LEN(Table18[[#This Row],[spawner_sku]])-FIND("/",Table18[[#This Row],[spawner_sku]])),Table1[Entity Prefab],0)),10,1,1,"Entities"))</f>
        <v>195</v>
      </c>
      <c r="DX115" s="75">
        <f ca="1">ROUND((Table18[[#This Row],[XP]]*Table18[[#This Row],[entity_spawned (AVG)]])*(Table18[[#This Row],[activating_chance]]/100),0)</f>
        <v>195</v>
      </c>
      <c r="DY115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15">
        <v>1</v>
      </c>
      <c r="EA115">
        <v>1</v>
      </c>
      <c r="EB115" t="b">
        <v>0</v>
      </c>
      <c r="ED115" t="s">
        <v>233</v>
      </c>
      <c r="EE115">
        <v>1</v>
      </c>
      <c r="EF115">
        <v>300</v>
      </c>
      <c r="EG115">
        <v>100</v>
      </c>
      <c r="EH115" s="75">
        <f ca="1">INDIRECT(ADDRESS(11+(MATCH(RIGHT(Table1820[[#This Row],[spawner_sku]],LEN(Table1820[[#This Row],[spawner_sku]])-FIND("/",Table1820[[#This Row],[spawner_sku]])),Table1[Entity Prefab],0)),10,1,1,"Entities"))</f>
        <v>195</v>
      </c>
      <c r="EI115" s="75">
        <f ca="1">ROUND((Table1820[[#This Row],[XP]]*Table1820[[#This Row],[entity_spawned (AVG)]])*(Table1820[[#This Row],[activating_chance]]/100),0)</f>
        <v>195</v>
      </c>
      <c r="EJ115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15">
        <v>1</v>
      </c>
      <c r="EL115">
        <v>1</v>
      </c>
      <c r="EM115" t="b">
        <v>0</v>
      </c>
      <c r="EO115" t="s">
        <v>7343</v>
      </c>
      <c r="EP115">
        <v>1.5</v>
      </c>
      <c r="EQ115">
        <v>100</v>
      </c>
      <c r="ER115">
        <v>100</v>
      </c>
      <c r="ES115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ET115" s="75">
        <f ca="1">ROUND((Table182023[[#This Row],[XP]]*Table182023[[#This Row],[entity_spawned (AVG)]])*(Table182023[[#This Row],[activating_chance]]/100),0)</f>
        <v>195</v>
      </c>
      <c r="EU115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EV115" s="152">
        <v>1</v>
      </c>
      <c r="EW115" s="152">
        <v>2</v>
      </c>
      <c r="EX115" s="152" t="b">
        <v>0</v>
      </c>
      <c r="EZ115" t="s">
        <v>7346</v>
      </c>
      <c r="FA115">
        <v>2.5</v>
      </c>
      <c r="FB115">
        <v>90</v>
      </c>
      <c r="FC115">
        <v>100</v>
      </c>
      <c r="FD115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FE115" s="75">
        <f ca="1">ROUND((Table18202324[[#This Row],[XP]]*Table18202324[[#This Row],[entity_spawned (AVG)]])*(Table18202324[[#This Row],[activating_chance]]/100),0)</f>
        <v>88</v>
      </c>
      <c r="FF115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15">
        <v>2</v>
      </c>
      <c r="FH115">
        <v>3</v>
      </c>
      <c r="FI115" t="b">
        <v>0</v>
      </c>
    </row>
    <row r="116" spans="2:165" x14ac:dyDescent="0.25">
      <c r="B116" s="73" t="s">
        <v>228</v>
      </c>
      <c r="C116">
        <v>7</v>
      </c>
      <c r="D116">
        <v>150</v>
      </c>
      <c r="E116">
        <v>100</v>
      </c>
      <c r="F116" s="75">
        <f ca="1">INDIRECT(ADDRESS(11+(MATCH(RIGHT(Table245[[#This Row],[spawner_sku]],LEN(Table245[[#This Row],[spawner_sku]])-FIND("/",Table245[[#This Row],[spawner_sku]])),Table1[Entity Prefab],0)),10,1,1,"Entities"))</f>
        <v>25</v>
      </c>
      <c r="G116" s="75">
        <f ca="1">ROUND((Table245[[#This Row],[XP]]*Table245[[#This Row],[entity_spawned (AVG)]])*(Table245[[#This Row],[activating_chance]]/100),0)</f>
        <v>175</v>
      </c>
      <c r="H11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6" s="72">
        <v>6</v>
      </c>
      <c r="J116" s="72">
        <v>8</v>
      </c>
      <c r="K116" s="72" t="b">
        <v>1</v>
      </c>
      <c r="M116" t="s">
        <v>445</v>
      </c>
      <c r="N116">
        <v>1</v>
      </c>
      <c r="O116">
        <v>180</v>
      </c>
      <c r="P116">
        <v>80</v>
      </c>
      <c r="Q116" s="75">
        <f ca="1">INDIRECT(ADDRESS(11+(MATCH(RIGHT(Table3[[#This Row],[spawner_sku]],LEN(Table3[[#This Row],[spawner_sku]])-FIND("/",Table3[[#This Row],[spawner_sku]])),Table1[Entity Prefab],0)),10,1,1,"Entities"))</f>
        <v>0</v>
      </c>
      <c r="R116" s="75">
        <f ca="1">ROUND((Table3[[#This Row],[XP]]*Table3[[#This Row],[entity_spawned (AVG)]])*(Table3[[#This Row],[activating_chance]]/100),0)</f>
        <v>0</v>
      </c>
      <c r="S116" t="str">
        <f ca="1">INDIRECT(ADDRESS(11+(MATCH(RIGHT(Table3[[#This Row],[spawner_sku]],LEN(Table3[[#This Row],[spawner_sku]])-FIND("/",Table3[[#This Row],[spawner_sku]])),Table28[Entity Prefab],0)),24,1,1,"Entities"))</f>
        <v>yes</v>
      </c>
      <c r="T116">
        <v>1</v>
      </c>
      <c r="U116">
        <v>1</v>
      </c>
      <c r="V116" t="b">
        <v>0</v>
      </c>
      <c r="W116" s="72"/>
      <c r="AI116" t="s">
        <v>228</v>
      </c>
      <c r="AJ116">
        <v>2</v>
      </c>
      <c r="AK116">
        <v>100</v>
      </c>
      <c r="AL116">
        <v>85</v>
      </c>
      <c r="AM116" s="75">
        <f ca="1">INDIRECT(ADDRESS(11+(MATCH(RIGHT(Table2[[#This Row],[spawner_sku]],LEN(Table2[[#This Row],[spawner_sku]])-FIND("/",Table2[[#This Row],[spawner_sku]])),Table1[Entity Prefab],0)),10,1,1,"Entities"))</f>
        <v>25</v>
      </c>
      <c r="AN116" s="75">
        <f ca="1">ROUND((Table2[[#This Row],[XP]]*Table2[[#This Row],[entity_spawned (AVG)]])*(Table2[[#This Row],[activating_chance]]/100),0)</f>
        <v>43</v>
      </c>
      <c r="AO11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16" s="72">
        <v>1</v>
      </c>
      <c r="AQ116" s="72">
        <v>3</v>
      </c>
      <c r="AR116" s="72" t="b">
        <v>0</v>
      </c>
      <c r="AT116" t="s">
        <v>492</v>
      </c>
      <c r="AU116">
        <v>1</v>
      </c>
      <c r="AV116">
        <v>150</v>
      </c>
      <c r="AW116">
        <v>100</v>
      </c>
      <c r="AX116" s="75">
        <f ca="1">INDIRECT(ADDRESS(11+(MATCH(RIGHT(Table6[[#This Row],[spawner_sku]],LEN(Table6[[#This Row],[spawner_sku]])-FIND("/",Table6[[#This Row],[spawner_sku]])),Table1[Entity Prefab],0)),10,1,1,"Entities"))</f>
        <v>75</v>
      </c>
      <c r="AY116" s="75">
        <f ca="1">ROUND((Table6[[#This Row],[XP]]*Table6[[#This Row],[entity_spawned (AVG)]])*(Table6[[#This Row],[activating_chance]]/100),0)</f>
        <v>75</v>
      </c>
      <c r="AZ116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16">
        <v>1</v>
      </c>
      <c r="BB116">
        <v>1</v>
      </c>
      <c r="BC116" t="b">
        <v>0</v>
      </c>
      <c r="BE116" t="s">
        <v>452</v>
      </c>
      <c r="BF116">
        <v>1</v>
      </c>
      <c r="BG116">
        <v>100</v>
      </c>
      <c r="BH116">
        <v>100</v>
      </c>
      <c r="BI116" s="75">
        <f ca="1">INDIRECT(ADDRESS(11+(MATCH(RIGHT(Table610[[#This Row],[spawner_sku]],LEN(Table610[[#This Row],[spawner_sku]])-FIND("/",Table610[[#This Row],[spawner_sku]])),Table1[Entity Prefab],0)),10,1,1,"Entities"))</f>
        <v>70</v>
      </c>
      <c r="BJ116" s="75">
        <f ca="1">ROUND((Table610[[#This Row],[XP]]*Table610[[#This Row],[entity_spawned (AVG)]])*(Table610[[#This Row],[activating_chance]]/100),0)</f>
        <v>70</v>
      </c>
      <c r="BK116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16">
        <v>1</v>
      </c>
      <c r="BM116">
        <v>1</v>
      </c>
      <c r="BN116" t="b">
        <v>0</v>
      </c>
      <c r="BP116" t="s">
        <v>395</v>
      </c>
      <c r="BQ116">
        <v>4</v>
      </c>
      <c r="BR116">
        <v>220</v>
      </c>
      <c r="BS116">
        <v>80</v>
      </c>
      <c r="BT11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16" s="75">
        <f ca="1">ROUND((Table61011[[#This Row],[XP]]*Table61011[[#This Row],[entity_spawned (AVG)]])*(Table61011[[#This Row],[activating_chance]]/100),0)</f>
        <v>80</v>
      </c>
      <c r="BV11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6" s="72">
        <v>4</v>
      </c>
      <c r="BX116" s="72">
        <v>4</v>
      </c>
      <c r="BY116" s="72" t="b">
        <v>0</v>
      </c>
      <c r="CA116" t="s">
        <v>232</v>
      </c>
      <c r="CB116">
        <v>1</v>
      </c>
      <c r="CC116">
        <v>250</v>
      </c>
      <c r="CD116">
        <v>100</v>
      </c>
      <c r="CE116" s="75">
        <f ca="1">INDIRECT(ADDRESS(11+(MATCH(RIGHT(Table11[[#This Row],[spawner_sku]],LEN(Table11[[#This Row],[spawner_sku]])-FIND("/",Table11[[#This Row],[spawner_sku]])),Table1[Entity Prefab],0)),10,1,1,"Entities"))</f>
        <v>143</v>
      </c>
      <c r="CF116">
        <f ca="1">ROUND((Table11[[#This Row],[XP]]*Table11[[#This Row],[entity_spawned (AVG)]])*(Table11[[#This Row],[activating_chance]]/100),0)</f>
        <v>143</v>
      </c>
      <c r="CG116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16" s="72">
        <v>1</v>
      </c>
      <c r="CI116" s="72">
        <v>1</v>
      </c>
      <c r="CJ116" s="72" t="b">
        <v>0</v>
      </c>
      <c r="CL116" t="s">
        <v>396</v>
      </c>
      <c r="CM116">
        <v>1</v>
      </c>
      <c r="CN116">
        <v>120</v>
      </c>
      <c r="CO116">
        <v>100</v>
      </c>
      <c r="CP116" s="75">
        <f ca="1">INDIRECT(ADDRESS(11+(MATCH(RIGHT(Table12[[#This Row],[spawner_sku]],LEN(Table12[[#This Row],[spawner_sku]])-FIND("/",Table12[[#This Row],[spawner_sku]])),Table1[Entity Prefab],0)),10,1,1,"Entities"))</f>
        <v>25</v>
      </c>
      <c r="CQ116" s="75">
        <f ca="1">ROUND((Table12[[#This Row],[XP]]*Table12[[#This Row],[entity_spawned (AVG)]])*(Table12[[#This Row],[activating_chance]]/100),0)</f>
        <v>25</v>
      </c>
      <c r="CR116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16" s="72">
        <v>1</v>
      </c>
      <c r="CT116" s="72">
        <v>1</v>
      </c>
      <c r="CU116" s="72" t="b">
        <v>0</v>
      </c>
      <c r="CW116" t="s">
        <v>390</v>
      </c>
      <c r="CX116">
        <v>1</v>
      </c>
      <c r="CY116">
        <v>200</v>
      </c>
      <c r="CZ116">
        <v>100</v>
      </c>
      <c r="DA116" s="75">
        <f ca="1">INDIRECT(ADDRESS(11+(MATCH(RIGHT(Table13[[#This Row],[spawner_sku]],LEN(Table13[[#This Row],[spawner_sku]])-FIND("/",Table13[[#This Row],[spawner_sku]])),Table1[Entity Prefab],0)),10,1,1,"Entities"))</f>
        <v>75</v>
      </c>
      <c r="DB116" s="75">
        <f ca="1">ROUND((Table13[[#This Row],[XP]]*Table13[[#This Row],[entity_spawned (AVG)]])*(Table13[[#This Row],[activating_chance]]/100),0)</f>
        <v>75</v>
      </c>
      <c r="DC116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16" s="72">
        <v>1</v>
      </c>
      <c r="DE116" s="72">
        <v>1</v>
      </c>
      <c r="DF116" s="72" t="b">
        <v>0</v>
      </c>
      <c r="DH116" t="s">
        <v>227</v>
      </c>
      <c r="DI116">
        <v>7</v>
      </c>
      <c r="DJ116">
        <v>200</v>
      </c>
      <c r="DK116">
        <v>100</v>
      </c>
      <c r="DL116" s="75">
        <f ca="1">INDIRECT(ADDRESS(11+(MATCH(RIGHT(Table14[[#This Row],[spawner_sku]],LEN(Table14[[#This Row],[spawner_sku]])-FIND("/",Table14[[#This Row],[spawner_sku]])),Table1[Entity Prefab],0)),10,1,1,"Entities"))</f>
        <v>25</v>
      </c>
      <c r="DM116" s="75">
        <f ca="1">ROUND((Table14[[#This Row],[XP]]*Table14[[#This Row],[entity_spawned (AVG)]])*(Table14[[#This Row],[activating_chance]]/100),0)</f>
        <v>175</v>
      </c>
      <c r="DN11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16" s="72">
        <v>6</v>
      </c>
      <c r="DP116" s="72">
        <v>8</v>
      </c>
      <c r="DQ116" s="72" t="b">
        <v>1</v>
      </c>
      <c r="DS116" t="s">
        <v>233</v>
      </c>
      <c r="DT116">
        <v>1</v>
      </c>
      <c r="DU116">
        <v>200</v>
      </c>
      <c r="DV116">
        <v>100</v>
      </c>
      <c r="DW116" s="75">
        <f ca="1">INDIRECT(ADDRESS(11+(MATCH(RIGHT(Table18[[#This Row],[spawner_sku]],LEN(Table18[[#This Row],[spawner_sku]])-FIND("/",Table18[[#This Row],[spawner_sku]])),Table1[Entity Prefab],0)),10,1,1,"Entities"))</f>
        <v>195</v>
      </c>
      <c r="DX116" s="75">
        <f ca="1">ROUND((Table18[[#This Row],[XP]]*Table18[[#This Row],[entity_spawned (AVG)]])*(Table18[[#This Row],[activating_chance]]/100),0)</f>
        <v>195</v>
      </c>
      <c r="DY116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16">
        <v>1</v>
      </c>
      <c r="EA116">
        <v>1</v>
      </c>
      <c r="EB116" t="b">
        <v>0</v>
      </c>
      <c r="ED116" t="s">
        <v>233</v>
      </c>
      <c r="EE116">
        <v>1</v>
      </c>
      <c r="EF116">
        <v>300</v>
      </c>
      <c r="EG116">
        <v>100</v>
      </c>
      <c r="EH116" s="75">
        <f ca="1">INDIRECT(ADDRESS(11+(MATCH(RIGHT(Table1820[[#This Row],[spawner_sku]],LEN(Table1820[[#This Row],[spawner_sku]])-FIND("/",Table1820[[#This Row],[spawner_sku]])),Table1[Entity Prefab],0)),10,1,1,"Entities"))</f>
        <v>195</v>
      </c>
      <c r="EI116" s="75">
        <f ca="1">ROUND((Table1820[[#This Row],[XP]]*Table1820[[#This Row],[entity_spawned (AVG)]])*(Table1820[[#This Row],[activating_chance]]/100),0)</f>
        <v>195</v>
      </c>
      <c r="EJ116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16">
        <v>1</v>
      </c>
      <c r="EL116">
        <v>1</v>
      </c>
      <c r="EM116" t="b">
        <v>0</v>
      </c>
      <c r="EO116" t="s">
        <v>7343</v>
      </c>
      <c r="EP116">
        <v>1</v>
      </c>
      <c r="EQ116">
        <v>100</v>
      </c>
      <c r="ER116">
        <v>100</v>
      </c>
      <c r="ES116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ET116" s="75">
        <f ca="1">ROUND((Table182023[[#This Row],[XP]]*Table182023[[#This Row],[entity_spawned (AVG)]])*(Table182023[[#This Row],[activating_chance]]/100),0)</f>
        <v>130</v>
      </c>
      <c r="EU116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EV116" s="152">
        <v>1</v>
      </c>
      <c r="EW116" s="152">
        <v>1</v>
      </c>
      <c r="EX116" s="152" t="b">
        <v>0</v>
      </c>
      <c r="EZ116" t="s">
        <v>7346</v>
      </c>
      <c r="FA116">
        <v>6.5</v>
      </c>
      <c r="FB116">
        <v>90</v>
      </c>
      <c r="FC116">
        <v>100</v>
      </c>
      <c r="FD116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FE116" s="75">
        <f ca="1">ROUND((Table18202324[[#This Row],[XP]]*Table18202324[[#This Row],[entity_spawned (AVG)]])*(Table18202324[[#This Row],[activating_chance]]/100),0)</f>
        <v>228</v>
      </c>
      <c r="FF116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16">
        <v>5</v>
      </c>
      <c r="FH116">
        <v>8</v>
      </c>
      <c r="FI116" t="b">
        <v>1</v>
      </c>
    </row>
    <row r="117" spans="2:165" x14ac:dyDescent="0.25">
      <c r="B117" s="73" t="s">
        <v>228</v>
      </c>
      <c r="C117">
        <v>1</v>
      </c>
      <c r="D117">
        <v>110</v>
      </c>
      <c r="E117">
        <v>85</v>
      </c>
      <c r="F117" s="75">
        <f ca="1">INDIRECT(ADDRESS(11+(MATCH(RIGHT(Table245[[#This Row],[spawner_sku]],LEN(Table245[[#This Row],[spawner_sku]])-FIND("/",Table245[[#This Row],[spawner_sku]])),Table1[Entity Prefab],0)),10,1,1,"Entities"))</f>
        <v>25</v>
      </c>
      <c r="G117" s="75">
        <f ca="1">ROUND((Table245[[#This Row],[XP]]*Table245[[#This Row],[entity_spawned (AVG)]])*(Table245[[#This Row],[activating_chance]]/100),0)</f>
        <v>21</v>
      </c>
      <c r="H11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7" s="72">
        <v>1</v>
      </c>
      <c r="J117" s="72">
        <v>1</v>
      </c>
      <c r="K117" s="72" t="b">
        <v>0</v>
      </c>
      <c r="M117" t="s">
        <v>445</v>
      </c>
      <c r="N117">
        <v>1</v>
      </c>
      <c r="O117">
        <v>180</v>
      </c>
      <c r="P117">
        <v>100</v>
      </c>
      <c r="Q117" s="75">
        <f ca="1">INDIRECT(ADDRESS(11+(MATCH(RIGHT(Table3[[#This Row],[spawner_sku]],LEN(Table3[[#This Row],[spawner_sku]])-FIND("/",Table3[[#This Row],[spawner_sku]])),Table1[Entity Prefab],0)),10,1,1,"Entities"))</f>
        <v>0</v>
      </c>
      <c r="R117" s="75">
        <f ca="1">ROUND((Table3[[#This Row],[XP]]*Table3[[#This Row],[entity_spawned (AVG)]])*(Table3[[#This Row],[activating_chance]]/100),0)</f>
        <v>0</v>
      </c>
      <c r="S117" t="str">
        <f ca="1">INDIRECT(ADDRESS(11+(MATCH(RIGHT(Table3[[#This Row],[spawner_sku]],LEN(Table3[[#This Row],[spawner_sku]])-FIND("/",Table3[[#This Row],[spawner_sku]])),Table28[Entity Prefab],0)),24,1,1,"Entities"))</f>
        <v>yes</v>
      </c>
      <c r="T117">
        <v>1</v>
      </c>
      <c r="U117">
        <v>1</v>
      </c>
      <c r="V117" t="b">
        <v>0</v>
      </c>
      <c r="W117" s="72"/>
      <c r="AI117" t="s">
        <v>228</v>
      </c>
      <c r="AJ117">
        <v>2</v>
      </c>
      <c r="AK117">
        <v>110</v>
      </c>
      <c r="AL117">
        <v>100</v>
      </c>
      <c r="AM117" s="75">
        <f ca="1">INDIRECT(ADDRESS(11+(MATCH(RIGHT(Table2[[#This Row],[spawner_sku]],LEN(Table2[[#This Row],[spawner_sku]])-FIND("/",Table2[[#This Row],[spawner_sku]])),Table1[Entity Prefab],0)),10,1,1,"Entities"))</f>
        <v>25</v>
      </c>
      <c r="AN117" s="75">
        <f ca="1">ROUND((Table2[[#This Row],[XP]]*Table2[[#This Row],[entity_spawned (AVG)]])*(Table2[[#This Row],[activating_chance]]/100),0)</f>
        <v>50</v>
      </c>
      <c r="AO11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17" s="72">
        <v>1</v>
      </c>
      <c r="AQ117" s="72">
        <v>3</v>
      </c>
      <c r="AR117" s="72" t="b">
        <v>0</v>
      </c>
      <c r="AT117" t="s">
        <v>492</v>
      </c>
      <c r="AU117">
        <v>1</v>
      </c>
      <c r="AV117">
        <v>140</v>
      </c>
      <c r="AW117">
        <v>100</v>
      </c>
      <c r="AX117" s="75">
        <f ca="1">INDIRECT(ADDRESS(11+(MATCH(RIGHT(Table6[[#This Row],[spawner_sku]],LEN(Table6[[#This Row],[spawner_sku]])-FIND("/",Table6[[#This Row],[spawner_sku]])),Table1[Entity Prefab],0)),10,1,1,"Entities"))</f>
        <v>75</v>
      </c>
      <c r="AY117" s="75">
        <f ca="1">ROUND((Table6[[#This Row],[XP]]*Table6[[#This Row],[entity_spawned (AVG)]])*(Table6[[#This Row],[activating_chance]]/100),0)</f>
        <v>75</v>
      </c>
      <c r="AZ117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17">
        <v>1</v>
      </c>
      <c r="BB117">
        <v>1</v>
      </c>
      <c r="BC117" t="b">
        <v>0</v>
      </c>
      <c r="BE117" t="s">
        <v>452</v>
      </c>
      <c r="BF117">
        <v>1</v>
      </c>
      <c r="BG117">
        <v>180</v>
      </c>
      <c r="BH117">
        <v>100</v>
      </c>
      <c r="BI117" s="75">
        <f ca="1">INDIRECT(ADDRESS(11+(MATCH(RIGHT(Table610[[#This Row],[spawner_sku]],LEN(Table610[[#This Row],[spawner_sku]])-FIND("/",Table610[[#This Row],[spawner_sku]])),Table1[Entity Prefab],0)),10,1,1,"Entities"))</f>
        <v>70</v>
      </c>
      <c r="BJ117" s="75">
        <f ca="1">ROUND((Table610[[#This Row],[XP]]*Table610[[#This Row],[entity_spawned (AVG)]])*(Table610[[#This Row],[activating_chance]]/100),0)</f>
        <v>70</v>
      </c>
      <c r="BK117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17">
        <v>1</v>
      </c>
      <c r="BM117">
        <v>1</v>
      </c>
      <c r="BN117" t="b">
        <v>0</v>
      </c>
      <c r="BP117" t="s">
        <v>395</v>
      </c>
      <c r="BQ117">
        <v>6.5</v>
      </c>
      <c r="BR117">
        <v>220</v>
      </c>
      <c r="BS117">
        <v>100</v>
      </c>
      <c r="BT11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17" s="75">
        <f ca="1">ROUND((Table61011[[#This Row],[XP]]*Table61011[[#This Row],[entity_spawned (AVG)]])*(Table61011[[#This Row],[activating_chance]]/100),0)</f>
        <v>163</v>
      </c>
      <c r="BV11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7" s="72">
        <v>5</v>
      </c>
      <c r="BX117" s="72">
        <v>8</v>
      </c>
      <c r="BY117" s="72" t="b">
        <v>1</v>
      </c>
      <c r="CA117" t="s">
        <v>232</v>
      </c>
      <c r="CB117">
        <v>1</v>
      </c>
      <c r="CC117">
        <v>250</v>
      </c>
      <c r="CD117">
        <v>100</v>
      </c>
      <c r="CE117" s="75">
        <f ca="1">INDIRECT(ADDRESS(11+(MATCH(RIGHT(Table11[[#This Row],[spawner_sku]],LEN(Table11[[#This Row],[spawner_sku]])-FIND("/",Table11[[#This Row],[spawner_sku]])),Table1[Entity Prefab],0)),10,1,1,"Entities"))</f>
        <v>143</v>
      </c>
      <c r="CF117">
        <f ca="1">ROUND((Table11[[#This Row],[XP]]*Table11[[#This Row],[entity_spawned (AVG)]])*(Table11[[#This Row],[activating_chance]]/100),0)</f>
        <v>143</v>
      </c>
      <c r="CG117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17" s="72">
        <v>1</v>
      </c>
      <c r="CI117" s="72">
        <v>1</v>
      </c>
      <c r="CJ117" s="72" t="b">
        <v>0</v>
      </c>
      <c r="CL117" t="s">
        <v>451</v>
      </c>
      <c r="CM117">
        <v>1</v>
      </c>
      <c r="CN117">
        <v>120</v>
      </c>
      <c r="CO117">
        <v>100</v>
      </c>
      <c r="CP117" s="75">
        <f ca="1">INDIRECT(ADDRESS(11+(MATCH(RIGHT(Table12[[#This Row],[spawner_sku]],LEN(Table12[[#This Row],[spawner_sku]])-FIND("/",Table12[[#This Row],[spawner_sku]])),Table1[Entity Prefab],0)),10,1,1,"Entities"))</f>
        <v>25</v>
      </c>
      <c r="CQ117" s="75">
        <f ca="1">ROUND((Table12[[#This Row],[XP]]*Table12[[#This Row],[entity_spawned (AVG)]])*(Table12[[#This Row],[activating_chance]]/100),0)</f>
        <v>25</v>
      </c>
      <c r="CR117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17" s="72">
        <v>1</v>
      </c>
      <c r="CT117" s="72">
        <v>1</v>
      </c>
      <c r="CU117" s="72" t="b">
        <v>0</v>
      </c>
      <c r="CW117" t="s">
        <v>390</v>
      </c>
      <c r="CX117">
        <v>1</v>
      </c>
      <c r="CY117">
        <v>200</v>
      </c>
      <c r="CZ117">
        <v>80</v>
      </c>
      <c r="DA117" s="75">
        <f ca="1">INDIRECT(ADDRESS(11+(MATCH(RIGHT(Table13[[#This Row],[spawner_sku]],LEN(Table13[[#This Row],[spawner_sku]])-FIND("/",Table13[[#This Row],[spawner_sku]])),Table1[Entity Prefab],0)),10,1,1,"Entities"))</f>
        <v>75</v>
      </c>
      <c r="DB117" s="75">
        <f ca="1">ROUND((Table13[[#This Row],[XP]]*Table13[[#This Row],[entity_spawned (AVG)]])*(Table13[[#This Row],[activating_chance]]/100),0)</f>
        <v>60</v>
      </c>
      <c r="DC117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17" s="72">
        <v>1</v>
      </c>
      <c r="DE117" s="72">
        <v>1</v>
      </c>
      <c r="DF117" s="72" t="b">
        <v>0</v>
      </c>
      <c r="DH117" t="s">
        <v>227</v>
      </c>
      <c r="DI117">
        <v>5.5</v>
      </c>
      <c r="DJ117">
        <v>100</v>
      </c>
      <c r="DK117">
        <v>100</v>
      </c>
      <c r="DL117" s="75">
        <f ca="1">INDIRECT(ADDRESS(11+(MATCH(RIGHT(Table14[[#This Row],[spawner_sku]],LEN(Table14[[#This Row],[spawner_sku]])-FIND("/",Table14[[#This Row],[spawner_sku]])),Table1[Entity Prefab],0)),10,1,1,"Entities"))</f>
        <v>25</v>
      </c>
      <c r="DM117" s="75">
        <f ca="1">ROUND((Table14[[#This Row],[XP]]*Table14[[#This Row],[entity_spawned (AVG)]])*(Table14[[#This Row],[activating_chance]]/100),0)</f>
        <v>138</v>
      </c>
      <c r="DN11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17" s="72">
        <v>5</v>
      </c>
      <c r="DP117" s="72">
        <v>6</v>
      </c>
      <c r="DQ117" s="72" t="b">
        <v>1</v>
      </c>
      <c r="DS117" t="s">
        <v>336</v>
      </c>
      <c r="DT117">
        <v>1</v>
      </c>
      <c r="DU117">
        <v>200</v>
      </c>
      <c r="DV117">
        <v>100</v>
      </c>
      <c r="DW117" s="75">
        <f ca="1">INDIRECT(ADDRESS(11+(MATCH(RIGHT(Table18[[#This Row],[spawner_sku]],LEN(Table18[[#This Row],[spawner_sku]])-FIND("/",Table18[[#This Row],[spawner_sku]])),Table1[Entity Prefab],0)),10,1,1,"Entities"))</f>
        <v>195</v>
      </c>
      <c r="DX117" s="75">
        <f ca="1">ROUND((Table18[[#This Row],[XP]]*Table18[[#This Row],[entity_spawned (AVG)]])*(Table18[[#This Row],[activating_chance]]/100),0)</f>
        <v>195</v>
      </c>
      <c r="DY117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17">
        <v>1</v>
      </c>
      <c r="EA117">
        <v>1</v>
      </c>
      <c r="EB117" t="b">
        <v>0</v>
      </c>
      <c r="ED117" t="s">
        <v>233</v>
      </c>
      <c r="EE117">
        <v>1</v>
      </c>
      <c r="EF117">
        <v>300</v>
      </c>
      <c r="EG117">
        <v>100</v>
      </c>
      <c r="EH117" s="75">
        <f ca="1">INDIRECT(ADDRESS(11+(MATCH(RIGHT(Table1820[[#This Row],[spawner_sku]],LEN(Table1820[[#This Row],[spawner_sku]])-FIND("/",Table1820[[#This Row],[spawner_sku]])),Table1[Entity Prefab],0)),10,1,1,"Entities"))</f>
        <v>195</v>
      </c>
      <c r="EI117" s="75">
        <f ca="1">ROUND((Table1820[[#This Row],[XP]]*Table1820[[#This Row],[entity_spawned (AVG)]])*(Table1820[[#This Row],[activating_chance]]/100),0)</f>
        <v>195</v>
      </c>
      <c r="EJ117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17">
        <v>1</v>
      </c>
      <c r="EL117">
        <v>1</v>
      </c>
      <c r="EM117" t="b">
        <v>0</v>
      </c>
      <c r="EO117" t="s">
        <v>7342</v>
      </c>
      <c r="EP117">
        <v>1.5</v>
      </c>
      <c r="EQ117">
        <v>120</v>
      </c>
      <c r="ER117">
        <v>100</v>
      </c>
      <c r="ES117" s="75">
        <f ca="1">INDIRECT(ADDRESS(11+(MATCH(RIGHT(Table182023[[#This Row],[spawner_sku]],LEN(Table182023[[#This Row],[spawner_sku]])-FIND("/",Table182023[[#This Row],[spawner_sku]])),Table1[Entity Prefab],0)),10,1,1,"Entities"))</f>
        <v>263</v>
      </c>
      <c r="ET117" s="75">
        <f ca="1">ROUND((Table182023[[#This Row],[XP]]*Table182023[[#This Row],[entity_spawned (AVG)]])*(Table182023[[#This Row],[activating_chance]]/100),0)</f>
        <v>395</v>
      </c>
      <c r="EU117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EV117" s="152">
        <v>1</v>
      </c>
      <c r="EW117" s="152">
        <v>2</v>
      </c>
      <c r="EX117" s="152" t="b">
        <v>0</v>
      </c>
      <c r="EZ117" t="s">
        <v>7346</v>
      </c>
      <c r="FA117">
        <v>1.5</v>
      </c>
      <c r="FB117">
        <v>90</v>
      </c>
      <c r="FC117">
        <v>80</v>
      </c>
      <c r="FD117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FE117" s="75">
        <f ca="1">ROUND((Table18202324[[#This Row],[XP]]*Table18202324[[#This Row],[entity_spawned (AVG)]])*(Table18202324[[#This Row],[activating_chance]]/100),0)</f>
        <v>42</v>
      </c>
      <c r="FF117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17">
        <v>1</v>
      </c>
      <c r="FH117">
        <v>2</v>
      </c>
      <c r="FI117" t="b">
        <v>0</v>
      </c>
    </row>
    <row r="118" spans="2:165" x14ac:dyDescent="0.25">
      <c r="B118" s="73" t="s">
        <v>228</v>
      </c>
      <c r="C118">
        <v>3</v>
      </c>
      <c r="D118">
        <v>130</v>
      </c>
      <c r="E118">
        <v>100</v>
      </c>
      <c r="F118" s="75">
        <f ca="1">INDIRECT(ADDRESS(11+(MATCH(RIGHT(Table245[[#This Row],[spawner_sku]],LEN(Table245[[#This Row],[spawner_sku]])-FIND("/",Table245[[#This Row],[spawner_sku]])),Table1[Entity Prefab],0)),10,1,1,"Entities"))</f>
        <v>25</v>
      </c>
      <c r="G118" s="75">
        <f ca="1">ROUND((Table245[[#This Row],[XP]]*Table245[[#This Row],[entity_spawned (AVG)]])*(Table245[[#This Row],[activating_chance]]/100),0)</f>
        <v>75</v>
      </c>
      <c r="H11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8" s="72">
        <v>2</v>
      </c>
      <c r="J118" s="72">
        <v>4</v>
      </c>
      <c r="K118" s="72" t="b">
        <v>0</v>
      </c>
      <c r="M118" t="s">
        <v>606</v>
      </c>
      <c r="N118">
        <v>1</v>
      </c>
      <c r="O118">
        <v>5000</v>
      </c>
      <c r="P118">
        <v>30</v>
      </c>
      <c r="Q118" s="75">
        <f ca="1">INDIRECT(ADDRESS(11+(MATCH(RIGHT(Table3[[#This Row],[spawner_sku]],LEN(Table3[[#This Row],[spawner_sku]])-FIND("/",Table3[[#This Row],[spawner_sku]])),Table1[Entity Prefab],0)),10,1,1,"Entities"))</f>
        <v>25</v>
      </c>
      <c r="R118" s="75">
        <f ca="1">ROUND((Table3[[#This Row],[XP]]*Table3[[#This Row],[entity_spawned (AVG)]])*(Table3[[#This Row],[activating_chance]]/100),0)</f>
        <v>8</v>
      </c>
      <c r="S118" t="str">
        <f ca="1">INDIRECT(ADDRESS(11+(MATCH(RIGHT(Table3[[#This Row],[spawner_sku]],LEN(Table3[[#This Row],[spawner_sku]])-FIND("/",Table3[[#This Row],[spawner_sku]])),Table28[Entity Prefab],0)),24,1,1,"Entities"))</f>
        <v>no</v>
      </c>
      <c r="T118">
        <v>1</v>
      </c>
      <c r="U118">
        <v>1</v>
      </c>
      <c r="V118" t="b">
        <v>0</v>
      </c>
      <c r="W118" s="72"/>
      <c r="AI118" t="s">
        <v>228</v>
      </c>
      <c r="AJ118">
        <v>3</v>
      </c>
      <c r="AK118">
        <v>100</v>
      </c>
      <c r="AL118">
        <v>85</v>
      </c>
      <c r="AM118" s="75">
        <f ca="1">INDIRECT(ADDRESS(11+(MATCH(RIGHT(Table2[[#This Row],[spawner_sku]],LEN(Table2[[#This Row],[spawner_sku]])-FIND("/",Table2[[#This Row],[spawner_sku]])),Table1[Entity Prefab],0)),10,1,1,"Entities"))</f>
        <v>25</v>
      </c>
      <c r="AN118" s="75">
        <f ca="1">ROUND((Table2[[#This Row],[XP]]*Table2[[#This Row],[entity_spawned (AVG)]])*(Table2[[#This Row],[activating_chance]]/100),0)</f>
        <v>64</v>
      </c>
      <c r="AO11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18" s="72">
        <v>2</v>
      </c>
      <c r="AQ118" s="72">
        <v>4</v>
      </c>
      <c r="AR118" s="72" t="b">
        <v>0</v>
      </c>
      <c r="AT118" t="s">
        <v>247</v>
      </c>
      <c r="AU118">
        <v>1</v>
      </c>
      <c r="AV118">
        <v>420</v>
      </c>
      <c r="AW118">
        <v>100</v>
      </c>
      <c r="AX118" s="75">
        <f ca="1">INDIRECT(ADDRESS(11+(MATCH(RIGHT(Table6[[#This Row],[spawner_sku]],LEN(Table6[[#This Row],[spawner_sku]])-FIND("/",Table6[[#This Row],[spawner_sku]])),Table1[Entity Prefab],0)),10,1,1,"Entities"))</f>
        <v>83</v>
      </c>
      <c r="AY118" s="75">
        <f ca="1">ROUND((Table6[[#This Row],[XP]]*Table6[[#This Row],[entity_spawned (AVG)]])*(Table6[[#This Row],[activating_chance]]/100),0)</f>
        <v>83</v>
      </c>
      <c r="AZ118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18">
        <v>1</v>
      </c>
      <c r="BB118">
        <v>1</v>
      </c>
      <c r="BC118" t="b">
        <v>0</v>
      </c>
      <c r="BE118" t="s">
        <v>452</v>
      </c>
      <c r="BF118">
        <v>1</v>
      </c>
      <c r="BG118">
        <v>180</v>
      </c>
      <c r="BH118">
        <v>100</v>
      </c>
      <c r="BI118" s="75">
        <f ca="1">INDIRECT(ADDRESS(11+(MATCH(RIGHT(Table610[[#This Row],[spawner_sku]],LEN(Table610[[#This Row],[spawner_sku]])-FIND("/",Table610[[#This Row],[spawner_sku]])),Table1[Entity Prefab],0)),10,1,1,"Entities"))</f>
        <v>70</v>
      </c>
      <c r="BJ118" s="75">
        <f ca="1">ROUND((Table610[[#This Row],[XP]]*Table610[[#This Row],[entity_spawned (AVG)]])*(Table610[[#This Row],[activating_chance]]/100),0)</f>
        <v>70</v>
      </c>
      <c r="BK118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18">
        <v>1</v>
      </c>
      <c r="BM118">
        <v>1</v>
      </c>
      <c r="BN118" t="b">
        <v>0</v>
      </c>
      <c r="BP118" t="s">
        <v>231</v>
      </c>
      <c r="BQ118">
        <v>1</v>
      </c>
      <c r="BR118">
        <v>5000</v>
      </c>
      <c r="BS118">
        <v>75</v>
      </c>
      <c r="BT118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118" s="75">
        <f ca="1">ROUND((Table61011[[#This Row],[XP]]*Table61011[[#This Row],[entity_spawned (AVG)]])*(Table61011[[#This Row],[activating_chance]]/100),0)</f>
        <v>56</v>
      </c>
      <c r="BV11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8" s="72">
        <v>1</v>
      </c>
      <c r="BX118" s="72">
        <v>1</v>
      </c>
      <c r="BY118" s="72" t="b">
        <v>0</v>
      </c>
      <c r="CA118" t="s">
        <v>232</v>
      </c>
      <c r="CB118">
        <v>1</v>
      </c>
      <c r="CC118">
        <v>250</v>
      </c>
      <c r="CD118">
        <v>100</v>
      </c>
      <c r="CE118" s="75">
        <f ca="1">INDIRECT(ADDRESS(11+(MATCH(RIGHT(Table11[[#This Row],[spawner_sku]],LEN(Table11[[#This Row],[spawner_sku]])-FIND("/",Table11[[#This Row],[spawner_sku]])),Table1[Entity Prefab],0)),10,1,1,"Entities"))</f>
        <v>143</v>
      </c>
      <c r="CF118">
        <f ca="1">ROUND((Table11[[#This Row],[XP]]*Table11[[#This Row],[entity_spawned (AVG)]])*(Table11[[#This Row],[activating_chance]]/100),0)</f>
        <v>143</v>
      </c>
      <c r="CG118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18" s="72">
        <v>1</v>
      </c>
      <c r="CI118" s="72">
        <v>1</v>
      </c>
      <c r="CJ118" s="72" t="b">
        <v>0</v>
      </c>
      <c r="CL118" t="s">
        <v>451</v>
      </c>
      <c r="CM118">
        <v>1</v>
      </c>
      <c r="CN118">
        <v>120</v>
      </c>
      <c r="CO118">
        <v>100</v>
      </c>
      <c r="CP118" s="75">
        <f ca="1">INDIRECT(ADDRESS(11+(MATCH(RIGHT(Table12[[#This Row],[spawner_sku]],LEN(Table12[[#This Row],[spawner_sku]])-FIND("/",Table12[[#This Row],[spawner_sku]])),Table1[Entity Prefab],0)),10,1,1,"Entities"))</f>
        <v>25</v>
      </c>
      <c r="CQ118" s="75">
        <f ca="1">ROUND((Table12[[#This Row],[XP]]*Table12[[#This Row],[entity_spawned (AVG)]])*(Table12[[#This Row],[activating_chance]]/100),0)</f>
        <v>25</v>
      </c>
      <c r="CR118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18" s="72">
        <v>1</v>
      </c>
      <c r="CT118" s="72">
        <v>1</v>
      </c>
      <c r="CU118" s="72" t="b">
        <v>0</v>
      </c>
      <c r="CW118" t="s">
        <v>390</v>
      </c>
      <c r="CX118">
        <v>1</v>
      </c>
      <c r="CY118">
        <v>200</v>
      </c>
      <c r="CZ118">
        <v>100</v>
      </c>
      <c r="DA118" s="75">
        <f ca="1">INDIRECT(ADDRESS(11+(MATCH(RIGHT(Table13[[#This Row],[spawner_sku]],LEN(Table13[[#This Row],[spawner_sku]])-FIND("/",Table13[[#This Row],[spawner_sku]])),Table1[Entity Prefab],0)),10,1,1,"Entities"))</f>
        <v>75</v>
      </c>
      <c r="DB118" s="75">
        <f ca="1">ROUND((Table13[[#This Row],[XP]]*Table13[[#This Row],[entity_spawned (AVG)]])*(Table13[[#This Row],[activating_chance]]/100),0)</f>
        <v>75</v>
      </c>
      <c r="DC118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18" s="72">
        <v>1</v>
      </c>
      <c r="DE118" s="72">
        <v>1</v>
      </c>
      <c r="DF118" s="72" t="b">
        <v>0</v>
      </c>
      <c r="DH118" t="s">
        <v>227</v>
      </c>
      <c r="DI118">
        <v>3.5</v>
      </c>
      <c r="DJ118">
        <v>100</v>
      </c>
      <c r="DK118">
        <v>30</v>
      </c>
      <c r="DL118" s="75">
        <f ca="1">INDIRECT(ADDRESS(11+(MATCH(RIGHT(Table14[[#This Row],[spawner_sku]],LEN(Table14[[#This Row],[spawner_sku]])-FIND("/",Table14[[#This Row],[spawner_sku]])),Table1[Entity Prefab],0)),10,1,1,"Entities"))</f>
        <v>25</v>
      </c>
      <c r="DM118" s="75">
        <f ca="1">ROUND((Table14[[#This Row],[XP]]*Table14[[#This Row],[entity_spawned (AVG)]])*(Table14[[#This Row],[activating_chance]]/100),0)</f>
        <v>26</v>
      </c>
      <c r="DN11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18" s="72">
        <v>3</v>
      </c>
      <c r="DP118" s="72">
        <v>4</v>
      </c>
      <c r="DQ118" s="72" t="b">
        <v>0</v>
      </c>
      <c r="DS118" t="s">
        <v>336</v>
      </c>
      <c r="DT118">
        <v>1</v>
      </c>
      <c r="DU118">
        <v>200</v>
      </c>
      <c r="DV118">
        <v>100</v>
      </c>
      <c r="DW118" s="75">
        <f ca="1">INDIRECT(ADDRESS(11+(MATCH(RIGHT(Table18[[#This Row],[spawner_sku]],LEN(Table18[[#This Row],[spawner_sku]])-FIND("/",Table18[[#This Row],[spawner_sku]])),Table1[Entity Prefab],0)),10,1,1,"Entities"))</f>
        <v>195</v>
      </c>
      <c r="DX118" s="75">
        <f ca="1">ROUND((Table18[[#This Row],[XP]]*Table18[[#This Row],[entity_spawned (AVG)]])*(Table18[[#This Row],[activating_chance]]/100),0)</f>
        <v>195</v>
      </c>
      <c r="DY118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18">
        <v>1</v>
      </c>
      <c r="EA118">
        <v>1</v>
      </c>
      <c r="EB118" t="b">
        <v>0</v>
      </c>
      <c r="ED118" t="s">
        <v>233</v>
      </c>
      <c r="EE118">
        <v>1</v>
      </c>
      <c r="EF118">
        <v>300</v>
      </c>
      <c r="EG118">
        <v>100</v>
      </c>
      <c r="EH118" s="75">
        <f ca="1">INDIRECT(ADDRESS(11+(MATCH(RIGHT(Table1820[[#This Row],[spawner_sku]],LEN(Table1820[[#This Row],[spawner_sku]])-FIND("/",Table1820[[#This Row],[spawner_sku]])),Table1[Entity Prefab],0)),10,1,1,"Entities"))</f>
        <v>195</v>
      </c>
      <c r="EI118" s="75">
        <f ca="1">ROUND((Table1820[[#This Row],[XP]]*Table1820[[#This Row],[entity_spawned (AVG)]])*(Table1820[[#This Row],[activating_chance]]/100),0)</f>
        <v>195</v>
      </c>
      <c r="EJ118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18">
        <v>1</v>
      </c>
      <c r="EL118">
        <v>1</v>
      </c>
      <c r="EM118" t="b">
        <v>0</v>
      </c>
      <c r="EO118" t="s">
        <v>7342</v>
      </c>
      <c r="EP118">
        <v>2</v>
      </c>
      <c r="EQ118">
        <v>120</v>
      </c>
      <c r="ER118">
        <v>100</v>
      </c>
      <c r="ES118" s="75">
        <f ca="1">INDIRECT(ADDRESS(11+(MATCH(RIGHT(Table182023[[#This Row],[spawner_sku]],LEN(Table182023[[#This Row],[spawner_sku]])-FIND("/",Table182023[[#This Row],[spawner_sku]])),Table1[Entity Prefab],0)),10,1,1,"Entities"))</f>
        <v>263</v>
      </c>
      <c r="ET118" s="75">
        <f ca="1">ROUND((Table182023[[#This Row],[XP]]*Table182023[[#This Row],[entity_spawned (AVG)]])*(Table182023[[#This Row],[activating_chance]]/100),0)</f>
        <v>526</v>
      </c>
      <c r="EU118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EV118" s="152">
        <v>1</v>
      </c>
      <c r="EW118" s="152">
        <v>3</v>
      </c>
      <c r="EX118" s="152" t="b">
        <v>0</v>
      </c>
      <c r="EZ118" t="s">
        <v>7346</v>
      </c>
      <c r="FA118">
        <v>2</v>
      </c>
      <c r="FB118">
        <v>90</v>
      </c>
      <c r="FC118">
        <v>80</v>
      </c>
      <c r="FD118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FE118" s="75">
        <f ca="1">ROUND((Table18202324[[#This Row],[XP]]*Table18202324[[#This Row],[entity_spawned (AVG)]])*(Table18202324[[#This Row],[activating_chance]]/100),0)</f>
        <v>56</v>
      </c>
      <c r="FF118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18">
        <v>1</v>
      </c>
      <c r="FH118">
        <v>3</v>
      </c>
      <c r="FI118" t="b">
        <v>0</v>
      </c>
    </row>
    <row r="119" spans="2:165" x14ac:dyDescent="0.25">
      <c r="B119" s="73" t="s">
        <v>228</v>
      </c>
      <c r="C119">
        <v>1</v>
      </c>
      <c r="D119">
        <v>70</v>
      </c>
      <c r="E119">
        <v>100</v>
      </c>
      <c r="F119" s="75">
        <f ca="1">INDIRECT(ADDRESS(11+(MATCH(RIGHT(Table245[[#This Row],[spawner_sku]],LEN(Table245[[#This Row],[spawner_sku]])-FIND("/",Table245[[#This Row],[spawner_sku]])),Table1[Entity Prefab],0)),10,1,1,"Entities"))</f>
        <v>25</v>
      </c>
      <c r="G119" s="75">
        <f ca="1">ROUND((Table245[[#This Row],[XP]]*Table245[[#This Row],[entity_spawned (AVG)]])*(Table245[[#This Row],[activating_chance]]/100),0)</f>
        <v>25</v>
      </c>
      <c r="H11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9" s="72">
        <v>1</v>
      </c>
      <c r="J119" s="72">
        <v>1</v>
      </c>
      <c r="K119" s="72" t="b">
        <v>0</v>
      </c>
      <c r="M119" t="s">
        <v>246</v>
      </c>
      <c r="N119">
        <v>1</v>
      </c>
      <c r="O119">
        <v>500</v>
      </c>
      <c r="P119">
        <v>75</v>
      </c>
      <c r="Q119" s="75">
        <f ca="1">INDIRECT(ADDRESS(11+(MATCH(RIGHT(Table3[[#This Row],[spawner_sku]],LEN(Table3[[#This Row],[spawner_sku]])-FIND("/",Table3[[#This Row],[spawner_sku]])),Table1[Entity Prefab],0)),10,1,1,"Entities"))</f>
        <v>25</v>
      </c>
      <c r="R119" s="75">
        <f ca="1">ROUND((Table3[[#This Row],[XP]]*Table3[[#This Row],[entity_spawned (AVG)]])*(Table3[[#This Row],[activating_chance]]/100),0)</f>
        <v>19</v>
      </c>
      <c r="S119" t="str">
        <f ca="1">INDIRECT(ADDRESS(11+(MATCH(RIGHT(Table3[[#This Row],[spawner_sku]],LEN(Table3[[#This Row],[spawner_sku]])-FIND("/",Table3[[#This Row],[spawner_sku]])),Table28[Entity Prefab],0)),24,1,1,"Entities"))</f>
        <v>no</v>
      </c>
      <c r="T119">
        <v>1</v>
      </c>
      <c r="U119">
        <v>1</v>
      </c>
      <c r="V119" t="b">
        <v>0</v>
      </c>
      <c r="W119" s="72"/>
      <c r="AI119" t="s">
        <v>228</v>
      </c>
      <c r="AJ119">
        <v>6.5</v>
      </c>
      <c r="AK119">
        <v>160</v>
      </c>
      <c r="AL119">
        <v>100</v>
      </c>
      <c r="AM119" s="75">
        <f ca="1">INDIRECT(ADDRESS(11+(MATCH(RIGHT(Table2[[#This Row],[spawner_sku]],LEN(Table2[[#This Row],[spawner_sku]])-FIND("/",Table2[[#This Row],[spawner_sku]])),Table1[Entity Prefab],0)),10,1,1,"Entities"))</f>
        <v>25</v>
      </c>
      <c r="AN119" s="75">
        <f ca="1">ROUND((Table2[[#This Row],[XP]]*Table2[[#This Row],[entity_spawned (AVG)]])*(Table2[[#This Row],[activating_chance]]/100),0)</f>
        <v>163</v>
      </c>
      <c r="AO11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19" s="72">
        <v>5</v>
      </c>
      <c r="AQ119" s="72">
        <v>8</v>
      </c>
      <c r="AR119" s="72" t="b">
        <v>1</v>
      </c>
      <c r="AT119" t="s">
        <v>247</v>
      </c>
      <c r="AU119">
        <v>1</v>
      </c>
      <c r="AV119">
        <v>420</v>
      </c>
      <c r="AW119">
        <v>100</v>
      </c>
      <c r="AX119" s="75">
        <f ca="1">INDIRECT(ADDRESS(11+(MATCH(RIGHT(Table6[[#This Row],[spawner_sku]],LEN(Table6[[#This Row],[spawner_sku]])-FIND("/",Table6[[#This Row],[spawner_sku]])),Table1[Entity Prefab],0)),10,1,1,"Entities"))</f>
        <v>83</v>
      </c>
      <c r="AY119" s="75">
        <f ca="1">ROUND((Table6[[#This Row],[XP]]*Table6[[#This Row],[entity_spawned (AVG)]])*(Table6[[#This Row],[activating_chance]]/100),0)</f>
        <v>83</v>
      </c>
      <c r="AZ119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19">
        <v>1</v>
      </c>
      <c r="BB119">
        <v>1</v>
      </c>
      <c r="BC119" t="b">
        <v>0</v>
      </c>
      <c r="BE119" t="s">
        <v>7267</v>
      </c>
      <c r="BF119">
        <v>1</v>
      </c>
      <c r="BG119">
        <v>180</v>
      </c>
      <c r="BH119">
        <v>100</v>
      </c>
      <c r="BI119" s="75">
        <f ca="1">INDIRECT(ADDRESS(11+(MATCH(RIGHT(Table610[[#This Row],[spawner_sku]],LEN(Table610[[#This Row],[spawner_sku]])-FIND("/",Table610[[#This Row],[spawner_sku]])),Table1[Entity Prefab],0)),10,1,1,"Entities"))</f>
        <v>75</v>
      </c>
      <c r="BJ119" s="75">
        <f ca="1">ROUND((Table610[[#This Row],[XP]]*Table610[[#This Row],[entity_spawned (AVG)]])*(Table610[[#This Row],[activating_chance]]/100),0)</f>
        <v>75</v>
      </c>
      <c r="BK119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19">
        <v>1</v>
      </c>
      <c r="BM119">
        <v>1</v>
      </c>
      <c r="BN119" t="b">
        <v>0</v>
      </c>
      <c r="BP119" t="s">
        <v>231</v>
      </c>
      <c r="BQ119">
        <v>1</v>
      </c>
      <c r="BR119">
        <v>5000</v>
      </c>
      <c r="BS119">
        <v>75</v>
      </c>
      <c r="BT119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119" s="75">
        <f ca="1">ROUND((Table61011[[#This Row],[XP]]*Table61011[[#This Row],[entity_spawned (AVG)]])*(Table61011[[#This Row],[activating_chance]]/100),0)</f>
        <v>56</v>
      </c>
      <c r="BV11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9" s="72">
        <v>1</v>
      </c>
      <c r="BX119" s="72">
        <v>1</v>
      </c>
      <c r="BY119" s="72" t="b">
        <v>0</v>
      </c>
      <c r="CA119" t="s">
        <v>232</v>
      </c>
      <c r="CB119">
        <v>1</v>
      </c>
      <c r="CC119">
        <v>250</v>
      </c>
      <c r="CD119">
        <v>100</v>
      </c>
      <c r="CE119" s="75">
        <f ca="1">INDIRECT(ADDRESS(11+(MATCH(RIGHT(Table11[[#This Row],[spawner_sku]],LEN(Table11[[#This Row],[spawner_sku]])-FIND("/",Table11[[#This Row],[spawner_sku]])),Table1[Entity Prefab],0)),10,1,1,"Entities"))</f>
        <v>143</v>
      </c>
      <c r="CF119">
        <f ca="1">ROUND((Table11[[#This Row],[XP]]*Table11[[#This Row],[entity_spawned (AVG)]])*(Table11[[#This Row],[activating_chance]]/100),0)</f>
        <v>143</v>
      </c>
      <c r="CG119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19" s="72">
        <v>1</v>
      </c>
      <c r="CI119" s="72">
        <v>1</v>
      </c>
      <c r="CJ119" s="72" t="b">
        <v>0</v>
      </c>
      <c r="CL119" t="s">
        <v>451</v>
      </c>
      <c r="CM119">
        <v>1</v>
      </c>
      <c r="CN119">
        <v>120</v>
      </c>
      <c r="CO119">
        <v>100</v>
      </c>
      <c r="CP119" s="75">
        <f ca="1">INDIRECT(ADDRESS(11+(MATCH(RIGHT(Table12[[#This Row],[spawner_sku]],LEN(Table12[[#This Row],[spawner_sku]])-FIND("/",Table12[[#This Row],[spawner_sku]])),Table1[Entity Prefab],0)),10,1,1,"Entities"))</f>
        <v>25</v>
      </c>
      <c r="CQ119" s="75">
        <f ca="1">ROUND((Table12[[#This Row],[XP]]*Table12[[#This Row],[entity_spawned (AVG)]])*(Table12[[#This Row],[activating_chance]]/100),0)</f>
        <v>25</v>
      </c>
      <c r="CR119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19" s="72">
        <v>1</v>
      </c>
      <c r="CT119" s="72">
        <v>1</v>
      </c>
      <c r="CU119" s="72" t="b">
        <v>0</v>
      </c>
      <c r="CW119" t="s">
        <v>390</v>
      </c>
      <c r="CX119">
        <v>1</v>
      </c>
      <c r="CY119">
        <v>200</v>
      </c>
      <c r="CZ119">
        <v>80</v>
      </c>
      <c r="DA119" s="75">
        <f ca="1">INDIRECT(ADDRESS(11+(MATCH(RIGHT(Table13[[#This Row],[spawner_sku]],LEN(Table13[[#This Row],[spawner_sku]])-FIND("/",Table13[[#This Row],[spawner_sku]])),Table1[Entity Prefab],0)),10,1,1,"Entities"))</f>
        <v>75</v>
      </c>
      <c r="DB119" s="75">
        <f ca="1">ROUND((Table13[[#This Row],[XP]]*Table13[[#This Row],[entity_spawned (AVG)]])*(Table13[[#This Row],[activating_chance]]/100),0)</f>
        <v>60</v>
      </c>
      <c r="DC119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19" s="72">
        <v>1</v>
      </c>
      <c r="DE119" s="72">
        <v>1</v>
      </c>
      <c r="DF119" s="72" t="b">
        <v>0</v>
      </c>
      <c r="DH119" t="s">
        <v>227</v>
      </c>
      <c r="DI119">
        <v>1.5</v>
      </c>
      <c r="DJ119">
        <v>100</v>
      </c>
      <c r="DK119">
        <v>100</v>
      </c>
      <c r="DL119" s="75">
        <f ca="1">INDIRECT(ADDRESS(11+(MATCH(RIGHT(Table14[[#This Row],[spawner_sku]],LEN(Table14[[#This Row],[spawner_sku]])-FIND("/",Table14[[#This Row],[spawner_sku]])),Table1[Entity Prefab],0)),10,1,1,"Entities"))</f>
        <v>25</v>
      </c>
      <c r="DM119" s="75">
        <f ca="1">ROUND((Table14[[#This Row],[XP]]*Table14[[#This Row],[entity_spawned (AVG)]])*(Table14[[#This Row],[activating_chance]]/100),0)</f>
        <v>38</v>
      </c>
      <c r="DN11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19" s="72">
        <v>1</v>
      </c>
      <c r="DP119" s="72">
        <v>2</v>
      </c>
      <c r="DQ119" s="72" t="b">
        <v>0</v>
      </c>
      <c r="DS119" t="s">
        <v>336</v>
      </c>
      <c r="DT119">
        <v>1</v>
      </c>
      <c r="DU119">
        <v>300</v>
      </c>
      <c r="DV119">
        <v>100</v>
      </c>
      <c r="DW119" s="75">
        <f ca="1">INDIRECT(ADDRESS(11+(MATCH(RIGHT(Table18[[#This Row],[spawner_sku]],LEN(Table18[[#This Row],[spawner_sku]])-FIND("/",Table18[[#This Row],[spawner_sku]])),Table1[Entity Prefab],0)),10,1,1,"Entities"))</f>
        <v>195</v>
      </c>
      <c r="DX119" s="75">
        <f ca="1">ROUND((Table18[[#This Row],[XP]]*Table18[[#This Row],[entity_spawned (AVG)]])*(Table18[[#This Row],[activating_chance]]/100),0)</f>
        <v>195</v>
      </c>
      <c r="DY119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19">
        <v>1</v>
      </c>
      <c r="EA119">
        <v>1</v>
      </c>
      <c r="EB119" t="b">
        <v>0</v>
      </c>
      <c r="ED119" t="s">
        <v>233</v>
      </c>
      <c r="EE119">
        <v>1</v>
      </c>
      <c r="EF119">
        <v>300</v>
      </c>
      <c r="EG119">
        <v>100</v>
      </c>
      <c r="EH119" s="75">
        <f ca="1">INDIRECT(ADDRESS(11+(MATCH(RIGHT(Table1820[[#This Row],[spawner_sku]],LEN(Table1820[[#This Row],[spawner_sku]])-FIND("/",Table1820[[#This Row],[spawner_sku]])),Table1[Entity Prefab],0)),10,1,1,"Entities"))</f>
        <v>195</v>
      </c>
      <c r="EI119" s="75">
        <f ca="1">ROUND((Table1820[[#This Row],[XP]]*Table1820[[#This Row],[entity_spawned (AVG)]])*(Table1820[[#This Row],[activating_chance]]/100),0)</f>
        <v>195</v>
      </c>
      <c r="EJ119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19">
        <v>1</v>
      </c>
      <c r="EL119">
        <v>1</v>
      </c>
      <c r="EM119" t="b">
        <v>0</v>
      </c>
      <c r="EO119" t="s">
        <v>7342</v>
      </c>
      <c r="EP119">
        <v>1.5</v>
      </c>
      <c r="EQ119">
        <v>120</v>
      </c>
      <c r="ER119">
        <v>100</v>
      </c>
      <c r="ES119" s="75">
        <f ca="1">INDIRECT(ADDRESS(11+(MATCH(RIGHT(Table182023[[#This Row],[spawner_sku]],LEN(Table182023[[#This Row],[spawner_sku]])-FIND("/",Table182023[[#This Row],[spawner_sku]])),Table1[Entity Prefab],0)),10,1,1,"Entities"))</f>
        <v>263</v>
      </c>
      <c r="ET119" s="75">
        <f ca="1">ROUND((Table182023[[#This Row],[XP]]*Table182023[[#This Row],[entity_spawned (AVG)]])*(Table182023[[#This Row],[activating_chance]]/100),0)</f>
        <v>395</v>
      </c>
      <c r="EU119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EV119" s="152">
        <v>1</v>
      </c>
      <c r="EW119" s="152">
        <v>2</v>
      </c>
      <c r="EX119" s="152" t="b">
        <v>0</v>
      </c>
      <c r="EZ119" t="s">
        <v>7346</v>
      </c>
      <c r="FA119">
        <v>2.5</v>
      </c>
      <c r="FB119">
        <v>90</v>
      </c>
      <c r="FC119">
        <v>100</v>
      </c>
      <c r="FD119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FE119" s="75">
        <f ca="1">ROUND((Table18202324[[#This Row],[XP]]*Table18202324[[#This Row],[entity_spawned (AVG)]])*(Table18202324[[#This Row],[activating_chance]]/100),0)</f>
        <v>88</v>
      </c>
      <c r="FF119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19">
        <v>2</v>
      </c>
      <c r="FH119">
        <v>3</v>
      </c>
      <c r="FI119" t="b">
        <v>0</v>
      </c>
    </row>
    <row r="120" spans="2:165" x14ac:dyDescent="0.25">
      <c r="B120" s="73" t="s">
        <v>228</v>
      </c>
      <c r="C120">
        <v>1</v>
      </c>
      <c r="D120">
        <v>60</v>
      </c>
      <c r="E120">
        <v>100</v>
      </c>
      <c r="F120" s="75">
        <f ca="1">INDIRECT(ADDRESS(11+(MATCH(RIGHT(Table245[[#This Row],[spawner_sku]],LEN(Table245[[#This Row],[spawner_sku]])-FIND("/",Table245[[#This Row],[spawner_sku]])),Table1[Entity Prefab],0)),10,1,1,"Entities"))</f>
        <v>25</v>
      </c>
      <c r="G120" s="75">
        <f ca="1">ROUND((Table245[[#This Row],[XP]]*Table245[[#This Row],[entity_spawned (AVG)]])*(Table245[[#This Row],[activating_chance]]/100),0)</f>
        <v>25</v>
      </c>
      <c r="H12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0" s="72">
        <v>1</v>
      </c>
      <c r="J120" s="72">
        <v>1</v>
      </c>
      <c r="K120" s="72" t="b">
        <v>0</v>
      </c>
      <c r="M120" t="s">
        <v>246</v>
      </c>
      <c r="N120">
        <v>1</v>
      </c>
      <c r="O120">
        <v>500</v>
      </c>
      <c r="P120">
        <v>75</v>
      </c>
      <c r="Q120" s="75">
        <f ca="1">INDIRECT(ADDRESS(11+(MATCH(RIGHT(Table3[[#This Row],[spawner_sku]],LEN(Table3[[#This Row],[spawner_sku]])-FIND("/",Table3[[#This Row],[spawner_sku]])),Table1[Entity Prefab],0)),10,1,1,"Entities"))</f>
        <v>25</v>
      </c>
      <c r="R120" s="75">
        <f ca="1">ROUND((Table3[[#This Row],[XP]]*Table3[[#This Row],[entity_spawned (AVG)]])*(Table3[[#This Row],[activating_chance]]/100),0)</f>
        <v>19</v>
      </c>
      <c r="S120" t="str">
        <f ca="1">INDIRECT(ADDRESS(11+(MATCH(RIGHT(Table3[[#This Row],[spawner_sku]],LEN(Table3[[#This Row],[spawner_sku]])-FIND("/",Table3[[#This Row],[spawner_sku]])),Table28[Entity Prefab],0)),24,1,1,"Entities"))</f>
        <v>no</v>
      </c>
      <c r="T120">
        <v>1</v>
      </c>
      <c r="U120">
        <v>1</v>
      </c>
      <c r="V120" t="b">
        <v>0</v>
      </c>
      <c r="W120" s="72"/>
      <c r="AI120" t="s">
        <v>228</v>
      </c>
      <c r="AJ120">
        <v>2</v>
      </c>
      <c r="AK120">
        <v>160</v>
      </c>
      <c r="AL120">
        <v>80</v>
      </c>
      <c r="AM120" s="75">
        <f ca="1">INDIRECT(ADDRESS(11+(MATCH(RIGHT(Table2[[#This Row],[spawner_sku]],LEN(Table2[[#This Row],[spawner_sku]])-FIND("/",Table2[[#This Row],[spawner_sku]])),Table1[Entity Prefab],0)),10,1,1,"Entities"))</f>
        <v>25</v>
      </c>
      <c r="AN120" s="75">
        <f ca="1">ROUND((Table2[[#This Row],[XP]]*Table2[[#This Row],[entity_spawned (AVG)]])*(Table2[[#This Row],[activating_chance]]/100),0)</f>
        <v>40</v>
      </c>
      <c r="AO12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20" s="72">
        <v>1</v>
      </c>
      <c r="AQ120" s="72">
        <v>3</v>
      </c>
      <c r="AR120" s="72" t="b">
        <v>0</v>
      </c>
      <c r="AT120" t="s">
        <v>247</v>
      </c>
      <c r="AU120">
        <v>1</v>
      </c>
      <c r="AV120">
        <v>420</v>
      </c>
      <c r="AW120">
        <v>100</v>
      </c>
      <c r="AX120" s="75">
        <f ca="1">INDIRECT(ADDRESS(11+(MATCH(RIGHT(Table6[[#This Row],[spawner_sku]],LEN(Table6[[#This Row],[spawner_sku]])-FIND("/",Table6[[#This Row],[spawner_sku]])),Table1[Entity Prefab],0)),10,1,1,"Entities"))</f>
        <v>83</v>
      </c>
      <c r="AY120" s="75">
        <f ca="1">ROUND((Table6[[#This Row],[XP]]*Table6[[#This Row],[entity_spawned (AVG)]])*(Table6[[#This Row],[activating_chance]]/100),0)</f>
        <v>83</v>
      </c>
      <c r="AZ120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20">
        <v>1</v>
      </c>
      <c r="BB120">
        <v>1</v>
      </c>
      <c r="BC120" t="b">
        <v>0</v>
      </c>
      <c r="BE120" t="s">
        <v>7267</v>
      </c>
      <c r="BF120">
        <v>1</v>
      </c>
      <c r="BG120">
        <v>100</v>
      </c>
      <c r="BH120">
        <v>100</v>
      </c>
      <c r="BI120" s="75">
        <f ca="1">INDIRECT(ADDRESS(11+(MATCH(RIGHT(Table610[[#This Row],[spawner_sku]],LEN(Table610[[#This Row],[spawner_sku]])-FIND("/",Table610[[#This Row],[spawner_sku]])),Table1[Entity Prefab],0)),10,1,1,"Entities"))</f>
        <v>75</v>
      </c>
      <c r="BJ120" s="75">
        <f ca="1">ROUND((Table610[[#This Row],[XP]]*Table610[[#This Row],[entity_spawned (AVG)]])*(Table610[[#This Row],[activating_chance]]/100),0)</f>
        <v>75</v>
      </c>
      <c r="BK120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20">
        <v>1</v>
      </c>
      <c r="BM120">
        <v>1</v>
      </c>
      <c r="BN120" t="b">
        <v>0</v>
      </c>
      <c r="BP120" t="s">
        <v>231</v>
      </c>
      <c r="BQ120">
        <v>1</v>
      </c>
      <c r="BR120">
        <v>5000</v>
      </c>
      <c r="BS120">
        <v>75</v>
      </c>
      <c r="BT120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120" s="75">
        <f ca="1">ROUND((Table61011[[#This Row],[XP]]*Table61011[[#This Row],[entity_spawned (AVG)]])*(Table61011[[#This Row],[activating_chance]]/100),0)</f>
        <v>56</v>
      </c>
      <c r="BV12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20" s="72">
        <v>1</v>
      </c>
      <c r="BX120" s="72">
        <v>1</v>
      </c>
      <c r="BY120" s="72" t="b">
        <v>0</v>
      </c>
      <c r="CA120" t="s">
        <v>233</v>
      </c>
      <c r="CB120">
        <v>1</v>
      </c>
      <c r="CC120">
        <v>300</v>
      </c>
      <c r="CD120">
        <v>100</v>
      </c>
      <c r="CE120" s="75">
        <f ca="1">INDIRECT(ADDRESS(11+(MATCH(RIGHT(Table11[[#This Row],[spawner_sku]],LEN(Table11[[#This Row],[spawner_sku]])-FIND("/",Table11[[#This Row],[spawner_sku]])),Table1[Entity Prefab],0)),10,1,1,"Entities"))</f>
        <v>195</v>
      </c>
      <c r="CF120">
        <f ca="1">ROUND((Table11[[#This Row],[XP]]*Table11[[#This Row],[entity_spawned (AVG)]])*(Table11[[#This Row],[activating_chance]]/100),0)</f>
        <v>195</v>
      </c>
      <c r="CG120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20" s="72">
        <v>1</v>
      </c>
      <c r="CI120" s="72">
        <v>1</v>
      </c>
      <c r="CJ120" s="72" t="b">
        <v>0</v>
      </c>
      <c r="CL120" t="s">
        <v>451</v>
      </c>
      <c r="CM120">
        <v>1</v>
      </c>
      <c r="CN120">
        <v>120</v>
      </c>
      <c r="CO120">
        <v>100</v>
      </c>
      <c r="CP120" s="75">
        <f ca="1">INDIRECT(ADDRESS(11+(MATCH(RIGHT(Table12[[#This Row],[spawner_sku]],LEN(Table12[[#This Row],[spawner_sku]])-FIND("/",Table12[[#This Row],[spawner_sku]])),Table1[Entity Prefab],0)),10,1,1,"Entities"))</f>
        <v>25</v>
      </c>
      <c r="CQ120" s="75">
        <f ca="1">ROUND((Table12[[#This Row],[XP]]*Table12[[#This Row],[entity_spawned (AVG)]])*(Table12[[#This Row],[activating_chance]]/100),0)</f>
        <v>25</v>
      </c>
      <c r="CR120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20" s="72">
        <v>1</v>
      </c>
      <c r="CT120" s="72">
        <v>1</v>
      </c>
      <c r="CU120" s="72" t="b">
        <v>0</v>
      </c>
      <c r="CW120" t="s">
        <v>390</v>
      </c>
      <c r="CX120">
        <v>1</v>
      </c>
      <c r="CY120">
        <v>200</v>
      </c>
      <c r="CZ120">
        <v>100</v>
      </c>
      <c r="DA120" s="75">
        <f ca="1">INDIRECT(ADDRESS(11+(MATCH(RIGHT(Table13[[#This Row],[spawner_sku]],LEN(Table13[[#This Row],[spawner_sku]])-FIND("/",Table13[[#This Row],[spawner_sku]])),Table1[Entity Prefab],0)),10,1,1,"Entities"))</f>
        <v>75</v>
      </c>
      <c r="DB120" s="75">
        <f ca="1">ROUND((Table13[[#This Row],[XP]]*Table13[[#This Row],[entity_spawned (AVG)]])*(Table13[[#This Row],[activating_chance]]/100),0)</f>
        <v>75</v>
      </c>
      <c r="DC120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20" s="72">
        <v>1</v>
      </c>
      <c r="DE120" s="72">
        <v>1</v>
      </c>
      <c r="DF120" s="72" t="b">
        <v>0</v>
      </c>
      <c r="DH120" t="s">
        <v>227</v>
      </c>
      <c r="DI120">
        <v>3.5</v>
      </c>
      <c r="DJ120">
        <v>100</v>
      </c>
      <c r="DK120">
        <v>100</v>
      </c>
      <c r="DL120" s="75">
        <f ca="1">INDIRECT(ADDRESS(11+(MATCH(RIGHT(Table14[[#This Row],[spawner_sku]],LEN(Table14[[#This Row],[spawner_sku]])-FIND("/",Table14[[#This Row],[spawner_sku]])),Table1[Entity Prefab],0)),10,1,1,"Entities"))</f>
        <v>25</v>
      </c>
      <c r="DM120" s="75">
        <f ca="1">ROUND((Table14[[#This Row],[XP]]*Table14[[#This Row],[entity_spawned (AVG)]])*(Table14[[#This Row],[activating_chance]]/100),0)</f>
        <v>88</v>
      </c>
      <c r="DN12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20" s="72">
        <v>3</v>
      </c>
      <c r="DP120" s="72">
        <v>4</v>
      </c>
      <c r="DQ120" s="72" t="b">
        <v>0</v>
      </c>
      <c r="DS120" t="s">
        <v>336</v>
      </c>
      <c r="DT120">
        <v>1</v>
      </c>
      <c r="DU120">
        <v>200</v>
      </c>
      <c r="DV120">
        <v>100</v>
      </c>
      <c r="DW120" s="75">
        <f ca="1">INDIRECT(ADDRESS(11+(MATCH(RIGHT(Table18[[#This Row],[spawner_sku]],LEN(Table18[[#This Row],[spawner_sku]])-FIND("/",Table18[[#This Row],[spawner_sku]])),Table1[Entity Prefab],0)),10,1,1,"Entities"))</f>
        <v>195</v>
      </c>
      <c r="DX120" s="75">
        <f ca="1">ROUND((Table18[[#This Row],[XP]]*Table18[[#This Row],[entity_spawned (AVG)]])*(Table18[[#This Row],[activating_chance]]/100),0)</f>
        <v>195</v>
      </c>
      <c r="DY120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20">
        <v>1</v>
      </c>
      <c r="EA120">
        <v>1</v>
      </c>
      <c r="EB120" t="b">
        <v>0</v>
      </c>
      <c r="ED120" t="s">
        <v>336</v>
      </c>
      <c r="EE120">
        <v>1</v>
      </c>
      <c r="EF120">
        <v>300</v>
      </c>
      <c r="EG120">
        <v>100</v>
      </c>
      <c r="EH120" s="75">
        <f ca="1">INDIRECT(ADDRESS(11+(MATCH(RIGHT(Table1820[[#This Row],[spawner_sku]],LEN(Table1820[[#This Row],[spawner_sku]])-FIND("/",Table1820[[#This Row],[spawner_sku]])),Table1[Entity Prefab],0)),10,1,1,"Entities"))</f>
        <v>195</v>
      </c>
      <c r="EI120" s="75">
        <f ca="1">ROUND((Table1820[[#This Row],[XP]]*Table1820[[#This Row],[entity_spawned (AVG)]])*(Table1820[[#This Row],[activating_chance]]/100),0)</f>
        <v>195</v>
      </c>
      <c r="EJ120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20">
        <v>1</v>
      </c>
      <c r="EL120">
        <v>1</v>
      </c>
      <c r="EM120" t="b">
        <v>0</v>
      </c>
      <c r="EO120" t="s">
        <v>7342</v>
      </c>
      <c r="EP120">
        <v>1</v>
      </c>
      <c r="EQ120">
        <v>120</v>
      </c>
      <c r="ER120">
        <v>100</v>
      </c>
      <c r="ES120" s="75">
        <f ca="1">INDIRECT(ADDRESS(11+(MATCH(RIGHT(Table182023[[#This Row],[spawner_sku]],LEN(Table182023[[#This Row],[spawner_sku]])-FIND("/",Table182023[[#This Row],[spawner_sku]])),Table1[Entity Prefab],0)),10,1,1,"Entities"))</f>
        <v>263</v>
      </c>
      <c r="ET120" s="75">
        <f ca="1">ROUND((Table182023[[#This Row],[XP]]*Table182023[[#This Row],[entity_spawned (AVG)]])*(Table182023[[#This Row],[activating_chance]]/100),0)</f>
        <v>263</v>
      </c>
      <c r="EU120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EV120" s="152">
        <v>1</v>
      </c>
      <c r="EW120" s="152">
        <v>1</v>
      </c>
      <c r="EX120" s="152" t="b">
        <v>0</v>
      </c>
      <c r="EZ120" t="s">
        <v>7346</v>
      </c>
      <c r="FA120">
        <v>2.5</v>
      </c>
      <c r="FB120">
        <v>90</v>
      </c>
      <c r="FC120">
        <v>100</v>
      </c>
      <c r="FD120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FE120" s="75">
        <f ca="1">ROUND((Table18202324[[#This Row],[XP]]*Table18202324[[#This Row],[entity_spawned (AVG)]])*(Table18202324[[#This Row],[activating_chance]]/100),0)</f>
        <v>88</v>
      </c>
      <c r="FF120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20">
        <v>2</v>
      </c>
      <c r="FH120">
        <v>3</v>
      </c>
      <c r="FI120" t="b">
        <v>0</v>
      </c>
    </row>
    <row r="121" spans="2:165" x14ac:dyDescent="0.25">
      <c r="B121" s="73" t="s">
        <v>228</v>
      </c>
      <c r="C121">
        <v>1</v>
      </c>
      <c r="D121">
        <v>80</v>
      </c>
      <c r="E121">
        <v>100</v>
      </c>
      <c r="F121" s="75">
        <f ca="1">INDIRECT(ADDRESS(11+(MATCH(RIGHT(Table245[[#This Row],[spawner_sku]],LEN(Table245[[#This Row],[spawner_sku]])-FIND("/",Table245[[#This Row],[spawner_sku]])),Table1[Entity Prefab],0)),10,1,1,"Entities"))</f>
        <v>25</v>
      </c>
      <c r="G121" s="75">
        <f ca="1">ROUND((Table245[[#This Row],[XP]]*Table245[[#This Row],[entity_spawned (AVG)]])*(Table245[[#This Row],[activating_chance]]/100),0)</f>
        <v>25</v>
      </c>
      <c r="H12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1" s="72">
        <v>1</v>
      </c>
      <c r="J121" s="72">
        <v>1</v>
      </c>
      <c r="K121" s="72" t="b">
        <v>0</v>
      </c>
      <c r="M121" t="s">
        <v>246</v>
      </c>
      <c r="N121">
        <v>1</v>
      </c>
      <c r="O121">
        <v>500</v>
      </c>
      <c r="P121">
        <v>75</v>
      </c>
      <c r="Q121" s="75">
        <f ca="1">INDIRECT(ADDRESS(11+(MATCH(RIGHT(Table3[[#This Row],[spawner_sku]],LEN(Table3[[#This Row],[spawner_sku]])-FIND("/",Table3[[#This Row],[spawner_sku]])),Table1[Entity Prefab],0)),10,1,1,"Entities"))</f>
        <v>25</v>
      </c>
      <c r="R121" s="75">
        <f ca="1">ROUND((Table3[[#This Row],[XP]]*Table3[[#This Row],[entity_spawned (AVG)]])*(Table3[[#This Row],[activating_chance]]/100),0)</f>
        <v>19</v>
      </c>
      <c r="S121" t="str">
        <f ca="1">INDIRECT(ADDRESS(11+(MATCH(RIGHT(Table3[[#This Row],[spawner_sku]],LEN(Table3[[#This Row],[spawner_sku]])-FIND("/",Table3[[#This Row],[spawner_sku]])),Table28[Entity Prefab],0)),24,1,1,"Entities"))</f>
        <v>no</v>
      </c>
      <c r="T121">
        <v>1</v>
      </c>
      <c r="U121">
        <v>1</v>
      </c>
      <c r="V121" t="b">
        <v>0</v>
      </c>
      <c r="W121" s="72"/>
      <c r="AI121" t="s">
        <v>228</v>
      </c>
      <c r="AJ121">
        <v>1.5</v>
      </c>
      <c r="AK121">
        <v>120</v>
      </c>
      <c r="AL121">
        <v>100</v>
      </c>
      <c r="AM121" s="75">
        <f ca="1">INDIRECT(ADDRESS(11+(MATCH(RIGHT(Table2[[#This Row],[spawner_sku]],LEN(Table2[[#This Row],[spawner_sku]])-FIND("/",Table2[[#This Row],[spawner_sku]])),Table1[Entity Prefab],0)),10,1,1,"Entities"))</f>
        <v>25</v>
      </c>
      <c r="AN121" s="75">
        <f ca="1">ROUND((Table2[[#This Row],[XP]]*Table2[[#This Row],[entity_spawned (AVG)]])*(Table2[[#This Row],[activating_chance]]/100),0)</f>
        <v>38</v>
      </c>
      <c r="AO12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21" s="72">
        <v>1</v>
      </c>
      <c r="AQ121" s="72">
        <v>2</v>
      </c>
      <c r="AR121" s="72" t="b">
        <v>0</v>
      </c>
      <c r="AT121" t="s">
        <v>607</v>
      </c>
      <c r="AU121">
        <v>1</v>
      </c>
      <c r="AV121">
        <v>300</v>
      </c>
      <c r="AW121">
        <v>100</v>
      </c>
      <c r="AX121" s="75">
        <f ca="1">INDIRECT(ADDRESS(11+(MATCH(RIGHT(Table6[[#This Row],[spawner_sku]],LEN(Table6[[#This Row],[spawner_sku]])-FIND("/",Table6[[#This Row],[spawner_sku]])),Table1[Entity Prefab],0)),10,1,1,"Entities"))</f>
        <v>50</v>
      </c>
      <c r="AY121" s="75">
        <f ca="1">ROUND((Table6[[#This Row],[XP]]*Table6[[#This Row],[entity_spawned (AVG)]])*(Table6[[#This Row],[activating_chance]]/100),0)</f>
        <v>50</v>
      </c>
      <c r="AZ121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21">
        <v>1</v>
      </c>
      <c r="BB121">
        <v>1</v>
      </c>
      <c r="BC121" t="b">
        <v>0</v>
      </c>
      <c r="BE121" t="s">
        <v>7267</v>
      </c>
      <c r="BF121">
        <v>1</v>
      </c>
      <c r="BG121">
        <v>100</v>
      </c>
      <c r="BH121">
        <v>100</v>
      </c>
      <c r="BI121" s="75">
        <f ca="1">INDIRECT(ADDRESS(11+(MATCH(RIGHT(Table610[[#This Row],[spawner_sku]],LEN(Table610[[#This Row],[spawner_sku]])-FIND("/",Table610[[#This Row],[spawner_sku]])),Table1[Entity Prefab],0)),10,1,1,"Entities"))</f>
        <v>75</v>
      </c>
      <c r="BJ121" s="75">
        <f ca="1">ROUND((Table610[[#This Row],[XP]]*Table610[[#This Row],[entity_spawned (AVG)]])*(Table610[[#This Row],[activating_chance]]/100),0)</f>
        <v>75</v>
      </c>
      <c r="BK121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21">
        <v>1</v>
      </c>
      <c r="BM121">
        <v>1</v>
      </c>
      <c r="BN121" t="b">
        <v>0</v>
      </c>
      <c r="BP121" t="s">
        <v>231</v>
      </c>
      <c r="BQ121">
        <v>1</v>
      </c>
      <c r="BR121">
        <v>5000</v>
      </c>
      <c r="BS121">
        <v>75</v>
      </c>
      <c r="BT121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121" s="75">
        <f ca="1">ROUND((Table61011[[#This Row],[XP]]*Table61011[[#This Row],[entity_spawned (AVG)]])*(Table61011[[#This Row],[activating_chance]]/100),0)</f>
        <v>56</v>
      </c>
      <c r="BV12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21" s="72">
        <v>1</v>
      </c>
      <c r="BX121" s="72">
        <v>1</v>
      </c>
      <c r="BY121" s="72" t="b">
        <v>0</v>
      </c>
      <c r="CA121" t="s">
        <v>233</v>
      </c>
      <c r="CB121">
        <v>1</v>
      </c>
      <c r="CC121">
        <v>300</v>
      </c>
      <c r="CD121">
        <v>100</v>
      </c>
      <c r="CE121" s="75">
        <f ca="1">INDIRECT(ADDRESS(11+(MATCH(RIGHT(Table11[[#This Row],[spawner_sku]],LEN(Table11[[#This Row],[spawner_sku]])-FIND("/",Table11[[#This Row],[spawner_sku]])),Table1[Entity Prefab],0)),10,1,1,"Entities"))</f>
        <v>195</v>
      </c>
      <c r="CF121">
        <f ca="1">ROUND((Table11[[#This Row],[XP]]*Table11[[#This Row],[entity_spawned (AVG)]])*(Table11[[#This Row],[activating_chance]]/100),0)</f>
        <v>195</v>
      </c>
      <c r="CG121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21" s="72">
        <v>1</v>
      </c>
      <c r="CI121" s="72">
        <v>1</v>
      </c>
      <c r="CJ121" s="72" t="b">
        <v>0</v>
      </c>
      <c r="CL121" t="s">
        <v>253</v>
      </c>
      <c r="CM121">
        <v>1</v>
      </c>
      <c r="CN121">
        <v>170</v>
      </c>
      <c r="CO121">
        <v>100</v>
      </c>
      <c r="CP121" s="75">
        <f ca="1">INDIRECT(ADDRESS(11+(MATCH(RIGHT(Table12[[#This Row],[spawner_sku]],LEN(Table12[[#This Row],[spawner_sku]])-FIND("/",Table12[[#This Row],[spawner_sku]])),Table1[Entity Prefab],0)),10,1,1,"Entities"))</f>
        <v>70</v>
      </c>
      <c r="CQ121" s="75">
        <f ca="1">ROUND((Table12[[#This Row],[XP]]*Table12[[#This Row],[entity_spawned (AVG)]])*(Table12[[#This Row],[activating_chance]]/100),0)</f>
        <v>70</v>
      </c>
      <c r="CR121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121" s="72">
        <v>1</v>
      </c>
      <c r="CT121" s="72">
        <v>1</v>
      </c>
      <c r="CU121" s="72" t="b">
        <v>0</v>
      </c>
      <c r="CW121" t="s">
        <v>386</v>
      </c>
      <c r="CX121">
        <v>1</v>
      </c>
      <c r="CY121">
        <v>180</v>
      </c>
      <c r="CZ121">
        <v>100</v>
      </c>
      <c r="DA121" s="75">
        <f ca="1">INDIRECT(ADDRESS(11+(MATCH(RIGHT(Table13[[#This Row],[spawner_sku]],LEN(Table13[[#This Row],[spawner_sku]])-FIND("/",Table13[[#This Row],[spawner_sku]])),Table1[Entity Prefab],0)),10,1,1,"Entities"))</f>
        <v>75</v>
      </c>
      <c r="DB121" s="75">
        <f ca="1">ROUND((Table13[[#This Row],[XP]]*Table13[[#This Row],[entity_spawned (AVG)]])*(Table13[[#This Row],[activating_chance]]/100),0)</f>
        <v>75</v>
      </c>
      <c r="DC121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21" s="72">
        <v>1</v>
      </c>
      <c r="DE121" s="72">
        <v>1</v>
      </c>
      <c r="DF121" s="72" t="b">
        <v>0</v>
      </c>
      <c r="DH121" t="s">
        <v>227</v>
      </c>
      <c r="DI121">
        <v>10</v>
      </c>
      <c r="DJ121">
        <v>200</v>
      </c>
      <c r="DK121">
        <v>100</v>
      </c>
      <c r="DL121" s="75">
        <f ca="1">INDIRECT(ADDRESS(11+(MATCH(RIGHT(Table14[[#This Row],[spawner_sku]],LEN(Table14[[#This Row],[spawner_sku]])-FIND("/",Table14[[#This Row],[spawner_sku]])),Table1[Entity Prefab],0)),10,1,1,"Entities"))</f>
        <v>25</v>
      </c>
      <c r="DM121" s="75">
        <f ca="1">ROUND((Table14[[#This Row],[XP]]*Table14[[#This Row],[entity_spawned (AVG)]])*(Table14[[#This Row],[activating_chance]]/100),0)</f>
        <v>250</v>
      </c>
      <c r="DN12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21" s="72">
        <v>8</v>
      </c>
      <c r="DP121" s="72">
        <v>12</v>
      </c>
      <c r="DQ121" s="72" t="b">
        <v>1</v>
      </c>
      <c r="DS121" t="s">
        <v>336</v>
      </c>
      <c r="DT121">
        <v>1</v>
      </c>
      <c r="DU121">
        <v>300</v>
      </c>
      <c r="DV121">
        <v>100</v>
      </c>
      <c r="DW121" s="75">
        <f ca="1">INDIRECT(ADDRESS(11+(MATCH(RIGHT(Table18[[#This Row],[spawner_sku]],LEN(Table18[[#This Row],[spawner_sku]])-FIND("/",Table18[[#This Row],[spawner_sku]])),Table1[Entity Prefab],0)),10,1,1,"Entities"))</f>
        <v>195</v>
      </c>
      <c r="DX121" s="75">
        <f ca="1">ROUND((Table18[[#This Row],[XP]]*Table18[[#This Row],[entity_spawned (AVG)]])*(Table18[[#This Row],[activating_chance]]/100),0)</f>
        <v>195</v>
      </c>
      <c r="DY121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21">
        <v>1</v>
      </c>
      <c r="EA121">
        <v>1</v>
      </c>
      <c r="EB121" t="b">
        <v>0</v>
      </c>
      <c r="ED121" t="s">
        <v>336</v>
      </c>
      <c r="EE121">
        <v>1</v>
      </c>
      <c r="EF121">
        <v>300</v>
      </c>
      <c r="EG121">
        <v>100</v>
      </c>
      <c r="EH121" s="75">
        <f ca="1">INDIRECT(ADDRESS(11+(MATCH(RIGHT(Table1820[[#This Row],[spawner_sku]],LEN(Table1820[[#This Row],[spawner_sku]])-FIND("/",Table1820[[#This Row],[spawner_sku]])),Table1[Entity Prefab],0)),10,1,1,"Entities"))</f>
        <v>195</v>
      </c>
      <c r="EI121" s="75">
        <f ca="1">ROUND((Table1820[[#This Row],[XP]]*Table1820[[#This Row],[entity_spawned (AVG)]])*(Table1820[[#This Row],[activating_chance]]/100),0)</f>
        <v>195</v>
      </c>
      <c r="EJ121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21">
        <v>1</v>
      </c>
      <c r="EL121">
        <v>1</v>
      </c>
      <c r="EM121" t="b">
        <v>0</v>
      </c>
      <c r="EO121" t="s">
        <v>7342</v>
      </c>
      <c r="EP121">
        <v>2</v>
      </c>
      <c r="EQ121">
        <v>120</v>
      </c>
      <c r="ER121">
        <v>100</v>
      </c>
      <c r="ES121" s="75">
        <f ca="1">INDIRECT(ADDRESS(11+(MATCH(RIGHT(Table182023[[#This Row],[spawner_sku]],LEN(Table182023[[#This Row],[spawner_sku]])-FIND("/",Table182023[[#This Row],[spawner_sku]])),Table1[Entity Prefab],0)),10,1,1,"Entities"))</f>
        <v>263</v>
      </c>
      <c r="ET121" s="75">
        <f ca="1">ROUND((Table182023[[#This Row],[XP]]*Table182023[[#This Row],[entity_spawned (AVG)]])*(Table182023[[#This Row],[activating_chance]]/100),0)</f>
        <v>526</v>
      </c>
      <c r="EU121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EV121" s="152">
        <v>1</v>
      </c>
      <c r="EW121" s="152">
        <v>3</v>
      </c>
      <c r="EX121" s="152" t="b">
        <v>0</v>
      </c>
      <c r="EZ121" t="s">
        <v>7346</v>
      </c>
      <c r="FA121">
        <v>2.5</v>
      </c>
      <c r="FB121">
        <v>90</v>
      </c>
      <c r="FC121">
        <v>100</v>
      </c>
      <c r="FD121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FE121" s="75">
        <f ca="1">ROUND((Table18202324[[#This Row],[XP]]*Table18202324[[#This Row],[entity_spawned (AVG)]])*(Table18202324[[#This Row],[activating_chance]]/100),0)</f>
        <v>88</v>
      </c>
      <c r="FF121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21">
        <v>2</v>
      </c>
      <c r="FH121">
        <v>3</v>
      </c>
      <c r="FI121" t="b">
        <v>0</v>
      </c>
    </row>
    <row r="122" spans="2:165" x14ac:dyDescent="0.25">
      <c r="B122" s="73" t="s">
        <v>228</v>
      </c>
      <c r="C122">
        <v>6.5</v>
      </c>
      <c r="D122">
        <v>110</v>
      </c>
      <c r="E122">
        <v>100</v>
      </c>
      <c r="F122" s="75">
        <f ca="1">INDIRECT(ADDRESS(11+(MATCH(RIGHT(Table245[[#This Row],[spawner_sku]],LEN(Table245[[#This Row],[spawner_sku]])-FIND("/",Table245[[#This Row],[spawner_sku]])),Table1[Entity Prefab],0)),10,1,1,"Entities"))</f>
        <v>25</v>
      </c>
      <c r="G122" s="75">
        <f ca="1">ROUND((Table245[[#This Row],[XP]]*Table245[[#This Row],[entity_spawned (AVG)]])*(Table245[[#This Row],[activating_chance]]/100),0)</f>
        <v>163</v>
      </c>
      <c r="H12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2" s="72">
        <v>5</v>
      </c>
      <c r="J122" s="72">
        <v>8</v>
      </c>
      <c r="K122" s="72" t="b">
        <v>1</v>
      </c>
      <c r="M122" t="s">
        <v>246</v>
      </c>
      <c r="N122">
        <v>1</v>
      </c>
      <c r="O122">
        <v>500</v>
      </c>
      <c r="P122">
        <v>75</v>
      </c>
      <c r="Q122" s="75">
        <f ca="1">INDIRECT(ADDRESS(11+(MATCH(RIGHT(Table3[[#This Row],[spawner_sku]],LEN(Table3[[#This Row],[spawner_sku]])-FIND("/",Table3[[#This Row],[spawner_sku]])),Table1[Entity Prefab],0)),10,1,1,"Entities"))</f>
        <v>25</v>
      </c>
      <c r="R122" s="75">
        <f ca="1">ROUND((Table3[[#This Row],[XP]]*Table3[[#This Row],[entity_spawned (AVG)]])*(Table3[[#This Row],[activating_chance]]/100),0)</f>
        <v>19</v>
      </c>
      <c r="S122" t="str">
        <f ca="1">INDIRECT(ADDRESS(11+(MATCH(RIGHT(Table3[[#This Row],[spawner_sku]],LEN(Table3[[#This Row],[spawner_sku]])-FIND("/",Table3[[#This Row],[spawner_sku]])),Table28[Entity Prefab],0)),24,1,1,"Entities"))</f>
        <v>no</v>
      </c>
      <c r="T122">
        <v>1</v>
      </c>
      <c r="U122">
        <v>1</v>
      </c>
      <c r="V122" t="b">
        <v>0</v>
      </c>
      <c r="W122" s="72"/>
      <c r="AI122" t="s">
        <v>228</v>
      </c>
      <c r="AJ122">
        <v>2</v>
      </c>
      <c r="AK122">
        <v>110</v>
      </c>
      <c r="AL122">
        <v>100</v>
      </c>
      <c r="AM122" s="75">
        <f ca="1">INDIRECT(ADDRESS(11+(MATCH(RIGHT(Table2[[#This Row],[spawner_sku]],LEN(Table2[[#This Row],[spawner_sku]])-FIND("/",Table2[[#This Row],[spawner_sku]])),Table1[Entity Prefab],0)),10,1,1,"Entities"))</f>
        <v>25</v>
      </c>
      <c r="AN122" s="75">
        <f ca="1">ROUND((Table2[[#This Row],[XP]]*Table2[[#This Row],[entity_spawned (AVG)]])*(Table2[[#This Row],[activating_chance]]/100),0)</f>
        <v>50</v>
      </c>
      <c r="AO12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22" s="72">
        <v>1</v>
      </c>
      <c r="AQ122" s="72">
        <v>3</v>
      </c>
      <c r="AR122" s="72" t="b">
        <v>0</v>
      </c>
      <c r="AT122" t="s">
        <v>607</v>
      </c>
      <c r="AU122">
        <v>1</v>
      </c>
      <c r="AV122">
        <v>300</v>
      </c>
      <c r="AW122">
        <v>100</v>
      </c>
      <c r="AX122" s="75">
        <f ca="1">INDIRECT(ADDRESS(11+(MATCH(RIGHT(Table6[[#This Row],[spawner_sku]],LEN(Table6[[#This Row],[spawner_sku]])-FIND("/",Table6[[#This Row],[spawner_sku]])),Table1[Entity Prefab],0)),10,1,1,"Entities"))</f>
        <v>50</v>
      </c>
      <c r="AY122" s="75">
        <f ca="1">ROUND((Table6[[#This Row],[XP]]*Table6[[#This Row],[entity_spawned (AVG)]])*(Table6[[#This Row],[activating_chance]]/100),0)</f>
        <v>50</v>
      </c>
      <c r="AZ122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22">
        <v>1</v>
      </c>
      <c r="BB122">
        <v>1</v>
      </c>
      <c r="BC122" t="b">
        <v>0</v>
      </c>
      <c r="BE122" t="s">
        <v>7267</v>
      </c>
      <c r="BF122">
        <v>1</v>
      </c>
      <c r="BG122">
        <v>180</v>
      </c>
      <c r="BH122">
        <v>100</v>
      </c>
      <c r="BI122" s="75">
        <f ca="1">INDIRECT(ADDRESS(11+(MATCH(RIGHT(Table610[[#This Row],[spawner_sku]],LEN(Table610[[#This Row],[spawner_sku]])-FIND("/",Table610[[#This Row],[spawner_sku]])),Table1[Entity Prefab],0)),10,1,1,"Entities"))</f>
        <v>75</v>
      </c>
      <c r="BJ122" s="75">
        <f ca="1">ROUND((Table610[[#This Row],[XP]]*Table610[[#This Row],[entity_spawned (AVG)]])*(Table610[[#This Row],[activating_chance]]/100),0)</f>
        <v>75</v>
      </c>
      <c r="BK122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22">
        <v>1</v>
      </c>
      <c r="BM122">
        <v>1</v>
      </c>
      <c r="BN122" t="b">
        <v>0</v>
      </c>
      <c r="BP122" t="s">
        <v>232</v>
      </c>
      <c r="BQ122">
        <v>1</v>
      </c>
      <c r="BR122">
        <v>250</v>
      </c>
      <c r="BS122">
        <v>100</v>
      </c>
      <c r="BT122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122" s="75">
        <f ca="1">ROUND((Table61011[[#This Row],[XP]]*Table61011[[#This Row],[entity_spawned (AVG)]])*(Table61011[[#This Row],[activating_chance]]/100),0)</f>
        <v>143</v>
      </c>
      <c r="BV12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22" s="72">
        <v>1</v>
      </c>
      <c r="BX122" s="72">
        <v>1</v>
      </c>
      <c r="BY122" s="72" t="b">
        <v>0</v>
      </c>
      <c r="CA122" t="s">
        <v>233</v>
      </c>
      <c r="CB122">
        <v>1</v>
      </c>
      <c r="CC122">
        <v>300</v>
      </c>
      <c r="CD122">
        <v>100</v>
      </c>
      <c r="CE122" s="75">
        <f ca="1">INDIRECT(ADDRESS(11+(MATCH(RIGHT(Table11[[#This Row],[spawner_sku]],LEN(Table11[[#This Row],[spawner_sku]])-FIND("/",Table11[[#This Row],[spawner_sku]])),Table1[Entity Prefab],0)),10,1,1,"Entities"))</f>
        <v>195</v>
      </c>
      <c r="CF122">
        <f ca="1">ROUND((Table11[[#This Row],[XP]]*Table11[[#This Row],[entity_spawned (AVG)]])*(Table11[[#This Row],[activating_chance]]/100),0)</f>
        <v>195</v>
      </c>
      <c r="CG122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22" s="72">
        <v>1</v>
      </c>
      <c r="CI122" s="72">
        <v>1</v>
      </c>
      <c r="CJ122" s="72" t="b">
        <v>0</v>
      </c>
      <c r="CL122" t="s">
        <v>253</v>
      </c>
      <c r="CM122">
        <v>1</v>
      </c>
      <c r="CN122">
        <v>170</v>
      </c>
      <c r="CO122">
        <v>100</v>
      </c>
      <c r="CP122" s="75">
        <f ca="1">INDIRECT(ADDRESS(11+(MATCH(RIGHT(Table12[[#This Row],[spawner_sku]],LEN(Table12[[#This Row],[spawner_sku]])-FIND("/",Table12[[#This Row],[spawner_sku]])),Table1[Entity Prefab],0)),10,1,1,"Entities"))</f>
        <v>70</v>
      </c>
      <c r="CQ122" s="75">
        <f ca="1">ROUND((Table12[[#This Row],[XP]]*Table12[[#This Row],[entity_spawned (AVG)]])*(Table12[[#This Row],[activating_chance]]/100),0)</f>
        <v>70</v>
      </c>
      <c r="CR122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122" s="72">
        <v>1</v>
      </c>
      <c r="CT122" s="72">
        <v>1</v>
      </c>
      <c r="CU122" s="72" t="b">
        <v>0</v>
      </c>
      <c r="CW122" t="s">
        <v>386</v>
      </c>
      <c r="CX122">
        <v>1</v>
      </c>
      <c r="CY122">
        <v>180</v>
      </c>
      <c r="CZ122">
        <v>100</v>
      </c>
      <c r="DA122" s="75">
        <f ca="1">INDIRECT(ADDRESS(11+(MATCH(RIGHT(Table13[[#This Row],[spawner_sku]],LEN(Table13[[#This Row],[spawner_sku]])-FIND("/",Table13[[#This Row],[spawner_sku]])),Table1[Entity Prefab],0)),10,1,1,"Entities"))</f>
        <v>75</v>
      </c>
      <c r="DB122" s="75">
        <f ca="1">ROUND((Table13[[#This Row],[XP]]*Table13[[#This Row],[entity_spawned (AVG)]])*(Table13[[#This Row],[activating_chance]]/100),0)</f>
        <v>75</v>
      </c>
      <c r="DC122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22" s="72">
        <v>1</v>
      </c>
      <c r="DE122" s="72">
        <v>1</v>
      </c>
      <c r="DF122" s="72" t="b">
        <v>0</v>
      </c>
      <c r="DH122" t="s">
        <v>227</v>
      </c>
      <c r="DI122">
        <v>3.5</v>
      </c>
      <c r="DJ122">
        <v>100</v>
      </c>
      <c r="DK122">
        <v>80</v>
      </c>
      <c r="DL122" s="75">
        <f ca="1">INDIRECT(ADDRESS(11+(MATCH(RIGHT(Table14[[#This Row],[spawner_sku]],LEN(Table14[[#This Row],[spawner_sku]])-FIND("/",Table14[[#This Row],[spawner_sku]])),Table1[Entity Prefab],0)),10,1,1,"Entities"))</f>
        <v>25</v>
      </c>
      <c r="DM122" s="75">
        <f ca="1">ROUND((Table14[[#This Row],[XP]]*Table14[[#This Row],[entity_spawned (AVG)]])*(Table14[[#This Row],[activating_chance]]/100),0)</f>
        <v>70</v>
      </c>
      <c r="DN12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22" s="72">
        <v>3</v>
      </c>
      <c r="DP122" s="72">
        <v>4</v>
      </c>
      <c r="DQ122" s="72" t="b">
        <v>0</v>
      </c>
      <c r="DS122" t="s">
        <v>234</v>
      </c>
      <c r="DT122">
        <v>1</v>
      </c>
      <c r="DU122">
        <v>240</v>
      </c>
      <c r="DV122">
        <v>100</v>
      </c>
      <c r="DW122" s="75">
        <f ca="1">INDIRECT(ADDRESS(11+(MATCH(RIGHT(Table18[[#This Row],[spawner_sku]],LEN(Table18[[#This Row],[spawner_sku]])-FIND("/",Table18[[#This Row],[spawner_sku]])),Table1[Entity Prefab],0)),10,1,1,"Entities"))</f>
        <v>263</v>
      </c>
      <c r="DX122" s="75">
        <f ca="1">ROUND((Table18[[#This Row],[XP]]*Table18[[#This Row],[entity_spawned (AVG)]])*(Table18[[#This Row],[activating_chance]]/100),0)</f>
        <v>263</v>
      </c>
      <c r="DY122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22">
        <v>1</v>
      </c>
      <c r="EA122">
        <v>1</v>
      </c>
      <c r="EB122" t="b">
        <v>0</v>
      </c>
      <c r="ED122" t="s">
        <v>336</v>
      </c>
      <c r="EE122">
        <v>1</v>
      </c>
      <c r="EF122">
        <v>300</v>
      </c>
      <c r="EG122">
        <v>100</v>
      </c>
      <c r="EH122" s="75">
        <f ca="1">INDIRECT(ADDRESS(11+(MATCH(RIGHT(Table1820[[#This Row],[spawner_sku]],LEN(Table1820[[#This Row],[spawner_sku]])-FIND("/",Table1820[[#This Row],[spawner_sku]])),Table1[Entity Prefab],0)),10,1,1,"Entities"))</f>
        <v>195</v>
      </c>
      <c r="EI122" s="75">
        <f ca="1">ROUND((Table1820[[#This Row],[XP]]*Table1820[[#This Row],[entity_spawned (AVG)]])*(Table1820[[#This Row],[activating_chance]]/100),0)</f>
        <v>195</v>
      </c>
      <c r="EJ122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22">
        <v>1</v>
      </c>
      <c r="EL122">
        <v>1</v>
      </c>
      <c r="EM122" t="b">
        <v>0</v>
      </c>
      <c r="EO122" t="s">
        <v>7342</v>
      </c>
      <c r="EP122">
        <v>1.5</v>
      </c>
      <c r="EQ122">
        <v>120</v>
      </c>
      <c r="ER122">
        <v>100</v>
      </c>
      <c r="ES122" s="75">
        <f ca="1">INDIRECT(ADDRESS(11+(MATCH(RIGHT(Table182023[[#This Row],[spawner_sku]],LEN(Table182023[[#This Row],[spawner_sku]])-FIND("/",Table182023[[#This Row],[spawner_sku]])),Table1[Entity Prefab],0)),10,1,1,"Entities"))</f>
        <v>263</v>
      </c>
      <c r="ET122" s="75">
        <f ca="1">ROUND((Table182023[[#This Row],[XP]]*Table182023[[#This Row],[entity_spawned (AVG)]])*(Table182023[[#This Row],[activating_chance]]/100),0)</f>
        <v>395</v>
      </c>
      <c r="EU122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EV122" s="152">
        <v>1</v>
      </c>
      <c r="EW122" s="152">
        <v>2</v>
      </c>
      <c r="EX122" s="152" t="b">
        <v>0</v>
      </c>
      <c r="EZ122" t="s">
        <v>7343</v>
      </c>
      <c r="FA122">
        <v>2</v>
      </c>
      <c r="FB122">
        <v>120</v>
      </c>
      <c r="FC122">
        <v>80</v>
      </c>
      <c r="FD122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FE122" s="75">
        <f ca="1">ROUND((Table18202324[[#This Row],[XP]]*Table18202324[[#This Row],[entity_spawned (AVG)]])*(Table18202324[[#This Row],[activating_chance]]/100),0)</f>
        <v>208</v>
      </c>
      <c r="FF122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122">
        <v>1</v>
      </c>
      <c r="FH122">
        <v>3</v>
      </c>
      <c r="FI122" t="b">
        <v>0</v>
      </c>
    </row>
    <row r="123" spans="2:165" x14ac:dyDescent="0.25">
      <c r="B123" s="73" t="s">
        <v>228</v>
      </c>
      <c r="C123">
        <v>3.5</v>
      </c>
      <c r="D123">
        <v>160</v>
      </c>
      <c r="E123">
        <v>100</v>
      </c>
      <c r="F123" s="75">
        <f ca="1">INDIRECT(ADDRESS(11+(MATCH(RIGHT(Table245[[#This Row],[spawner_sku]],LEN(Table245[[#This Row],[spawner_sku]])-FIND("/",Table245[[#This Row],[spawner_sku]])),Table1[Entity Prefab],0)),10,1,1,"Entities"))</f>
        <v>25</v>
      </c>
      <c r="G123" s="75">
        <f ca="1">ROUND((Table245[[#This Row],[XP]]*Table245[[#This Row],[entity_spawned (AVG)]])*(Table245[[#This Row],[activating_chance]]/100),0)</f>
        <v>88</v>
      </c>
      <c r="H12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3" s="72">
        <v>3</v>
      </c>
      <c r="J123" s="72">
        <v>4</v>
      </c>
      <c r="K123" s="72" t="b">
        <v>0</v>
      </c>
      <c r="M123" t="s">
        <v>246</v>
      </c>
      <c r="N123">
        <v>1</v>
      </c>
      <c r="O123">
        <v>500</v>
      </c>
      <c r="P123">
        <v>75</v>
      </c>
      <c r="Q123" s="75">
        <f ca="1">INDIRECT(ADDRESS(11+(MATCH(RIGHT(Table3[[#This Row],[spawner_sku]],LEN(Table3[[#This Row],[spawner_sku]])-FIND("/",Table3[[#This Row],[spawner_sku]])),Table1[Entity Prefab],0)),10,1,1,"Entities"))</f>
        <v>25</v>
      </c>
      <c r="R123" s="75">
        <f ca="1">ROUND((Table3[[#This Row],[XP]]*Table3[[#This Row],[entity_spawned (AVG)]])*(Table3[[#This Row],[activating_chance]]/100),0)</f>
        <v>19</v>
      </c>
      <c r="S123" t="str">
        <f ca="1">INDIRECT(ADDRESS(11+(MATCH(RIGHT(Table3[[#This Row],[spawner_sku]],LEN(Table3[[#This Row],[spawner_sku]])-FIND("/",Table3[[#This Row],[spawner_sku]])),Table28[Entity Prefab],0)),24,1,1,"Entities"))</f>
        <v>no</v>
      </c>
      <c r="T123">
        <v>1</v>
      </c>
      <c r="U123">
        <v>1</v>
      </c>
      <c r="V123" t="b">
        <v>0</v>
      </c>
      <c r="W123" s="72"/>
      <c r="AI123" t="s">
        <v>228</v>
      </c>
      <c r="AJ123">
        <v>1</v>
      </c>
      <c r="AK123">
        <v>100</v>
      </c>
      <c r="AL123">
        <v>100</v>
      </c>
      <c r="AM123" s="75">
        <f ca="1">INDIRECT(ADDRESS(11+(MATCH(RIGHT(Table2[[#This Row],[spawner_sku]],LEN(Table2[[#This Row],[spawner_sku]])-FIND("/",Table2[[#This Row],[spawner_sku]])),Table1[Entity Prefab],0)),10,1,1,"Entities"))</f>
        <v>25</v>
      </c>
      <c r="AN123" s="75">
        <f ca="1">ROUND((Table2[[#This Row],[XP]]*Table2[[#This Row],[entity_spawned (AVG)]])*(Table2[[#This Row],[activating_chance]]/100),0)</f>
        <v>25</v>
      </c>
      <c r="AO12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23" s="72">
        <v>1</v>
      </c>
      <c r="AQ123" s="72">
        <v>1</v>
      </c>
      <c r="AR123" s="72" t="b">
        <v>0</v>
      </c>
      <c r="AT123" t="s">
        <v>607</v>
      </c>
      <c r="AU123">
        <v>1</v>
      </c>
      <c r="AV123">
        <v>300</v>
      </c>
      <c r="AW123">
        <v>100</v>
      </c>
      <c r="AX123" s="75">
        <f ca="1">INDIRECT(ADDRESS(11+(MATCH(RIGHT(Table6[[#This Row],[spawner_sku]],LEN(Table6[[#This Row],[spawner_sku]])-FIND("/",Table6[[#This Row],[spawner_sku]])),Table1[Entity Prefab],0)),10,1,1,"Entities"))</f>
        <v>50</v>
      </c>
      <c r="AY123" s="75">
        <f ca="1">ROUND((Table6[[#This Row],[XP]]*Table6[[#This Row],[entity_spawned (AVG)]])*(Table6[[#This Row],[activating_chance]]/100),0)</f>
        <v>50</v>
      </c>
      <c r="AZ123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23">
        <v>1</v>
      </c>
      <c r="BB123">
        <v>1</v>
      </c>
      <c r="BC123" t="b">
        <v>0</v>
      </c>
      <c r="BE123" t="s">
        <v>7267</v>
      </c>
      <c r="BF123">
        <v>1</v>
      </c>
      <c r="BG123">
        <v>180</v>
      </c>
      <c r="BH123">
        <v>100</v>
      </c>
      <c r="BI123" s="75">
        <f ca="1">INDIRECT(ADDRESS(11+(MATCH(RIGHT(Table610[[#This Row],[spawner_sku]],LEN(Table610[[#This Row],[spawner_sku]])-FIND("/",Table610[[#This Row],[spawner_sku]])),Table1[Entity Prefab],0)),10,1,1,"Entities"))</f>
        <v>75</v>
      </c>
      <c r="BJ123" s="75">
        <f ca="1">ROUND((Table610[[#This Row],[XP]]*Table610[[#This Row],[entity_spawned (AVG)]])*(Table610[[#This Row],[activating_chance]]/100),0)</f>
        <v>75</v>
      </c>
      <c r="BK123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23">
        <v>1</v>
      </c>
      <c r="BM123">
        <v>1</v>
      </c>
      <c r="BN123" t="b">
        <v>0</v>
      </c>
      <c r="BP123" t="s">
        <v>232</v>
      </c>
      <c r="BQ123">
        <v>1</v>
      </c>
      <c r="BR123">
        <v>250</v>
      </c>
      <c r="BS123">
        <v>100</v>
      </c>
      <c r="BT123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123" s="75">
        <f ca="1">ROUND((Table61011[[#This Row],[XP]]*Table61011[[#This Row],[entity_spawned (AVG)]])*(Table61011[[#This Row],[activating_chance]]/100),0)</f>
        <v>143</v>
      </c>
      <c r="BV12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23" s="72">
        <v>1</v>
      </c>
      <c r="BX123" s="72">
        <v>1</v>
      </c>
      <c r="BY123" s="72" t="b">
        <v>0</v>
      </c>
      <c r="CA123" t="s">
        <v>233</v>
      </c>
      <c r="CB123">
        <v>1</v>
      </c>
      <c r="CC123">
        <v>300</v>
      </c>
      <c r="CD123">
        <v>100</v>
      </c>
      <c r="CE123" s="75">
        <f ca="1">INDIRECT(ADDRESS(11+(MATCH(RIGHT(Table11[[#This Row],[spawner_sku]],LEN(Table11[[#This Row],[spawner_sku]])-FIND("/",Table11[[#This Row],[spawner_sku]])),Table1[Entity Prefab],0)),10,1,1,"Entities"))</f>
        <v>195</v>
      </c>
      <c r="CF123">
        <f ca="1">ROUND((Table11[[#This Row],[XP]]*Table11[[#This Row],[entity_spawned (AVG)]])*(Table11[[#This Row],[activating_chance]]/100),0)</f>
        <v>195</v>
      </c>
      <c r="CG123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23" s="72">
        <v>1</v>
      </c>
      <c r="CI123" s="72">
        <v>1</v>
      </c>
      <c r="CJ123" s="72" t="b">
        <v>0</v>
      </c>
      <c r="CL123" t="s">
        <v>253</v>
      </c>
      <c r="CM123">
        <v>1</v>
      </c>
      <c r="CN123">
        <v>170</v>
      </c>
      <c r="CO123">
        <v>100</v>
      </c>
      <c r="CP123" s="75">
        <f ca="1">INDIRECT(ADDRESS(11+(MATCH(RIGHT(Table12[[#This Row],[spawner_sku]],LEN(Table12[[#This Row],[spawner_sku]])-FIND("/",Table12[[#This Row],[spawner_sku]])),Table1[Entity Prefab],0)),10,1,1,"Entities"))</f>
        <v>70</v>
      </c>
      <c r="CQ123" s="75">
        <f ca="1">ROUND((Table12[[#This Row],[XP]]*Table12[[#This Row],[entity_spawned (AVG)]])*(Table12[[#This Row],[activating_chance]]/100),0)</f>
        <v>70</v>
      </c>
      <c r="CR123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123" s="72">
        <v>1</v>
      </c>
      <c r="CT123" s="72">
        <v>1</v>
      </c>
      <c r="CU123" s="72" t="b">
        <v>0</v>
      </c>
      <c r="CW123" t="s">
        <v>386</v>
      </c>
      <c r="CX123">
        <v>1</v>
      </c>
      <c r="CY123">
        <v>180</v>
      </c>
      <c r="CZ123">
        <v>100</v>
      </c>
      <c r="DA123" s="75">
        <f ca="1">INDIRECT(ADDRESS(11+(MATCH(RIGHT(Table13[[#This Row],[spawner_sku]],LEN(Table13[[#This Row],[spawner_sku]])-FIND("/",Table13[[#This Row],[spawner_sku]])),Table1[Entity Prefab],0)),10,1,1,"Entities"))</f>
        <v>75</v>
      </c>
      <c r="DB123" s="75">
        <f ca="1">ROUND((Table13[[#This Row],[XP]]*Table13[[#This Row],[entity_spawned (AVG)]])*(Table13[[#This Row],[activating_chance]]/100),0)</f>
        <v>75</v>
      </c>
      <c r="DC123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23" s="72">
        <v>1</v>
      </c>
      <c r="DE123" s="72">
        <v>1</v>
      </c>
      <c r="DF123" s="72" t="b">
        <v>0</v>
      </c>
      <c r="DH123" t="s">
        <v>227</v>
      </c>
      <c r="DI123">
        <v>1.5</v>
      </c>
      <c r="DJ123">
        <v>70</v>
      </c>
      <c r="DK123">
        <v>100</v>
      </c>
      <c r="DL123" s="75">
        <f ca="1">INDIRECT(ADDRESS(11+(MATCH(RIGHT(Table14[[#This Row],[spawner_sku]],LEN(Table14[[#This Row],[spawner_sku]])-FIND("/",Table14[[#This Row],[spawner_sku]])),Table1[Entity Prefab],0)),10,1,1,"Entities"))</f>
        <v>25</v>
      </c>
      <c r="DM123" s="75">
        <f ca="1">ROUND((Table14[[#This Row],[XP]]*Table14[[#This Row],[entity_spawned (AVG)]])*(Table14[[#This Row],[activating_chance]]/100),0)</f>
        <v>38</v>
      </c>
      <c r="DN12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23" s="72">
        <v>1</v>
      </c>
      <c r="DP123" s="72">
        <v>2</v>
      </c>
      <c r="DQ123" s="72" t="b">
        <v>0</v>
      </c>
      <c r="DS123" t="s">
        <v>234</v>
      </c>
      <c r="DT123">
        <v>1</v>
      </c>
      <c r="DU123">
        <v>240</v>
      </c>
      <c r="DV123">
        <v>100</v>
      </c>
      <c r="DW123" s="75">
        <f ca="1">INDIRECT(ADDRESS(11+(MATCH(RIGHT(Table18[[#This Row],[spawner_sku]],LEN(Table18[[#This Row],[spawner_sku]])-FIND("/",Table18[[#This Row],[spawner_sku]])),Table1[Entity Prefab],0)),10,1,1,"Entities"))</f>
        <v>263</v>
      </c>
      <c r="DX123" s="75">
        <f ca="1">ROUND((Table18[[#This Row],[XP]]*Table18[[#This Row],[entity_spawned (AVG)]])*(Table18[[#This Row],[activating_chance]]/100),0)</f>
        <v>263</v>
      </c>
      <c r="DY123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23">
        <v>1</v>
      </c>
      <c r="EA123">
        <v>1</v>
      </c>
      <c r="EB123" t="b">
        <v>0</v>
      </c>
      <c r="ED123" t="s">
        <v>234</v>
      </c>
      <c r="EE123">
        <v>1</v>
      </c>
      <c r="EF123">
        <v>340</v>
      </c>
      <c r="EG123">
        <v>100</v>
      </c>
      <c r="EH123" s="75">
        <f ca="1">INDIRECT(ADDRESS(11+(MATCH(RIGHT(Table1820[[#This Row],[spawner_sku]],LEN(Table1820[[#This Row],[spawner_sku]])-FIND("/",Table1820[[#This Row],[spawner_sku]])),Table1[Entity Prefab],0)),10,1,1,"Entities"))</f>
        <v>263</v>
      </c>
      <c r="EI123" s="75">
        <f ca="1">ROUND((Table1820[[#This Row],[XP]]*Table1820[[#This Row],[entity_spawned (AVG)]])*(Table1820[[#This Row],[activating_chance]]/100),0)</f>
        <v>263</v>
      </c>
      <c r="EJ123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23">
        <v>1</v>
      </c>
      <c r="EL123">
        <v>1</v>
      </c>
      <c r="EM123" t="b">
        <v>0</v>
      </c>
      <c r="EO123" t="s">
        <v>7342</v>
      </c>
      <c r="EP123">
        <v>2</v>
      </c>
      <c r="EQ123">
        <v>120</v>
      </c>
      <c r="ER123">
        <v>80</v>
      </c>
      <c r="ES123" s="75">
        <f ca="1">INDIRECT(ADDRESS(11+(MATCH(RIGHT(Table182023[[#This Row],[spawner_sku]],LEN(Table182023[[#This Row],[spawner_sku]])-FIND("/",Table182023[[#This Row],[spawner_sku]])),Table1[Entity Prefab],0)),10,1,1,"Entities"))</f>
        <v>263</v>
      </c>
      <c r="ET123" s="75">
        <f ca="1">ROUND((Table182023[[#This Row],[XP]]*Table182023[[#This Row],[entity_spawned (AVG)]])*(Table182023[[#This Row],[activating_chance]]/100),0)</f>
        <v>421</v>
      </c>
      <c r="EU123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EV123" s="152">
        <v>1</v>
      </c>
      <c r="EW123" s="152">
        <v>3</v>
      </c>
      <c r="EX123" s="152" t="b">
        <v>0</v>
      </c>
      <c r="EZ123" t="s">
        <v>7343</v>
      </c>
      <c r="FA123">
        <v>3</v>
      </c>
      <c r="FB123">
        <v>120</v>
      </c>
      <c r="FC123">
        <v>100</v>
      </c>
      <c r="FD123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FE123" s="75">
        <f ca="1">ROUND((Table18202324[[#This Row],[XP]]*Table18202324[[#This Row],[entity_spawned (AVG)]])*(Table18202324[[#This Row],[activating_chance]]/100),0)</f>
        <v>390</v>
      </c>
      <c r="FF123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123">
        <v>2</v>
      </c>
      <c r="FH123">
        <v>4</v>
      </c>
      <c r="FI123" t="b">
        <v>0</v>
      </c>
    </row>
    <row r="124" spans="2:165" x14ac:dyDescent="0.25">
      <c r="B124" s="73" t="s">
        <v>228</v>
      </c>
      <c r="C124">
        <v>8</v>
      </c>
      <c r="D124">
        <v>200</v>
      </c>
      <c r="E124">
        <v>100</v>
      </c>
      <c r="F124" s="75">
        <f ca="1">INDIRECT(ADDRESS(11+(MATCH(RIGHT(Table245[[#This Row],[spawner_sku]],LEN(Table245[[#This Row],[spawner_sku]])-FIND("/",Table245[[#This Row],[spawner_sku]])),Table1[Entity Prefab],0)),10,1,1,"Entities"))</f>
        <v>25</v>
      </c>
      <c r="G124" s="75">
        <f ca="1">ROUND((Table245[[#This Row],[XP]]*Table245[[#This Row],[entity_spawned (AVG)]])*(Table245[[#This Row],[activating_chance]]/100),0)</f>
        <v>200</v>
      </c>
      <c r="H12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4" s="72">
        <v>6</v>
      </c>
      <c r="J124" s="72">
        <v>10</v>
      </c>
      <c r="K124" s="72" t="b">
        <v>1</v>
      </c>
      <c r="M124" t="s">
        <v>400</v>
      </c>
      <c r="N124">
        <v>1</v>
      </c>
      <c r="O124">
        <v>200</v>
      </c>
      <c r="P124">
        <v>100</v>
      </c>
      <c r="Q124" s="75">
        <f ca="1">INDIRECT(ADDRESS(11+(MATCH(RIGHT(Table3[[#This Row],[spawner_sku]],LEN(Table3[[#This Row],[spawner_sku]])-FIND("/",Table3[[#This Row],[spawner_sku]])),Table1[Entity Prefab],0)),10,1,1,"Entities"))</f>
        <v>75</v>
      </c>
      <c r="R124" s="75">
        <f ca="1">ROUND((Table3[[#This Row],[XP]]*Table3[[#This Row],[entity_spawned (AVG)]])*(Table3[[#This Row],[activating_chance]]/100),0)</f>
        <v>75</v>
      </c>
      <c r="S124" t="str">
        <f ca="1">INDIRECT(ADDRESS(11+(MATCH(RIGHT(Table3[[#This Row],[spawner_sku]],LEN(Table3[[#This Row],[spawner_sku]])-FIND("/",Table3[[#This Row],[spawner_sku]])),Table28[Entity Prefab],0)),24,1,1,"Entities"))</f>
        <v>yes</v>
      </c>
      <c r="T124">
        <v>1</v>
      </c>
      <c r="U124">
        <v>1</v>
      </c>
      <c r="V124" t="b">
        <v>0</v>
      </c>
      <c r="W124" s="72"/>
      <c r="AI124" t="s">
        <v>228</v>
      </c>
      <c r="AJ124">
        <v>2</v>
      </c>
      <c r="AK124">
        <v>100</v>
      </c>
      <c r="AL124">
        <v>100</v>
      </c>
      <c r="AM124" s="75">
        <f ca="1">INDIRECT(ADDRESS(11+(MATCH(RIGHT(Table2[[#This Row],[spawner_sku]],LEN(Table2[[#This Row],[spawner_sku]])-FIND("/",Table2[[#This Row],[spawner_sku]])),Table1[Entity Prefab],0)),10,1,1,"Entities"))</f>
        <v>25</v>
      </c>
      <c r="AN124" s="75">
        <f ca="1">ROUND((Table2[[#This Row],[XP]]*Table2[[#This Row],[entity_spawned (AVG)]])*(Table2[[#This Row],[activating_chance]]/100),0)</f>
        <v>50</v>
      </c>
      <c r="AO12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24" s="72">
        <v>2</v>
      </c>
      <c r="AQ124" s="72">
        <v>2</v>
      </c>
      <c r="AR124" s="72" t="b">
        <v>0</v>
      </c>
      <c r="AT124" t="s">
        <v>607</v>
      </c>
      <c r="AU124">
        <v>1</v>
      </c>
      <c r="AV124">
        <v>300</v>
      </c>
      <c r="AW124">
        <v>100</v>
      </c>
      <c r="AX124" s="75">
        <f ca="1">INDIRECT(ADDRESS(11+(MATCH(RIGHT(Table6[[#This Row],[spawner_sku]],LEN(Table6[[#This Row],[spawner_sku]])-FIND("/",Table6[[#This Row],[spawner_sku]])),Table1[Entity Prefab],0)),10,1,1,"Entities"))</f>
        <v>50</v>
      </c>
      <c r="AY124" s="75">
        <f ca="1">ROUND((Table6[[#This Row],[XP]]*Table6[[#This Row],[entity_spawned (AVG)]])*(Table6[[#This Row],[activating_chance]]/100),0)</f>
        <v>50</v>
      </c>
      <c r="AZ124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24">
        <v>1</v>
      </c>
      <c r="BB124">
        <v>1</v>
      </c>
      <c r="BC124" t="b">
        <v>0</v>
      </c>
      <c r="BE124" t="s">
        <v>7267</v>
      </c>
      <c r="BF124">
        <v>1</v>
      </c>
      <c r="BG124">
        <v>180</v>
      </c>
      <c r="BH124">
        <v>100</v>
      </c>
      <c r="BI124" s="75">
        <f ca="1">INDIRECT(ADDRESS(11+(MATCH(RIGHT(Table610[[#This Row],[spawner_sku]],LEN(Table610[[#This Row],[spawner_sku]])-FIND("/",Table610[[#This Row],[spawner_sku]])),Table1[Entity Prefab],0)),10,1,1,"Entities"))</f>
        <v>75</v>
      </c>
      <c r="BJ124" s="75">
        <f ca="1">ROUND((Table610[[#This Row],[XP]]*Table610[[#This Row],[entity_spawned (AVG)]])*(Table610[[#This Row],[activating_chance]]/100),0)</f>
        <v>75</v>
      </c>
      <c r="BK124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24">
        <v>1</v>
      </c>
      <c r="BM124">
        <v>1</v>
      </c>
      <c r="BN124" t="b">
        <v>0</v>
      </c>
      <c r="BP124" t="s">
        <v>232</v>
      </c>
      <c r="BQ124">
        <v>1</v>
      </c>
      <c r="BR124">
        <v>250</v>
      </c>
      <c r="BS124">
        <v>100</v>
      </c>
      <c r="BT124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124" s="75">
        <f ca="1">ROUND((Table61011[[#This Row],[XP]]*Table61011[[#This Row],[entity_spawned (AVG)]])*(Table61011[[#This Row],[activating_chance]]/100),0)</f>
        <v>143</v>
      </c>
      <c r="BV12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24" s="72">
        <v>1</v>
      </c>
      <c r="BX124" s="72">
        <v>1</v>
      </c>
      <c r="BY124" s="72" t="b">
        <v>0</v>
      </c>
      <c r="CA124" t="s">
        <v>233</v>
      </c>
      <c r="CB124">
        <v>1</v>
      </c>
      <c r="CC124">
        <v>300</v>
      </c>
      <c r="CD124">
        <v>100</v>
      </c>
      <c r="CE124" s="75">
        <f ca="1">INDIRECT(ADDRESS(11+(MATCH(RIGHT(Table11[[#This Row],[spawner_sku]],LEN(Table11[[#This Row],[spawner_sku]])-FIND("/",Table11[[#This Row],[spawner_sku]])),Table1[Entity Prefab],0)),10,1,1,"Entities"))</f>
        <v>195</v>
      </c>
      <c r="CF124">
        <f ca="1">ROUND((Table11[[#This Row],[XP]]*Table11[[#This Row],[entity_spawned (AVG)]])*(Table11[[#This Row],[activating_chance]]/100),0)</f>
        <v>195</v>
      </c>
      <c r="CG124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24" s="72">
        <v>1</v>
      </c>
      <c r="CI124" s="72">
        <v>1</v>
      </c>
      <c r="CJ124" s="72" t="b">
        <v>0</v>
      </c>
      <c r="CL124" t="s">
        <v>253</v>
      </c>
      <c r="CM124">
        <v>1</v>
      </c>
      <c r="CN124">
        <v>170</v>
      </c>
      <c r="CO124">
        <v>100</v>
      </c>
      <c r="CP124" s="75">
        <f ca="1">INDIRECT(ADDRESS(11+(MATCH(RIGHT(Table12[[#This Row],[spawner_sku]],LEN(Table12[[#This Row],[spawner_sku]])-FIND("/",Table12[[#This Row],[spawner_sku]])),Table1[Entity Prefab],0)),10,1,1,"Entities"))</f>
        <v>70</v>
      </c>
      <c r="CQ124" s="75">
        <f ca="1">ROUND((Table12[[#This Row],[XP]]*Table12[[#This Row],[entity_spawned (AVG)]])*(Table12[[#This Row],[activating_chance]]/100),0)</f>
        <v>70</v>
      </c>
      <c r="CR124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124" s="72">
        <v>1</v>
      </c>
      <c r="CT124" s="72">
        <v>1</v>
      </c>
      <c r="CU124" s="72" t="b">
        <v>0</v>
      </c>
      <c r="CW124" t="s">
        <v>386</v>
      </c>
      <c r="CX124">
        <v>1</v>
      </c>
      <c r="CY124">
        <v>180</v>
      </c>
      <c r="CZ124">
        <v>100</v>
      </c>
      <c r="DA124" s="75">
        <f ca="1">INDIRECT(ADDRESS(11+(MATCH(RIGHT(Table13[[#This Row],[spawner_sku]],LEN(Table13[[#This Row],[spawner_sku]])-FIND("/",Table13[[#This Row],[spawner_sku]])),Table1[Entity Prefab],0)),10,1,1,"Entities"))</f>
        <v>75</v>
      </c>
      <c r="DB124" s="75">
        <f ca="1">ROUND((Table13[[#This Row],[XP]]*Table13[[#This Row],[entity_spawned (AVG)]])*(Table13[[#This Row],[activating_chance]]/100),0)</f>
        <v>75</v>
      </c>
      <c r="DC124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24" s="72">
        <v>1</v>
      </c>
      <c r="DE124" s="72">
        <v>1</v>
      </c>
      <c r="DF124" s="72" t="b">
        <v>0</v>
      </c>
      <c r="DH124" t="s">
        <v>227</v>
      </c>
      <c r="DI124">
        <v>11</v>
      </c>
      <c r="DJ124">
        <v>180</v>
      </c>
      <c r="DK124">
        <v>100</v>
      </c>
      <c r="DL124" s="75">
        <f ca="1">INDIRECT(ADDRESS(11+(MATCH(RIGHT(Table14[[#This Row],[spawner_sku]],LEN(Table14[[#This Row],[spawner_sku]])-FIND("/",Table14[[#This Row],[spawner_sku]])),Table1[Entity Prefab],0)),10,1,1,"Entities"))</f>
        <v>25</v>
      </c>
      <c r="DM124" s="75">
        <f ca="1">ROUND((Table14[[#This Row],[XP]]*Table14[[#This Row],[entity_spawned (AVG)]])*(Table14[[#This Row],[activating_chance]]/100),0)</f>
        <v>275</v>
      </c>
      <c r="DN12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24" s="72">
        <v>10</v>
      </c>
      <c r="DP124" s="72">
        <v>12</v>
      </c>
      <c r="DQ124" s="72" t="b">
        <v>1</v>
      </c>
      <c r="DS124" t="s">
        <v>234</v>
      </c>
      <c r="DT124">
        <v>1</v>
      </c>
      <c r="DU124">
        <v>240</v>
      </c>
      <c r="DV124">
        <v>100</v>
      </c>
      <c r="DW124" s="75">
        <f ca="1">INDIRECT(ADDRESS(11+(MATCH(RIGHT(Table18[[#This Row],[spawner_sku]],LEN(Table18[[#This Row],[spawner_sku]])-FIND("/",Table18[[#This Row],[spawner_sku]])),Table1[Entity Prefab],0)),10,1,1,"Entities"))</f>
        <v>263</v>
      </c>
      <c r="DX124" s="75">
        <f ca="1">ROUND((Table18[[#This Row],[XP]]*Table18[[#This Row],[entity_spawned (AVG)]])*(Table18[[#This Row],[activating_chance]]/100),0)</f>
        <v>263</v>
      </c>
      <c r="DY124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24">
        <v>1</v>
      </c>
      <c r="EA124">
        <v>1</v>
      </c>
      <c r="EB124" t="b">
        <v>0</v>
      </c>
      <c r="ED124" t="s">
        <v>234</v>
      </c>
      <c r="EE124">
        <v>1</v>
      </c>
      <c r="EF124">
        <v>340</v>
      </c>
      <c r="EG124">
        <v>100</v>
      </c>
      <c r="EH124" s="75">
        <f ca="1">INDIRECT(ADDRESS(11+(MATCH(RIGHT(Table1820[[#This Row],[spawner_sku]],LEN(Table1820[[#This Row],[spawner_sku]])-FIND("/",Table1820[[#This Row],[spawner_sku]])),Table1[Entity Prefab],0)),10,1,1,"Entities"))</f>
        <v>263</v>
      </c>
      <c r="EI124" s="75">
        <f ca="1">ROUND((Table1820[[#This Row],[XP]]*Table1820[[#This Row],[entity_spawned (AVG)]])*(Table1820[[#This Row],[activating_chance]]/100),0)</f>
        <v>263</v>
      </c>
      <c r="EJ124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24">
        <v>1</v>
      </c>
      <c r="EL124">
        <v>1</v>
      </c>
      <c r="EM124" t="b">
        <v>0</v>
      </c>
      <c r="EO124" t="s">
        <v>7342</v>
      </c>
      <c r="EP124">
        <v>1</v>
      </c>
      <c r="EQ124">
        <v>120</v>
      </c>
      <c r="ER124">
        <v>100</v>
      </c>
      <c r="ES124" s="75">
        <f ca="1">INDIRECT(ADDRESS(11+(MATCH(RIGHT(Table182023[[#This Row],[spawner_sku]],LEN(Table182023[[#This Row],[spawner_sku]])-FIND("/",Table182023[[#This Row],[spawner_sku]])),Table1[Entity Prefab],0)),10,1,1,"Entities"))</f>
        <v>263</v>
      </c>
      <c r="ET124" s="75">
        <f ca="1">ROUND((Table182023[[#This Row],[XP]]*Table182023[[#This Row],[entity_spawned (AVG)]])*(Table182023[[#This Row],[activating_chance]]/100),0)</f>
        <v>263</v>
      </c>
      <c r="EU124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EV124" s="152">
        <v>1</v>
      </c>
      <c r="EW124" s="152">
        <v>1</v>
      </c>
      <c r="EX124" s="152" t="b">
        <v>0</v>
      </c>
      <c r="EZ124" t="s">
        <v>7343</v>
      </c>
      <c r="FA124">
        <v>1.5</v>
      </c>
      <c r="FB124">
        <v>120</v>
      </c>
      <c r="FC124">
        <v>100</v>
      </c>
      <c r="FD124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FE124" s="75">
        <f ca="1">ROUND((Table18202324[[#This Row],[XP]]*Table18202324[[#This Row],[entity_spawned (AVG)]])*(Table18202324[[#This Row],[activating_chance]]/100),0)</f>
        <v>195</v>
      </c>
      <c r="FF124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124">
        <v>1</v>
      </c>
      <c r="FH124">
        <v>2</v>
      </c>
      <c r="FI124" t="b">
        <v>0</v>
      </c>
    </row>
    <row r="125" spans="2:165" x14ac:dyDescent="0.25">
      <c r="B125" s="73" t="s">
        <v>228</v>
      </c>
      <c r="C125">
        <v>1</v>
      </c>
      <c r="D125">
        <v>80</v>
      </c>
      <c r="E125">
        <v>100</v>
      </c>
      <c r="F125" s="75">
        <f ca="1">INDIRECT(ADDRESS(11+(MATCH(RIGHT(Table245[[#This Row],[spawner_sku]],LEN(Table245[[#This Row],[spawner_sku]])-FIND("/",Table245[[#This Row],[spawner_sku]])),Table1[Entity Prefab],0)),10,1,1,"Entities"))</f>
        <v>25</v>
      </c>
      <c r="G125" s="75">
        <f ca="1">ROUND((Table245[[#This Row],[XP]]*Table245[[#This Row],[entity_spawned (AVG)]])*(Table245[[#This Row],[activating_chance]]/100),0)</f>
        <v>25</v>
      </c>
      <c r="H12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5" s="72">
        <v>1</v>
      </c>
      <c r="J125" s="72">
        <v>1</v>
      </c>
      <c r="K125" s="72" t="b">
        <v>0</v>
      </c>
      <c r="M125" t="s">
        <v>400</v>
      </c>
      <c r="N125">
        <v>1</v>
      </c>
      <c r="O125">
        <v>280</v>
      </c>
      <c r="P125">
        <v>100</v>
      </c>
      <c r="Q125" s="75">
        <f ca="1">INDIRECT(ADDRESS(11+(MATCH(RIGHT(Table3[[#This Row],[spawner_sku]],LEN(Table3[[#This Row],[spawner_sku]])-FIND("/",Table3[[#This Row],[spawner_sku]])),Table1[Entity Prefab],0)),10,1,1,"Entities"))</f>
        <v>75</v>
      </c>
      <c r="R125" s="75">
        <f ca="1">ROUND((Table3[[#This Row],[XP]]*Table3[[#This Row],[entity_spawned (AVG)]])*(Table3[[#This Row],[activating_chance]]/100),0)</f>
        <v>75</v>
      </c>
      <c r="S125" t="str">
        <f ca="1">INDIRECT(ADDRESS(11+(MATCH(RIGHT(Table3[[#This Row],[spawner_sku]],LEN(Table3[[#This Row],[spawner_sku]])-FIND("/",Table3[[#This Row],[spawner_sku]])),Table28[Entity Prefab],0)),24,1,1,"Entities"))</f>
        <v>yes</v>
      </c>
      <c r="T125">
        <v>1</v>
      </c>
      <c r="U125">
        <v>1</v>
      </c>
      <c r="V125" t="b">
        <v>0</v>
      </c>
      <c r="W125" s="72"/>
      <c r="AI125" t="s">
        <v>228</v>
      </c>
      <c r="AJ125">
        <v>2</v>
      </c>
      <c r="AK125">
        <v>120</v>
      </c>
      <c r="AL125">
        <v>80</v>
      </c>
      <c r="AM125" s="75">
        <f ca="1">INDIRECT(ADDRESS(11+(MATCH(RIGHT(Table2[[#This Row],[spawner_sku]],LEN(Table2[[#This Row],[spawner_sku]])-FIND("/",Table2[[#This Row],[spawner_sku]])),Table1[Entity Prefab],0)),10,1,1,"Entities"))</f>
        <v>25</v>
      </c>
      <c r="AN125" s="75">
        <f ca="1">ROUND((Table2[[#This Row],[XP]]*Table2[[#This Row],[entity_spawned (AVG)]])*(Table2[[#This Row],[activating_chance]]/100),0)</f>
        <v>40</v>
      </c>
      <c r="AO12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25" s="72">
        <v>1</v>
      </c>
      <c r="AQ125" s="72">
        <v>3</v>
      </c>
      <c r="AR125" s="72" t="b">
        <v>0</v>
      </c>
      <c r="AT125" t="s">
        <v>607</v>
      </c>
      <c r="AU125">
        <v>1</v>
      </c>
      <c r="AV125">
        <v>300</v>
      </c>
      <c r="AW125">
        <v>100</v>
      </c>
      <c r="AX125" s="75">
        <f ca="1">INDIRECT(ADDRESS(11+(MATCH(RIGHT(Table6[[#This Row],[spawner_sku]],LEN(Table6[[#This Row],[spawner_sku]])-FIND("/",Table6[[#This Row],[spawner_sku]])),Table1[Entity Prefab],0)),10,1,1,"Entities"))</f>
        <v>50</v>
      </c>
      <c r="AY125" s="75">
        <f ca="1">ROUND((Table6[[#This Row],[XP]]*Table6[[#This Row],[entity_spawned (AVG)]])*(Table6[[#This Row],[activating_chance]]/100),0)</f>
        <v>50</v>
      </c>
      <c r="AZ125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25">
        <v>1</v>
      </c>
      <c r="BB125">
        <v>1</v>
      </c>
      <c r="BC125" t="b">
        <v>0</v>
      </c>
      <c r="BE125" t="s">
        <v>472</v>
      </c>
      <c r="BF125">
        <v>1</v>
      </c>
      <c r="BG125">
        <v>280</v>
      </c>
      <c r="BH125">
        <v>100</v>
      </c>
      <c r="BI125" s="75">
        <f ca="1">INDIRECT(ADDRESS(11+(MATCH(RIGHT(Table610[[#This Row],[spawner_sku]],LEN(Table610[[#This Row],[spawner_sku]])-FIND("/",Table610[[#This Row],[spawner_sku]])),Table1[Entity Prefab],0)),10,1,1,"Entities"))</f>
        <v>143</v>
      </c>
      <c r="BJ125" s="75">
        <f ca="1">ROUND((Table610[[#This Row],[XP]]*Table610[[#This Row],[entity_spawned (AVG)]])*(Table610[[#This Row],[activating_chance]]/100),0)</f>
        <v>143</v>
      </c>
      <c r="BK125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25">
        <v>1</v>
      </c>
      <c r="BM125">
        <v>1</v>
      </c>
      <c r="BN125" t="b">
        <v>0</v>
      </c>
      <c r="BP125" t="s">
        <v>232</v>
      </c>
      <c r="BQ125">
        <v>1</v>
      </c>
      <c r="BR125">
        <v>250</v>
      </c>
      <c r="BS125">
        <v>100</v>
      </c>
      <c r="BT125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125" s="75">
        <f ca="1">ROUND((Table61011[[#This Row],[XP]]*Table61011[[#This Row],[entity_spawned (AVG)]])*(Table61011[[#This Row],[activating_chance]]/100),0)</f>
        <v>143</v>
      </c>
      <c r="BV12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25" s="72">
        <v>1</v>
      </c>
      <c r="BX125" s="72">
        <v>1</v>
      </c>
      <c r="BY125" s="72" t="b">
        <v>0</v>
      </c>
      <c r="CA125" t="s">
        <v>235</v>
      </c>
      <c r="CB125">
        <v>1</v>
      </c>
      <c r="CC125">
        <v>180</v>
      </c>
      <c r="CD125">
        <v>100</v>
      </c>
      <c r="CE125" s="75">
        <f ca="1">INDIRECT(ADDRESS(11+(MATCH(RIGHT(Table11[[#This Row],[spawner_sku]],LEN(Table11[[#This Row],[spawner_sku]])-FIND("/",Table11[[#This Row],[spawner_sku]])),Table1[Entity Prefab],0)),10,1,1,"Entities"))</f>
        <v>25</v>
      </c>
      <c r="CF125">
        <f ca="1">ROUND((Table11[[#This Row],[XP]]*Table11[[#This Row],[entity_spawned (AVG)]])*(Table11[[#This Row],[activating_chance]]/100),0)</f>
        <v>25</v>
      </c>
      <c r="CG125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25" s="72">
        <v>1</v>
      </c>
      <c r="CI125" s="72">
        <v>1</v>
      </c>
      <c r="CJ125" s="72" t="b">
        <v>0</v>
      </c>
      <c r="CL125" t="s">
        <v>253</v>
      </c>
      <c r="CM125">
        <v>1</v>
      </c>
      <c r="CN125">
        <v>170</v>
      </c>
      <c r="CO125">
        <v>30</v>
      </c>
      <c r="CP125" s="75">
        <f ca="1">INDIRECT(ADDRESS(11+(MATCH(RIGHT(Table12[[#This Row],[spawner_sku]],LEN(Table12[[#This Row],[spawner_sku]])-FIND("/",Table12[[#This Row],[spawner_sku]])),Table1[Entity Prefab],0)),10,1,1,"Entities"))</f>
        <v>70</v>
      </c>
      <c r="CQ125" s="75">
        <f ca="1">ROUND((Table12[[#This Row],[XP]]*Table12[[#This Row],[entity_spawned (AVG)]])*(Table12[[#This Row],[activating_chance]]/100),0)</f>
        <v>21</v>
      </c>
      <c r="CR125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125" s="72">
        <v>1</v>
      </c>
      <c r="CT125" s="72">
        <v>1</v>
      </c>
      <c r="CU125" s="72" t="b">
        <v>0</v>
      </c>
      <c r="CW125" t="s">
        <v>386</v>
      </c>
      <c r="CX125">
        <v>1</v>
      </c>
      <c r="CY125">
        <v>180</v>
      </c>
      <c r="CZ125">
        <v>80</v>
      </c>
      <c r="DA125" s="75">
        <f ca="1">INDIRECT(ADDRESS(11+(MATCH(RIGHT(Table13[[#This Row],[spawner_sku]],LEN(Table13[[#This Row],[spawner_sku]])-FIND("/",Table13[[#This Row],[spawner_sku]])),Table1[Entity Prefab],0)),10,1,1,"Entities"))</f>
        <v>75</v>
      </c>
      <c r="DB125" s="75">
        <f ca="1">ROUND((Table13[[#This Row],[XP]]*Table13[[#This Row],[entity_spawned (AVG)]])*(Table13[[#This Row],[activating_chance]]/100),0)</f>
        <v>60</v>
      </c>
      <c r="DC125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25" s="72">
        <v>1</v>
      </c>
      <c r="DE125" s="72">
        <v>1</v>
      </c>
      <c r="DF125" s="72" t="b">
        <v>0</v>
      </c>
      <c r="DH125" t="s">
        <v>227</v>
      </c>
      <c r="DI125">
        <v>3.5</v>
      </c>
      <c r="DJ125">
        <v>100</v>
      </c>
      <c r="DK125">
        <v>100</v>
      </c>
      <c r="DL125" s="75">
        <f ca="1">INDIRECT(ADDRESS(11+(MATCH(RIGHT(Table14[[#This Row],[spawner_sku]],LEN(Table14[[#This Row],[spawner_sku]])-FIND("/",Table14[[#This Row],[spawner_sku]])),Table1[Entity Prefab],0)),10,1,1,"Entities"))</f>
        <v>25</v>
      </c>
      <c r="DM125" s="75">
        <f ca="1">ROUND((Table14[[#This Row],[XP]]*Table14[[#This Row],[entity_spawned (AVG)]])*(Table14[[#This Row],[activating_chance]]/100),0)</f>
        <v>88</v>
      </c>
      <c r="DN12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25" s="72">
        <v>3</v>
      </c>
      <c r="DP125" s="72">
        <v>4</v>
      </c>
      <c r="DQ125" s="72" t="b">
        <v>0</v>
      </c>
      <c r="DS125" t="s">
        <v>234</v>
      </c>
      <c r="DT125">
        <v>1</v>
      </c>
      <c r="DU125">
        <v>240</v>
      </c>
      <c r="DV125">
        <v>100</v>
      </c>
      <c r="DW125" s="75">
        <f ca="1">INDIRECT(ADDRESS(11+(MATCH(RIGHT(Table18[[#This Row],[spawner_sku]],LEN(Table18[[#This Row],[spawner_sku]])-FIND("/",Table18[[#This Row],[spawner_sku]])),Table1[Entity Prefab],0)),10,1,1,"Entities"))</f>
        <v>263</v>
      </c>
      <c r="DX125" s="75">
        <f ca="1">ROUND((Table18[[#This Row],[XP]]*Table18[[#This Row],[entity_spawned (AVG)]])*(Table18[[#This Row],[activating_chance]]/100),0)</f>
        <v>263</v>
      </c>
      <c r="DY125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25">
        <v>1</v>
      </c>
      <c r="EA125">
        <v>1</v>
      </c>
      <c r="EB125" t="b">
        <v>0</v>
      </c>
      <c r="ED125" t="s">
        <v>234</v>
      </c>
      <c r="EE125">
        <v>1</v>
      </c>
      <c r="EF125">
        <v>340</v>
      </c>
      <c r="EG125">
        <v>100</v>
      </c>
      <c r="EH125" s="75">
        <f ca="1">INDIRECT(ADDRESS(11+(MATCH(RIGHT(Table1820[[#This Row],[spawner_sku]],LEN(Table1820[[#This Row],[spawner_sku]])-FIND("/",Table1820[[#This Row],[spawner_sku]])),Table1[Entity Prefab],0)),10,1,1,"Entities"))</f>
        <v>263</v>
      </c>
      <c r="EI125" s="75">
        <f ca="1">ROUND((Table1820[[#This Row],[XP]]*Table1820[[#This Row],[entity_spawned (AVG)]])*(Table1820[[#This Row],[activating_chance]]/100),0)</f>
        <v>263</v>
      </c>
      <c r="EJ125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25">
        <v>1</v>
      </c>
      <c r="EL125">
        <v>1</v>
      </c>
      <c r="EM125" t="b">
        <v>0</v>
      </c>
      <c r="EO125" t="s">
        <v>7342</v>
      </c>
      <c r="EP125">
        <v>1.5</v>
      </c>
      <c r="EQ125">
        <v>120</v>
      </c>
      <c r="ER125">
        <v>100</v>
      </c>
      <c r="ES125" s="75">
        <f ca="1">INDIRECT(ADDRESS(11+(MATCH(RIGHT(Table182023[[#This Row],[spawner_sku]],LEN(Table182023[[#This Row],[spawner_sku]])-FIND("/",Table182023[[#This Row],[spawner_sku]])),Table1[Entity Prefab],0)),10,1,1,"Entities"))</f>
        <v>263</v>
      </c>
      <c r="ET125" s="75">
        <f ca="1">ROUND((Table182023[[#This Row],[XP]]*Table182023[[#This Row],[entity_spawned (AVG)]])*(Table182023[[#This Row],[activating_chance]]/100),0)</f>
        <v>395</v>
      </c>
      <c r="EU125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EV125" s="152">
        <v>1</v>
      </c>
      <c r="EW125" s="152">
        <v>2</v>
      </c>
      <c r="EX125" s="152" t="b">
        <v>0</v>
      </c>
      <c r="EZ125" t="s">
        <v>7343</v>
      </c>
      <c r="FA125">
        <v>3</v>
      </c>
      <c r="FB125">
        <v>120</v>
      </c>
      <c r="FC125">
        <v>100</v>
      </c>
      <c r="FD125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FE125" s="75">
        <f ca="1">ROUND((Table18202324[[#This Row],[XP]]*Table18202324[[#This Row],[entity_spawned (AVG)]])*(Table18202324[[#This Row],[activating_chance]]/100),0)</f>
        <v>390</v>
      </c>
      <c r="FF125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125">
        <v>2</v>
      </c>
      <c r="FH125">
        <v>4</v>
      </c>
      <c r="FI125" t="b">
        <v>0</v>
      </c>
    </row>
    <row r="126" spans="2:165" x14ac:dyDescent="0.25">
      <c r="B126" s="73" t="s">
        <v>228</v>
      </c>
      <c r="C126">
        <v>1.5</v>
      </c>
      <c r="D126">
        <v>110</v>
      </c>
      <c r="E126">
        <v>100</v>
      </c>
      <c r="F126" s="75">
        <f ca="1">INDIRECT(ADDRESS(11+(MATCH(RIGHT(Table245[[#This Row],[spawner_sku]],LEN(Table245[[#This Row],[spawner_sku]])-FIND("/",Table245[[#This Row],[spawner_sku]])),Table1[Entity Prefab],0)),10,1,1,"Entities"))</f>
        <v>25</v>
      </c>
      <c r="G126" s="75">
        <f ca="1">ROUND((Table245[[#This Row],[XP]]*Table245[[#This Row],[entity_spawned (AVG)]])*(Table245[[#This Row],[activating_chance]]/100),0)</f>
        <v>38</v>
      </c>
      <c r="H12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6" s="72">
        <v>1</v>
      </c>
      <c r="J126" s="72">
        <v>2</v>
      </c>
      <c r="K126" s="72" t="b">
        <v>0</v>
      </c>
      <c r="M126" t="s">
        <v>396</v>
      </c>
      <c r="N126">
        <v>3</v>
      </c>
      <c r="O126">
        <v>120</v>
      </c>
      <c r="P126">
        <v>100</v>
      </c>
      <c r="Q126" s="75">
        <f ca="1">INDIRECT(ADDRESS(11+(MATCH(RIGHT(Table3[[#This Row],[spawner_sku]],LEN(Table3[[#This Row],[spawner_sku]])-FIND("/",Table3[[#This Row],[spawner_sku]])),Table1[Entity Prefab],0)),10,1,1,"Entities"))</f>
        <v>25</v>
      </c>
      <c r="R126" s="75">
        <f ca="1">ROUND((Table3[[#This Row],[XP]]*Table3[[#This Row],[entity_spawned (AVG)]])*(Table3[[#This Row],[activating_chance]]/100),0)</f>
        <v>75</v>
      </c>
      <c r="S126" t="str">
        <f ca="1">INDIRECT(ADDRESS(11+(MATCH(RIGHT(Table3[[#This Row],[spawner_sku]],LEN(Table3[[#This Row],[spawner_sku]])-FIND("/",Table3[[#This Row],[spawner_sku]])),Table28[Entity Prefab],0)),24,1,1,"Entities"))</f>
        <v>no</v>
      </c>
      <c r="T126">
        <v>2</v>
      </c>
      <c r="U126">
        <v>4</v>
      </c>
      <c r="V126" t="b">
        <v>0</v>
      </c>
      <c r="W126" s="72"/>
      <c r="AI126" t="s">
        <v>228</v>
      </c>
      <c r="AJ126">
        <v>1</v>
      </c>
      <c r="AK126">
        <v>120</v>
      </c>
      <c r="AL126">
        <v>100</v>
      </c>
      <c r="AM126" s="75">
        <f ca="1">INDIRECT(ADDRESS(11+(MATCH(RIGHT(Table2[[#This Row],[spawner_sku]],LEN(Table2[[#This Row],[spawner_sku]])-FIND("/",Table2[[#This Row],[spawner_sku]])),Table1[Entity Prefab],0)),10,1,1,"Entities"))</f>
        <v>25</v>
      </c>
      <c r="AN126" s="75">
        <f ca="1">ROUND((Table2[[#This Row],[XP]]*Table2[[#This Row],[entity_spawned (AVG)]])*(Table2[[#This Row],[activating_chance]]/100),0)</f>
        <v>25</v>
      </c>
      <c r="AO12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26" s="72">
        <v>1</v>
      </c>
      <c r="AQ126" s="72">
        <v>1</v>
      </c>
      <c r="AR126" s="72" t="b">
        <v>0</v>
      </c>
      <c r="AT126" t="s">
        <v>607</v>
      </c>
      <c r="AU126">
        <v>1</v>
      </c>
      <c r="AV126">
        <v>300</v>
      </c>
      <c r="AW126">
        <v>100</v>
      </c>
      <c r="AX126" s="75">
        <f ca="1">INDIRECT(ADDRESS(11+(MATCH(RIGHT(Table6[[#This Row],[spawner_sku]],LEN(Table6[[#This Row],[spawner_sku]])-FIND("/",Table6[[#This Row],[spawner_sku]])),Table1[Entity Prefab],0)),10,1,1,"Entities"))</f>
        <v>50</v>
      </c>
      <c r="AY126" s="75">
        <f ca="1">ROUND((Table6[[#This Row],[XP]]*Table6[[#This Row],[entity_spawned (AVG)]])*(Table6[[#This Row],[activating_chance]]/100),0)</f>
        <v>50</v>
      </c>
      <c r="AZ126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26">
        <v>1</v>
      </c>
      <c r="BB126">
        <v>1</v>
      </c>
      <c r="BC126" t="b">
        <v>0</v>
      </c>
      <c r="BE126" t="s">
        <v>472</v>
      </c>
      <c r="BF126">
        <v>1</v>
      </c>
      <c r="BG126">
        <v>280</v>
      </c>
      <c r="BH126">
        <v>100</v>
      </c>
      <c r="BI126" s="75">
        <f ca="1">INDIRECT(ADDRESS(11+(MATCH(RIGHT(Table610[[#This Row],[spawner_sku]],LEN(Table610[[#This Row],[spawner_sku]])-FIND("/",Table610[[#This Row],[spawner_sku]])),Table1[Entity Prefab],0)),10,1,1,"Entities"))</f>
        <v>143</v>
      </c>
      <c r="BJ126" s="75">
        <f ca="1">ROUND((Table610[[#This Row],[XP]]*Table610[[#This Row],[entity_spawned (AVG)]])*(Table610[[#This Row],[activating_chance]]/100),0)</f>
        <v>143</v>
      </c>
      <c r="BK126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26">
        <v>1</v>
      </c>
      <c r="BM126">
        <v>1</v>
      </c>
      <c r="BN126" t="b">
        <v>0</v>
      </c>
      <c r="BP126" t="s">
        <v>232</v>
      </c>
      <c r="BQ126">
        <v>1</v>
      </c>
      <c r="BR126">
        <v>250</v>
      </c>
      <c r="BS126">
        <v>100</v>
      </c>
      <c r="BT126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126" s="75">
        <f ca="1">ROUND((Table61011[[#This Row],[XP]]*Table61011[[#This Row],[entity_spawned (AVG)]])*(Table61011[[#This Row],[activating_chance]]/100),0)</f>
        <v>143</v>
      </c>
      <c r="BV12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26" s="72">
        <v>1</v>
      </c>
      <c r="BX126" s="72">
        <v>1</v>
      </c>
      <c r="BY126" s="72" t="b">
        <v>0</v>
      </c>
      <c r="CA126" t="s">
        <v>235</v>
      </c>
      <c r="CB126">
        <v>1</v>
      </c>
      <c r="CC126">
        <v>180</v>
      </c>
      <c r="CD126">
        <v>100</v>
      </c>
      <c r="CE126" s="75">
        <f ca="1">INDIRECT(ADDRESS(11+(MATCH(RIGHT(Table11[[#This Row],[spawner_sku]],LEN(Table11[[#This Row],[spawner_sku]])-FIND("/",Table11[[#This Row],[spawner_sku]])),Table1[Entity Prefab],0)),10,1,1,"Entities"))</f>
        <v>25</v>
      </c>
      <c r="CF126">
        <f ca="1">ROUND((Table11[[#This Row],[XP]]*Table11[[#This Row],[entity_spawned (AVG)]])*(Table11[[#This Row],[activating_chance]]/100),0)</f>
        <v>25</v>
      </c>
      <c r="CG126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26" s="72">
        <v>1</v>
      </c>
      <c r="CI126" s="72">
        <v>1</v>
      </c>
      <c r="CJ126" s="72" t="b">
        <v>0</v>
      </c>
      <c r="CL126" t="s">
        <v>253</v>
      </c>
      <c r="CM126">
        <v>1</v>
      </c>
      <c r="CN126">
        <v>170</v>
      </c>
      <c r="CO126">
        <v>100</v>
      </c>
      <c r="CP126" s="75">
        <f ca="1">INDIRECT(ADDRESS(11+(MATCH(RIGHT(Table12[[#This Row],[spawner_sku]],LEN(Table12[[#This Row],[spawner_sku]])-FIND("/",Table12[[#This Row],[spawner_sku]])),Table1[Entity Prefab],0)),10,1,1,"Entities"))</f>
        <v>70</v>
      </c>
      <c r="CQ126" s="75">
        <f ca="1">ROUND((Table12[[#This Row],[XP]]*Table12[[#This Row],[entity_spawned (AVG)]])*(Table12[[#This Row],[activating_chance]]/100),0)</f>
        <v>70</v>
      </c>
      <c r="CR126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126" s="72">
        <v>1</v>
      </c>
      <c r="CT126" s="72">
        <v>1</v>
      </c>
      <c r="CU126" s="72" t="b">
        <v>0</v>
      </c>
      <c r="CW126" t="s">
        <v>386</v>
      </c>
      <c r="CX126">
        <v>1</v>
      </c>
      <c r="CY126">
        <v>180</v>
      </c>
      <c r="CZ126">
        <v>100</v>
      </c>
      <c r="DA126" s="75">
        <f ca="1">INDIRECT(ADDRESS(11+(MATCH(RIGHT(Table13[[#This Row],[spawner_sku]],LEN(Table13[[#This Row],[spawner_sku]])-FIND("/",Table13[[#This Row],[spawner_sku]])),Table1[Entity Prefab],0)),10,1,1,"Entities"))</f>
        <v>75</v>
      </c>
      <c r="DB126" s="75">
        <f ca="1">ROUND((Table13[[#This Row],[XP]]*Table13[[#This Row],[entity_spawned (AVG)]])*(Table13[[#This Row],[activating_chance]]/100),0)</f>
        <v>75</v>
      </c>
      <c r="DC126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26" s="72">
        <v>1</v>
      </c>
      <c r="DE126" s="72">
        <v>1</v>
      </c>
      <c r="DF126" s="72" t="b">
        <v>0</v>
      </c>
      <c r="DH126" t="s">
        <v>227</v>
      </c>
      <c r="DI126">
        <v>10</v>
      </c>
      <c r="DJ126">
        <v>200</v>
      </c>
      <c r="DK126">
        <v>100</v>
      </c>
      <c r="DL126" s="75">
        <f ca="1">INDIRECT(ADDRESS(11+(MATCH(RIGHT(Table14[[#This Row],[spawner_sku]],LEN(Table14[[#This Row],[spawner_sku]])-FIND("/",Table14[[#This Row],[spawner_sku]])),Table1[Entity Prefab],0)),10,1,1,"Entities"))</f>
        <v>25</v>
      </c>
      <c r="DM126" s="75">
        <f ca="1">ROUND((Table14[[#This Row],[XP]]*Table14[[#This Row],[entity_spawned (AVG)]])*(Table14[[#This Row],[activating_chance]]/100),0)</f>
        <v>250</v>
      </c>
      <c r="DN12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26" s="72">
        <v>8</v>
      </c>
      <c r="DP126" s="72">
        <v>12</v>
      </c>
      <c r="DQ126" s="72" t="b">
        <v>1</v>
      </c>
      <c r="DS126" t="s">
        <v>234</v>
      </c>
      <c r="DT126">
        <v>1</v>
      </c>
      <c r="DU126">
        <v>240</v>
      </c>
      <c r="DV126">
        <v>100</v>
      </c>
      <c r="DW126" s="75">
        <f ca="1">INDIRECT(ADDRESS(11+(MATCH(RIGHT(Table18[[#This Row],[spawner_sku]],LEN(Table18[[#This Row],[spawner_sku]])-FIND("/",Table18[[#This Row],[spawner_sku]])),Table1[Entity Prefab],0)),10,1,1,"Entities"))</f>
        <v>263</v>
      </c>
      <c r="DX126" s="75">
        <f ca="1">ROUND((Table18[[#This Row],[XP]]*Table18[[#This Row],[entity_spawned (AVG)]])*(Table18[[#This Row],[activating_chance]]/100),0)</f>
        <v>263</v>
      </c>
      <c r="DY126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26">
        <v>1</v>
      </c>
      <c r="EA126">
        <v>1</v>
      </c>
      <c r="EB126" t="b">
        <v>0</v>
      </c>
      <c r="ED126" t="s">
        <v>234</v>
      </c>
      <c r="EE126">
        <v>1</v>
      </c>
      <c r="EF126">
        <v>340</v>
      </c>
      <c r="EG126">
        <v>100</v>
      </c>
      <c r="EH126" s="75">
        <f ca="1">INDIRECT(ADDRESS(11+(MATCH(RIGHT(Table1820[[#This Row],[spawner_sku]],LEN(Table1820[[#This Row],[spawner_sku]])-FIND("/",Table1820[[#This Row],[spawner_sku]])),Table1[Entity Prefab],0)),10,1,1,"Entities"))</f>
        <v>263</v>
      </c>
      <c r="EI126" s="75">
        <f ca="1">ROUND((Table1820[[#This Row],[XP]]*Table1820[[#This Row],[entity_spawned (AVG)]])*(Table1820[[#This Row],[activating_chance]]/100),0)</f>
        <v>263</v>
      </c>
      <c r="EJ126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26">
        <v>1</v>
      </c>
      <c r="EL126">
        <v>1</v>
      </c>
      <c r="EM126" t="b">
        <v>0</v>
      </c>
      <c r="EO126" t="s">
        <v>7351</v>
      </c>
      <c r="EP126">
        <v>1.5</v>
      </c>
      <c r="EQ126">
        <v>60</v>
      </c>
      <c r="ER126">
        <v>100</v>
      </c>
      <c r="ES126" s="75">
        <f ca="1">INDIRECT(ADDRESS(11+(MATCH(RIGHT(Table182023[[#This Row],[spawner_sku]],LEN(Table182023[[#This Row],[spawner_sku]])-FIND("/",Table182023[[#This Row],[spawner_sku]])),Table1[Entity Prefab],0)),10,1,1,"Entities"))</f>
        <v>50</v>
      </c>
      <c r="ET126" s="75">
        <f ca="1">ROUND((Table182023[[#This Row],[XP]]*Table182023[[#This Row],[entity_spawned (AVG)]])*(Table182023[[#This Row],[activating_chance]]/100),0)</f>
        <v>75</v>
      </c>
      <c r="EU126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126" s="152">
        <v>1</v>
      </c>
      <c r="EW126" s="152">
        <v>2</v>
      </c>
      <c r="EX126" s="152" t="b">
        <v>0</v>
      </c>
      <c r="EZ126" t="s">
        <v>7356</v>
      </c>
      <c r="FA126">
        <v>1.5</v>
      </c>
      <c r="FB126">
        <v>120</v>
      </c>
      <c r="FC126">
        <v>100</v>
      </c>
      <c r="FD126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FE126" s="75">
        <f ca="1">ROUND((Table18202324[[#This Row],[XP]]*Table18202324[[#This Row],[entity_spawned (AVG)]])*(Table18202324[[#This Row],[activating_chance]]/100),0)</f>
        <v>195</v>
      </c>
      <c r="FF126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126">
        <v>1</v>
      </c>
      <c r="FH126">
        <v>2</v>
      </c>
      <c r="FI126" t="b">
        <v>0</v>
      </c>
    </row>
    <row r="127" spans="2:165" x14ac:dyDescent="0.25">
      <c r="B127" s="73" t="s">
        <v>228</v>
      </c>
      <c r="C127">
        <v>2</v>
      </c>
      <c r="D127">
        <v>110</v>
      </c>
      <c r="E127">
        <v>100</v>
      </c>
      <c r="F127" s="75">
        <f ca="1">INDIRECT(ADDRESS(11+(MATCH(RIGHT(Table245[[#This Row],[spawner_sku]],LEN(Table245[[#This Row],[spawner_sku]])-FIND("/",Table245[[#This Row],[spawner_sku]])),Table1[Entity Prefab],0)),10,1,1,"Entities"))</f>
        <v>25</v>
      </c>
      <c r="G127" s="75">
        <f ca="1">ROUND((Table245[[#This Row],[XP]]*Table245[[#This Row],[entity_spawned (AVG)]])*(Table245[[#This Row],[activating_chance]]/100),0)</f>
        <v>50</v>
      </c>
      <c r="H12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7" s="72">
        <v>1</v>
      </c>
      <c r="J127" s="72">
        <v>3</v>
      </c>
      <c r="K127" s="72" t="b">
        <v>0</v>
      </c>
      <c r="M127" t="s">
        <v>396</v>
      </c>
      <c r="N127">
        <v>3</v>
      </c>
      <c r="O127">
        <v>120</v>
      </c>
      <c r="P127">
        <v>100</v>
      </c>
      <c r="Q127" s="75">
        <f ca="1">INDIRECT(ADDRESS(11+(MATCH(RIGHT(Table3[[#This Row],[spawner_sku]],LEN(Table3[[#This Row],[spawner_sku]])-FIND("/",Table3[[#This Row],[spawner_sku]])),Table1[Entity Prefab],0)),10,1,1,"Entities"))</f>
        <v>25</v>
      </c>
      <c r="R127" s="75">
        <f ca="1">ROUND((Table3[[#This Row],[XP]]*Table3[[#This Row],[entity_spawned (AVG)]])*(Table3[[#This Row],[activating_chance]]/100),0)</f>
        <v>75</v>
      </c>
      <c r="S127" t="str">
        <f ca="1">INDIRECT(ADDRESS(11+(MATCH(RIGHT(Table3[[#This Row],[spawner_sku]],LEN(Table3[[#This Row],[spawner_sku]])-FIND("/",Table3[[#This Row],[spawner_sku]])),Table28[Entity Prefab],0)),24,1,1,"Entities"))</f>
        <v>no</v>
      </c>
      <c r="T127">
        <v>2</v>
      </c>
      <c r="U127">
        <v>4</v>
      </c>
      <c r="V127" t="b">
        <v>0</v>
      </c>
      <c r="W127" s="72"/>
      <c r="AI127" t="s">
        <v>228</v>
      </c>
      <c r="AJ127">
        <v>2</v>
      </c>
      <c r="AK127">
        <v>110</v>
      </c>
      <c r="AL127">
        <v>100</v>
      </c>
      <c r="AM127" s="75">
        <f ca="1">INDIRECT(ADDRESS(11+(MATCH(RIGHT(Table2[[#This Row],[spawner_sku]],LEN(Table2[[#This Row],[spawner_sku]])-FIND("/",Table2[[#This Row],[spawner_sku]])),Table1[Entity Prefab],0)),10,1,1,"Entities"))</f>
        <v>25</v>
      </c>
      <c r="AN127" s="75">
        <f ca="1">ROUND((Table2[[#This Row],[XP]]*Table2[[#This Row],[entity_spawned (AVG)]])*(Table2[[#This Row],[activating_chance]]/100),0)</f>
        <v>50</v>
      </c>
      <c r="AO12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27" s="72">
        <v>1</v>
      </c>
      <c r="AQ127" s="72">
        <v>3</v>
      </c>
      <c r="AR127" s="72" t="b">
        <v>0</v>
      </c>
      <c r="AT127" t="s">
        <v>607</v>
      </c>
      <c r="AU127">
        <v>1</v>
      </c>
      <c r="AV127">
        <v>300</v>
      </c>
      <c r="AW127">
        <v>100</v>
      </c>
      <c r="AX127" s="75">
        <f ca="1">INDIRECT(ADDRESS(11+(MATCH(RIGHT(Table6[[#This Row],[spawner_sku]],LEN(Table6[[#This Row],[spawner_sku]])-FIND("/",Table6[[#This Row],[spawner_sku]])),Table1[Entity Prefab],0)),10,1,1,"Entities"))</f>
        <v>50</v>
      </c>
      <c r="AY127" s="75">
        <f ca="1">ROUND((Table6[[#This Row],[XP]]*Table6[[#This Row],[entity_spawned (AVG)]])*(Table6[[#This Row],[activating_chance]]/100),0)</f>
        <v>50</v>
      </c>
      <c r="AZ127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27">
        <v>1</v>
      </c>
      <c r="BB127">
        <v>1</v>
      </c>
      <c r="BC127" t="b">
        <v>0</v>
      </c>
      <c r="BE127" t="s">
        <v>445</v>
      </c>
      <c r="BF127">
        <v>1</v>
      </c>
      <c r="BG127">
        <v>180</v>
      </c>
      <c r="BH127">
        <v>100</v>
      </c>
      <c r="BI127" s="75">
        <f ca="1">INDIRECT(ADDRESS(11+(MATCH(RIGHT(Table610[[#This Row],[spawner_sku]],LEN(Table610[[#This Row],[spawner_sku]])-FIND("/",Table610[[#This Row],[spawner_sku]])),Table1[Entity Prefab],0)),10,1,1,"Entities"))</f>
        <v>0</v>
      </c>
      <c r="BJ127" s="75">
        <f ca="1">ROUND((Table610[[#This Row],[XP]]*Table610[[#This Row],[entity_spawned (AVG)]])*(Table610[[#This Row],[activating_chance]]/100),0)</f>
        <v>0</v>
      </c>
      <c r="BK127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27">
        <v>1</v>
      </c>
      <c r="BM127">
        <v>1</v>
      </c>
      <c r="BN127" t="b">
        <v>0</v>
      </c>
      <c r="BP127" t="s">
        <v>232</v>
      </c>
      <c r="BQ127">
        <v>1</v>
      </c>
      <c r="BR127">
        <v>250</v>
      </c>
      <c r="BS127">
        <v>100</v>
      </c>
      <c r="BT127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127" s="75">
        <f ca="1">ROUND((Table61011[[#This Row],[XP]]*Table61011[[#This Row],[entity_spawned (AVG)]])*(Table61011[[#This Row],[activating_chance]]/100),0)</f>
        <v>143</v>
      </c>
      <c r="BV12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27" s="72">
        <v>1</v>
      </c>
      <c r="BX127" s="72">
        <v>1</v>
      </c>
      <c r="BY127" s="72" t="b">
        <v>0</v>
      </c>
      <c r="CA127" t="s">
        <v>235</v>
      </c>
      <c r="CB127">
        <v>1</v>
      </c>
      <c r="CC127">
        <v>180</v>
      </c>
      <c r="CD127">
        <v>100</v>
      </c>
      <c r="CE127" s="75">
        <f ca="1">INDIRECT(ADDRESS(11+(MATCH(RIGHT(Table11[[#This Row],[spawner_sku]],LEN(Table11[[#This Row],[spawner_sku]])-FIND("/",Table11[[#This Row],[spawner_sku]])),Table1[Entity Prefab],0)),10,1,1,"Entities"))</f>
        <v>25</v>
      </c>
      <c r="CF127">
        <f ca="1">ROUND((Table11[[#This Row],[XP]]*Table11[[#This Row],[entity_spawned (AVG)]])*(Table11[[#This Row],[activating_chance]]/100),0)</f>
        <v>25</v>
      </c>
      <c r="CG127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27" s="72">
        <v>1</v>
      </c>
      <c r="CI127" s="72">
        <v>1</v>
      </c>
      <c r="CJ127" s="72" t="b">
        <v>0</v>
      </c>
      <c r="CL127" t="s">
        <v>254</v>
      </c>
      <c r="CM127">
        <v>1</v>
      </c>
      <c r="CN127">
        <v>170</v>
      </c>
      <c r="CO127">
        <v>80</v>
      </c>
      <c r="CP127" s="75">
        <f ca="1">INDIRECT(ADDRESS(11+(MATCH(RIGHT(Table12[[#This Row],[spawner_sku]],LEN(Table12[[#This Row],[spawner_sku]])-FIND("/",Table12[[#This Row],[spawner_sku]])),Table1[Entity Prefab],0)),10,1,1,"Entities"))</f>
        <v>70</v>
      </c>
      <c r="CQ127" s="75">
        <f ca="1">ROUND((Table12[[#This Row],[XP]]*Table12[[#This Row],[entity_spawned (AVG)]])*(Table12[[#This Row],[activating_chance]]/100),0)</f>
        <v>56</v>
      </c>
      <c r="CR127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127" s="72">
        <v>1</v>
      </c>
      <c r="CT127" s="72">
        <v>1</v>
      </c>
      <c r="CU127" s="72" t="b">
        <v>0</v>
      </c>
      <c r="CW127" t="s">
        <v>386</v>
      </c>
      <c r="CX127">
        <v>1</v>
      </c>
      <c r="CY127">
        <v>180</v>
      </c>
      <c r="CZ127">
        <v>100</v>
      </c>
      <c r="DA127" s="75">
        <f ca="1">INDIRECT(ADDRESS(11+(MATCH(RIGHT(Table13[[#This Row],[spawner_sku]],LEN(Table13[[#This Row],[spawner_sku]])-FIND("/",Table13[[#This Row],[spawner_sku]])),Table1[Entity Prefab],0)),10,1,1,"Entities"))</f>
        <v>75</v>
      </c>
      <c r="DB127" s="75">
        <f ca="1">ROUND((Table13[[#This Row],[XP]]*Table13[[#This Row],[entity_spawned (AVG)]])*(Table13[[#This Row],[activating_chance]]/100),0)</f>
        <v>75</v>
      </c>
      <c r="DC127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27" s="72">
        <v>1</v>
      </c>
      <c r="DE127" s="72">
        <v>1</v>
      </c>
      <c r="DF127" s="72" t="b">
        <v>0</v>
      </c>
      <c r="DH127" t="s">
        <v>227</v>
      </c>
      <c r="DI127">
        <v>3.5</v>
      </c>
      <c r="DJ127">
        <v>120</v>
      </c>
      <c r="DK127">
        <v>80</v>
      </c>
      <c r="DL127" s="75">
        <f ca="1">INDIRECT(ADDRESS(11+(MATCH(RIGHT(Table14[[#This Row],[spawner_sku]],LEN(Table14[[#This Row],[spawner_sku]])-FIND("/",Table14[[#This Row],[spawner_sku]])),Table1[Entity Prefab],0)),10,1,1,"Entities"))</f>
        <v>25</v>
      </c>
      <c r="DM127" s="75">
        <f ca="1">ROUND((Table14[[#This Row],[XP]]*Table14[[#This Row],[entity_spawned (AVG)]])*(Table14[[#This Row],[activating_chance]]/100),0)</f>
        <v>70</v>
      </c>
      <c r="DN12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27" s="72">
        <v>3</v>
      </c>
      <c r="DP127" s="72">
        <v>4</v>
      </c>
      <c r="DQ127" s="72" t="b">
        <v>0</v>
      </c>
      <c r="DS127" t="s">
        <v>402</v>
      </c>
      <c r="DT127">
        <v>1</v>
      </c>
      <c r="DU127">
        <v>240</v>
      </c>
      <c r="DV127">
        <v>100</v>
      </c>
      <c r="DW127" s="75">
        <f ca="1">INDIRECT(ADDRESS(11+(MATCH(RIGHT(Table18[[#This Row],[spawner_sku]],LEN(Table18[[#This Row],[spawner_sku]])-FIND("/",Table18[[#This Row],[spawner_sku]])),Table1[Entity Prefab],0)),10,1,1,"Entities"))</f>
        <v>263</v>
      </c>
      <c r="DX127" s="75">
        <f ca="1">ROUND((Table18[[#This Row],[XP]]*Table18[[#This Row],[entity_spawned (AVG)]])*(Table18[[#This Row],[activating_chance]]/100),0)</f>
        <v>263</v>
      </c>
      <c r="DY127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27">
        <v>1</v>
      </c>
      <c r="EA127">
        <v>1</v>
      </c>
      <c r="EB127" t="b">
        <v>0</v>
      </c>
      <c r="ED127" t="s">
        <v>402</v>
      </c>
      <c r="EE127">
        <v>1</v>
      </c>
      <c r="EF127">
        <v>340</v>
      </c>
      <c r="EG127">
        <v>100</v>
      </c>
      <c r="EH127" s="75">
        <f ca="1">INDIRECT(ADDRESS(11+(MATCH(RIGHT(Table1820[[#This Row],[spawner_sku]],LEN(Table1820[[#This Row],[spawner_sku]])-FIND("/",Table1820[[#This Row],[spawner_sku]])),Table1[Entity Prefab],0)),10,1,1,"Entities"))</f>
        <v>263</v>
      </c>
      <c r="EI127" s="75">
        <f ca="1">ROUND((Table1820[[#This Row],[XP]]*Table1820[[#This Row],[entity_spawned (AVG)]])*(Table1820[[#This Row],[activating_chance]]/100),0)</f>
        <v>263</v>
      </c>
      <c r="EJ127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27">
        <v>1</v>
      </c>
      <c r="EL127">
        <v>1</v>
      </c>
      <c r="EM127" t="b">
        <v>0</v>
      </c>
      <c r="EO127" t="s">
        <v>7351</v>
      </c>
      <c r="EP127">
        <v>2.5</v>
      </c>
      <c r="EQ127">
        <v>100</v>
      </c>
      <c r="ER127">
        <v>100</v>
      </c>
      <c r="ES127" s="75">
        <f ca="1">INDIRECT(ADDRESS(11+(MATCH(RIGHT(Table182023[[#This Row],[spawner_sku]],LEN(Table182023[[#This Row],[spawner_sku]])-FIND("/",Table182023[[#This Row],[spawner_sku]])),Table1[Entity Prefab],0)),10,1,1,"Entities"))</f>
        <v>50</v>
      </c>
      <c r="ET127" s="75">
        <f ca="1">ROUND((Table182023[[#This Row],[XP]]*Table182023[[#This Row],[entity_spawned (AVG)]])*(Table182023[[#This Row],[activating_chance]]/100),0)</f>
        <v>125</v>
      </c>
      <c r="EU127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127" s="152">
        <v>2</v>
      </c>
      <c r="EW127" s="152">
        <v>3</v>
      </c>
      <c r="EX127" s="152" t="b">
        <v>0</v>
      </c>
      <c r="EZ127" t="s">
        <v>7356</v>
      </c>
      <c r="FA127">
        <v>1</v>
      </c>
      <c r="FB127">
        <v>120</v>
      </c>
      <c r="FC127">
        <v>100</v>
      </c>
      <c r="FD127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FE127" s="75">
        <f ca="1">ROUND((Table18202324[[#This Row],[XP]]*Table18202324[[#This Row],[entity_spawned (AVG)]])*(Table18202324[[#This Row],[activating_chance]]/100),0)</f>
        <v>130</v>
      </c>
      <c r="FF127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127">
        <v>1</v>
      </c>
      <c r="FH127">
        <v>1</v>
      </c>
      <c r="FI127" t="b">
        <v>0</v>
      </c>
    </row>
    <row r="128" spans="2:165" x14ac:dyDescent="0.25">
      <c r="B128" s="73" t="s">
        <v>228</v>
      </c>
      <c r="C128">
        <v>1.5</v>
      </c>
      <c r="D128">
        <v>100</v>
      </c>
      <c r="E128">
        <v>100</v>
      </c>
      <c r="F128" s="75">
        <f ca="1">INDIRECT(ADDRESS(11+(MATCH(RIGHT(Table245[[#This Row],[spawner_sku]],LEN(Table245[[#This Row],[spawner_sku]])-FIND("/",Table245[[#This Row],[spawner_sku]])),Table1[Entity Prefab],0)),10,1,1,"Entities"))</f>
        <v>25</v>
      </c>
      <c r="G128" s="75">
        <f ca="1">ROUND((Table245[[#This Row],[XP]]*Table245[[#This Row],[entity_spawned (AVG)]])*(Table245[[#This Row],[activating_chance]]/100),0)</f>
        <v>38</v>
      </c>
      <c r="H12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8" s="72">
        <v>1</v>
      </c>
      <c r="J128" s="72">
        <v>2</v>
      </c>
      <c r="K128" s="72" t="b">
        <v>0</v>
      </c>
      <c r="M128" t="s">
        <v>254</v>
      </c>
      <c r="N128">
        <v>1</v>
      </c>
      <c r="O128">
        <v>190</v>
      </c>
      <c r="P128">
        <v>100</v>
      </c>
      <c r="Q128" s="75">
        <f ca="1">INDIRECT(ADDRESS(11+(MATCH(RIGHT(Table3[[#This Row],[spawner_sku]],LEN(Table3[[#This Row],[spawner_sku]])-FIND("/",Table3[[#This Row],[spawner_sku]])),Table1[Entity Prefab],0)),10,1,1,"Entities"))</f>
        <v>70</v>
      </c>
      <c r="R128" s="75">
        <f ca="1">ROUND((Table3[[#This Row],[XP]]*Table3[[#This Row],[entity_spawned (AVG)]])*(Table3[[#This Row],[activating_chance]]/100),0)</f>
        <v>70</v>
      </c>
      <c r="S128" t="str">
        <f ca="1">INDIRECT(ADDRESS(11+(MATCH(RIGHT(Table3[[#This Row],[spawner_sku]],LEN(Table3[[#This Row],[spawner_sku]])-FIND("/",Table3[[#This Row],[spawner_sku]])),Table28[Entity Prefab],0)),24,1,1,"Entities"))</f>
        <v>yes</v>
      </c>
      <c r="T128">
        <v>1</v>
      </c>
      <c r="U128">
        <v>1</v>
      </c>
      <c r="V128" t="b">
        <v>0</v>
      </c>
      <c r="W128" s="72"/>
      <c r="AI128" t="s">
        <v>228</v>
      </c>
      <c r="AJ128">
        <v>1.5</v>
      </c>
      <c r="AK128">
        <v>90</v>
      </c>
      <c r="AL128">
        <v>100</v>
      </c>
      <c r="AM128" s="75">
        <f ca="1">INDIRECT(ADDRESS(11+(MATCH(RIGHT(Table2[[#This Row],[spawner_sku]],LEN(Table2[[#This Row],[spawner_sku]])-FIND("/",Table2[[#This Row],[spawner_sku]])),Table1[Entity Prefab],0)),10,1,1,"Entities"))</f>
        <v>25</v>
      </c>
      <c r="AN128" s="75">
        <f ca="1">ROUND((Table2[[#This Row],[XP]]*Table2[[#This Row],[entity_spawned (AVG)]])*(Table2[[#This Row],[activating_chance]]/100),0)</f>
        <v>38</v>
      </c>
      <c r="AO12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28" s="72">
        <v>1</v>
      </c>
      <c r="AQ128" s="72">
        <v>2</v>
      </c>
      <c r="AR128" s="72" t="b">
        <v>0</v>
      </c>
      <c r="AT128" t="s">
        <v>607</v>
      </c>
      <c r="AU128">
        <v>1</v>
      </c>
      <c r="AV128">
        <v>300</v>
      </c>
      <c r="AW128">
        <v>100</v>
      </c>
      <c r="AX128" s="75">
        <f ca="1">INDIRECT(ADDRESS(11+(MATCH(RIGHT(Table6[[#This Row],[spawner_sku]],LEN(Table6[[#This Row],[spawner_sku]])-FIND("/",Table6[[#This Row],[spawner_sku]])),Table1[Entity Prefab],0)),10,1,1,"Entities"))</f>
        <v>50</v>
      </c>
      <c r="AY128" s="75">
        <f ca="1">ROUND((Table6[[#This Row],[XP]]*Table6[[#This Row],[entity_spawned (AVG)]])*(Table6[[#This Row],[activating_chance]]/100),0)</f>
        <v>50</v>
      </c>
      <c r="AZ128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28">
        <v>1</v>
      </c>
      <c r="BB128">
        <v>1</v>
      </c>
      <c r="BC128" t="b">
        <v>0</v>
      </c>
      <c r="BE128" t="s">
        <v>445</v>
      </c>
      <c r="BF128">
        <v>1</v>
      </c>
      <c r="BG128">
        <v>180</v>
      </c>
      <c r="BH128">
        <v>100</v>
      </c>
      <c r="BI128" s="75">
        <f ca="1">INDIRECT(ADDRESS(11+(MATCH(RIGHT(Table610[[#This Row],[spawner_sku]],LEN(Table610[[#This Row],[spawner_sku]])-FIND("/",Table610[[#This Row],[spawner_sku]])),Table1[Entity Prefab],0)),10,1,1,"Entities"))</f>
        <v>0</v>
      </c>
      <c r="BJ128" s="75">
        <f ca="1">ROUND((Table610[[#This Row],[XP]]*Table610[[#This Row],[entity_spawned (AVG)]])*(Table610[[#This Row],[activating_chance]]/100),0)</f>
        <v>0</v>
      </c>
      <c r="BK128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28">
        <v>1</v>
      </c>
      <c r="BM128">
        <v>1</v>
      </c>
      <c r="BN128" t="b">
        <v>0</v>
      </c>
      <c r="BP128" t="s">
        <v>232</v>
      </c>
      <c r="BQ128">
        <v>1</v>
      </c>
      <c r="BR128">
        <v>250</v>
      </c>
      <c r="BS128">
        <v>100</v>
      </c>
      <c r="BT128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128" s="75">
        <f ca="1">ROUND((Table61011[[#This Row],[XP]]*Table61011[[#This Row],[entity_spawned (AVG)]])*(Table61011[[#This Row],[activating_chance]]/100),0)</f>
        <v>143</v>
      </c>
      <c r="BV12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28" s="72">
        <v>1</v>
      </c>
      <c r="BX128" s="72">
        <v>1</v>
      </c>
      <c r="BY128" s="72" t="b">
        <v>0</v>
      </c>
      <c r="CA128" t="s">
        <v>235</v>
      </c>
      <c r="CB128">
        <v>1</v>
      </c>
      <c r="CC128">
        <v>180</v>
      </c>
      <c r="CD128">
        <v>100</v>
      </c>
      <c r="CE128" s="75">
        <f ca="1">INDIRECT(ADDRESS(11+(MATCH(RIGHT(Table11[[#This Row],[spawner_sku]],LEN(Table11[[#This Row],[spawner_sku]])-FIND("/",Table11[[#This Row],[spawner_sku]])),Table1[Entity Prefab],0)),10,1,1,"Entities"))</f>
        <v>25</v>
      </c>
      <c r="CF128">
        <f ca="1">ROUND((Table11[[#This Row],[XP]]*Table11[[#This Row],[entity_spawned (AVG)]])*(Table11[[#This Row],[activating_chance]]/100),0)</f>
        <v>25</v>
      </c>
      <c r="CG128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28" s="72">
        <v>1</v>
      </c>
      <c r="CI128" s="72">
        <v>1</v>
      </c>
      <c r="CJ128" s="72" t="b">
        <v>0</v>
      </c>
      <c r="CL128" t="s">
        <v>254</v>
      </c>
      <c r="CM128">
        <v>1</v>
      </c>
      <c r="CN128">
        <v>170</v>
      </c>
      <c r="CO128">
        <v>100</v>
      </c>
      <c r="CP128" s="75">
        <f ca="1">INDIRECT(ADDRESS(11+(MATCH(RIGHT(Table12[[#This Row],[spawner_sku]],LEN(Table12[[#This Row],[spawner_sku]])-FIND("/",Table12[[#This Row],[spawner_sku]])),Table1[Entity Prefab],0)),10,1,1,"Entities"))</f>
        <v>70</v>
      </c>
      <c r="CQ128" s="75">
        <f ca="1">ROUND((Table12[[#This Row],[XP]]*Table12[[#This Row],[entity_spawned (AVG)]])*(Table12[[#This Row],[activating_chance]]/100),0)</f>
        <v>70</v>
      </c>
      <c r="CR128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128" s="72">
        <v>1</v>
      </c>
      <c r="CT128" s="72">
        <v>1</v>
      </c>
      <c r="CU128" s="72" t="b">
        <v>0</v>
      </c>
      <c r="CW128" t="s">
        <v>385</v>
      </c>
      <c r="CX128">
        <v>1</v>
      </c>
      <c r="CY128">
        <v>200</v>
      </c>
      <c r="CZ128">
        <v>100</v>
      </c>
      <c r="DA128" s="75">
        <f ca="1">INDIRECT(ADDRESS(11+(MATCH(RIGHT(Table13[[#This Row],[spawner_sku]],LEN(Table13[[#This Row],[spawner_sku]])-FIND("/",Table13[[#This Row],[spawner_sku]])),Table1[Entity Prefab],0)),10,1,1,"Entities"))</f>
        <v>75</v>
      </c>
      <c r="DB128" s="75">
        <f ca="1">ROUND((Table13[[#This Row],[XP]]*Table13[[#This Row],[entity_spawned (AVG)]])*(Table13[[#This Row],[activating_chance]]/100),0)</f>
        <v>75</v>
      </c>
      <c r="DC128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128" s="72">
        <v>1</v>
      </c>
      <c r="DE128" s="72">
        <v>1</v>
      </c>
      <c r="DF128" s="72" t="b">
        <v>0</v>
      </c>
      <c r="DH128" t="s">
        <v>227</v>
      </c>
      <c r="DI128">
        <v>1.5</v>
      </c>
      <c r="DJ128">
        <v>100</v>
      </c>
      <c r="DK128">
        <v>30</v>
      </c>
      <c r="DL128" s="75">
        <f ca="1">INDIRECT(ADDRESS(11+(MATCH(RIGHT(Table14[[#This Row],[spawner_sku]],LEN(Table14[[#This Row],[spawner_sku]])-FIND("/",Table14[[#This Row],[spawner_sku]])),Table1[Entity Prefab],0)),10,1,1,"Entities"))</f>
        <v>25</v>
      </c>
      <c r="DM128" s="75">
        <f ca="1">ROUND((Table14[[#This Row],[XP]]*Table14[[#This Row],[entity_spawned (AVG)]])*(Table14[[#This Row],[activating_chance]]/100),0)</f>
        <v>11</v>
      </c>
      <c r="DN12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28" s="72">
        <v>1</v>
      </c>
      <c r="DP128" s="72">
        <v>2</v>
      </c>
      <c r="DQ128" s="72" t="b">
        <v>0</v>
      </c>
      <c r="DS128" t="s">
        <v>402</v>
      </c>
      <c r="DT128">
        <v>1</v>
      </c>
      <c r="DU128">
        <v>340</v>
      </c>
      <c r="DV128">
        <v>100</v>
      </c>
      <c r="DW128" s="75">
        <f ca="1">INDIRECT(ADDRESS(11+(MATCH(RIGHT(Table18[[#This Row],[spawner_sku]],LEN(Table18[[#This Row],[spawner_sku]])-FIND("/",Table18[[#This Row],[spawner_sku]])),Table1[Entity Prefab],0)),10,1,1,"Entities"))</f>
        <v>263</v>
      </c>
      <c r="DX128" s="75">
        <f ca="1">ROUND((Table18[[#This Row],[XP]]*Table18[[#This Row],[entity_spawned (AVG)]])*(Table18[[#This Row],[activating_chance]]/100),0)</f>
        <v>263</v>
      </c>
      <c r="DY128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28">
        <v>1</v>
      </c>
      <c r="EA128">
        <v>1</v>
      </c>
      <c r="EB128" t="b">
        <v>0</v>
      </c>
      <c r="ED128" t="s">
        <v>402</v>
      </c>
      <c r="EE128">
        <v>1</v>
      </c>
      <c r="EF128">
        <v>340</v>
      </c>
      <c r="EG128">
        <v>100</v>
      </c>
      <c r="EH128" s="75">
        <f ca="1">INDIRECT(ADDRESS(11+(MATCH(RIGHT(Table1820[[#This Row],[spawner_sku]],LEN(Table1820[[#This Row],[spawner_sku]])-FIND("/",Table1820[[#This Row],[spawner_sku]])),Table1[Entity Prefab],0)),10,1,1,"Entities"))</f>
        <v>263</v>
      </c>
      <c r="EI128" s="75">
        <f ca="1">ROUND((Table1820[[#This Row],[XP]]*Table1820[[#This Row],[entity_spawned (AVG)]])*(Table1820[[#This Row],[activating_chance]]/100),0)</f>
        <v>263</v>
      </c>
      <c r="EJ128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28">
        <v>1</v>
      </c>
      <c r="EL128">
        <v>1</v>
      </c>
      <c r="EM128" t="b">
        <v>0</v>
      </c>
      <c r="EO128" t="s">
        <v>7351</v>
      </c>
      <c r="EP128">
        <v>2</v>
      </c>
      <c r="EQ128">
        <v>90</v>
      </c>
      <c r="ER128">
        <v>100</v>
      </c>
      <c r="ES128" s="75">
        <f ca="1">INDIRECT(ADDRESS(11+(MATCH(RIGHT(Table182023[[#This Row],[spawner_sku]],LEN(Table182023[[#This Row],[spawner_sku]])-FIND("/",Table182023[[#This Row],[spawner_sku]])),Table1[Entity Prefab],0)),10,1,1,"Entities"))</f>
        <v>50</v>
      </c>
      <c r="ET128" s="75">
        <f ca="1">ROUND((Table182023[[#This Row],[XP]]*Table182023[[#This Row],[entity_spawned (AVG)]])*(Table182023[[#This Row],[activating_chance]]/100),0)</f>
        <v>100</v>
      </c>
      <c r="EU128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128" s="152">
        <v>1</v>
      </c>
      <c r="EW128" s="152">
        <v>3</v>
      </c>
      <c r="EX128" s="152" t="b">
        <v>0</v>
      </c>
      <c r="EZ128" t="s">
        <v>7356</v>
      </c>
      <c r="FA128">
        <v>1</v>
      </c>
      <c r="FB128">
        <v>120</v>
      </c>
      <c r="FC128">
        <v>100</v>
      </c>
      <c r="FD128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FE128" s="75">
        <f ca="1">ROUND((Table18202324[[#This Row],[XP]]*Table18202324[[#This Row],[entity_spawned (AVG)]])*(Table18202324[[#This Row],[activating_chance]]/100),0)</f>
        <v>130</v>
      </c>
      <c r="FF128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128">
        <v>1</v>
      </c>
      <c r="FH128">
        <v>1</v>
      </c>
      <c r="FI128" t="b">
        <v>0</v>
      </c>
    </row>
    <row r="129" spans="2:165" x14ac:dyDescent="0.25">
      <c r="B129" s="73" t="s">
        <v>228</v>
      </c>
      <c r="C129">
        <v>1</v>
      </c>
      <c r="D129">
        <v>120</v>
      </c>
      <c r="E129">
        <v>100</v>
      </c>
      <c r="F129" s="75">
        <f ca="1">INDIRECT(ADDRESS(11+(MATCH(RIGHT(Table245[[#This Row],[spawner_sku]],LEN(Table245[[#This Row],[spawner_sku]])-FIND("/",Table245[[#This Row],[spawner_sku]])),Table1[Entity Prefab],0)),10,1,1,"Entities"))</f>
        <v>25</v>
      </c>
      <c r="G129" s="75">
        <f ca="1">ROUND((Table245[[#This Row],[XP]]*Table245[[#This Row],[entity_spawned (AVG)]])*(Table245[[#This Row],[activating_chance]]/100),0)</f>
        <v>25</v>
      </c>
      <c r="H12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9" s="72">
        <v>1</v>
      </c>
      <c r="J129" s="72">
        <v>1</v>
      </c>
      <c r="K129" s="72" t="b">
        <v>0</v>
      </c>
      <c r="M129" t="s">
        <v>254</v>
      </c>
      <c r="N129">
        <v>1</v>
      </c>
      <c r="O129">
        <v>190</v>
      </c>
      <c r="P129">
        <v>100</v>
      </c>
      <c r="Q129" s="75">
        <f ca="1">INDIRECT(ADDRESS(11+(MATCH(RIGHT(Table3[[#This Row],[spawner_sku]],LEN(Table3[[#This Row],[spawner_sku]])-FIND("/",Table3[[#This Row],[spawner_sku]])),Table1[Entity Prefab],0)),10,1,1,"Entities"))</f>
        <v>70</v>
      </c>
      <c r="R129" s="75">
        <f ca="1">ROUND((Table3[[#This Row],[XP]]*Table3[[#This Row],[entity_spawned (AVG)]])*(Table3[[#This Row],[activating_chance]]/100),0)</f>
        <v>70</v>
      </c>
      <c r="S129" t="str">
        <f ca="1">INDIRECT(ADDRESS(11+(MATCH(RIGHT(Table3[[#This Row],[spawner_sku]],LEN(Table3[[#This Row],[spawner_sku]])-FIND("/",Table3[[#This Row],[spawner_sku]])),Table28[Entity Prefab],0)),24,1,1,"Entities"))</f>
        <v>yes</v>
      </c>
      <c r="T129">
        <v>1</v>
      </c>
      <c r="U129">
        <v>1</v>
      </c>
      <c r="V129" t="b">
        <v>0</v>
      </c>
      <c r="W129" s="72"/>
      <c r="AI129" t="s">
        <v>228</v>
      </c>
      <c r="AJ129">
        <v>1</v>
      </c>
      <c r="AK129">
        <v>80</v>
      </c>
      <c r="AL129">
        <v>30</v>
      </c>
      <c r="AM129" s="75">
        <f ca="1">INDIRECT(ADDRESS(11+(MATCH(RIGHT(Table2[[#This Row],[spawner_sku]],LEN(Table2[[#This Row],[spawner_sku]])-FIND("/",Table2[[#This Row],[spawner_sku]])),Table1[Entity Prefab],0)),10,1,1,"Entities"))</f>
        <v>25</v>
      </c>
      <c r="AN129" s="75">
        <f ca="1">ROUND((Table2[[#This Row],[XP]]*Table2[[#This Row],[entity_spawned (AVG)]])*(Table2[[#This Row],[activating_chance]]/100),0)</f>
        <v>8</v>
      </c>
      <c r="AO12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29" s="72">
        <v>1</v>
      </c>
      <c r="AQ129" s="72">
        <v>1</v>
      </c>
      <c r="AR129" s="72" t="b">
        <v>0</v>
      </c>
      <c r="AT129" t="s">
        <v>607</v>
      </c>
      <c r="AU129">
        <v>1</v>
      </c>
      <c r="AV129">
        <v>300</v>
      </c>
      <c r="AW129">
        <v>100</v>
      </c>
      <c r="AX129" s="75">
        <f ca="1">INDIRECT(ADDRESS(11+(MATCH(RIGHT(Table6[[#This Row],[spawner_sku]],LEN(Table6[[#This Row],[spawner_sku]])-FIND("/",Table6[[#This Row],[spawner_sku]])),Table1[Entity Prefab],0)),10,1,1,"Entities"))</f>
        <v>50</v>
      </c>
      <c r="AY129" s="75">
        <f ca="1">ROUND((Table6[[#This Row],[XP]]*Table6[[#This Row],[entity_spawned (AVG)]])*(Table6[[#This Row],[activating_chance]]/100),0)</f>
        <v>50</v>
      </c>
      <c r="AZ129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29">
        <v>1</v>
      </c>
      <c r="BB129">
        <v>1</v>
      </c>
      <c r="BC129" t="b">
        <v>0</v>
      </c>
      <c r="BE129" t="s">
        <v>445</v>
      </c>
      <c r="BF129">
        <v>1</v>
      </c>
      <c r="BG129">
        <v>180</v>
      </c>
      <c r="BH129">
        <v>100</v>
      </c>
      <c r="BI129" s="75">
        <f ca="1">INDIRECT(ADDRESS(11+(MATCH(RIGHT(Table610[[#This Row],[spawner_sku]],LEN(Table610[[#This Row],[spawner_sku]])-FIND("/",Table610[[#This Row],[spawner_sku]])),Table1[Entity Prefab],0)),10,1,1,"Entities"))</f>
        <v>0</v>
      </c>
      <c r="BJ129" s="75">
        <f ca="1">ROUND((Table610[[#This Row],[XP]]*Table610[[#This Row],[entity_spawned (AVG)]])*(Table610[[#This Row],[activating_chance]]/100),0)</f>
        <v>0</v>
      </c>
      <c r="BK129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29">
        <v>1</v>
      </c>
      <c r="BM129">
        <v>1</v>
      </c>
      <c r="BN129" t="b">
        <v>0</v>
      </c>
      <c r="BP129" t="s">
        <v>232</v>
      </c>
      <c r="BQ129">
        <v>1</v>
      </c>
      <c r="BR129">
        <v>250</v>
      </c>
      <c r="BS129">
        <v>100</v>
      </c>
      <c r="BT129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129" s="75">
        <f ca="1">ROUND((Table61011[[#This Row],[XP]]*Table61011[[#This Row],[entity_spawned (AVG)]])*(Table61011[[#This Row],[activating_chance]]/100),0)</f>
        <v>143</v>
      </c>
      <c r="BV12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29" s="72">
        <v>1</v>
      </c>
      <c r="BX129" s="72">
        <v>1</v>
      </c>
      <c r="BY129" s="72" t="b">
        <v>0</v>
      </c>
      <c r="CA129" t="s">
        <v>235</v>
      </c>
      <c r="CB129">
        <v>1</v>
      </c>
      <c r="CC129">
        <v>180</v>
      </c>
      <c r="CD129">
        <v>100</v>
      </c>
      <c r="CE129" s="75">
        <f ca="1">INDIRECT(ADDRESS(11+(MATCH(RIGHT(Table11[[#This Row],[spawner_sku]],LEN(Table11[[#This Row],[spawner_sku]])-FIND("/",Table11[[#This Row],[spawner_sku]])),Table1[Entity Prefab],0)),10,1,1,"Entities"))</f>
        <v>25</v>
      </c>
      <c r="CF129">
        <f ca="1">ROUND((Table11[[#This Row],[XP]]*Table11[[#This Row],[entity_spawned (AVG)]])*(Table11[[#This Row],[activating_chance]]/100),0)</f>
        <v>25</v>
      </c>
      <c r="CG129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29" s="72">
        <v>1</v>
      </c>
      <c r="CI129" s="72">
        <v>1</v>
      </c>
      <c r="CJ129" s="72" t="b">
        <v>0</v>
      </c>
      <c r="CL129" t="s">
        <v>254</v>
      </c>
      <c r="CM129">
        <v>1</v>
      </c>
      <c r="CN129">
        <v>170</v>
      </c>
      <c r="CO129">
        <v>100</v>
      </c>
      <c r="CP129" s="75">
        <f ca="1">INDIRECT(ADDRESS(11+(MATCH(RIGHT(Table12[[#This Row],[spawner_sku]],LEN(Table12[[#This Row],[spawner_sku]])-FIND("/",Table12[[#This Row],[spawner_sku]])),Table1[Entity Prefab],0)),10,1,1,"Entities"))</f>
        <v>70</v>
      </c>
      <c r="CQ129" s="75">
        <f ca="1">ROUND((Table12[[#This Row],[XP]]*Table12[[#This Row],[entity_spawned (AVG)]])*(Table12[[#This Row],[activating_chance]]/100),0)</f>
        <v>70</v>
      </c>
      <c r="CR129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129" s="72">
        <v>1</v>
      </c>
      <c r="CT129" s="72">
        <v>1</v>
      </c>
      <c r="CU129" s="72" t="b">
        <v>0</v>
      </c>
      <c r="CW129" t="s">
        <v>385</v>
      </c>
      <c r="CX129">
        <v>1</v>
      </c>
      <c r="CY129">
        <v>200</v>
      </c>
      <c r="CZ129">
        <v>100</v>
      </c>
      <c r="DA129" s="75">
        <f ca="1">INDIRECT(ADDRESS(11+(MATCH(RIGHT(Table13[[#This Row],[spawner_sku]],LEN(Table13[[#This Row],[spawner_sku]])-FIND("/",Table13[[#This Row],[spawner_sku]])),Table1[Entity Prefab],0)),10,1,1,"Entities"))</f>
        <v>75</v>
      </c>
      <c r="DB129" s="75">
        <f ca="1">ROUND((Table13[[#This Row],[XP]]*Table13[[#This Row],[entity_spawned (AVG)]])*(Table13[[#This Row],[activating_chance]]/100),0)</f>
        <v>75</v>
      </c>
      <c r="DC129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129" s="72">
        <v>1</v>
      </c>
      <c r="DE129" s="72">
        <v>1</v>
      </c>
      <c r="DF129" s="72" t="b">
        <v>0</v>
      </c>
      <c r="DH129" t="s">
        <v>227</v>
      </c>
      <c r="DI129">
        <v>7</v>
      </c>
      <c r="DJ129">
        <v>180</v>
      </c>
      <c r="DK129">
        <v>100</v>
      </c>
      <c r="DL129" s="75">
        <f ca="1">INDIRECT(ADDRESS(11+(MATCH(RIGHT(Table14[[#This Row],[spawner_sku]],LEN(Table14[[#This Row],[spawner_sku]])-FIND("/",Table14[[#This Row],[spawner_sku]])),Table1[Entity Prefab],0)),10,1,1,"Entities"))</f>
        <v>25</v>
      </c>
      <c r="DM129" s="75">
        <f ca="1">ROUND((Table14[[#This Row],[XP]]*Table14[[#This Row],[entity_spawned (AVG)]])*(Table14[[#This Row],[activating_chance]]/100),0)</f>
        <v>175</v>
      </c>
      <c r="DN12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29" s="72">
        <v>6</v>
      </c>
      <c r="DP129" s="72">
        <v>8</v>
      </c>
      <c r="DQ129" s="72" t="b">
        <v>1</v>
      </c>
      <c r="DS129" t="s">
        <v>402</v>
      </c>
      <c r="DT129">
        <v>1</v>
      </c>
      <c r="DU129">
        <v>340</v>
      </c>
      <c r="DV129">
        <v>100</v>
      </c>
      <c r="DW129" s="75">
        <f ca="1">INDIRECT(ADDRESS(11+(MATCH(RIGHT(Table18[[#This Row],[spawner_sku]],LEN(Table18[[#This Row],[spawner_sku]])-FIND("/",Table18[[#This Row],[spawner_sku]])),Table1[Entity Prefab],0)),10,1,1,"Entities"))</f>
        <v>263</v>
      </c>
      <c r="DX129" s="75">
        <f ca="1">ROUND((Table18[[#This Row],[XP]]*Table18[[#This Row],[entity_spawned (AVG)]])*(Table18[[#This Row],[activating_chance]]/100),0)</f>
        <v>263</v>
      </c>
      <c r="DY129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29">
        <v>1</v>
      </c>
      <c r="EA129">
        <v>1</v>
      </c>
      <c r="EB129" t="b">
        <v>0</v>
      </c>
      <c r="ED129" t="s">
        <v>402</v>
      </c>
      <c r="EE129">
        <v>1</v>
      </c>
      <c r="EF129">
        <v>340</v>
      </c>
      <c r="EG129">
        <v>100</v>
      </c>
      <c r="EH129" s="75">
        <f ca="1">INDIRECT(ADDRESS(11+(MATCH(RIGHT(Table1820[[#This Row],[spawner_sku]],LEN(Table1820[[#This Row],[spawner_sku]])-FIND("/",Table1820[[#This Row],[spawner_sku]])),Table1[Entity Prefab],0)),10,1,1,"Entities"))</f>
        <v>263</v>
      </c>
      <c r="EI129" s="75">
        <f ca="1">ROUND((Table1820[[#This Row],[XP]]*Table1820[[#This Row],[entity_spawned (AVG)]])*(Table1820[[#This Row],[activating_chance]]/100),0)</f>
        <v>263</v>
      </c>
      <c r="EJ129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29">
        <v>1</v>
      </c>
      <c r="EL129">
        <v>1</v>
      </c>
      <c r="EM129" t="b">
        <v>0</v>
      </c>
      <c r="EO129" t="s">
        <v>7341</v>
      </c>
      <c r="EP129">
        <v>1</v>
      </c>
      <c r="EQ129">
        <v>100</v>
      </c>
      <c r="ER129">
        <v>100</v>
      </c>
      <c r="ES129" s="75">
        <f ca="1">INDIRECT(ADDRESS(11+(MATCH(RIGHT(Table182023[[#This Row],[spawner_sku]],LEN(Table182023[[#This Row],[spawner_sku]])-FIND("/",Table182023[[#This Row],[spawner_sku]])),Table1[Entity Prefab],0)),10,1,1,"Entities"))</f>
        <v>105</v>
      </c>
      <c r="ET129" s="75">
        <f ca="1">ROUND((Table182023[[#This Row],[XP]]*Table182023[[#This Row],[entity_spawned (AVG)]])*(Table182023[[#This Row],[activating_chance]]/100),0)</f>
        <v>105</v>
      </c>
      <c r="EU129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129" s="152">
        <v>1</v>
      </c>
      <c r="EW129" s="152">
        <v>1</v>
      </c>
      <c r="EX129" s="152" t="b">
        <v>0</v>
      </c>
      <c r="EZ129" t="s">
        <v>7356</v>
      </c>
      <c r="FA129">
        <v>3</v>
      </c>
      <c r="FB129">
        <v>120</v>
      </c>
      <c r="FC129">
        <v>100</v>
      </c>
      <c r="FD129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FE129" s="75">
        <f ca="1">ROUND((Table18202324[[#This Row],[XP]]*Table18202324[[#This Row],[entity_spawned (AVG)]])*(Table18202324[[#This Row],[activating_chance]]/100),0)</f>
        <v>390</v>
      </c>
      <c r="FF129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129">
        <v>2</v>
      </c>
      <c r="FH129">
        <v>4</v>
      </c>
      <c r="FI129" t="b">
        <v>0</v>
      </c>
    </row>
    <row r="130" spans="2:165" x14ac:dyDescent="0.25">
      <c r="B130" s="73" t="s">
        <v>228</v>
      </c>
      <c r="C130">
        <v>1.5</v>
      </c>
      <c r="D130">
        <v>110</v>
      </c>
      <c r="E130">
        <v>100</v>
      </c>
      <c r="F130" s="75">
        <f ca="1">INDIRECT(ADDRESS(11+(MATCH(RIGHT(Table245[[#This Row],[spawner_sku]],LEN(Table245[[#This Row],[spawner_sku]])-FIND("/",Table245[[#This Row],[spawner_sku]])),Table1[Entity Prefab],0)),10,1,1,"Entities"))</f>
        <v>25</v>
      </c>
      <c r="G130" s="75">
        <f ca="1">ROUND((Table245[[#This Row],[XP]]*Table245[[#This Row],[entity_spawned (AVG)]])*(Table245[[#This Row],[activating_chance]]/100),0)</f>
        <v>38</v>
      </c>
      <c r="H13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0" s="72">
        <v>1</v>
      </c>
      <c r="J130" s="72">
        <v>2</v>
      </c>
      <c r="K130" s="72" t="b">
        <v>0</v>
      </c>
      <c r="M130" t="s">
        <v>254</v>
      </c>
      <c r="N130">
        <v>1</v>
      </c>
      <c r="O130">
        <v>190</v>
      </c>
      <c r="P130">
        <v>100</v>
      </c>
      <c r="Q130" s="75">
        <f ca="1">INDIRECT(ADDRESS(11+(MATCH(RIGHT(Table3[[#This Row],[spawner_sku]],LEN(Table3[[#This Row],[spawner_sku]])-FIND("/",Table3[[#This Row],[spawner_sku]])),Table1[Entity Prefab],0)),10,1,1,"Entities"))</f>
        <v>70</v>
      </c>
      <c r="R130" s="75">
        <f ca="1">ROUND((Table3[[#This Row],[XP]]*Table3[[#This Row],[entity_spawned (AVG)]])*(Table3[[#This Row],[activating_chance]]/100),0)</f>
        <v>70</v>
      </c>
      <c r="S130" t="str">
        <f ca="1">INDIRECT(ADDRESS(11+(MATCH(RIGHT(Table3[[#This Row],[spawner_sku]],LEN(Table3[[#This Row],[spawner_sku]])-FIND("/",Table3[[#This Row],[spawner_sku]])),Table28[Entity Prefab],0)),24,1,1,"Entities"))</f>
        <v>yes</v>
      </c>
      <c r="T130">
        <v>1</v>
      </c>
      <c r="U130">
        <v>1</v>
      </c>
      <c r="V130" t="b">
        <v>0</v>
      </c>
      <c r="W130" s="72"/>
      <c r="AI130" t="s">
        <v>228</v>
      </c>
      <c r="AJ130">
        <v>2</v>
      </c>
      <c r="AK130">
        <v>100</v>
      </c>
      <c r="AL130">
        <v>100</v>
      </c>
      <c r="AM130" s="75">
        <f ca="1">INDIRECT(ADDRESS(11+(MATCH(RIGHT(Table2[[#This Row],[spawner_sku]],LEN(Table2[[#This Row],[spawner_sku]])-FIND("/",Table2[[#This Row],[spawner_sku]])),Table1[Entity Prefab],0)),10,1,1,"Entities"))</f>
        <v>25</v>
      </c>
      <c r="AN130" s="75">
        <f ca="1">ROUND((Table2[[#This Row],[XP]]*Table2[[#This Row],[entity_spawned (AVG)]])*(Table2[[#This Row],[activating_chance]]/100),0)</f>
        <v>50</v>
      </c>
      <c r="AO13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30" s="72">
        <v>1</v>
      </c>
      <c r="AQ130" s="72">
        <v>3</v>
      </c>
      <c r="AR130" s="72" t="b">
        <v>0</v>
      </c>
      <c r="AT130" t="s">
        <v>607</v>
      </c>
      <c r="AU130">
        <v>1</v>
      </c>
      <c r="AV130">
        <v>300</v>
      </c>
      <c r="AW130">
        <v>100</v>
      </c>
      <c r="AX130" s="75">
        <f ca="1">INDIRECT(ADDRESS(11+(MATCH(RIGHT(Table6[[#This Row],[spawner_sku]],LEN(Table6[[#This Row],[spawner_sku]])-FIND("/",Table6[[#This Row],[spawner_sku]])),Table1[Entity Prefab],0)),10,1,1,"Entities"))</f>
        <v>50</v>
      </c>
      <c r="AY130" s="75">
        <f ca="1">ROUND((Table6[[#This Row],[XP]]*Table6[[#This Row],[entity_spawned (AVG)]])*(Table6[[#This Row],[activating_chance]]/100),0)</f>
        <v>50</v>
      </c>
      <c r="AZ130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30">
        <v>1</v>
      </c>
      <c r="BB130">
        <v>1</v>
      </c>
      <c r="BC130" t="b">
        <v>0</v>
      </c>
      <c r="BE130" t="s">
        <v>445</v>
      </c>
      <c r="BF130">
        <v>1</v>
      </c>
      <c r="BG130">
        <v>180</v>
      </c>
      <c r="BH130">
        <v>100</v>
      </c>
      <c r="BI130" s="75">
        <f ca="1">INDIRECT(ADDRESS(11+(MATCH(RIGHT(Table610[[#This Row],[spawner_sku]],LEN(Table610[[#This Row],[spawner_sku]])-FIND("/",Table610[[#This Row],[spawner_sku]])),Table1[Entity Prefab],0)),10,1,1,"Entities"))</f>
        <v>0</v>
      </c>
      <c r="BJ130" s="75">
        <f ca="1">ROUND((Table610[[#This Row],[XP]]*Table610[[#This Row],[entity_spawned (AVG)]])*(Table610[[#This Row],[activating_chance]]/100),0)</f>
        <v>0</v>
      </c>
      <c r="BK130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30">
        <v>1</v>
      </c>
      <c r="BM130">
        <v>1</v>
      </c>
      <c r="BN130" t="b">
        <v>0</v>
      </c>
      <c r="BP130" t="s">
        <v>232</v>
      </c>
      <c r="BQ130">
        <v>1</v>
      </c>
      <c r="BR130">
        <v>250</v>
      </c>
      <c r="BS130">
        <v>100</v>
      </c>
      <c r="BT130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130" s="75">
        <f ca="1">ROUND((Table61011[[#This Row],[XP]]*Table61011[[#This Row],[entity_spawned (AVG)]])*(Table61011[[#This Row],[activating_chance]]/100),0)</f>
        <v>143</v>
      </c>
      <c r="BV13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0" s="72">
        <v>1</v>
      </c>
      <c r="BX130" s="72">
        <v>1</v>
      </c>
      <c r="BY130" s="72" t="b">
        <v>0</v>
      </c>
      <c r="CA130" t="s">
        <v>235</v>
      </c>
      <c r="CB130">
        <v>1</v>
      </c>
      <c r="CC130">
        <v>180</v>
      </c>
      <c r="CD130">
        <v>100</v>
      </c>
      <c r="CE130" s="75">
        <f ca="1">INDIRECT(ADDRESS(11+(MATCH(RIGHT(Table11[[#This Row],[spawner_sku]],LEN(Table11[[#This Row],[spawner_sku]])-FIND("/",Table11[[#This Row],[spawner_sku]])),Table1[Entity Prefab],0)),10,1,1,"Entities"))</f>
        <v>25</v>
      </c>
      <c r="CF130">
        <f ca="1">ROUND((Table11[[#This Row],[XP]]*Table11[[#This Row],[entity_spawned (AVG)]])*(Table11[[#This Row],[activating_chance]]/100),0)</f>
        <v>25</v>
      </c>
      <c r="CG130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30" s="72">
        <v>1</v>
      </c>
      <c r="CI130" s="72">
        <v>1</v>
      </c>
      <c r="CJ130" s="72" t="b">
        <v>0</v>
      </c>
      <c r="CL130" t="s">
        <v>254</v>
      </c>
      <c r="CM130">
        <v>1</v>
      </c>
      <c r="CN130">
        <v>170</v>
      </c>
      <c r="CO130">
        <v>30</v>
      </c>
      <c r="CP130" s="75">
        <f ca="1">INDIRECT(ADDRESS(11+(MATCH(RIGHT(Table12[[#This Row],[spawner_sku]],LEN(Table12[[#This Row],[spawner_sku]])-FIND("/",Table12[[#This Row],[spawner_sku]])),Table1[Entity Prefab],0)),10,1,1,"Entities"))</f>
        <v>70</v>
      </c>
      <c r="CQ130" s="75">
        <f ca="1">ROUND((Table12[[#This Row],[XP]]*Table12[[#This Row],[entity_spawned (AVG)]])*(Table12[[#This Row],[activating_chance]]/100),0)</f>
        <v>21</v>
      </c>
      <c r="CR130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130" s="72">
        <v>1</v>
      </c>
      <c r="CT130" s="72">
        <v>1</v>
      </c>
      <c r="CU130" s="72" t="b">
        <v>0</v>
      </c>
      <c r="CW130" t="s">
        <v>385</v>
      </c>
      <c r="CX130">
        <v>1</v>
      </c>
      <c r="CY130">
        <v>200</v>
      </c>
      <c r="CZ130">
        <v>100</v>
      </c>
      <c r="DA130" s="75">
        <f ca="1">INDIRECT(ADDRESS(11+(MATCH(RIGHT(Table13[[#This Row],[spawner_sku]],LEN(Table13[[#This Row],[spawner_sku]])-FIND("/",Table13[[#This Row],[spawner_sku]])),Table1[Entity Prefab],0)),10,1,1,"Entities"))</f>
        <v>75</v>
      </c>
      <c r="DB130" s="75">
        <f ca="1">ROUND((Table13[[#This Row],[XP]]*Table13[[#This Row],[entity_spawned (AVG)]])*(Table13[[#This Row],[activating_chance]]/100),0)</f>
        <v>75</v>
      </c>
      <c r="DC130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130" s="72">
        <v>1</v>
      </c>
      <c r="DE130" s="72">
        <v>1</v>
      </c>
      <c r="DF130" s="72" t="b">
        <v>0</v>
      </c>
      <c r="DH130" t="s">
        <v>227</v>
      </c>
      <c r="DI130">
        <v>3.5</v>
      </c>
      <c r="DJ130">
        <v>120</v>
      </c>
      <c r="DK130">
        <v>80</v>
      </c>
      <c r="DL130" s="75">
        <f ca="1">INDIRECT(ADDRESS(11+(MATCH(RIGHT(Table14[[#This Row],[spawner_sku]],LEN(Table14[[#This Row],[spawner_sku]])-FIND("/",Table14[[#This Row],[spawner_sku]])),Table1[Entity Prefab],0)),10,1,1,"Entities"))</f>
        <v>25</v>
      </c>
      <c r="DM130" s="75">
        <f ca="1">ROUND((Table14[[#This Row],[XP]]*Table14[[#This Row],[entity_spawned (AVG)]])*(Table14[[#This Row],[activating_chance]]/100),0)</f>
        <v>70</v>
      </c>
      <c r="DN13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30" s="72">
        <v>3</v>
      </c>
      <c r="DP130" s="72">
        <v>4</v>
      </c>
      <c r="DQ130" s="72" t="b">
        <v>0</v>
      </c>
      <c r="DS130" t="s">
        <v>402</v>
      </c>
      <c r="DT130">
        <v>1</v>
      </c>
      <c r="DU130">
        <v>240</v>
      </c>
      <c r="DV130">
        <v>100</v>
      </c>
      <c r="DW130" s="75">
        <f ca="1">INDIRECT(ADDRESS(11+(MATCH(RIGHT(Table18[[#This Row],[spawner_sku]],LEN(Table18[[#This Row],[spawner_sku]])-FIND("/",Table18[[#This Row],[spawner_sku]])),Table1[Entity Prefab],0)),10,1,1,"Entities"))</f>
        <v>263</v>
      </c>
      <c r="DX130" s="75">
        <f ca="1">ROUND((Table18[[#This Row],[XP]]*Table18[[#This Row],[entity_spawned (AVG)]])*(Table18[[#This Row],[activating_chance]]/100),0)</f>
        <v>263</v>
      </c>
      <c r="DY130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30">
        <v>1</v>
      </c>
      <c r="EA130">
        <v>1</v>
      </c>
      <c r="EB130" t="b">
        <v>0</v>
      </c>
      <c r="ED130" t="s">
        <v>402</v>
      </c>
      <c r="EE130">
        <v>1</v>
      </c>
      <c r="EF130">
        <v>340</v>
      </c>
      <c r="EG130">
        <v>100</v>
      </c>
      <c r="EH130" s="75">
        <f ca="1">INDIRECT(ADDRESS(11+(MATCH(RIGHT(Table1820[[#This Row],[spawner_sku]],LEN(Table1820[[#This Row],[spawner_sku]])-FIND("/",Table1820[[#This Row],[spawner_sku]])),Table1[Entity Prefab],0)),10,1,1,"Entities"))</f>
        <v>263</v>
      </c>
      <c r="EI130" s="75">
        <f ca="1">ROUND((Table1820[[#This Row],[XP]]*Table1820[[#This Row],[entity_spawned (AVG)]])*(Table1820[[#This Row],[activating_chance]]/100),0)</f>
        <v>263</v>
      </c>
      <c r="EJ130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30">
        <v>1</v>
      </c>
      <c r="EL130">
        <v>1</v>
      </c>
      <c r="EM130" t="b">
        <v>0</v>
      </c>
      <c r="EO130" t="s">
        <v>7341</v>
      </c>
      <c r="EP130">
        <v>1</v>
      </c>
      <c r="EQ130">
        <v>80</v>
      </c>
      <c r="ER130">
        <v>100</v>
      </c>
      <c r="ES130" s="75">
        <f ca="1">INDIRECT(ADDRESS(11+(MATCH(RIGHT(Table182023[[#This Row],[spawner_sku]],LEN(Table182023[[#This Row],[spawner_sku]])-FIND("/",Table182023[[#This Row],[spawner_sku]])),Table1[Entity Prefab],0)),10,1,1,"Entities"))</f>
        <v>105</v>
      </c>
      <c r="ET130" s="75">
        <f ca="1">ROUND((Table182023[[#This Row],[XP]]*Table182023[[#This Row],[entity_spawned (AVG)]])*(Table182023[[#This Row],[activating_chance]]/100),0)</f>
        <v>105</v>
      </c>
      <c r="EU130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130" s="152">
        <v>1</v>
      </c>
      <c r="EW130" s="152">
        <v>1</v>
      </c>
      <c r="EX130" s="152" t="b">
        <v>0</v>
      </c>
      <c r="EZ130" t="s">
        <v>7356</v>
      </c>
      <c r="FA130">
        <v>1</v>
      </c>
      <c r="FB130">
        <v>120</v>
      </c>
      <c r="FC130">
        <v>100</v>
      </c>
      <c r="FD130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FE130" s="75">
        <f ca="1">ROUND((Table18202324[[#This Row],[XP]]*Table18202324[[#This Row],[entity_spawned (AVG)]])*(Table18202324[[#This Row],[activating_chance]]/100),0)</f>
        <v>130</v>
      </c>
      <c r="FF130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130">
        <v>1</v>
      </c>
      <c r="FH130">
        <v>1</v>
      </c>
      <c r="FI130" t="b">
        <v>0</v>
      </c>
    </row>
    <row r="131" spans="2:165" x14ac:dyDescent="0.25">
      <c r="B131" s="73" t="s">
        <v>228</v>
      </c>
      <c r="C131">
        <v>1</v>
      </c>
      <c r="D131">
        <v>90</v>
      </c>
      <c r="E131">
        <v>100</v>
      </c>
      <c r="F131" s="75">
        <f ca="1">INDIRECT(ADDRESS(11+(MATCH(RIGHT(Table245[[#This Row],[spawner_sku]],LEN(Table245[[#This Row],[spawner_sku]])-FIND("/",Table245[[#This Row],[spawner_sku]])),Table1[Entity Prefab],0)),10,1,1,"Entities"))</f>
        <v>25</v>
      </c>
      <c r="G131" s="75">
        <f ca="1">ROUND((Table245[[#This Row],[XP]]*Table245[[#This Row],[entity_spawned (AVG)]])*(Table245[[#This Row],[activating_chance]]/100),0)</f>
        <v>25</v>
      </c>
      <c r="H13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1" s="72">
        <v>1</v>
      </c>
      <c r="J131" s="72">
        <v>1</v>
      </c>
      <c r="K131" s="72" t="b">
        <v>0</v>
      </c>
      <c r="M131" t="s">
        <v>254</v>
      </c>
      <c r="N131">
        <v>1</v>
      </c>
      <c r="O131">
        <v>190</v>
      </c>
      <c r="P131">
        <v>100</v>
      </c>
      <c r="Q131" s="75">
        <f ca="1">INDIRECT(ADDRESS(11+(MATCH(RIGHT(Table3[[#This Row],[spawner_sku]],LEN(Table3[[#This Row],[spawner_sku]])-FIND("/",Table3[[#This Row],[spawner_sku]])),Table1[Entity Prefab],0)),10,1,1,"Entities"))</f>
        <v>70</v>
      </c>
      <c r="R131" s="75">
        <f ca="1">ROUND((Table3[[#This Row],[XP]]*Table3[[#This Row],[entity_spawned (AVG)]])*(Table3[[#This Row],[activating_chance]]/100),0)</f>
        <v>70</v>
      </c>
      <c r="S131" t="str">
        <f ca="1">INDIRECT(ADDRESS(11+(MATCH(RIGHT(Table3[[#This Row],[spawner_sku]],LEN(Table3[[#This Row],[spawner_sku]])-FIND("/",Table3[[#This Row],[spawner_sku]])),Table28[Entity Prefab],0)),24,1,1,"Entities"))</f>
        <v>yes</v>
      </c>
      <c r="T131">
        <v>1</v>
      </c>
      <c r="U131">
        <v>1</v>
      </c>
      <c r="V131" t="b">
        <v>0</v>
      </c>
      <c r="W131" s="72"/>
      <c r="AI131" t="s">
        <v>228</v>
      </c>
      <c r="AJ131">
        <v>1</v>
      </c>
      <c r="AK131">
        <v>100</v>
      </c>
      <c r="AL131">
        <v>100</v>
      </c>
      <c r="AM131" s="75">
        <f ca="1">INDIRECT(ADDRESS(11+(MATCH(RIGHT(Table2[[#This Row],[spawner_sku]],LEN(Table2[[#This Row],[spawner_sku]])-FIND("/",Table2[[#This Row],[spawner_sku]])),Table1[Entity Prefab],0)),10,1,1,"Entities"))</f>
        <v>25</v>
      </c>
      <c r="AN131" s="75">
        <f ca="1">ROUND((Table2[[#This Row],[XP]]*Table2[[#This Row],[entity_spawned (AVG)]])*(Table2[[#This Row],[activating_chance]]/100),0)</f>
        <v>25</v>
      </c>
      <c r="AO13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31" s="72">
        <v>1</v>
      </c>
      <c r="AQ131" s="72">
        <v>1</v>
      </c>
      <c r="AR131" s="72" t="b">
        <v>0</v>
      </c>
      <c r="AT131" t="s">
        <v>607</v>
      </c>
      <c r="AU131">
        <v>1</v>
      </c>
      <c r="AV131">
        <v>300</v>
      </c>
      <c r="AW131">
        <v>100</v>
      </c>
      <c r="AX131" s="75">
        <f ca="1">INDIRECT(ADDRESS(11+(MATCH(RIGHT(Table6[[#This Row],[spawner_sku]],LEN(Table6[[#This Row],[spawner_sku]])-FIND("/",Table6[[#This Row],[spawner_sku]])),Table1[Entity Prefab],0)),10,1,1,"Entities"))</f>
        <v>50</v>
      </c>
      <c r="AY131" s="75">
        <f ca="1">ROUND((Table6[[#This Row],[XP]]*Table6[[#This Row],[entity_spawned (AVG)]])*(Table6[[#This Row],[activating_chance]]/100),0)</f>
        <v>50</v>
      </c>
      <c r="AZ131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31">
        <v>1</v>
      </c>
      <c r="BB131">
        <v>1</v>
      </c>
      <c r="BC131" t="b">
        <v>0</v>
      </c>
      <c r="BE131" t="s">
        <v>445</v>
      </c>
      <c r="BF131">
        <v>1</v>
      </c>
      <c r="BG131">
        <v>180</v>
      </c>
      <c r="BH131">
        <v>100</v>
      </c>
      <c r="BI131" s="75">
        <f ca="1">INDIRECT(ADDRESS(11+(MATCH(RIGHT(Table610[[#This Row],[spawner_sku]],LEN(Table610[[#This Row],[spawner_sku]])-FIND("/",Table610[[#This Row],[spawner_sku]])),Table1[Entity Prefab],0)),10,1,1,"Entities"))</f>
        <v>0</v>
      </c>
      <c r="BJ131" s="75">
        <f ca="1">ROUND((Table610[[#This Row],[XP]]*Table610[[#This Row],[entity_spawned (AVG)]])*(Table610[[#This Row],[activating_chance]]/100),0)</f>
        <v>0</v>
      </c>
      <c r="BK131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31">
        <v>1</v>
      </c>
      <c r="BM131">
        <v>1</v>
      </c>
      <c r="BN131" t="b">
        <v>0</v>
      </c>
      <c r="BP131" t="s">
        <v>232</v>
      </c>
      <c r="BQ131">
        <v>1</v>
      </c>
      <c r="BR131">
        <v>250</v>
      </c>
      <c r="BS131">
        <v>100</v>
      </c>
      <c r="BT131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131" s="75">
        <f ca="1">ROUND((Table61011[[#This Row],[XP]]*Table61011[[#This Row],[entity_spawned (AVG)]])*(Table61011[[#This Row],[activating_chance]]/100),0)</f>
        <v>143</v>
      </c>
      <c r="BV13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1" s="72">
        <v>1</v>
      </c>
      <c r="BX131" s="72">
        <v>1</v>
      </c>
      <c r="BY131" s="72" t="b">
        <v>0</v>
      </c>
      <c r="CA131" t="s">
        <v>235</v>
      </c>
      <c r="CB131">
        <v>1</v>
      </c>
      <c r="CC131">
        <v>180</v>
      </c>
      <c r="CD131">
        <v>30</v>
      </c>
      <c r="CE131" s="75">
        <f ca="1">INDIRECT(ADDRESS(11+(MATCH(RIGHT(Table11[[#This Row],[spawner_sku]],LEN(Table11[[#This Row],[spawner_sku]])-FIND("/",Table11[[#This Row],[spawner_sku]])),Table1[Entity Prefab],0)),10,1,1,"Entities"))</f>
        <v>25</v>
      </c>
      <c r="CF131">
        <f ca="1">ROUND((Table11[[#This Row],[XP]]*Table11[[#This Row],[entity_spawned (AVG)]])*(Table11[[#This Row],[activating_chance]]/100),0)</f>
        <v>8</v>
      </c>
      <c r="CG131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31" s="72">
        <v>1</v>
      </c>
      <c r="CI131" s="72">
        <v>1</v>
      </c>
      <c r="CJ131" s="72" t="b">
        <v>0</v>
      </c>
      <c r="CL131" t="s">
        <v>254</v>
      </c>
      <c r="CM131">
        <v>1</v>
      </c>
      <c r="CN131">
        <v>170</v>
      </c>
      <c r="CO131">
        <v>100</v>
      </c>
      <c r="CP131" s="75">
        <f ca="1">INDIRECT(ADDRESS(11+(MATCH(RIGHT(Table12[[#This Row],[spawner_sku]],LEN(Table12[[#This Row],[spawner_sku]])-FIND("/",Table12[[#This Row],[spawner_sku]])),Table1[Entity Prefab],0)),10,1,1,"Entities"))</f>
        <v>70</v>
      </c>
      <c r="CQ131" s="75">
        <f ca="1">ROUND((Table12[[#This Row],[XP]]*Table12[[#This Row],[entity_spawned (AVG)]])*(Table12[[#This Row],[activating_chance]]/100),0)</f>
        <v>70</v>
      </c>
      <c r="CR131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131" s="72">
        <v>1</v>
      </c>
      <c r="CT131" s="72">
        <v>1</v>
      </c>
      <c r="CU131" s="72" t="b">
        <v>0</v>
      </c>
      <c r="CW131" t="s">
        <v>385</v>
      </c>
      <c r="CX131">
        <v>1</v>
      </c>
      <c r="CY131">
        <v>200</v>
      </c>
      <c r="CZ131">
        <v>100</v>
      </c>
      <c r="DA131" s="75">
        <f ca="1">INDIRECT(ADDRESS(11+(MATCH(RIGHT(Table13[[#This Row],[spawner_sku]],LEN(Table13[[#This Row],[spawner_sku]])-FIND("/",Table13[[#This Row],[spawner_sku]])),Table1[Entity Prefab],0)),10,1,1,"Entities"))</f>
        <v>75</v>
      </c>
      <c r="DB131" s="75">
        <f ca="1">ROUND((Table13[[#This Row],[XP]]*Table13[[#This Row],[entity_spawned (AVG)]])*(Table13[[#This Row],[activating_chance]]/100),0)</f>
        <v>75</v>
      </c>
      <c r="DC131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131" s="72">
        <v>1</v>
      </c>
      <c r="DE131" s="72">
        <v>1</v>
      </c>
      <c r="DF131" s="72" t="b">
        <v>0</v>
      </c>
      <c r="DH131" t="s">
        <v>227</v>
      </c>
      <c r="DI131">
        <v>6</v>
      </c>
      <c r="DJ131">
        <v>200</v>
      </c>
      <c r="DK131">
        <v>30</v>
      </c>
      <c r="DL131" s="75">
        <f ca="1">INDIRECT(ADDRESS(11+(MATCH(RIGHT(Table14[[#This Row],[spawner_sku]],LEN(Table14[[#This Row],[spawner_sku]])-FIND("/",Table14[[#This Row],[spawner_sku]])),Table1[Entity Prefab],0)),10,1,1,"Entities"))</f>
        <v>25</v>
      </c>
      <c r="DM131" s="75">
        <f ca="1">ROUND((Table14[[#This Row],[XP]]*Table14[[#This Row],[entity_spawned (AVG)]])*(Table14[[#This Row],[activating_chance]]/100),0)</f>
        <v>45</v>
      </c>
      <c r="DN13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31" s="72">
        <v>6</v>
      </c>
      <c r="DP131" s="72">
        <v>6</v>
      </c>
      <c r="DQ131" s="72" t="b">
        <v>1</v>
      </c>
      <c r="DS131" t="s">
        <v>402</v>
      </c>
      <c r="DT131">
        <v>1</v>
      </c>
      <c r="DU131">
        <v>340</v>
      </c>
      <c r="DV131">
        <v>100</v>
      </c>
      <c r="DW131" s="75">
        <f ca="1">INDIRECT(ADDRESS(11+(MATCH(RIGHT(Table18[[#This Row],[spawner_sku]],LEN(Table18[[#This Row],[spawner_sku]])-FIND("/",Table18[[#This Row],[spawner_sku]])),Table1[Entity Prefab],0)),10,1,1,"Entities"))</f>
        <v>263</v>
      </c>
      <c r="DX131" s="75">
        <f ca="1">ROUND((Table18[[#This Row],[XP]]*Table18[[#This Row],[entity_spawned (AVG)]])*(Table18[[#This Row],[activating_chance]]/100),0)</f>
        <v>263</v>
      </c>
      <c r="DY131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31">
        <v>1</v>
      </c>
      <c r="EA131">
        <v>1</v>
      </c>
      <c r="EB131" t="b">
        <v>0</v>
      </c>
      <c r="ED131" t="s">
        <v>402</v>
      </c>
      <c r="EE131">
        <v>1</v>
      </c>
      <c r="EF131">
        <v>340</v>
      </c>
      <c r="EG131">
        <v>100</v>
      </c>
      <c r="EH131" s="75">
        <f ca="1">INDIRECT(ADDRESS(11+(MATCH(RIGHT(Table1820[[#This Row],[spawner_sku]],LEN(Table1820[[#This Row],[spawner_sku]])-FIND("/",Table1820[[#This Row],[spawner_sku]])),Table1[Entity Prefab],0)),10,1,1,"Entities"))</f>
        <v>263</v>
      </c>
      <c r="EI131" s="75">
        <f ca="1">ROUND((Table1820[[#This Row],[XP]]*Table1820[[#This Row],[entity_spawned (AVG)]])*(Table1820[[#This Row],[activating_chance]]/100),0)</f>
        <v>263</v>
      </c>
      <c r="EJ131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31">
        <v>1</v>
      </c>
      <c r="EL131">
        <v>1</v>
      </c>
      <c r="EM131" t="b">
        <v>0</v>
      </c>
      <c r="EO131" t="s">
        <v>7341</v>
      </c>
      <c r="EP131">
        <v>1</v>
      </c>
      <c r="EQ131">
        <v>80</v>
      </c>
      <c r="ER131">
        <v>100</v>
      </c>
      <c r="ES131" s="75">
        <f ca="1">INDIRECT(ADDRESS(11+(MATCH(RIGHT(Table182023[[#This Row],[spawner_sku]],LEN(Table182023[[#This Row],[spawner_sku]])-FIND("/",Table182023[[#This Row],[spawner_sku]])),Table1[Entity Prefab],0)),10,1,1,"Entities"))</f>
        <v>105</v>
      </c>
      <c r="ET131" s="75">
        <f ca="1">ROUND((Table182023[[#This Row],[XP]]*Table182023[[#This Row],[entity_spawned (AVG)]])*(Table182023[[#This Row],[activating_chance]]/100),0)</f>
        <v>105</v>
      </c>
      <c r="EU131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131" s="152">
        <v>1</v>
      </c>
      <c r="EW131" s="152">
        <v>1</v>
      </c>
      <c r="EX131" s="152" t="b">
        <v>0</v>
      </c>
      <c r="EZ131" t="s">
        <v>7356</v>
      </c>
      <c r="FA131">
        <v>1</v>
      </c>
      <c r="FB131">
        <v>120</v>
      </c>
      <c r="FC131">
        <v>100</v>
      </c>
      <c r="FD131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FE131" s="75">
        <f ca="1">ROUND((Table18202324[[#This Row],[XP]]*Table18202324[[#This Row],[entity_spawned (AVG)]])*(Table18202324[[#This Row],[activating_chance]]/100),0)</f>
        <v>130</v>
      </c>
      <c r="FF131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131">
        <v>1</v>
      </c>
      <c r="FH131">
        <v>1</v>
      </c>
      <c r="FI131" t="b">
        <v>0</v>
      </c>
    </row>
    <row r="132" spans="2:165" x14ac:dyDescent="0.25">
      <c r="B132" s="73" t="s">
        <v>228</v>
      </c>
      <c r="C132">
        <v>1</v>
      </c>
      <c r="D132">
        <v>80</v>
      </c>
      <c r="E132">
        <v>100</v>
      </c>
      <c r="F132" s="75">
        <f ca="1">INDIRECT(ADDRESS(11+(MATCH(RIGHT(Table245[[#This Row],[spawner_sku]],LEN(Table245[[#This Row],[spawner_sku]])-FIND("/",Table245[[#This Row],[spawner_sku]])),Table1[Entity Prefab],0)),10,1,1,"Entities"))</f>
        <v>25</v>
      </c>
      <c r="G132" s="75">
        <f ca="1">ROUND((Table245[[#This Row],[XP]]*Table245[[#This Row],[entity_spawned (AVG)]])*(Table245[[#This Row],[activating_chance]]/100),0)</f>
        <v>25</v>
      </c>
      <c r="H13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2" s="72">
        <v>1</v>
      </c>
      <c r="J132" s="72">
        <v>1</v>
      </c>
      <c r="K132" s="72" t="b">
        <v>0</v>
      </c>
      <c r="M132" t="s">
        <v>255</v>
      </c>
      <c r="N132">
        <v>1</v>
      </c>
      <c r="O132">
        <v>170</v>
      </c>
      <c r="P132">
        <v>100</v>
      </c>
      <c r="Q132" s="75">
        <f ca="1">INDIRECT(ADDRESS(11+(MATCH(RIGHT(Table3[[#This Row],[spawner_sku]],LEN(Table3[[#This Row],[spawner_sku]])-FIND("/",Table3[[#This Row],[spawner_sku]])),Table1[Entity Prefab],0)),10,1,1,"Entities"))</f>
        <v>25</v>
      </c>
      <c r="R132" s="75">
        <f ca="1">ROUND((Table3[[#This Row],[XP]]*Table3[[#This Row],[entity_spawned (AVG)]])*(Table3[[#This Row],[activating_chance]]/100),0)</f>
        <v>25</v>
      </c>
      <c r="S132" t="str">
        <f ca="1">INDIRECT(ADDRESS(11+(MATCH(RIGHT(Table3[[#This Row],[spawner_sku]],LEN(Table3[[#This Row],[spawner_sku]])-FIND("/",Table3[[#This Row],[spawner_sku]])),Table28[Entity Prefab],0)),24,1,1,"Entities"))</f>
        <v>no</v>
      </c>
      <c r="T132">
        <v>1</v>
      </c>
      <c r="U132">
        <v>1</v>
      </c>
      <c r="V132" t="b">
        <v>0</v>
      </c>
      <c r="W132" s="72"/>
      <c r="AI132" t="s">
        <v>228</v>
      </c>
      <c r="AJ132">
        <v>2</v>
      </c>
      <c r="AK132">
        <v>120</v>
      </c>
      <c r="AL132">
        <v>80</v>
      </c>
      <c r="AM132" s="75">
        <f ca="1">INDIRECT(ADDRESS(11+(MATCH(RIGHT(Table2[[#This Row],[spawner_sku]],LEN(Table2[[#This Row],[spawner_sku]])-FIND("/",Table2[[#This Row],[spawner_sku]])),Table1[Entity Prefab],0)),10,1,1,"Entities"))</f>
        <v>25</v>
      </c>
      <c r="AN132" s="75">
        <f ca="1">ROUND((Table2[[#This Row],[XP]]*Table2[[#This Row],[entity_spawned (AVG)]])*(Table2[[#This Row],[activating_chance]]/100),0)</f>
        <v>40</v>
      </c>
      <c r="AO13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32" s="72">
        <v>1</v>
      </c>
      <c r="AQ132" s="72">
        <v>3</v>
      </c>
      <c r="AR132" s="72" t="b">
        <v>0</v>
      </c>
      <c r="AT132" t="s">
        <v>607</v>
      </c>
      <c r="AU132">
        <v>1</v>
      </c>
      <c r="AV132">
        <v>300</v>
      </c>
      <c r="AW132">
        <v>100</v>
      </c>
      <c r="AX132" s="75">
        <f ca="1">INDIRECT(ADDRESS(11+(MATCH(RIGHT(Table6[[#This Row],[spawner_sku]],LEN(Table6[[#This Row],[spawner_sku]])-FIND("/",Table6[[#This Row],[spawner_sku]])),Table1[Entity Prefab],0)),10,1,1,"Entities"))</f>
        <v>50</v>
      </c>
      <c r="AY132" s="75">
        <f ca="1">ROUND((Table6[[#This Row],[XP]]*Table6[[#This Row],[entity_spawned (AVG)]])*(Table6[[#This Row],[activating_chance]]/100),0)</f>
        <v>50</v>
      </c>
      <c r="AZ132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32">
        <v>1</v>
      </c>
      <c r="BB132">
        <v>1</v>
      </c>
      <c r="BC132" t="b">
        <v>0</v>
      </c>
      <c r="BE132" t="s">
        <v>445</v>
      </c>
      <c r="BF132">
        <v>1</v>
      </c>
      <c r="BG132">
        <v>180</v>
      </c>
      <c r="BH132">
        <v>100</v>
      </c>
      <c r="BI132" s="75">
        <f ca="1">INDIRECT(ADDRESS(11+(MATCH(RIGHT(Table610[[#This Row],[spawner_sku]],LEN(Table610[[#This Row],[spawner_sku]])-FIND("/",Table610[[#This Row],[spawner_sku]])),Table1[Entity Prefab],0)),10,1,1,"Entities"))</f>
        <v>0</v>
      </c>
      <c r="BJ132" s="75">
        <f ca="1">ROUND((Table610[[#This Row],[XP]]*Table610[[#This Row],[entity_spawned (AVG)]])*(Table610[[#This Row],[activating_chance]]/100),0)</f>
        <v>0</v>
      </c>
      <c r="BK132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32">
        <v>1</v>
      </c>
      <c r="BM132">
        <v>1</v>
      </c>
      <c r="BN132" t="b">
        <v>0</v>
      </c>
      <c r="BP132" t="s">
        <v>232</v>
      </c>
      <c r="BQ132">
        <v>1</v>
      </c>
      <c r="BR132">
        <v>250</v>
      </c>
      <c r="BS132">
        <v>100</v>
      </c>
      <c r="BT132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132" s="75">
        <f ca="1">ROUND((Table61011[[#This Row],[XP]]*Table61011[[#This Row],[entity_spawned (AVG)]])*(Table61011[[#This Row],[activating_chance]]/100),0)</f>
        <v>143</v>
      </c>
      <c r="BV13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2" s="72">
        <v>1</v>
      </c>
      <c r="BX132" s="72">
        <v>1</v>
      </c>
      <c r="BY132" s="72" t="b">
        <v>0</v>
      </c>
      <c r="CA132" t="s">
        <v>235</v>
      </c>
      <c r="CB132">
        <v>1</v>
      </c>
      <c r="CC132">
        <v>180</v>
      </c>
      <c r="CD132">
        <v>100</v>
      </c>
      <c r="CE132" s="75">
        <f ca="1">INDIRECT(ADDRESS(11+(MATCH(RIGHT(Table11[[#This Row],[spawner_sku]],LEN(Table11[[#This Row],[spawner_sku]])-FIND("/",Table11[[#This Row],[spawner_sku]])),Table1[Entity Prefab],0)),10,1,1,"Entities"))</f>
        <v>25</v>
      </c>
      <c r="CF132">
        <f ca="1">ROUND((Table11[[#This Row],[XP]]*Table11[[#This Row],[entity_spawned (AVG)]])*(Table11[[#This Row],[activating_chance]]/100),0)</f>
        <v>25</v>
      </c>
      <c r="CG132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32" s="72">
        <v>1</v>
      </c>
      <c r="CI132" s="72">
        <v>1</v>
      </c>
      <c r="CJ132" s="72" t="b">
        <v>0</v>
      </c>
      <c r="CL132" t="s">
        <v>254</v>
      </c>
      <c r="CM132">
        <v>1</v>
      </c>
      <c r="CN132">
        <v>170</v>
      </c>
      <c r="CO132">
        <v>100</v>
      </c>
      <c r="CP132" s="75">
        <f ca="1">INDIRECT(ADDRESS(11+(MATCH(RIGHT(Table12[[#This Row],[spawner_sku]],LEN(Table12[[#This Row],[spawner_sku]])-FIND("/",Table12[[#This Row],[spawner_sku]])),Table1[Entity Prefab],0)),10,1,1,"Entities"))</f>
        <v>70</v>
      </c>
      <c r="CQ132" s="75">
        <f ca="1">ROUND((Table12[[#This Row],[XP]]*Table12[[#This Row],[entity_spawned (AVG)]])*(Table12[[#This Row],[activating_chance]]/100),0)</f>
        <v>70</v>
      </c>
      <c r="CR132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132" s="72">
        <v>1</v>
      </c>
      <c r="CT132" s="72">
        <v>1</v>
      </c>
      <c r="CU132" s="72" t="b">
        <v>0</v>
      </c>
      <c r="CW132" t="s">
        <v>385</v>
      </c>
      <c r="CX132">
        <v>1</v>
      </c>
      <c r="CY132">
        <v>200</v>
      </c>
      <c r="CZ132">
        <v>100</v>
      </c>
      <c r="DA132" s="75">
        <f ca="1">INDIRECT(ADDRESS(11+(MATCH(RIGHT(Table13[[#This Row],[spawner_sku]],LEN(Table13[[#This Row],[spawner_sku]])-FIND("/",Table13[[#This Row],[spawner_sku]])),Table1[Entity Prefab],0)),10,1,1,"Entities"))</f>
        <v>75</v>
      </c>
      <c r="DB132" s="75">
        <f ca="1">ROUND((Table13[[#This Row],[XP]]*Table13[[#This Row],[entity_spawned (AVG)]])*(Table13[[#This Row],[activating_chance]]/100),0)</f>
        <v>75</v>
      </c>
      <c r="DC132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132" s="72">
        <v>1</v>
      </c>
      <c r="DE132" s="72">
        <v>1</v>
      </c>
      <c r="DF132" s="72" t="b">
        <v>0</v>
      </c>
      <c r="DH132" t="s">
        <v>227</v>
      </c>
      <c r="DI132">
        <v>1.5</v>
      </c>
      <c r="DJ132">
        <v>70</v>
      </c>
      <c r="DK132">
        <v>100</v>
      </c>
      <c r="DL132" s="75">
        <f ca="1">INDIRECT(ADDRESS(11+(MATCH(RIGHT(Table14[[#This Row],[spawner_sku]],LEN(Table14[[#This Row],[spawner_sku]])-FIND("/",Table14[[#This Row],[spawner_sku]])),Table1[Entity Prefab],0)),10,1,1,"Entities"))</f>
        <v>25</v>
      </c>
      <c r="DM132" s="75">
        <f ca="1">ROUND((Table14[[#This Row],[XP]]*Table14[[#This Row],[entity_spawned (AVG)]])*(Table14[[#This Row],[activating_chance]]/100),0)</f>
        <v>38</v>
      </c>
      <c r="DN13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32" s="72">
        <v>1</v>
      </c>
      <c r="DP132" s="72">
        <v>2</v>
      </c>
      <c r="DQ132" s="72" t="b">
        <v>0</v>
      </c>
      <c r="DS132" t="s">
        <v>402</v>
      </c>
      <c r="DT132">
        <v>1</v>
      </c>
      <c r="DU132">
        <v>340</v>
      </c>
      <c r="DV132">
        <v>100</v>
      </c>
      <c r="DW132" s="75">
        <f ca="1">INDIRECT(ADDRESS(11+(MATCH(RIGHT(Table18[[#This Row],[spawner_sku]],LEN(Table18[[#This Row],[spawner_sku]])-FIND("/",Table18[[#This Row],[spawner_sku]])),Table1[Entity Prefab],0)),10,1,1,"Entities"))</f>
        <v>263</v>
      </c>
      <c r="DX132" s="75">
        <f ca="1">ROUND((Table18[[#This Row],[XP]]*Table18[[#This Row],[entity_spawned (AVG)]])*(Table18[[#This Row],[activating_chance]]/100),0)</f>
        <v>263</v>
      </c>
      <c r="DY132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32">
        <v>1</v>
      </c>
      <c r="EA132">
        <v>1</v>
      </c>
      <c r="EB132" t="b">
        <v>0</v>
      </c>
      <c r="ED132" t="s">
        <v>402</v>
      </c>
      <c r="EE132">
        <v>1</v>
      </c>
      <c r="EF132">
        <v>340</v>
      </c>
      <c r="EG132">
        <v>100</v>
      </c>
      <c r="EH132" s="75">
        <f ca="1">INDIRECT(ADDRESS(11+(MATCH(RIGHT(Table1820[[#This Row],[spawner_sku]],LEN(Table1820[[#This Row],[spawner_sku]])-FIND("/",Table1820[[#This Row],[spawner_sku]])),Table1[Entity Prefab],0)),10,1,1,"Entities"))</f>
        <v>263</v>
      </c>
      <c r="EI132" s="75">
        <f ca="1">ROUND((Table1820[[#This Row],[XP]]*Table1820[[#This Row],[entity_spawned (AVG)]])*(Table1820[[#This Row],[activating_chance]]/100),0)</f>
        <v>263</v>
      </c>
      <c r="EJ132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32">
        <v>1</v>
      </c>
      <c r="EL132">
        <v>1</v>
      </c>
      <c r="EM132" t="b">
        <v>0</v>
      </c>
      <c r="EO132" t="s">
        <v>7341</v>
      </c>
      <c r="EP132">
        <v>1</v>
      </c>
      <c r="EQ132">
        <v>80</v>
      </c>
      <c r="ER132">
        <v>100</v>
      </c>
      <c r="ES132" s="75">
        <f ca="1">INDIRECT(ADDRESS(11+(MATCH(RIGHT(Table182023[[#This Row],[spawner_sku]],LEN(Table182023[[#This Row],[spawner_sku]])-FIND("/",Table182023[[#This Row],[spawner_sku]])),Table1[Entity Prefab],0)),10,1,1,"Entities"))</f>
        <v>105</v>
      </c>
      <c r="ET132" s="75">
        <f ca="1">ROUND((Table182023[[#This Row],[XP]]*Table182023[[#This Row],[entity_spawned (AVG)]])*(Table182023[[#This Row],[activating_chance]]/100),0)</f>
        <v>105</v>
      </c>
      <c r="EU132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132" s="152">
        <v>1</v>
      </c>
      <c r="EW132" s="152">
        <v>1</v>
      </c>
      <c r="EX132" s="152" t="b">
        <v>0</v>
      </c>
      <c r="EZ132" t="s">
        <v>7356</v>
      </c>
      <c r="FA132">
        <v>1</v>
      </c>
      <c r="FB132">
        <v>120</v>
      </c>
      <c r="FC132">
        <v>100</v>
      </c>
      <c r="FD132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FE132" s="75">
        <f ca="1">ROUND((Table18202324[[#This Row],[XP]]*Table18202324[[#This Row],[entity_spawned (AVG)]])*(Table18202324[[#This Row],[activating_chance]]/100),0)</f>
        <v>130</v>
      </c>
      <c r="FF132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132">
        <v>1</v>
      </c>
      <c r="FH132">
        <v>1</v>
      </c>
      <c r="FI132" t="b">
        <v>0</v>
      </c>
    </row>
    <row r="133" spans="2:165" x14ac:dyDescent="0.25">
      <c r="B133" s="73" t="s">
        <v>228</v>
      </c>
      <c r="C133">
        <v>1</v>
      </c>
      <c r="D133">
        <v>80</v>
      </c>
      <c r="E133">
        <v>60</v>
      </c>
      <c r="F133" s="75">
        <f ca="1">INDIRECT(ADDRESS(11+(MATCH(RIGHT(Table245[[#This Row],[spawner_sku]],LEN(Table245[[#This Row],[spawner_sku]])-FIND("/",Table245[[#This Row],[spawner_sku]])),Table1[Entity Prefab],0)),10,1,1,"Entities"))</f>
        <v>25</v>
      </c>
      <c r="G133" s="75">
        <f ca="1">ROUND((Table245[[#This Row],[XP]]*Table245[[#This Row],[entity_spawned (AVG)]])*(Table245[[#This Row],[activating_chance]]/100),0)</f>
        <v>15</v>
      </c>
      <c r="H13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3" s="72">
        <v>1</v>
      </c>
      <c r="J133" s="72">
        <v>1</v>
      </c>
      <c r="K133" s="72" t="b">
        <v>0</v>
      </c>
      <c r="M133" t="s">
        <v>255</v>
      </c>
      <c r="N133">
        <v>1</v>
      </c>
      <c r="O133">
        <v>170</v>
      </c>
      <c r="P133">
        <v>100</v>
      </c>
      <c r="Q133" s="75">
        <f ca="1">INDIRECT(ADDRESS(11+(MATCH(RIGHT(Table3[[#This Row],[spawner_sku]],LEN(Table3[[#This Row],[spawner_sku]])-FIND("/",Table3[[#This Row],[spawner_sku]])),Table1[Entity Prefab],0)),10,1,1,"Entities"))</f>
        <v>25</v>
      </c>
      <c r="R133" s="75">
        <f ca="1">ROUND((Table3[[#This Row],[XP]]*Table3[[#This Row],[entity_spawned (AVG)]])*(Table3[[#This Row],[activating_chance]]/100),0)</f>
        <v>25</v>
      </c>
      <c r="S133" t="str">
        <f ca="1">INDIRECT(ADDRESS(11+(MATCH(RIGHT(Table3[[#This Row],[spawner_sku]],LEN(Table3[[#This Row],[spawner_sku]])-FIND("/",Table3[[#This Row],[spawner_sku]])),Table28[Entity Prefab],0)),24,1,1,"Entities"))</f>
        <v>no</v>
      </c>
      <c r="T133">
        <v>1</v>
      </c>
      <c r="U133">
        <v>1</v>
      </c>
      <c r="V133" t="b">
        <v>0</v>
      </c>
      <c r="W133" s="72"/>
      <c r="AI133" t="s">
        <v>228</v>
      </c>
      <c r="AJ133">
        <v>1</v>
      </c>
      <c r="AK133">
        <v>120</v>
      </c>
      <c r="AL133">
        <v>100</v>
      </c>
      <c r="AM133" s="75">
        <f ca="1">INDIRECT(ADDRESS(11+(MATCH(RIGHT(Table2[[#This Row],[spawner_sku]],LEN(Table2[[#This Row],[spawner_sku]])-FIND("/",Table2[[#This Row],[spawner_sku]])),Table1[Entity Prefab],0)),10,1,1,"Entities"))</f>
        <v>25</v>
      </c>
      <c r="AN133" s="75">
        <f ca="1">ROUND((Table2[[#This Row],[XP]]*Table2[[#This Row],[entity_spawned (AVG)]])*(Table2[[#This Row],[activating_chance]]/100),0)</f>
        <v>25</v>
      </c>
      <c r="AO13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33" s="72">
        <v>1</v>
      </c>
      <c r="AQ133" s="72">
        <v>1</v>
      </c>
      <c r="AR133" s="72" t="b">
        <v>0</v>
      </c>
      <c r="AT133" t="s">
        <v>607</v>
      </c>
      <c r="AU133">
        <v>1</v>
      </c>
      <c r="AV133">
        <v>300</v>
      </c>
      <c r="AW133">
        <v>100</v>
      </c>
      <c r="AX133" s="75">
        <f ca="1">INDIRECT(ADDRESS(11+(MATCH(RIGHT(Table6[[#This Row],[spawner_sku]],LEN(Table6[[#This Row],[spawner_sku]])-FIND("/",Table6[[#This Row],[spawner_sku]])),Table1[Entity Prefab],0)),10,1,1,"Entities"))</f>
        <v>50</v>
      </c>
      <c r="AY133" s="75">
        <f ca="1">ROUND((Table6[[#This Row],[XP]]*Table6[[#This Row],[entity_spawned (AVG)]])*(Table6[[#This Row],[activating_chance]]/100),0)</f>
        <v>50</v>
      </c>
      <c r="AZ133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33">
        <v>1</v>
      </c>
      <c r="BB133">
        <v>1</v>
      </c>
      <c r="BC133" t="b">
        <v>0</v>
      </c>
      <c r="BE133" t="s">
        <v>445</v>
      </c>
      <c r="BF133">
        <v>1</v>
      </c>
      <c r="BG133">
        <v>180</v>
      </c>
      <c r="BH133">
        <v>100</v>
      </c>
      <c r="BI133" s="75">
        <f ca="1">INDIRECT(ADDRESS(11+(MATCH(RIGHT(Table610[[#This Row],[spawner_sku]],LEN(Table610[[#This Row],[spawner_sku]])-FIND("/",Table610[[#This Row],[spawner_sku]])),Table1[Entity Prefab],0)),10,1,1,"Entities"))</f>
        <v>0</v>
      </c>
      <c r="BJ133" s="75">
        <f ca="1">ROUND((Table610[[#This Row],[XP]]*Table610[[#This Row],[entity_spawned (AVG)]])*(Table610[[#This Row],[activating_chance]]/100),0)</f>
        <v>0</v>
      </c>
      <c r="BK133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33">
        <v>1</v>
      </c>
      <c r="BM133">
        <v>1</v>
      </c>
      <c r="BN133" t="b">
        <v>0</v>
      </c>
      <c r="BP133" t="s">
        <v>233</v>
      </c>
      <c r="BQ133">
        <v>1</v>
      </c>
      <c r="BR133">
        <v>300</v>
      </c>
      <c r="BS133">
        <v>100</v>
      </c>
      <c r="BT133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33" s="75">
        <f ca="1">ROUND((Table61011[[#This Row],[XP]]*Table61011[[#This Row],[entity_spawned (AVG)]])*(Table61011[[#This Row],[activating_chance]]/100),0)</f>
        <v>195</v>
      </c>
      <c r="BV13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3" s="72">
        <v>1</v>
      </c>
      <c r="BX133" s="72">
        <v>1</v>
      </c>
      <c r="BY133" s="72" t="b">
        <v>0</v>
      </c>
      <c r="CA133" t="s">
        <v>236</v>
      </c>
      <c r="CB133">
        <v>1</v>
      </c>
      <c r="CC133">
        <v>120</v>
      </c>
      <c r="CD133">
        <v>100</v>
      </c>
      <c r="CE133" s="75">
        <f ca="1">INDIRECT(ADDRESS(11+(MATCH(RIGHT(Table11[[#This Row],[spawner_sku]],LEN(Table11[[#This Row],[spawner_sku]])-FIND("/",Table11[[#This Row],[spawner_sku]])),Table1[Entity Prefab],0)),10,1,1,"Entities"))</f>
        <v>70</v>
      </c>
      <c r="CF133">
        <f ca="1">ROUND((Table11[[#This Row],[XP]]*Table11[[#This Row],[entity_spawned (AVG)]])*(Table11[[#This Row],[activating_chance]]/100),0)</f>
        <v>70</v>
      </c>
      <c r="CG133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133" s="72">
        <v>1</v>
      </c>
      <c r="CI133" s="72">
        <v>1</v>
      </c>
      <c r="CJ133" s="72" t="b">
        <v>0</v>
      </c>
      <c r="CL133" t="s">
        <v>254</v>
      </c>
      <c r="CM133">
        <v>1</v>
      </c>
      <c r="CN133">
        <v>170</v>
      </c>
      <c r="CO133">
        <v>100</v>
      </c>
      <c r="CP133" s="75">
        <f ca="1">INDIRECT(ADDRESS(11+(MATCH(RIGHT(Table12[[#This Row],[spawner_sku]],LEN(Table12[[#This Row],[spawner_sku]])-FIND("/",Table12[[#This Row],[spawner_sku]])),Table1[Entity Prefab],0)),10,1,1,"Entities"))</f>
        <v>70</v>
      </c>
      <c r="CQ133" s="75">
        <f ca="1">ROUND((Table12[[#This Row],[XP]]*Table12[[#This Row],[entity_spawned (AVG)]])*(Table12[[#This Row],[activating_chance]]/100),0)</f>
        <v>70</v>
      </c>
      <c r="CR133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133" s="72">
        <v>1</v>
      </c>
      <c r="CT133" s="72">
        <v>1</v>
      </c>
      <c r="CU133" s="72" t="b">
        <v>0</v>
      </c>
      <c r="CW133" t="s">
        <v>385</v>
      </c>
      <c r="CX133">
        <v>1</v>
      </c>
      <c r="CY133">
        <v>200</v>
      </c>
      <c r="CZ133">
        <v>100</v>
      </c>
      <c r="DA133" s="75">
        <f ca="1">INDIRECT(ADDRESS(11+(MATCH(RIGHT(Table13[[#This Row],[spawner_sku]],LEN(Table13[[#This Row],[spawner_sku]])-FIND("/",Table13[[#This Row],[spawner_sku]])),Table1[Entity Prefab],0)),10,1,1,"Entities"))</f>
        <v>75</v>
      </c>
      <c r="DB133" s="75">
        <f ca="1">ROUND((Table13[[#This Row],[XP]]*Table13[[#This Row],[entity_spawned (AVG)]])*(Table13[[#This Row],[activating_chance]]/100),0)</f>
        <v>75</v>
      </c>
      <c r="DC133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133" s="72">
        <v>1</v>
      </c>
      <c r="DE133" s="72">
        <v>1</v>
      </c>
      <c r="DF133" s="72" t="b">
        <v>0</v>
      </c>
      <c r="DH133" t="s">
        <v>227</v>
      </c>
      <c r="DI133">
        <v>17</v>
      </c>
      <c r="DJ133">
        <v>200</v>
      </c>
      <c r="DK133">
        <v>100</v>
      </c>
      <c r="DL133" s="75">
        <f ca="1">INDIRECT(ADDRESS(11+(MATCH(RIGHT(Table14[[#This Row],[spawner_sku]],LEN(Table14[[#This Row],[spawner_sku]])-FIND("/",Table14[[#This Row],[spawner_sku]])),Table1[Entity Prefab],0)),10,1,1,"Entities"))</f>
        <v>25</v>
      </c>
      <c r="DM133" s="75">
        <f ca="1">ROUND((Table14[[#This Row],[XP]]*Table14[[#This Row],[entity_spawned (AVG)]])*(Table14[[#This Row],[activating_chance]]/100),0)</f>
        <v>425</v>
      </c>
      <c r="DN13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33" s="72">
        <v>14</v>
      </c>
      <c r="DP133" s="72">
        <v>20</v>
      </c>
      <c r="DQ133" s="72" t="b">
        <v>1</v>
      </c>
      <c r="DS133" t="s">
        <v>402</v>
      </c>
      <c r="DT133">
        <v>1</v>
      </c>
      <c r="DU133">
        <v>340</v>
      </c>
      <c r="DV133">
        <v>100</v>
      </c>
      <c r="DW133" s="75">
        <f ca="1">INDIRECT(ADDRESS(11+(MATCH(RIGHT(Table18[[#This Row],[spawner_sku]],LEN(Table18[[#This Row],[spawner_sku]])-FIND("/",Table18[[#This Row],[spawner_sku]])),Table1[Entity Prefab],0)),10,1,1,"Entities"))</f>
        <v>263</v>
      </c>
      <c r="DX133" s="75">
        <f ca="1">ROUND((Table18[[#This Row],[XP]]*Table18[[#This Row],[entity_spawned (AVG)]])*(Table18[[#This Row],[activating_chance]]/100),0)</f>
        <v>263</v>
      </c>
      <c r="DY133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33">
        <v>1</v>
      </c>
      <c r="EA133">
        <v>1</v>
      </c>
      <c r="EB133" t="b">
        <v>0</v>
      </c>
      <c r="ED133" t="s">
        <v>402</v>
      </c>
      <c r="EE133">
        <v>1</v>
      </c>
      <c r="EF133">
        <v>340</v>
      </c>
      <c r="EG133">
        <v>100</v>
      </c>
      <c r="EH133" s="75">
        <f ca="1">INDIRECT(ADDRESS(11+(MATCH(RIGHT(Table1820[[#This Row],[spawner_sku]],LEN(Table1820[[#This Row],[spawner_sku]])-FIND("/",Table1820[[#This Row],[spawner_sku]])),Table1[Entity Prefab],0)),10,1,1,"Entities"))</f>
        <v>263</v>
      </c>
      <c r="EI133" s="75">
        <f ca="1">ROUND((Table1820[[#This Row],[XP]]*Table1820[[#This Row],[entity_spawned (AVG)]])*(Table1820[[#This Row],[activating_chance]]/100),0)</f>
        <v>263</v>
      </c>
      <c r="EJ133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33">
        <v>1</v>
      </c>
      <c r="EL133">
        <v>1</v>
      </c>
      <c r="EM133" t="b">
        <v>0</v>
      </c>
      <c r="EO133" t="s">
        <v>7341</v>
      </c>
      <c r="EP133">
        <v>1</v>
      </c>
      <c r="EQ133">
        <v>100</v>
      </c>
      <c r="ER133">
        <v>100</v>
      </c>
      <c r="ES133" s="75">
        <f ca="1">INDIRECT(ADDRESS(11+(MATCH(RIGHT(Table182023[[#This Row],[spawner_sku]],LEN(Table182023[[#This Row],[spawner_sku]])-FIND("/",Table182023[[#This Row],[spawner_sku]])),Table1[Entity Prefab],0)),10,1,1,"Entities"))</f>
        <v>105</v>
      </c>
      <c r="ET133" s="75">
        <f ca="1">ROUND((Table182023[[#This Row],[XP]]*Table182023[[#This Row],[entity_spawned (AVG)]])*(Table182023[[#This Row],[activating_chance]]/100),0)</f>
        <v>105</v>
      </c>
      <c r="EU133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133" s="152">
        <v>1</v>
      </c>
      <c r="EW133" s="152">
        <v>1</v>
      </c>
      <c r="EX133" s="152" t="b">
        <v>0</v>
      </c>
      <c r="EZ133" t="s">
        <v>7342</v>
      </c>
      <c r="FA133">
        <v>2</v>
      </c>
      <c r="FB133">
        <v>250</v>
      </c>
      <c r="FC133">
        <v>100</v>
      </c>
      <c r="FD133" s="75">
        <f ca="1">INDIRECT(ADDRESS(11+(MATCH(RIGHT(Table18202324[[#This Row],[spawner_sku]],LEN(Table18202324[[#This Row],[spawner_sku]])-FIND("/",Table18202324[[#This Row],[spawner_sku]])),Table1[Entity Prefab],0)),10,1,1,"Entities"))</f>
        <v>263</v>
      </c>
      <c r="FE133" s="75">
        <f ca="1">ROUND((Table18202324[[#This Row],[XP]]*Table18202324[[#This Row],[entity_spawned (AVG)]])*(Table18202324[[#This Row],[activating_chance]]/100),0)</f>
        <v>526</v>
      </c>
      <c r="FF133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133">
        <v>1</v>
      </c>
      <c r="FH133">
        <v>3</v>
      </c>
      <c r="FI133" t="b">
        <v>0</v>
      </c>
    </row>
    <row r="134" spans="2:165" x14ac:dyDescent="0.25">
      <c r="B134" s="73" t="s">
        <v>228</v>
      </c>
      <c r="C134">
        <v>3</v>
      </c>
      <c r="D134">
        <v>160</v>
      </c>
      <c r="E134">
        <v>100</v>
      </c>
      <c r="F134" s="75">
        <f ca="1">INDIRECT(ADDRESS(11+(MATCH(RIGHT(Table245[[#This Row],[spawner_sku]],LEN(Table245[[#This Row],[spawner_sku]])-FIND("/",Table245[[#This Row],[spawner_sku]])),Table1[Entity Prefab],0)),10,1,1,"Entities"))</f>
        <v>25</v>
      </c>
      <c r="G134" s="75">
        <f ca="1">ROUND((Table245[[#This Row],[XP]]*Table245[[#This Row],[entity_spawned (AVG)]])*(Table245[[#This Row],[activating_chance]]/100),0)</f>
        <v>75</v>
      </c>
      <c r="H13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4" s="72">
        <v>3</v>
      </c>
      <c r="J134" s="72">
        <v>3</v>
      </c>
      <c r="K134" s="72" t="b">
        <v>0</v>
      </c>
      <c r="M134" t="s">
        <v>255</v>
      </c>
      <c r="N134">
        <v>1</v>
      </c>
      <c r="O134">
        <v>180</v>
      </c>
      <c r="P134">
        <v>100</v>
      </c>
      <c r="Q134" s="75">
        <f ca="1">INDIRECT(ADDRESS(11+(MATCH(RIGHT(Table3[[#This Row],[spawner_sku]],LEN(Table3[[#This Row],[spawner_sku]])-FIND("/",Table3[[#This Row],[spawner_sku]])),Table1[Entity Prefab],0)),10,1,1,"Entities"))</f>
        <v>25</v>
      </c>
      <c r="R134" s="75">
        <f ca="1">ROUND((Table3[[#This Row],[XP]]*Table3[[#This Row],[entity_spawned (AVG)]])*(Table3[[#This Row],[activating_chance]]/100),0)</f>
        <v>25</v>
      </c>
      <c r="S134" t="str">
        <f ca="1">INDIRECT(ADDRESS(11+(MATCH(RIGHT(Table3[[#This Row],[spawner_sku]],LEN(Table3[[#This Row],[spawner_sku]])-FIND("/",Table3[[#This Row],[spawner_sku]])),Table28[Entity Prefab],0)),24,1,1,"Entities"))</f>
        <v>no</v>
      </c>
      <c r="T134">
        <v>1</v>
      </c>
      <c r="U134">
        <v>1</v>
      </c>
      <c r="V134" t="b">
        <v>0</v>
      </c>
      <c r="W134" s="72"/>
      <c r="AI134" t="s">
        <v>228</v>
      </c>
      <c r="AJ134">
        <v>3.5</v>
      </c>
      <c r="AK134">
        <v>170</v>
      </c>
      <c r="AL134">
        <v>100</v>
      </c>
      <c r="AM134" s="75">
        <f ca="1">INDIRECT(ADDRESS(11+(MATCH(RIGHT(Table2[[#This Row],[spawner_sku]],LEN(Table2[[#This Row],[spawner_sku]])-FIND("/",Table2[[#This Row],[spawner_sku]])),Table1[Entity Prefab],0)),10,1,1,"Entities"))</f>
        <v>25</v>
      </c>
      <c r="AN134" s="75">
        <f ca="1">ROUND((Table2[[#This Row],[XP]]*Table2[[#This Row],[entity_spawned (AVG)]])*(Table2[[#This Row],[activating_chance]]/100),0)</f>
        <v>88</v>
      </c>
      <c r="AO13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34" s="72">
        <v>3</v>
      </c>
      <c r="AQ134" s="72">
        <v>4</v>
      </c>
      <c r="AR134" s="72" t="b">
        <v>0</v>
      </c>
      <c r="AT134" t="s">
        <v>607</v>
      </c>
      <c r="AU134">
        <v>1</v>
      </c>
      <c r="AV134">
        <v>300</v>
      </c>
      <c r="AW134">
        <v>100</v>
      </c>
      <c r="AX134" s="75">
        <f ca="1">INDIRECT(ADDRESS(11+(MATCH(RIGHT(Table6[[#This Row],[spawner_sku]],LEN(Table6[[#This Row],[spawner_sku]])-FIND("/",Table6[[#This Row],[spawner_sku]])),Table1[Entity Prefab],0)),10,1,1,"Entities"))</f>
        <v>50</v>
      </c>
      <c r="AY134" s="75">
        <f ca="1">ROUND((Table6[[#This Row],[XP]]*Table6[[#This Row],[entity_spawned (AVG)]])*(Table6[[#This Row],[activating_chance]]/100),0)</f>
        <v>50</v>
      </c>
      <c r="AZ134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34">
        <v>1</v>
      </c>
      <c r="BB134">
        <v>1</v>
      </c>
      <c r="BC134" t="b">
        <v>0</v>
      </c>
      <c r="BE134" t="s">
        <v>445</v>
      </c>
      <c r="BF134">
        <v>1</v>
      </c>
      <c r="BG134">
        <v>180</v>
      </c>
      <c r="BH134">
        <v>100</v>
      </c>
      <c r="BI134" s="75">
        <f ca="1">INDIRECT(ADDRESS(11+(MATCH(RIGHT(Table610[[#This Row],[spawner_sku]],LEN(Table610[[#This Row],[spawner_sku]])-FIND("/",Table610[[#This Row],[spawner_sku]])),Table1[Entity Prefab],0)),10,1,1,"Entities"))</f>
        <v>0</v>
      </c>
      <c r="BJ134" s="75">
        <f ca="1">ROUND((Table610[[#This Row],[XP]]*Table610[[#This Row],[entity_spawned (AVG)]])*(Table610[[#This Row],[activating_chance]]/100),0)</f>
        <v>0</v>
      </c>
      <c r="BK134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34">
        <v>1</v>
      </c>
      <c r="BM134">
        <v>1</v>
      </c>
      <c r="BN134" t="b">
        <v>0</v>
      </c>
      <c r="BP134" t="s">
        <v>233</v>
      </c>
      <c r="BQ134">
        <v>1</v>
      </c>
      <c r="BR134">
        <v>300</v>
      </c>
      <c r="BS134">
        <v>100</v>
      </c>
      <c r="BT134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34" s="75">
        <f ca="1">ROUND((Table61011[[#This Row],[XP]]*Table61011[[#This Row],[entity_spawned (AVG)]])*(Table61011[[#This Row],[activating_chance]]/100),0)</f>
        <v>195</v>
      </c>
      <c r="BV13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4" s="72">
        <v>1</v>
      </c>
      <c r="BX134" s="72">
        <v>1</v>
      </c>
      <c r="BY134" s="72" t="b">
        <v>0</v>
      </c>
      <c r="CA134" t="s">
        <v>236</v>
      </c>
      <c r="CB134">
        <v>1</v>
      </c>
      <c r="CC134">
        <v>120</v>
      </c>
      <c r="CD134">
        <v>100</v>
      </c>
      <c r="CE134" s="75">
        <f ca="1">INDIRECT(ADDRESS(11+(MATCH(RIGHT(Table11[[#This Row],[spawner_sku]],LEN(Table11[[#This Row],[spawner_sku]])-FIND("/",Table11[[#This Row],[spawner_sku]])),Table1[Entity Prefab],0)),10,1,1,"Entities"))</f>
        <v>70</v>
      </c>
      <c r="CF134">
        <f ca="1">ROUND((Table11[[#This Row],[XP]]*Table11[[#This Row],[entity_spawned (AVG)]])*(Table11[[#This Row],[activating_chance]]/100),0)</f>
        <v>70</v>
      </c>
      <c r="CG134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134" s="72">
        <v>1</v>
      </c>
      <c r="CI134" s="72">
        <v>1</v>
      </c>
      <c r="CJ134" s="72" t="b">
        <v>0</v>
      </c>
      <c r="CL134" t="s">
        <v>254</v>
      </c>
      <c r="CM134">
        <v>1</v>
      </c>
      <c r="CN134">
        <v>170</v>
      </c>
      <c r="CO134">
        <v>100</v>
      </c>
      <c r="CP134" s="75">
        <f ca="1">INDIRECT(ADDRESS(11+(MATCH(RIGHT(Table12[[#This Row],[spawner_sku]],LEN(Table12[[#This Row],[spawner_sku]])-FIND("/",Table12[[#This Row],[spawner_sku]])),Table1[Entity Prefab],0)),10,1,1,"Entities"))</f>
        <v>70</v>
      </c>
      <c r="CQ134" s="75">
        <f ca="1">ROUND((Table12[[#This Row],[XP]]*Table12[[#This Row],[entity_spawned (AVG)]])*(Table12[[#This Row],[activating_chance]]/100),0)</f>
        <v>70</v>
      </c>
      <c r="CR134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134" s="72">
        <v>1</v>
      </c>
      <c r="CT134" s="72">
        <v>1</v>
      </c>
      <c r="CU134" s="72" t="b">
        <v>0</v>
      </c>
      <c r="CW134" t="s">
        <v>385</v>
      </c>
      <c r="CX134">
        <v>1</v>
      </c>
      <c r="CY134">
        <v>200</v>
      </c>
      <c r="CZ134">
        <v>100</v>
      </c>
      <c r="DA134" s="75">
        <f ca="1">INDIRECT(ADDRESS(11+(MATCH(RIGHT(Table13[[#This Row],[spawner_sku]],LEN(Table13[[#This Row],[spawner_sku]])-FIND("/",Table13[[#This Row],[spawner_sku]])),Table1[Entity Prefab],0)),10,1,1,"Entities"))</f>
        <v>75</v>
      </c>
      <c r="DB134" s="75">
        <f ca="1">ROUND((Table13[[#This Row],[XP]]*Table13[[#This Row],[entity_spawned (AVG)]])*(Table13[[#This Row],[activating_chance]]/100),0)</f>
        <v>75</v>
      </c>
      <c r="DC134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134" s="72">
        <v>1</v>
      </c>
      <c r="DE134" s="72">
        <v>1</v>
      </c>
      <c r="DF134" s="72" t="b">
        <v>0</v>
      </c>
      <c r="DH134" t="s">
        <v>227</v>
      </c>
      <c r="DI134">
        <v>3</v>
      </c>
      <c r="DJ134">
        <v>100</v>
      </c>
      <c r="DK134">
        <v>100</v>
      </c>
      <c r="DL134" s="75">
        <f ca="1">INDIRECT(ADDRESS(11+(MATCH(RIGHT(Table14[[#This Row],[spawner_sku]],LEN(Table14[[#This Row],[spawner_sku]])-FIND("/",Table14[[#This Row],[spawner_sku]])),Table1[Entity Prefab],0)),10,1,1,"Entities"))</f>
        <v>25</v>
      </c>
      <c r="DM134" s="75">
        <f ca="1">ROUND((Table14[[#This Row],[XP]]*Table14[[#This Row],[entity_spawned (AVG)]])*(Table14[[#This Row],[activating_chance]]/100),0)</f>
        <v>75</v>
      </c>
      <c r="DN13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34" s="72">
        <v>2</v>
      </c>
      <c r="DP134" s="72">
        <v>4</v>
      </c>
      <c r="DQ134" s="72" t="b">
        <v>0</v>
      </c>
      <c r="DS134" t="s">
        <v>402</v>
      </c>
      <c r="DT134">
        <v>1</v>
      </c>
      <c r="DU134">
        <v>340</v>
      </c>
      <c r="DV134">
        <v>100</v>
      </c>
      <c r="DW134" s="75">
        <f ca="1">INDIRECT(ADDRESS(11+(MATCH(RIGHT(Table18[[#This Row],[spawner_sku]],LEN(Table18[[#This Row],[spawner_sku]])-FIND("/",Table18[[#This Row],[spawner_sku]])),Table1[Entity Prefab],0)),10,1,1,"Entities"))</f>
        <v>263</v>
      </c>
      <c r="DX134" s="75">
        <f ca="1">ROUND((Table18[[#This Row],[XP]]*Table18[[#This Row],[entity_spawned (AVG)]])*(Table18[[#This Row],[activating_chance]]/100),0)</f>
        <v>263</v>
      </c>
      <c r="DY134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34">
        <v>1</v>
      </c>
      <c r="EA134">
        <v>1</v>
      </c>
      <c r="EB134" t="b">
        <v>0</v>
      </c>
      <c r="ED134" t="s">
        <v>402</v>
      </c>
      <c r="EE134">
        <v>1</v>
      </c>
      <c r="EF134">
        <v>340</v>
      </c>
      <c r="EG134">
        <v>100</v>
      </c>
      <c r="EH134" s="75">
        <f ca="1">INDIRECT(ADDRESS(11+(MATCH(RIGHT(Table1820[[#This Row],[spawner_sku]],LEN(Table1820[[#This Row],[spawner_sku]])-FIND("/",Table1820[[#This Row],[spawner_sku]])),Table1[Entity Prefab],0)),10,1,1,"Entities"))</f>
        <v>263</v>
      </c>
      <c r="EI134" s="75">
        <f ca="1">ROUND((Table1820[[#This Row],[XP]]*Table1820[[#This Row],[entity_spawned (AVG)]])*(Table1820[[#This Row],[activating_chance]]/100),0)</f>
        <v>263</v>
      </c>
      <c r="EJ134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34">
        <v>1</v>
      </c>
      <c r="EL134">
        <v>1</v>
      </c>
      <c r="EM134" t="b">
        <v>0</v>
      </c>
      <c r="EO134" t="s">
        <v>7339</v>
      </c>
      <c r="EP134">
        <v>1</v>
      </c>
      <c r="EQ134">
        <v>80</v>
      </c>
      <c r="ER134">
        <v>100</v>
      </c>
      <c r="ES134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ET134" s="75">
        <f ca="1">ROUND((Table182023[[#This Row],[XP]]*Table182023[[#This Row],[entity_spawned (AVG)]])*(Table182023[[#This Row],[activating_chance]]/100),0)</f>
        <v>25</v>
      </c>
      <c r="EU134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134" s="152">
        <v>1</v>
      </c>
      <c r="EW134" s="152">
        <v>1</v>
      </c>
      <c r="EX134" s="152" t="b">
        <v>0</v>
      </c>
      <c r="EZ134" t="s">
        <v>7342</v>
      </c>
      <c r="FA134">
        <v>2</v>
      </c>
      <c r="FB134">
        <v>250</v>
      </c>
      <c r="FC134">
        <v>100</v>
      </c>
      <c r="FD134" s="75">
        <f ca="1">INDIRECT(ADDRESS(11+(MATCH(RIGHT(Table18202324[[#This Row],[spawner_sku]],LEN(Table18202324[[#This Row],[spawner_sku]])-FIND("/",Table18202324[[#This Row],[spawner_sku]])),Table1[Entity Prefab],0)),10,1,1,"Entities"))</f>
        <v>263</v>
      </c>
      <c r="FE134" s="75">
        <f ca="1">ROUND((Table18202324[[#This Row],[XP]]*Table18202324[[#This Row],[entity_spawned (AVG)]])*(Table18202324[[#This Row],[activating_chance]]/100),0)</f>
        <v>526</v>
      </c>
      <c r="FF134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134">
        <v>1</v>
      </c>
      <c r="FH134">
        <v>3</v>
      </c>
      <c r="FI134" t="b">
        <v>0</v>
      </c>
    </row>
    <row r="135" spans="2:165" x14ac:dyDescent="0.25">
      <c r="B135" s="73" t="s">
        <v>228</v>
      </c>
      <c r="C135">
        <v>11</v>
      </c>
      <c r="D135">
        <v>200</v>
      </c>
      <c r="E135">
        <v>100</v>
      </c>
      <c r="F135" s="75">
        <f ca="1">INDIRECT(ADDRESS(11+(MATCH(RIGHT(Table245[[#This Row],[spawner_sku]],LEN(Table245[[#This Row],[spawner_sku]])-FIND("/",Table245[[#This Row],[spawner_sku]])),Table1[Entity Prefab],0)),10,1,1,"Entities"))</f>
        <v>25</v>
      </c>
      <c r="G135" s="75">
        <f ca="1">ROUND((Table245[[#This Row],[XP]]*Table245[[#This Row],[entity_spawned (AVG)]])*(Table245[[#This Row],[activating_chance]]/100),0)</f>
        <v>275</v>
      </c>
      <c r="H13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5" s="72">
        <v>8</v>
      </c>
      <c r="J135" s="72">
        <v>14</v>
      </c>
      <c r="K135" s="72" t="b">
        <v>1</v>
      </c>
      <c r="M135" t="s">
        <v>255</v>
      </c>
      <c r="N135">
        <v>1</v>
      </c>
      <c r="O135">
        <v>190</v>
      </c>
      <c r="P135">
        <v>85</v>
      </c>
      <c r="Q135" s="75">
        <f ca="1">INDIRECT(ADDRESS(11+(MATCH(RIGHT(Table3[[#This Row],[spawner_sku]],LEN(Table3[[#This Row],[spawner_sku]])-FIND("/",Table3[[#This Row],[spawner_sku]])),Table1[Entity Prefab],0)),10,1,1,"Entities"))</f>
        <v>25</v>
      </c>
      <c r="R135" s="75">
        <f ca="1">ROUND((Table3[[#This Row],[XP]]*Table3[[#This Row],[entity_spawned (AVG)]])*(Table3[[#This Row],[activating_chance]]/100),0)</f>
        <v>21</v>
      </c>
      <c r="S135" t="str">
        <f ca="1">INDIRECT(ADDRESS(11+(MATCH(RIGHT(Table3[[#This Row],[spawner_sku]],LEN(Table3[[#This Row],[spawner_sku]])-FIND("/",Table3[[#This Row],[spawner_sku]])),Table28[Entity Prefab],0)),24,1,1,"Entities"))</f>
        <v>no</v>
      </c>
      <c r="T135">
        <v>1</v>
      </c>
      <c r="U135">
        <v>1</v>
      </c>
      <c r="V135" t="b">
        <v>0</v>
      </c>
      <c r="W135" s="72"/>
      <c r="AI135" t="s">
        <v>228</v>
      </c>
      <c r="AJ135">
        <v>3</v>
      </c>
      <c r="AK135">
        <v>160</v>
      </c>
      <c r="AL135">
        <v>100</v>
      </c>
      <c r="AM135" s="75">
        <f ca="1">INDIRECT(ADDRESS(11+(MATCH(RIGHT(Table2[[#This Row],[spawner_sku]],LEN(Table2[[#This Row],[spawner_sku]])-FIND("/",Table2[[#This Row],[spawner_sku]])),Table1[Entity Prefab],0)),10,1,1,"Entities"))</f>
        <v>25</v>
      </c>
      <c r="AN135" s="75">
        <f ca="1">ROUND((Table2[[#This Row],[XP]]*Table2[[#This Row],[entity_spawned (AVG)]])*(Table2[[#This Row],[activating_chance]]/100),0)</f>
        <v>75</v>
      </c>
      <c r="AO13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35" s="72">
        <v>2</v>
      </c>
      <c r="AQ135" s="72">
        <v>4</v>
      </c>
      <c r="AR135" s="72" t="b">
        <v>0</v>
      </c>
      <c r="AT135" t="s">
        <v>607</v>
      </c>
      <c r="AU135">
        <v>1</v>
      </c>
      <c r="AV135">
        <v>300</v>
      </c>
      <c r="AW135">
        <v>100</v>
      </c>
      <c r="AX135" s="75">
        <f ca="1">INDIRECT(ADDRESS(11+(MATCH(RIGHT(Table6[[#This Row],[spawner_sku]],LEN(Table6[[#This Row],[spawner_sku]])-FIND("/",Table6[[#This Row],[spawner_sku]])),Table1[Entity Prefab],0)),10,1,1,"Entities"))</f>
        <v>50</v>
      </c>
      <c r="AY135" s="75">
        <f ca="1">ROUND((Table6[[#This Row],[XP]]*Table6[[#This Row],[entity_spawned (AVG)]])*(Table6[[#This Row],[activating_chance]]/100),0)</f>
        <v>50</v>
      </c>
      <c r="AZ135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35">
        <v>1</v>
      </c>
      <c r="BB135">
        <v>1</v>
      </c>
      <c r="BC135" t="b">
        <v>0</v>
      </c>
      <c r="BE135" t="s">
        <v>445</v>
      </c>
      <c r="BF135">
        <v>1</v>
      </c>
      <c r="BG135">
        <v>180</v>
      </c>
      <c r="BH135">
        <v>100</v>
      </c>
      <c r="BI135" s="75">
        <f ca="1">INDIRECT(ADDRESS(11+(MATCH(RIGHT(Table610[[#This Row],[spawner_sku]],LEN(Table610[[#This Row],[spawner_sku]])-FIND("/",Table610[[#This Row],[spawner_sku]])),Table1[Entity Prefab],0)),10,1,1,"Entities"))</f>
        <v>0</v>
      </c>
      <c r="BJ135" s="75">
        <f ca="1">ROUND((Table610[[#This Row],[XP]]*Table610[[#This Row],[entity_spawned (AVG)]])*(Table610[[#This Row],[activating_chance]]/100),0)</f>
        <v>0</v>
      </c>
      <c r="BK135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35">
        <v>1</v>
      </c>
      <c r="BM135">
        <v>1</v>
      </c>
      <c r="BN135" t="b">
        <v>0</v>
      </c>
      <c r="BP135" t="s">
        <v>233</v>
      </c>
      <c r="BQ135">
        <v>1</v>
      </c>
      <c r="BR135">
        <v>300</v>
      </c>
      <c r="BS135">
        <v>100</v>
      </c>
      <c r="BT135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35" s="75">
        <f ca="1">ROUND((Table61011[[#This Row],[XP]]*Table61011[[#This Row],[entity_spawned (AVG)]])*(Table61011[[#This Row],[activating_chance]]/100),0)</f>
        <v>195</v>
      </c>
      <c r="BV13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5" s="72">
        <v>1</v>
      </c>
      <c r="BX135" s="72">
        <v>1</v>
      </c>
      <c r="BY135" s="72" t="b">
        <v>0</v>
      </c>
      <c r="CA135" t="s">
        <v>236</v>
      </c>
      <c r="CB135">
        <v>1</v>
      </c>
      <c r="CC135">
        <v>120</v>
      </c>
      <c r="CD135">
        <v>100</v>
      </c>
      <c r="CE135" s="75">
        <f ca="1">INDIRECT(ADDRESS(11+(MATCH(RIGHT(Table11[[#This Row],[spawner_sku]],LEN(Table11[[#This Row],[spawner_sku]])-FIND("/",Table11[[#This Row],[spawner_sku]])),Table1[Entity Prefab],0)),10,1,1,"Entities"))</f>
        <v>70</v>
      </c>
      <c r="CF135">
        <f ca="1">ROUND((Table11[[#This Row],[XP]]*Table11[[#This Row],[entity_spawned (AVG)]])*(Table11[[#This Row],[activating_chance]]/100),0)</f>
        <v>70</v>
      </c>
      <c r="CG135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135" s="72">
        <v>1</v>
      </c>
      <c r="CI135" s="72">
        <v>1</v>
      </c>
      <c r="CJ135" s="72" t="b">
        <v>0</v>
      </c>
      <c r="CL135" t="s">
        <v>254</v>
      </c>
      <c r="CM135">
        <v>1</v>
      </c>
      <c r="CN135">
        <v>170</v>
      </c>
      <c r="CO135">
        <v>100</v>
      </c>
      <c r="CP135" s="75">
        <f ca="1">INDIRECT(ADDRESS(11+(MATCH(RIGHT(Table12[[#This Row],[spawner_sku]],LEN(Table12[[#This Row],[spawner_sku]])-FIND("/",Table12[[#This Row],[spawner_sku]])),Table1[Entity Prefab],0)),10,1,1,"Entities"))</f>
        <v>70</v>
      </c>
      <c r="CQ135" s="75">
        <f ca="1">ROUND((Table12[[#This Row],[XP]]*Table12[[#This Row],[entity_spawned (AVG)]])*(Table12[[#This Row],[activating_chance]]/100),0)</f>
        <v>70</v>
      </c>
      <c r="CR135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135" s="72">
        <v>1</v>
      </c>
      <c r="CT135" s="72">
        <v>1</v>
      </c>
      <c r="CU135" s="72" t="b">
        <v>0</v>
      </c>
      <c r="CW135" t="s">
        <v>385</v>
      </c>
      <c r="CX135">
        <v>1</v>
      </c>
      <c r="CY135">
        <v>200</v>
      </c>
      <c r="CZ135">
        <v>100</v>
      </c>
      <c r="DA135" s="75">
        <f ca="1">INDIRECT(ADDRESS(11+(MATCH(RIGHT(Table13[[#This Row],[spawner_sku]],LEN(Table13[[#This Row],[spawner_sku]])-FIND("/",Table13[[#This Row],[spawner_sku]])),Table1[Entity Prefab],0)),10,1,1,"Entities"))</f>
        <v>75</v>
      </c>
      <c r="DB135" s="75">
        <f ca="1">ROUND((Table13[[#This Row],[XP]]*Table13[[#This Row],[entity_spawned (AVG)]])*(Table13[[#This Row],[activating_chance]]/100),0)</f>
        <v>75</v>
      </c>
      <c r="DC135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135" s="72">
        <v>1</v>
      </c>
      <c r="DE135" s="72">
        <v>1</v>
      </c>
      <c r="DF135" s="72" t="b">
        <v>0</v>
      </c>
      <c r="DH135" t="s">
        <v>227</v>
      </c>
      <c r="DI135">
        <v>10</v>
      </c>
      <c r="DJ135">
        <v>180</v>
      </c>
      <c r="DK135">
        <v>100</v>
      </c>
      <c r="DL135" s="75">
        <f ca="1">INDIRECT(ADDRESS(11+(MATCH(RIGHT(Table14[[#This Row],[spawner_sku]],LEN(Table14[[#This Row],[spawner_sku]])-FIND("/",Table14[[#This Row],[spawner_sku]])),Table1[Entity Prefab],0)),10,1,1,"Entities"))</f>
        <v>25</v>
      </c>
      <c r="DM135" s="75">
        <f ca="1">ROUND((Table14[[#This Row],[XP]]*Table14[[#This Row],[entity_spawned (AVG)]])*(Table14[[#This Row],[activating_chance]]/100),0)</f>
        <v>250</v>
      </c>
      <c r="DN13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35" s="72">
        <v>8</v>
      </c>
      <c r="DP135" s="72">
        <v>12</v>
      </c>
      <c r="DQ135" s="72" t="b">
        <v>1</v>
      </c>
      <c r="DS135" t="s">
        <v>402</v>
      </c>
      <c r="DT135">
        <v>1</v>
      </c>
      <c r="DU135">
        <v>340</v>
      </c>
      <c r="DV135">
        <v>100</v>
      </c>
      <c r="DW135" s="75">
        <f ca="1">INDIRECT(ADDRESS(11+(MATCH(RIGHT(Table18[[#This Row],[spawner_sku]],LEN(Table18[[#This Row],[spawner_sku]])-FIND("/",Table18[[#This Row],[spawner_sku]])),Table1[Entity Prefab],0)),10,1,1,"Entities"))</f>
        <v>263</v>
      </c>
      <c r="DX135" s="75">
        <f ca="1">ROUND((Table18[[#This Row],[XP]]*Table18[[#This Row],[entity_spawned (AVG)]])*(Table18[[#This Row],[activating_chance]]/100),0)</f>
        <v>263</v>
      </c>
      <c r="DY135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35">
        <v>1</v>
      </c>
      <c r="EA135">
        <v>1</v>
      </c>
      <c r="EB135" t="b">
        <v>0</v>
      </c>
      <c r="ED135" t="s">
        <v>243</v>
      </c>
      <c r="EE135">
        <v>1</v>
      </c>
      <c r="EF135">
        <v>200</v>
      </c>
      <c r="EG135">
        <v>100</v>
      </c>
      <c r="EH135" s="75">
        <f ca="1">INDIRECT(ADDRESS(11+(MATCH(RIGHT(Table1820[[#This Row],[spawner_sku]],LEN(Table1820[[#This Row],[spawner_sku]])-FIND("/",Table1820[[#This Row],[spawner_sku]])),Table1[Entity Prefab],0)),10,1,1,"Entities"))</f>
        <v>28</v>
      </c>
      <c r="EI135" s="75">
        <f ca="1">ROUND((Table1820[[#This Row],[XP]]*Table1820[[#This Row],[entity_spawned (AVG)]])*(Table1820[[#This Row],[activating_chance]]/100),0)</f>
        <v>28</v>
      </c>
      <c r="EJ13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35">
        <v>1</v>
      </c>
      <c r="EL135">
        <v>1</v>
      </c>
      <c r="EM135" t="b">
        <v>0</v>
      </c>
      <c r="EO135" t="s">
        <v>7339</v>
      </c>
      <c r="EP135">
        <v>1.5</v>
      </c>
      <c r="EQ135">
        <v>80</v>
      </c>
      <c r="ER135">
        <v>100</v>
      </c>
      <c r="ES135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ET135" s="75">
        <f ca="1">ROUND((Table182023[[#This Row],[XP]]*Table182023[[#This Row],[entity_spawned (AVG)]])*(Table182023[[#This Row],[activating_chance]]/100),0)</f>
        <v>38</v>
      </c>
      <c r="EU135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135" s="152">
        <v>1</v>
      </c>
      <c r="EW135" s="152">
        <v>2</v>
      </c>
      <c r="EX135" s="152" t="b">
        <v>0</v>
      </c>
      <c r="EZ135" t="s">
        <v>7359</v>
      </c>
      <c r="FA135">
        <v>1</v>
      </c>
      <c r="FB135">
        <v>250</v>
      </c>
      <c r="FC135">
        <v>100</v>
      </c>
      <c r="FD135" s="75">
        <f ca="1">INDIRECT(ADDRESS(11+(MATCH(RIGHT(Table18202324[[#This Row],[spawner_sku]],LEN(Table18202324[[#This Row],[spawner_sku]])-FIND("/",Table18202324[[#This Row],[spawner_sku]])),Table1[Entity Prefab],0)),10,1,1,"Entities"))</f>
        <v>263</v>
      </c>
      <c r="FE135" s="75">
        <f ca="1">ROUND((Table18202324[[#This Row],[XP]]*Table18202324[[#This Row],[entity_spawned (AVG)]])*(Table18202324[[#This Row],[activating_chance]]/100),0)</f>
        <v>263</v>
      </c>
      <c r="FF135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135">
        <v>1</v>
      </c>
      <c r="FH135">
        <v>1</v>
      </c>
      <c r="FI135" t="b">
        <v>0</v>
      </c>
    </row>
    <row r="136" spans="2:165" x14ac:dyDescent="0.25">
      <c r="B136" s="73" t="s">
        <v>228</v>
      </c>
      <c r="C136">
        <v>1</v>
      </c>
      <c r="D136">
        <v>100</v>
      </c>
      <c r="E136">
        <v>85</v>
      </c>
      <c r="F136" s="75">
        <f ca="1">INDIRECT(ADDRESS(11+(MATCH(RIGHT(Table245[[#This Row],[spawner_sku]],LEN(Table245[[#This Row],[spawner_sku]])-FIND("/",Table245[[#This Row],[spawner_sku]])),Table1[Entity Prefab],0)),10,1,1,"Entities"))</f>
        <v>25</v>
      </c>
      <c r="G136" s="75">
        <f ca="1">ROUND((Table245[[#This Row],[XP]]*Table245[[#This Row],[entity_spawned (AVG)]])*(Table245[[#This Row],[activating_chance]]/100),0)</f>
        <v>21</v>
      </c>
      <c r="H13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6" s="72">
        <v>1</v>
      </c>
      <c r="J136" s="72">
        <v>1</v>
      </c>
      <c r="K136" s="72" t="b">
        <v>0</v>
      </c>
      <c r="M136" t="s">
        <v>255</v>
      </c>
      <c r="N136">
        <v>1</v>
      </c>
      <c r="O136">
        <v>200</v>
      </c>
      <c r="P136">
        <v>100</v>
      </c>
      <c r="Q136" s="75">
        <f ca="1">INDIRECT(ADDRESS(11+(MATCH(RIGHT(Table3[[#This Row],[spawner_sku]],LEN(Table3[[#This Row],[spawner_sku]])-FIND("/",Table3[[#This Row],[spawner_sku]])),Table1[Entity Prefab],0)),10,1,1,"Entities"))</f>
        <v>25</v>
      </c>
      <c r="R136" s="75">
        <f ca="1">ROUND((Table3[[#This Row],[XP]]*Table3[[#This Row],[entity_spawned (AVG)]])*(Table3[[#This Row],[activating_chance]]/100),0)</f>
        <v>25</v>
      </c>
      <c r="S136" t="str">
        <f ca="1">INDIRECT(ADDRESS(11+(MATCH(RIGHT(Table3[[#This Row],[spawner_sku]],LEN(Table3[[#This Row],[spawner_sku]])-FIND("/",Table3[[#This Row],[spawner_sku]])),Table28[Entity Prefab],0)),24,1,1,"Entities"))</f>
        <v>no</v>
      </c>
      <c r="T136">
        <v>1</v>
      </c>
      <c r="U136">
        <v>1</v>
      </c>
      <c r="V136" t="b">
        <v>0</v>
      </c>
      <c r="W136" s="72"/>
      <c r="AI136" t="s">
        <v>228</v>
      </c>
      <c r="AJ136">
        <v>1</v>
      </c>
      <c r="AK136">
        <v>100</v>
      </c>
      <c r="AL136">
        <v>100</v>
      </c>
      <c r="AM136" s="75">
        <f ca="1">INDIRECT(ADDRESS(11+(MATCH(RIGHT(Table2[[#This Row],[spawner_sku]],LEN(Table2[[#This Row],[spawner_sku]])-FIND("/",Table2[[#This Row],[spawner_sku]])),Table1[Entity Prefab],0)),10,1,1,"Entities"))</f>
        <v>25</v>
      </c>
      <c r="AN136" s="75">
        <f ca="1">ROUND((Table2[[#This Row],[XP]]*Table2[[#This Row],[entity_spawned (AVG)]])*(Table2[[#This Row],[activating_chance]]/100),0)</f>
        <v>25</v>
      </c>
      <c r="AO13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36" s="72">
        <v>1</v>
      </c>
      <c r="AQ136" s="72">
        <v>1</v>
      </c>
      <c r="AR136" s="72" t="b">
        <v>0</v>
      </c>
      <c r="AT136" t="s">
        <v>608</v>
      </c>
      <c r="AU136">
        <v>1</v>
      </c>
      <c r="AV136">
        <v>280</v>
      </c>
      <c r="AW136">
        <v>100</v>
      </c>
      <c r="AX136" s="75">
        <f ca="1">INDIRECT(ADDRESS(11+(MATCH(RIGHT(Table6[[#This Row],[spawner_sku]],LEN(Table6[[#This Row],[spawner_sku]])-FIND("/",Table6[[#This Row],[spawner_sku]])),Table1[Entity Prefab],0)),10,1,1,"Entities"))</f>
        <v>50</v>
      </c>
      <c r="AY136" s="75">
        <f ca="1">ROUND((Table6[[#This Row],[XP]]*Table6[[#This Row],[entity_spawned (AVG)]])*(Table6[[#This Row],[activating_chance]]/100),0)</f>
        <v>50</v>
      </c>
      <c r="AZ136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36">
        <v>1</v>
      </c>
      <c r="BB136">
        <v>1</v>
      </c>
      <c r="BC136" t="b">
        <v>0</v>
      </c>
      <c r="BE136" t="s">
        <v>445</v>
      </c>
      <c r="BF136">
        <v>1</v>
      </c>
      <c r="BG136">
        <v>180</v>
      </c>
      <c r="BH136">
        <v>100</v>
      </c>
      <c r="BI136" s="75">
        <f ca="1">INDIRECT(ADDRESS(11+(MATCH(RIGHT(Table610[[#This Row],[spawner_sku]],LEN(Table610[[#This Row],[spawner_sku]])-FIND("/",Table610[[#This Row],[spawner_sku]])),Table1[Entity Prefab],0)),10,1,1,"Entities"))</f>
        <v>0</v>
      </c>
      <c r="BJ136" s="75">
        <f ca="1">ROUND((Table610[[#This Row],[XP]]*Table610[[#This Row],[entity_spawned (AVG)]])*(Table610[[#This Row],[activating_chance]]/100),0)</f>
        <v>0</v>
      </c>
      <c r="BK136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36">
        <v>1</v>
      </c>
      <c r="BM136">
        <v>1</v>
      </c>
      <c r="BN136" t="b">
        <v>0</v>
      </c>
      <c r="BP136" t="s">
        <v>233</v>
      </c>
      <c r="BQ136">
        <v>1</v>
      </c>
      <c r="BR136">
        <v>300</v>
      </c>
      <c r="BS136">
        <v>100</v>
      </c>
      <c r="BT136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36" s="75">
        <f ca="1">ROUND((Table61011[[#This Row],[XP]]*Table61011[[#This Row],[entity_spawned (AVG)]])*(Table61011[[#This Row],[activating_chance]]/100),0)</f>
        <v>195</v>
      </c>
      <c r="BV13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6" s="72">
        <v>1</v>
      </c>
      <c r="BX136" s="72">
        <v>1</v>
      </c>
      <c r="BY136" s="72" t="b">
        <v>0</v>
      </c>
      <c r="CA136" t="s">
        <v>236</v>
      </c>
      <c r="CB136">
        <v>1</v>
      </c>
      <c r="CC136">
        <v>120</v>
      </c>
      <c r="CD136">
        <v>100</v>
      </c>
      <c r="CE136" s="75">
        <f ca="1">INDIRECT(ADDRESS(11+(MATCH(RIGHT(Table11[[#This Row],[spawner_sku]],LEN(Table11[[#This Row],[spawner_sku]])-FIND("/",Table11[[#This Row],[spawner_sku]])),Table1[Entity Prefab],0)),10,1,1,"Entities"))</f>
        <v>70</v>
      </c>
      <c r="CF136">
        <f ca="1">ROUND((Table11[[#This Row],[XP]]*Table11[[#This Row],[entity_spawned (AVG)]])*(Table11[[#This Row],[activating_chance]]/100),0)</f>
        <v>70</v>
      </c>
      <c r="CG136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136" s="72">
        <v>1</v>
      </c>
      <c r="CI136" s="72">
        <v>1</v>
      </c>
      <c r="CJ136" s="72" t="b">
        <v>0</v>
      </c>
      <c r="CL136" t="s">
        <v>254</v>
      </c>
      <c r="CM136">
        <v>1</v>
      </c>
      <c r="CN136">
        <v>170</v>
      </c>
      <c r="CO136">
        <v>80</v>
      </c>
      <c r="CP136" s="75">
        <f ca="1">INDIRECT(ADDRESS(11+(MATCH(RIGHT(Table12[[#This Row],[spawner_sku]],LEN(Table12[[#This Row],[spawner_sku]])-FIND("/",Table12[[#This Row],[spawner_sku]])),Table1[Entity Prefab],0)),10,1,1,"Entities"))</f>
        <v>70</v>
      </c>
      <c r="CQ136" s="75">
        <f ca="1">ROUND((Table12[[#This Row],[XP]]*Table12[[#This Row],[entity_spawned (AVG)]])*(Table12[[#This Row],[activating_chance]]/100),0)</f>
        <v>56</v>
      </c>
      <c r="CR136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136" s="72">
        <v>1</v>
      </c>
      <c r="CT136" s="72">
        <v>1</v>
      </c>
      <c r="CU136" s="72" t="b">
        <v>0</v>
      </c>
      <c r="CW136" t="s">
        <v>385</v>
      </c>
      <c r="CX136">
        <v>1</v>
      </c>
      <c r="CY136">
        <v>200</v>
      </c>
      <c r="CZ136">
        <v>100</v>
      </c>
      <c r="DA136" s="75">
        <f ca="1">INDIRECT(ADDRESS(11+(MATCH(RIGHT(Table13[[#This Row],[spawner_sku]],LEN(Table13[[#This Row],[spawner_sku]])-FIND("/",Table13[[#This Row],[spawner_sku]])),Table1[Entity Prefab],0)),10,1,1,"Entities"))</f>
        <v>75</v>
      </c>
      <c r="DB136" s="75">
        <f ca="1">ROUND((Table13[[#This Row],[XP]]*Table13[[#This Row],[entity_spawned (AVG)]])*(Table13[[#This Row],[activating_chance]]/100),0)</f>
        <v>75</v>
      </c>
      <c r="DC136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136" s="72">
        <v>1</v>
      </c>
      <c r="DE136" s="72">
        <v>1</v>
      </c>
      <c r="DF136" s="72" t="b">
        <v>0</v>
      </c>
      <c r="DH136" t="s">
        <v>227</v>
      </c>
      <c r="DI136">
        <v>3.5</v>
      </c>
      <c r="DJ136">
        <v>100</v>
      </c>
      <c r="DK136">
        <v>30</v>
      </c>
      <c r="DL136" s="75">
        <f ca="1">INDIRECT(ADDRESS(11+(MATCH(RIGHT(Table14[[#This Row],[spawner_sku]],LEN(Table14[[#This Row],[spawner_sku]])-FIND("/",Table14[[#This Row],[spawner_sku]])),Table1[Entity Prefab],0)),10,1,1,"Entities"))</f>
        <v>25</v>
      </c>
      <c r="DM136" s="75">
        <f ca="1">ROUND((Table14[[#This Row],[XP]]*Table14[[#This Row],[entity_spawned (AVG)]])*(Table14[[#This Row],[activating_chance]]/100),0)</f>
        <v>26</v>
      </c>
      <c r="DN13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36" s="72">
        <v>3</v>
      </c>
      <c r="DP136" s="72">
        <v>4</v>
      </c>
      <c r="DQ136" s="72" t="b">
        <v>0</v>
      </c>
      <c r="DS136" t="s">
        <v>402</v>
      </c>
      <c r="DT136">
        <v>1</v>
      </c>
      <c r="DU136">
        <v>340</v>
      </c>
      <c r="DV136">
        <v>100</v>
      </c>
      <c r="DW136" s="75">
        <f ca="1">INDIRECT(ADDRESS(11+(MATCH(RIGHT(Table18[[#This Row],[spawner_sku]],LEN(Table18[[#This Row],[spawner_sku]])-FIND("/",Table18[[#This Row],[spawner_sku]])),Table1[Entity Prefab],0)),10,1,1,"Entities"))</f>
        <v>263</v>
      </c>
      <c r="DX136" s="75">
        <f ca="1">ROUND((Table18[[#This Row],[XP]]*Table18[[#This Row],[entity_spawned (AVG)]])*(Table18[[#This Row],[activating_chance]]/100),0)</f>
        <v>263</v>
      </c>
      <c r="DY136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36">
        <v>1</v>
      </c>
      <c r="EA136">
        <v>1</v>
      </c>
      <c r="EB136" t="b">
        <v>0</v>
      </c>
      <c r="ED136" t="s">
        <v>452</v>
      </c>
      <c r="EE136">
        <v>1</v>
      </c>
      <c r="EF136">
        <v>130</v>
      </c>
      <c r="EG136">
        <v>10</v>
      </c>
      <c r="EH136" s="75">
        <f ca="1">INDIRECT(ADDRESS(11+(MATCH(RIGHT(Table1820[[#This Row],[spawner_sku]],LEN(Table1820[[#This Row],[spawner_sku]])-FIND("/",Table1820[[#This Row],[spawner_sku]])),Table1[Entity Prefab],0)),10,1,1,"Entities"))</f>
        <v>70</v>
      </c>
      <c r="EI136" s="75">
        <f ca="1">ROUND((Table1820[[#This Row],[XP]]*Table1820[[#This Row],[entity_spawned (AVG)]])*(Table1820[[#This Row],[activating_chance]]/100),0)</f>
        <v>7</v>
      </c>
      <c r="EJ136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36">
        <v>1</v>
      </c>
      <c r="EL136">
        <v>2</v>
      </c>
      <c r="EM136" t="b">
        <v>0</v>
      </c>
      <c r="EO136" t="s">
        <v>7339</v>
      </c>
      <c r="EP136">
        <v>1</v>
      </c>
      <c r="EQ136">
        <v>80</v>
      </c>
      <c r="ER136">
        <v>100</v>
      </c>
      <c r="ES136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ET136" s="75">
        <f ca="1">ROUND((Table182023[[#This Row],[XP]]*Table182023[[#This Row],[entity_spawned (AVG)]])*(Table182023[[#This Row],[activating_chance]]/100),0)</f>
        <v>25</v>
      </c>
      <c r="EU136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136" s="152">
        <v>1</v>
      </c>
      <c r="EW136" s="152">
        <v>1</v>
      </c>
      <c r="EX136" s="152" t="b">
        <v>0</v>
      </c>
      <c r="EZ136" t="s">
        <v>7341</v>
      </c>
      <c r="FA136">
        <v>1</v>
      </c>
      <c r="FB136">
        <v>85</v>
      </c>
      <c r="FC136">
        <v>30</v>
      </c>
      <c r="FD136" s="75">
        <f ca="1">INDIRECT(ADDRESS(11+(MATCH(RIGHT(Table18202324[[#This Row],[spawner_sku]],LEN(Table18202324[[#This Row],[spawner_sku]])-FIND("/",Table18202324[[#This Row],[spawner_sku]])),Table1[Entity Prefab],0)),10,1,1,"Entities"))</f>
        <v>105</v>
      </c>
      <c r="FE136" s="75">
        <f ca="1">ROUND((Table18202324[[#This Row],[XP]]*Table18202324[[#This Row],[entity_spawned (AVG)]])*(Table18202324[[#This Row],[activating_chance]]/100),0)</f>
        <v>32</v>
      </c>
      <c r="FF136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36">
        <v>1</v>
      </c>
      <c r="FH136">
        <v>1</v>
      </c>
      <c r="FI136" t="b">
        <v>0</v>
      </c>
    </row>
    <row r="137" spans="2:165" x14ac:dyDescent="0.25">
      <c r="B137" s="73" t="s">
        <v>228</v>
      </c>
      <c r="C137">
        <v>5.5</v>
      </c>
      <c r="D137">
        <v>140</v>
      </c>
      <c r="E137">
        <v>20</v>
      </c>
      <c r="F137" s="75">
        <f ca="1">INDIRECT(ADDRESS(11+(MATCH(RIGHT(Table245[[#This Row],[spawner_sku]],LEN(Table245[[#This Row],[spawner_sku]])-FIND("/",Table245[[#This Row],[spawner_sku]])),Table1[Entity Prefab],0)),10,1,1,"Entities"))</f>
        <v>25</v>
      </c>
      <c r="G137" s="75">
        <f ca="1">ROUND((Table245[[#This Row],[XP]]*Table245[[#This Row],[entity_spawned (AVG)]])*(Table245[[#This Row],[activating_chance]]/100),0)</f>
        <v>28</v>
      </c>
      <c r="H13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7" s="72">
        <v>5</v>
      </c>
      <c r="J137" s="72">
        <v>6</v>
      </c>
      <c r="K137" s="72" t="b">
        <v>1</v>
      </c>
      <c r="M137" t="s">
        <v>255</v>
      </c>
      <c r="N137">
        <v>1</v>
      </c>
      <c r="O137">
        <v>170</v>
      </c>
      <c r="P137">
        <v>80</v>
      </c>
      <c r="Q137" s="75">
        <f ca="1">INDIRECT(ADDRESS(11+(MATCH(RIGHT(Table3[[#This Row],[spawner_sku]],LEN(Table3[[#This Row],[spawner_sku]])-FIND("/",Table3[[#This Row],[spawner_sku]])),Table1[Entity Prefab],0)),10,1,1,"Entities"))</f>
        <v>25</v>
      </c>
      <c r="R137" s="75">
        <f ca="1">ROUND((Table3[[#This Row],[XP]]*Table3[[#This Row],[entity_spawned (AVG)]])*(Table3[[#This Row],[activating_chance]]/100),0)</f>
        <v>20</v>
      </c>
      <c r="S137" t="str">
        <f ca="1">INDIRECT(ADDRESS(11+(MATCH(RIGHT(Table3[[#This Row],[spawner_sku]],LEN(Table3[[#This Row],[spawner_sku]])-FIND("/",Table3[[#This Row],[spawner_sku]])),Table28[Entity Prefab],0)),24,1,1,"Entities"))</f>
        <v>no</v>
      </c>
      <c r="T137">
        <v>1</v>
      </c>
      <c r="U137">
        <v>1</v>
      </c>
      <c r="V137" t="b">
        <v>0</v>
      </c>
      <c r="W137" s="72"/>
      <c r="AI137" t="s">
        <v>228</v>
      </c>
      <c r="AJ137">
        <v>1</v>
      </c>
      <c r="AK137">
        <v>100</v>
      </c>
      <c r="AL137">
        <v>90</v>
      </c>
      <c r="AM137" s="75">
        <f ca="1">INDIRECT(ADDRESS(11+(MATCH(RIGHT(Table2[[#This Row],[spawner_sku]],LEN(Table2[[#This Row],[spawner_sku]])-FIND("/",Table2[[#This Row],[spawner_sku]])),Table1[Entity Prefab],0)),10,1,1,"Entities"))</f>
        <v>25</v>
      </c>
      <c r="AN137" s="75">
        <f ca="1">ROUND((Table2[[#This Row],[XP]]*Table2[[#This Row],[entity_spawned (AVG)]])*(Table2[[#This Row],[activating_chance]]/100),0)</f>
        <v>23</v>
      </c>
      <c r="AO13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37" s="72">
        <v>1</v>
      </c>
      <c r="AQ137" s="72">
        <v>1</v>
      </c>
      <c r="AR137" s="72" t="b">
        <v>0</v>
      </c>
      <c r="AT137" t="s">
        <v>608</v>
      </c>
      <c r="AU137">
        <v>1</v>
      </c>
      <c r="AV137">
        <v>280</v>
      </c>
      <c r="AW137">
        <v>100</v>
      </c>
      <c r="AX137" s="75">
        <f ca="1">INDIRECT(ADDRESS(11+(MATCH(RIGHT(Table6[[#This Row],[spawner_sku]],LEN(Table6[[#This Row],[spawner_sku]])-FIND("/",Table6[[#This Row],[spawner_sku]])),Table1[Entity Prefab],0)),10,1,1,"Entities"))</f>
        <v>50</v>
      </c>
      <c r="AY137" s="75">
        <f ca="1">ROUND((Table6[[#This Row],[XP]]*Table6[[#This Row],[entity_spawned (AVG)]])*(Table6[[#This Row],[activating_chance]]/100),0)</f>
        <v>50</v>
      </c>
      <c r="AZ137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37">
        <v>1</v>
      </c>
      <c r="BB137">
        <v>1</v>
      </c>
      <c r="BC137" t="b">
        <v>0</v>
      </c>
      <c r="BE137" t="s">
        <v>445</v>
      </c>
      <c r="BF137">
        <v>1</v>
      </c>
      <c r="BG137">
        <v>180</v>
      </c>
      <c r="BH137">
        <v>100</v>
      </c>
      <c r="BI137" s="75">
        <f ca="1">INDIRECT(ADDRESS(11+(MATCH(RIGHT(Table610[[#This Row],[spawner_sku]],LEN(Table610[[#This Row],[spawner_sku]])-FIND("/",Table610[[#This Row],[spawner_sku]])),Table1[Entity Prefab],0)),10,1,1,"Entities"))</f>
        <v>0</v>
      </c>
      <c r="BJ137" s="75">
        <f ca="1">ROUND((Table610[[#This Row],[XP]]*Table610[[#This Row],[entity_spawned (AVG)]])*(Table610[[#This Row],[activating_chance]]/100),0)</f>
        <v>0</v>
      </c>
      <c r="BK137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37">
        <v>1</v>
      </c>
      <c r="BM137">
        <v>1</v>
      </c>
      <c r="BN137" t="b">
        <v>0</v>
      </c>
      <c r="BP137" t="s">
        <v>233</v>
      </c>
      <c r="BQ137">
        <v>1</v>
      </c>
      <c r="BR137">
        <v>300</v>
      </c>
      <c r="BS137">
        <v>100</v>
      </c>
      <c r="BT137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37" s="75">
        <f ca="1">ROUND((Table61011[[#This Row],[XP]]*Table61011[[#This Row],[entity_spawned (AVG)]])*(Table61011[[#This Row],[activating_chance]]/100),0)</f>
        <v>195</v>
      </c>
      <c r="BV13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7" s="72">
        <v>1</v>
      </c>
      <c r="BX137" s="72">
        <v>1</v>
      </c>
      <c r="BY137" s="72" t="b">
        <v>0</v>
      </c>
      <c r="CA137" t="s">
        <v>237</v>
      </c>
      <c r="CB137">
        <v>1</v>
      </c>
      <c r="CC137">
        <v>2500</v>
      </c>
      <c r="CD137">
        <v>100</v>
      </c>
      <c r="CE137" s="75">
        <f ca="1">INDIRECT(ADDRESS(11+(MATCH(RIGHT(Table11[[#This Row],[spawner_sku]],LEN(Table11[[#This Row],[spawner_sku]])-FIND("/",Table11[[#This Row],[spawner_sku]])),Table1[Entity Prefab],0)),10,1,1,"Entities"))</f>
        <v>263</v>
      </c>
      <c r="CF137">
        <f ca="1">ROUND((Table11[[#This Row],[XP]]*Table11[[#This Row],[entity_spawned (AVG)]])*(Table11[[#This Row],[activating_chance]]/100),0)</f>
        <v>263</v>
      </c>
      <c r="CG137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37" s="72">
        <v>1</v>
      </c>
      <c r="CI137" s="72">
        <v>1</v>
      </c>
      <c r="CJ137" s="72" t="b">
        <v>0</v>
      </c>
      <c r="CL137" t="s">
        <v>255</v>
      </c>
      <c r="CM137">
        <v>1</v>
      </c>
      <c r="CN137">
        <v>150</v>
      </c>
      <c r="CO137">
        <v>100</v>
      </c>
      <c r="CP137" s="75">
        <f ca="1">INDIRECT(ADDRESS(11+(MATCH(RIGHT(Table12[[#This Row],[spawner_sku]],LEN(Table12[[#This Row],[spawner_sku]])-FIND("/",Table12[[#This Row],[spawner_sku]])),Table1[Entity Prefab],0)),10,1,1,"Entities"))</f>
        <v>25</v>
      </c>
      <c r="CQ137" s="75">
        <f ca="1">ROUND((Table12[[#This Row],[XP]]*Table12[[#This Row],[entity_spawned (AVG)]])*(Table12[[#This Row],[activating_chance]]/100),0)</f>
        <v>25</v>
      </c>
      <c r="CR137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37" s="72">
        <v>1</v>
      </c>
      <c r="CT137" s="72">
        <v>1</v>
      </c>
      <c r="CU137" s="72" t="b">
        <v>0</v>
      </c>
      <c r="CW137" t="s">
        <v>385</v>
      </c>
      <c r="CX137">
        <v>1</v>
      </c>
      <c r="CY137">
        <v>200</v>
      </c>
      <c r="CZ137">
        <v>100</v>
      </c>
      <c r="DA137" s="75">
        <f ca="1">INDIRECT(ADDRESS(11+(MATCH(RIGHT(Table13[[#This Row],[spawner_sku]],LEN(Table13[[#This Row],[spawner_sku]])-FIND("/",Table13[[#This Row],[spawner_sku]])),Table1[Entity Prefab],0)),10,1,1,"Entities"))</f>
        <v>75</v>
      </c>
      <c r="DB137" s="75">
        <f ca="1">ROUND((Table13[[#This Row],[XP]]*Table13[[#This Row],[entity_spawned (AVG)]])*(Table13[[#This Row],[activating_chance]]/100),0)</f>
        <v>75</v>
      </c>
      <c r="DC137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137" s="72">
        <v>1</v>
      </c>
      <c r="DE137" s="72">
        <v>1</v>
      </c>
      <c r="DF137" s="72" t="b">
        <v>0</v>
      </c>
      <c r="DH137" t="s">
        <v>227</v>
      </c>
      <c r="DI137">
        <v>12</v>
      </c>
      <c r="DJ137">
        <v>280</v>
      </c>
      <c r="DK137">
        <v>100</v>
      </c>
      <c r="DL137" s="75">
        <f ca="1">INDIRECT(ADDRESS(11+(MATCH(RIGHT(Table14[[#This Row],[spawner_sku]],LEN(Table14[[#This Row],[spawner_sku]])-FIND("/",Table14[[#This Row],[spawner_sku]])),Table1[Entity Prefab],0)),10,1,1,"Entities"))</f>
        <v>25</v>
      </c>
      <c r="DM137" s="75">
        <f ca="1">ROUND((Table14[[#This Row],[XP]]*Table14[[#This Row],[entity_spawned (AVG)]])*(Table14[[#This Row],[activating_chance]]/100),0)</f>
        <v>300</v>
      </c>
      <c r="DN13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37" s="72">
        <v>10</v>
      </c>
      <c r="DP137" s="72">
        <v>14</v>
      </c>
      <c r="DQ137" s="72" t="b">
        <v>1</v>
      </c>
      <c r="DS137" t="s">
        <v>402</v>
      </c>
      <c r="DT137">
        <v>1</v>
      </c>
      <c r="DU137">
        <v>240</v>
      </c>
      <c r="DV137">
        <v>100</v>
      </c>
      <c r="DW137" s="75">
        <f ca="1">INDIRECT(ADDRESS(11+(MATCH(RIGHT(Table18[[#This Row],[spawner_sku]],LEN(Table18[[#This Row],[spawner_sku]])-FIND("/",Table18[[#This Row],[spawner_sku]])),Table1[Entity Prefab],0)),10,1,1,"Entities"))</f>
        <v>263</v>
      </c>
      <c r="DX137" s="75">
        <f ca="1">ROUND((Table18[[#This Row],[XP]]*Table18[[#This Row],[entity_spawned (AVG)]])*(Table18[[#This Row],[activating_chance]]/100),0)</f>
        <v>263</v>
      </c>
      <c r="DY137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37">
        <v>1</v>
      </c>
      <c r="EA137">
        <v>1</v>
      </c>
      <c r="EB137" t="b">
        <v>0</v>
      </c>
      <c r="ED137" t="s">
        <v>452</v>
      </c>
      <c r="EE137">
        <v>2</v>
      </c>
      <c r="EF137">
        <v>180</v>
      </c>
      <c r="EG137">
        <v>100</v>
      </c>
      <c r="EH137" s="75">
        <f ca="1">INDIRECT(ADDRESS(11+(MATCH(RIGHT(Table1820[[#This Row],[spawner_sku]],LEN(Table1820[[#This Row],[spawner_sku]])-FIND("/",Table1820[[#This Row],[spawner_sku]])),Table1[Entity Prefab],0)),10,1,1,"Entities"))</f>
        <v>70</v>
      </c>
      <c r="EI137" s="75">
        <f ca="1">ROUND((Table1820[[#This Row],[XP]]*Table1820[[#This Row],[entity_spawned (AVG)]])*(Table1820[[#This Row],[activating_chance]]/100),0)</f>
        <v>140</v>
      </c>
      <c r="EJ137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37">
        <v>1</v>
      </c>
      <c r="EL137">
        <v>3</v>
      </c>
      <c r="EM137" t="b">
        <v>0</v>
      </c>
      <c r="EO137" t="s">
        <v>7339</v>
      </c>
      <c r="EP137">
        <v>1</v>
      </c>
      <c r="EQ137">
        <v>70</v>
      </c>
      <c r="ER137">
        <v>100</v>
      </c>
      <c r="ES137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ET137" s="75">
        <f ca="1">ROUND((Table182023[[#This Row],[XP]]*Table182023[[#This Row],[entity_spawned (AVG)]])*(Table182023[[#This Row],[activating_chance]]/100),0)</f>
        <v>25</v>
      </c>
      <c r="EU137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137" s="152">
        <v>1</v>
      </c>
      <c r="EW137" s="152">
        <v>1</v>
      </c>
      <c r="EX137" s="152" t="b">
        <v>0</v>
      </c>
      <c r="EZ137" t="s">
        <v>7341</v>
      </c>
      <c r="FA137">
        <v>1</v>
      </c>
      <c r="FB137">
        <v>85</v>
      </c>
      <c r="FC137">
        <v>100</v>
      </c>
      <c r="FD137" s="75">
        <f ca="1">INDIRECT(ADDRESS(11+(MATCH(RIGHT(Table18202324[[#This Row],[spawner_sku]],LEN(Table18202324[[#This Row],[spawner_sku]])-FIND("/",Table18202324[[#This Row],[spawner_sku]])),Table1[Entity Prefab],0)),10,1,1,"Entities"))</f>
        <v>105</v>
      </c>
      <c r="FE137" s="75">
        <f ca="1">ROUND((Table18202324[[#This Row],[XP]]*Table18202324[[#This Row],[entity_spawned (AVG)]])*(Table18202324[[#This Row],[activating_chance]]/100),0)</f>
        <v>105</v>
      </c>
      <c r="FF137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37">
        <v>1</v>
      </c>
      <c r="FH137">
        <v>1</v>
      </c>
      <c r="FI137" t="b">
        <v>0</v>
      </c>
    </row>
    <row r="138" spans="2:165" x14ac:dyDescent="0.25">
      <c r="B138" s="73" t="s">
        <v>228</v>
      </c>
      <c r="C138">
        <v>5.5</v>
      </c>
      <c r="D138">
        <v>160</v>
      </c>
      <c r="E138">
        <v>100</v>
      </c>
      <c r="F138" s="75">
        <f ca="1">INDIRECT(ADDRESS(11+(MATCH(RIGHT(Table245[[#This Row],[spawner_sku]],LEN(Table245[[#This Row],[spawner_sku]])-FIND("/",Table245[[#This Row],[spawner_sku]])),Table1[Entity Prefab],0)),10,1,1,"Entities"))</f>
        <v>25</v>
      </c>
      <c r="G138" s="75">
        <f ca="1">ROUND((Table245[[#This Row],[XP]]*Table245[[#This Row],[entity_spawned (AVG)]])*(Table245[[#This Row],[activating_chance]]/100),0)</f>
        <v>138</v>
      </c>
      <c r="H13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8" s="72">
        <v>5</v>
      </c>
      <c r="J138" s="72">
        <v>6</v>
      </c>
      <c r="K138" s="72" t="b">
        <v>1</v>
      </c>
      <c r="M138" t="s">
        <v>255</v>
      </c>
      <c r="N138">
        <v>1</v>
      </c>
      <c r="O138">
        <v>170</v>
      </c>
      <c r="P138">
        <v>100</v>
      </c>
      <c r="Q138" s="75">
        <f ca="1">INDIRECT(ADDRESS(11+(MATCH(RIGHT(Table3[[#This Row],[spawner_sku]],LEN(Table3[[#This Row],[spawner_sku]])-FIND("/",Table3[[#This Row],[spawner_sku]])),Table1[Entity Prefab],0)),10,1,1,"Entities"))</f>
        <v>25</v>
      </c>
      <c r="R138" s="75">
        <f ca="1">ROUND((Table3[[#This Row],[XP]]*Table3[[#This Row],[entity_spawned (AVG)]])*(Table3[[#This Row],[activating_chance]]/100),0)</f>
        <v>25</v>
      </c>
      <c r="S138" t="str">
        <f ca="1">INDIRECT(ADDRESS(11+(MATCH(RIGHT(Table3[[#This Row],[spawner_sku]],LEN(Table3[[#This Row],[spawner_sku]])-FIND("/",Table3[[#This Row],[spawner_sku]])),Table28[Entity Prefab],0)),24,1,1,"Entities"))</f>
        <v>no</v>
      </c>
      <c r="T138">
        <v>1</v>
      </c>
      <c r="U138">
        <v>1</v>
      </c>
      <c r="V138" t="b">
        <v>0</v>
      </c>
      <c r="W138" s="72"/>
      <c r="AI138" t="s">
        <v>228</v>
      </c>
      <c r="AJ138">
        <v>3</v>
      </c>
      <c r="AK138">
        <v>120</v>
      </c>
      <c r="AL138">
        <v>100</v>
      </c>
      <c r="AM138" s="75">
        <f ca="1">INDIRECT(ADDRESS(11+(MATCH(RIGHT(Table2[[#This Row],[spawner_sku]],LEN(Table2[[#This Row],[spawner_sku]])-FIND("/",Table2[[#This Row],[spawner_sku]])),Table1[Entity Prefab],0)),10,1,1,"Entities"))</f>
        <v>25</v>
      </c>
      <c r="AN138" s="75">
        <f ca="1">ROUND((Table2[[#This Row],[XP]]*Table2[[#This Row],[entity_spawned (AVG)]])*(Table2[[#This Row],[activating_chance]]/100),0)</f>
        <v>75</v>
      </c>
      <c r="AO13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38" s="72">
        <v>2</v>
      </c>
      <c r="AQ138" s="72">
        <v>4</v>
      </c>
      <c r="AR138" s="72" t="b">
        <v>0</v>
      </c>
      <c r="AT138" t="s">
        <v>609</v>
      </c>
      <c r="AU138">
        <v>1</v>
      </c>
      <c r="AV138">
        <v>130</v>
      </c>
      <c r="AW138">
        <v>100</v>
      </c>
      <c r="AX138" s="75">
        <f ca="1">INDIRECT(ADDRESS(11+(MATCH(RIGHT(Table6[[#This Row],[spawner_sku]],LEN(Table6[[#This Row],[spawner_sku]])-FIND("/",Table6[[#This Row],[spawner_sku]])),Table1[Entity Prefab],0)),10,1,1,"Entities"))</f>
        <v>25</v>
      </c>
      <c r="AY138" s="75">
        <f ca="1">ROUND((Table6[[#This Row],[XP]]*Table6[[#This Row],[entity_spawned (AVG)]])*(Table6[[#This Row],[activating_chance]]/100),0)</f>
        <v>25</v>
      </c>
      <c r="AZ138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38">
        <v>1</v>
      </c>
      <c r="BB138">
        <v>1</v>
      </c>
      <c r="BC138" t="b">
        <v>0</v>
      </c>
      <c r="BE138" t="s">
        <v>445</v>
      </c>
      <c r="BF138">
        <v>1</v>
      </c>
      <c r="BG138">
        <v>180</v>
      </c>
      <c r="BH138">
        <v>100</v>
      </c>
      <c r="BI138" s="75">
        <f ca="1">INDIRECT(ADDRESS(11+(MATCH(RIGHT(Table610[[#This Row],[spawner_sku]],LEN(Table610[[#This Row],[spawner_sku]])-FIND("/",Table610[[#This Row],[spawner_sku]])),Table1[Entity Prefab],0)),10,1,1,"Entities"))</f>
        <v>0</v>
      </c>
      <c r="BJ138" s="75">
        <f ca="1">ROUND((Table610[[#This Row],[XP]]*Table610[[#This Row],[entity_spawned (AVG)]])*(Table610[[#This Row],[activating_chance]]/100),0)</f>
        <v>0</v>
      </c>
      <c r="BK138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38">
        <v>1</v>
      </c>
      <c r="BM138">
        <v>1</v>
      </c>
      <c r="BN138" t="b">
        <v>0</v>
      </c>
      <c r="BP138" t="s">
        <v>233</v>
      </c>
      <c r="BQ138">
        <v>1</v>
      </c>
      <c r="BR138">
        <v>300</v>
      </c>
      <c r="BS138">
        <v>100</v>
      </c>
      <c r="BT138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38" s="75">
        <f ca="1">ROUND((Table61011[[#This Row],[XP]]*Table61011[[#This Row],[entity_spawned (AVG)]])*(Table61011[[#This Row],[activating_chance]]/100),0)</f>
        <v>195</v>
      </c>
      <c r="BV13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8" s="72">
        <v>1</v>
      </c>
      <c r="BX138" s="72">
        <v>1</v>
      </c>
      <c r="BY138" s="72" t="b">
        <v>0</v>
      </c>
      <c r="CA138" t="s">
        <v>237</v>
      </c>
      <c r="CB138">
        <v>1</v>
      </c>
      <c r="CC138">
        <v>2500</v>
      </c>
      <c r="CD138">
        <v>100</v>
      </c>
      <c r="CE138" s="75">
        <f ca="1">INDIRECT(ADDRESS(11+(MATCH(RIGHT(Table11[[#This Row],[spawner_sku]],LEN(Table11[[#This Row],[spawner_sku]])-FIND("/",Table11[[#This Row],[spawner_sku]])),Table1[Entity Prefab],0)),10,1,1,"Entities"))</f>
        <v>263</v>
      </c>
      <c r="CF138">
        <f ca="1">ROUND((Table11[[#This Row],[XP]]*Table11[[#This Row],[entity_spawned (AVG)]])*(Table11[[#This Row],[activating_chance]]/100),0)</f>
        <v>263</v>
      </c>
      <c r="CG138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38" s="72">
        <v>1</v>
      </c>
      <c r="CI138" s="72">
        <v>1</v>
      </c>
      <c r="CJ138" s="72" t="b">
        <v>0</v>
      </c>
      <c r="CL138" t="s">
        <v>255</v>
      </c>
      <c r="CM138">
        <v>1</v>
      </c>
      <c r="CN138">
        <v>150</v>
      </c>
      <c r="CO138">
        <v>30</v>
      </c>
      <c r="CP138" s="75">
        <f ca="1">INDIRECT(ADDRESS(11+(MATCH(RIGHT(Table12[[#This Row],[spawner_sku]],LEN(Table12[[#This Row],[spawner_sku]])-FIND("/",Table12[[#This Row],[spawner_sku]])),Table1[Entity Prefab],0)),10,1,1,"Entities"))</f>
        <v>25</v>
      </c>
      <c r="CQ138" s="75">
        <f ca="1">ROUND((Table12[[#This Row],[XP]]*Table12[[#This Row],[entity_spawned (AVG)]])*(Table12[[#This Row],[activating_chance]]/100),0)</f>
        <v>8</v>
      </c>
      <c r="CR138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38" s="72">
        <v>1</v>
      </c>
      <c r="CT138" s="72">
        <v>1</v>
      </c>
      <c r="CU138" s="72" t="b">
        <v>0</v>
      </c>
      <c r="CW138" t="s">
        <v>385</v>
      </c>
      <c r="CX138">
        <v>1</v>
      </c>
      <c r="CY138">
        <v>200</v>
      </c>
      <c r="CZ138">
        <v>100</v>
      </c>
      <c r="DA138" s="75">
        <f ca="1">INDIRECT(ADDRESS(11+(MATCH(RIGHT(Table13[[#This Row],[spawner_sku]],LEN(Table13[[#This Row],[spawner_sku]])-FIND("/",Table13[[#This Row],[spawner_sku]])),Table1[Entity Prefab],0)),10,1,1,"Entities"))</f>
        <v>75</v>
      </c>
      <c r="DB138" s="75">
        <f ca="1">ROUND((Table13[[#This Row],[XP]]*Table13[[#This Row],[entity_spawned (AVG)]])*(Table13[[#This Row],[activating_chance]]/100),0)</f>
        <v>75</v>
      </c>
      <c r="DC138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138" s="72">
        <v>1</v>
      </c>
      <c r="DE138" s="72">
        <v>1</v>
      </c>
      <c r="DF138" s="72" t="b">
        <v>0</v>
      </c>
      <c r="DH138" t="s">
        <v>227</v>
      </c>
      <c r="DI138">
        <v>17</v>
      </c>
      <c r="DJ138">
        <v>180</v>
      </c>
      <c r="DK138">
        <v>100</v>
      </c>
      <c r="DL138" s="75">
        <f ca="1">INDIRECT(ADDRESS(11+(MATCH(RIGHT(Table14[[#This Row],[spawner_sku]],LEN(Table14[[#This Row],[spawner_sku]])-FIND("/",Table14[[#This Row],[spawner_sku]])),Table1[Entity Prefab],0)),10,1,1,"Entities"))</f>
        <v>25</v>
      </c>
      <c r="DM138" s="75">
        <f ca="1">ROUND((Table14[[#This Row],[XP]]*Table14[[#This Row],[entity_spawned (AVG)]])*(Table14[[#This Row],[activating_chance]]/100),0)</f>
        <v>425</v>
      </c>
      <c r="DN13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38" s="72">
        <v>14</v>
      </c>
      <c r="DP138" s="72">
        <v>20</v>
      </c>
      <c r="DQ138" s="72" t="b">
        <v>1</v>
      </c>
      <c r="DS138" t="s">
        <v>402</v>
      </c>
      <c r="DT138">
        <v>1</v>
      </c>
      <c r="DU138">
        <v>340</v>
      </c>
      <c r="DV138">
        <v>100</v>
      </c>
      <c r="DW138" s="75">
        <f ca="1">INDIRECT(ADDRESS(11+(MATCH(RIGHT(Table18[[#This Row],[spawner_sku]],LEN(Table18[[#This Row],[spawner_sku]])-FIND("/",Table18[[#This Row],[spawner_sku]])),Table1[Entity Prefab],0)),10,1,1,"Entities"))</f>
        <v>263</v>
      </c>
      <c r="DX138" s="75">
        <f ca="1">ROUND((Table18[[#This Row],[XP]]*Table18[[#This Row],[entity_spawned (AVG)]])*(Table18[[#This Row],[activating_chance]]/100),0)</f>
        <v>263</v>
      </c>
      <c r="DY138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38">
        <v>1</v>
      </c>
      <c r="EA138">
        <v>1</v>
      </c>
      <c r="EB138" t="b">
        <v>0</v>
      </c>
      <c r="ED138" t="s">
        <v>452</v>
      </c>
      <c r="EE138">
        <v>1</v>
      </c>
      <c r="EF138">
        <v>180</v>
      </c>
      <c r="EG138">
        <v>100</v>
      </c>
      <c r="EH138" s="75">
        <f ca="1">INDIRECT(ADDRESS(11+(MATCH(RIGHT(Table1820[[#This Row],[spawner_sku]],LEN(Table1820[[#This Row],[spawner_sku]])-FIND("/",Table1820[[#This Row],[spawner_sku]])),Table1[Entity Prefab],0)),10,1,1,"Entities"))</f>
        <v>70</v>
      </c>
      <c r="EI138" s="75">
        <f ca="1">ROUND((Table1820[[#This Row],[XP]]*Table1820[[#This Row],[entity_spawned (AVG)]])*(Table1820[[#This Row],[activating_chance]]/100),0)</f>
        <v>70</v>
      </c>
      <c r="EJ138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38">
        <v>1</v>
      </c>
      <c r="EL138">
        <v>2</v>
      </c>
      <c r="EM138" t="b">
        <v>0</v>
      </c>
      <c r="EO138" t="s">
        <v>7348</v>
      </c>
      <c r="EP138">
        <v>3</v>
      </c>
      <c r="EQ138">
        <v>70</v>
      </c>
      <c r="ER138">
        <v>100</v>
      </c>
      <c r="ES138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ET138" s="75">
        <f ca="1">ROUND((Table182023[[#This Row],[XP]]*Table182023[[#This Row],[entity_spawned (AVG)]])*(Table182023[[#This Row],[activating_chance]]/100),0)</f>
        <v>75</v>
      </c>
      <c r="EU138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138" s="152">
        <v>2</v>
      </c>
      <c r="EW138" s="152">
        <v>4</v>
      </c>
      <c r="EX138" s="152" t="b">
        <v>0</v>
      </c>
      <c r="EZ138" t="s">
        <v>7341</v>
      </c>
      <c r="FA138">
        <v>1</v>
      </c>
      <c r="FB138">
        <v>70</v>
      </c>
      <c r="FC138">
        <v>100</v>
      </c>
      <c r="FD138" s="75">
        <f ca="1">INDIRECT(ADDRESS(11+(MATCH(RIGHT(Table18202324[[#This Row],[spawner_sku]],LEN(Table18202324[[#This Row],[spawner_sku]])-FIND("/",Table18202324[[#This Row],[spawner_sku]])),Table1[Entity Prefab],0)),10,1,1,"Entities"))</f>
        <v>105</v>
      </c>
      <c r="FE138" s="75">
        <f ca="1">ROUND((Table18202324[[#This Row],[XP]]*Table18202324[[#This Row],[entity_spawned (AVG)]])*(Table18202324[[#This Row],[activating_chance]]/100),0)</f>
        <v>105</v>
      </c>
      <c r="FF138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38">
        <v>1</v>
      </c>
      <c r="FH138">
        <v>1</v>
      </c>
      <c r="FI138" t="b">
        <v>0</v>
      </c>
    </row>
    <row r="139" spans="2:165" x14ac:dyDescent="0.25">
      <c r="B139" s="73" t="s">
        <v>228</v>
      </c>
      <c r="C139">
        <v>2.5</v>
      </c>
      <c r="D139">
        <v>110</v>
      </c>
      <c r="E139">
        <v>100</v>
      </c>
      <c r="F139" s="75">
        <f ca="1">INDIRECT(ADDRESS(11+(MATCH(RIGHT(Table245[[#This Row],[spawner_sku]],LEN(Table245[[#This Row],[spawner_sku]])-FIND("/",Table245[[#This Row],[spawner_sku]])),Table1[Entity Prefab],0)),10,1,1,"Entities"))</f>
        <v>25</v>
      </c>
      <c r="G139" s="75">
        <f ca="1">ROUND((Table245[[#This Row],[XP]]*Table245[[#This Row],[entity_spawned (AVG)]])*(Table245[[#This Row],[activating_chance]]/100),0)</f>
        <v>63</v>
      </c>
      <c r="H13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9" s="72">
        <v>2</v>
      </c>
      <c r="J139" s="72">
        <v>3</v>
      </c>
      <c r="K139" s="72" t="b">
        <v>0</v>
      </c>
      <c r="M139" t="s">
        <v>255</v>
      </c>
      <c r="N139">
        <v>1</v>
      </c>
      <c r="O139">
        <v>150</v>
      </c>
      <c r="P139">
        <v>40</v>
      </c>
      <c r="Q139" s="75">
        <f ca="1">INDIRECT(ADDRESS(11+(MATCH(RIGHT(Table3[[#This Row],[spawner_sku]],LEN(Table3[[#This Row],[spawner_sku]])-FIND("/",Table3[[#This Row],[spawner_sku]])),Table1[Entity Prefab],0)),10,1,1,"Entities"))</f>
        <v>25</v>
      </c>
      <c r="R139" s="75">
        <f ca="1">ROUND((Table3[[#This Row],[XP]]*Table3[[#This Row],[entity_spawned (AVG)]])*(Table3[[#This Row],[activating_chance]]/100),0)</f>
        <v>10</v>
      </c>
      <c r="S139" t="str">
        <f ca="1">INDIRECT(ADDRESS(11+(MATCH(RIGHT(Table3[[#This Row],[spawner_sku]],LEN(Table3[[#This Row],[spawner_sku]])-FIND("/",Table3[[#This Row],[spawner_sku]])),Table28[Entity Prefab],0)),24,1,1,"Entities"))</f>
        <v>no</v>
      </c>
      <c r="T139">
        <v>1</v>
      </c>
      <c r="U139">
        <v>1</v>
      </c>
      <c r="V139" t="b">
        <v>0</v>
      </c>
      <c r="W139" s="72"/>
      <c r="AI139" t="s">
        <v>229</v>
      </c>
      <c r="AJ139">
        <v>1</v>
      </c>
      <c r="AK139">
        <v>90</v>
      </c>
      <c r="AL139">
        <v>100</v>
      </c>
      <c r="AM139" s="75">
        <f ca="1">INDIRECT(ADDRESS(11+(MATCH(RIGHT(Table2[[#This Row],[spawner_sku]],LEN(Table2[[#This Row],[spawner_sku]])-FIND("/",Table2[[#This Row],[spawner_sku]])),Table1[Entity Prefab],0)),10,1,1,"Entities"))</f>
        <v>25</v>
      </c>
      <c r="AN139" s="75">
        <f ca="1">ROUND((Table2[[#This Row],[XP]]*Table2[[#This Row],[entity_spawned (AVG)]])*(Table2[[#This Row],[activating_chance]]/100),0)</f>
        <v>25</v>
      </c>
      <c r="AO13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39" s="72">
        <v>1</v>
      </c>
      <c r="AQ139" s="72">
        <v>1</v>
      </c>
      <c r="AR139" s="72" t="b">
        <v>0</v>
      </c>
      <c r="AT139" t="s">
        <v>609</v>
      </c>
      <c r="AU139">
        <v>1</v>
      </c>
      <c r="AV139">
        <v>120</v>
      </c>
      <c r="AW139">
        <v>100</v>
      </c>
      <c r="AX139" s="75">
        <f ca="1">INDIRECT(ADDRESS(11+(MATCH(RIGHT(Table6[[#This Row],[spawner_sku]],LEN(Table6[[#This Row],[spawner_sku]])-FIND("/",Table6[[#This Row],[spawner_sku]])),Table1[Entity Prefab],0)),10,1,1,"Entities"))</f>
        <v>25</v>
      </c>
      <c r="AY139" s="75">
        <f ca="1">ROUND((Table6[[#This Row],[XP]]*Table6[[#This Row],[entity_spawned (AVG)]])*(Table6[[#This Row],[activating_chance]]/100),0)</f>
        <v>25</v>
      </c>
      <c r="AZ139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39">
        <v>1</v>
      </c>
      <c r="BB139">
        <v>1</v>
      </c>
      <c r="BC139" t="b">
        <v>0</v>
      </c>
      <c r="BE139" t="s">
        <v>445</v>
      </c>
      <c r="BF139">
        <v>1</v>
      </c>
      <c r="BG139">
        <v>180</v>
      </c>
      <c r="BH139">
        <v>100</v>
      </c>
      <c r="BI139" s="75">
        <f ca="1">INDIRECT(ADDRESS(11+(MATCH(RIGHT(Table610[[#This Row],[spawner_sku]],LEN(Table610[[#This Row],[spawner_sku]])-FIND("/",Table610[[#This Row],[spawner_sku]])),Table1[Entity Prefab],0)),10,1,1,"Entities"))</f>
        <v>0</v>
      </c>
      <c r="BJ139" s="75">
        <f ca="1">ROUND((Table610[[#This Row],[XP]]*Table610[[#This Row],[entity_spawned (AVG)]])*(Table610[[#This Row],[activating_chance]]/100),0)</f>
        <v>0</v>
      </c>
      <c r="BK139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39">
        <v>1</v>
      </c>
      <c r="BM139">
        <v>1</v>
      </c>
      <c r="BN139" t="b">
        <v>0</v>
      </c>
      <c r="BP139" t="s">
        <v>233</v>
      </c>
      <c r="BQ139">
        <v>1</v>
      </c>
      <c r="BR139">
        <v>300</v>
      </c>
      <c r="BS139">
        <v>100</v>
      </c>
      <c r="BT139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39" s="75">
        <f ca="1">ROUND((Table61011[[#This Row],[XP]]*Table61011[[#This Row],[entity_spawned (AVG)]])*(Table61011[[#This Row],[activating_chance]]/100),0)</f>
        <v>195</v>
      </c>
      <c r="BV13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9" s="72">
        <v>1</v>
      </c>
      <c r="BX139" s="72">
        <v>1</v>
      </c>
      <c r="BY139" s="72" t="b">
        <v>0</v>
      </c>
      <c r="CA139" t="s">
        <v>237</v>
      </c>
      <c r="CB139">
        <v>1</v>
      </c>
      <c r="CC139">
        <v>2500</v>
      </c>
      <c r="CD139">
        <v>100</v>
      </c>
      <c r="CE139" s="75">
        <f ca="1">INDIRECT(ADDRESS(11+(MATCH(RIGHT(Table11[[#This Row],[spawner_sku]],LEN(Table11[[#This Row],[spawner_sku]])-FIND("/",Table11[[#This Row],[spawner_sku]])),Table1[Entity Prefab],0)),10,1,1,"Entities"))</f>
        <v>263</v>
      </c>
      <c r="CF139">
        <f ca="1">ROUND((Table11[[#This Row],[XP]]*Table11[[#This Row],[entity_spawned (AVG)]])*(Table11[[#This Row],[activating_chance]]/100),0)</f>
        <v>263</v>
      </c>
      <c r="CG139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39" s="72">
        <v>1</v>
      </c>
      <c r="CI139" s="72">
        <v>1</v>
      </c>
      <c r="CJ139" s="72" t="b">
        <v>0</v>
      </c>
      <c r="CL139" t="s">
        <v>255</v>
      </c>
      <c r="CM139">
        <v>1</v>
      </c>
      <c r="CN139">
        <v>150</v>
      </c>
      <c r="CO139">
        <v>80</v>
      </c>
      <c r="CP139" s="75">
        <f ca="1">INDIRECT(ADDRESS(11+(MATCH(RIGHT(Table12[[#This Row],[spawner_sku]],LEN(Table12[[#This Row],[spawner_sku]])-FIND("/",Table12[[#This Row],[spawner_sku]])),Table1[Entity Prefab],0)),10,1,1,"Entities"))</f>
        <v>25</v>
      </c>
      <c r="CQ139" s="75">
        <f ca="1">ROUND((Table12[[#This Row],[XP]]*Table12[[#This Row],[entity_spawned (AVG)]])*(Table12[[#This Row],[activating_chance]]/100),0)</f>
        <v>20</v>
      </c>
      <c r="CR139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39" s="72">
        <v>1</v>
      </c>
      <c r="CT139" s="72">
        <v>1</v>
      </c>
      <c r="CU139" s="72" t="b">
        <v>0</v>
      </c>
      <c r="CW139" t="s">
        <v>385</v>
      </c>
      <c r="CX139">
        <v>1</v>
      </c>
      <c r="CY139">
        <v>200</v>
      </c>
      <c r="CZ139">
        <v>100</v>
      </c>
      <c r="DA139" s="75">
        <f ca="1">INDIRECT(ADDRESS(11+(MATCH(RIGHT(Table13[[#This Row],[spawner_sku]],LEN(Table13[[#This Row],[spawner_sku]])-FIND("/",Table13[[#This Row],[spawner_sku]])),Table1[Entity Prefab],0)),10,1,1,"Entities"))</f>
        <v>75</v>
      </c>
      <c r="DB139" s="75">
        <f ca="1">ROUND((Table13[[#This Row],[XP]]*Table13[[#This Row],[entity_spawned (AVG)]])*(Table13[[#This Row],[activating_chance]]/100),0)</f>
        <v>75</v>
      </c>
      <c r="DC139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139" s="72">
        <v>1</v>
      </c>
      <c r="DE139" s="72">
        <v>1</v>
      </c>
      <c r="DF139" s="72" t="b">
        <v>0</v>
      </c>
      <c r="DH139" t="s">
        <v>227</v>
      </c>
      <c r="DI139">
        <v>7</v>
      </c>
      <c r="DJ139">
        <v>200</v>
      </c>
      <c r="DK139">
        <v>80</v>
      </c>
      <c r="DL139" s="75">
        <f ca="1">INDIRECT(ADDRESS(11+(MATCH(RIGHT(Table14[[#This Row],[spawner_sku]],LEN(Table14[[#This Row],[spawner_sku]])-FIND("/",Table14[[#This Row],[spawner_sku]])),Table1[Entity Prefab],0)),10,1,1,"Entities"))</f>
        <v>25</v>
      </c>
      <c r="DM139" s="75">
        <f ca="1">ROUND((Table14[[#This Row],[XP]]*Table14[[#This Row],[entity_spawned (AVG)]])*(Table14[[#This Row],[activating_chance]]/100),0)</f>
        <v>140</v>
      </c>
      <c r="DN13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39" s="72">
        <v>6</v>
      </c>
      <c r="DP139" s="72">
        <v>8</v>
      </c>
      <c r="DQ139" s="72" t="b">
        <v>1</v>
      </c>
      <c r="DS139" t="s">
        <v>402</v>
      </c>
      <c r="DT139">
        <v>1</v>
      </c>
      <c r="DU139">
        <v>340</v>
      </c>
      <c r="DV139">
        <v>100</v>
      </c>
      <c r="DW139" s="75">
        <f ca="1">INDIRECT(ADDRESS(11+(MATCH(RIGHT(Table18[[#This Row],[spawner_sku]],LEN(Table18[[#This Row],[spawner_sku]])-FIND("/",Table18[[#This Row],[spawner_sku]])),Table1[Entity Prefab],0)),10,1,1,"Entities"))</f>
        <v>263</v>
      </c>
      <c r="DX139" s="75">
        <f ca="1">ROUND((Table18[[#This Row],[XP]]*Table18[[#This Row],[entity_spawned (AVG)]])*(Table18[[#This Row],[activating_chance]]/100),0)</f>
        <v>263</v>
      </c>
      <c r="DY139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39">
        <v>1</v>
      </c>
      <c r="EA139">
        <v>1</v>
      </c>
      <c r="EB139" t="b">
        <v>0</v>
      </c>
      <c r="ED139" t="s">
        <v>517</v>
      </c>
      <c r="EE139">
        <v>1</v>
      </c>
      <c r="EF139">
        <v>150</v>
      </c>
      <c r="EG139">
        <v>100</v>
      </c>
      <c r="EH139" s="75">
        <f ca="1">INDIRECT(ADDRESS(11+(MATCH(RIGHT(Table1820[[#This Row],[spawner_sku]],LEN(Table1820[[#This Row],[spawner_sku]])-FIND("/",Table1820[[#This Row],[spawner_sku]])),Table1[Entity Prefab],0)),10,1,1,"Entities"))</f>
        <v>95</v>
      </c>
      <c r="EI139" s="75">
        <f ca="1">ROUND((Table1820[[#This Row],[XP]]*Table1820[[#This Row],[entity_spawned (AVG)]])*(Table1820[[#This Row],[activating_chance]]/100),0)</f>
        <v>95</v>
      </c>
      <c r="EJ139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39">
        <v>1</v>
      </c>
      <c r="EL139">
        <v>1</v>
      </c>
      <c r="EM139" t="b">
        <v>0</v>
      </c>
      <c r="EO139" t="s">
        <v>7348</v>
      </c>
      <c r="EP139">
        <v>2</v>
      </c>
      <c r="EQ139">
        <v>70</v>
      </c>
      <c r="ER139">
        <v>100</v>
      </c>
      <c r="ES139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ET139" s="75">
        <f ca="1">ROUND((Table182023[[#This Row],[XP]]*Table182023[[#This Row],[entity_spawned (AVG)]])*(Table182023[[#This Row],[activating_chance]]/100),0)</f>
        <v>50</v>
      </c>
      <c r="EU139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139" s="152">
        <v>1</v>
      </c>
      <c r="EW139" s="152">
        <v>3</v>
      </c>
      <c r="EX139" s="152" t="b">
        <v>0</v>
      </c>
      <c r="EZ139" t="s">
        <v>7341</v>
      </c>
      <c r="FA139">
        <v>1</v>
      </c>
      <c r="FB139">
        <v>100</v>
      </c>
      <c r="FC139">
        <v>100</v>
      </c>
      <c r="FD139" s="75">
        <f ca="1">INDIRECT(ADDRESS(11+(MATCH(RIGHT(Table18202324[[#This Row],[spawner_sku]],LEN(Table18202324[[#This Row],[spawner_sku]])-FIND("/",Table18202324[[#This Row],[spawner_sku]])),Table1[Entity Prefab],0)),10,1,1,"Entities"))</f>
        <v>105</v>
      </c>
      <c r="FE139" s="75">
        <f ca="1">ROUND((Table18202324[[#This Row],[XP]]*Table18202324[[#This Row],[entity_spawned (AVG)]])*(Table18202324[[#This Row],[activating_chance]]/100),0)</f>
        <v>105</v>
      </c>
      <c r="FF139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39">
        <v>1</v>
      </c>
      <c r="FH139">
        <v>1</v>
      </c>
      <c r="FI139" t="b">
        <v>0</v>
      </c>
    </row>
    <row r="140" spans="2:165" x14ac:dyDescent="0.25">
      <c r="B140" s="73" t="s">
        <v>228</v>
      </c>
      <c r="C140">
        <v>1</v>
      </c>
      <c r="D140">
        <v>60</v>
      </c>
      <c r="E140">
        <v>100</v>
      </c>
      <c r="F140" s="75">
        <f ca="1">INDIRECT(ADDRESS(11+(MATCH(RIGHT(Table245[[#This Row],[spawner_sku]],LEN(Table245[[#This Row],[spawner_sku]])-FIND("/",Table245[[#This Row],[spawner_sku]])),Table1[Entity Prefab],0)),10,1,1,"Entities"))</f>
        <v>25</v>
      </c>
      <c r="G140" s="75">
        <f ca="1">ROUND((Table245[[#This Row],[XP]]*Table245[[#This Row],[entity_spawned (AVG)]])*(Table245[[#This Row],[activating_chance]]/100),0)</f>
        <v>25</v>
      </c>
      <c r="H14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0" s="72">
        <v>1</v>
      </c>
      <c r="J140" s="72">
        <v>1</v>
      </c>
      <c r="K140" s="72" t="b">
        <v>0</v>
      </c>
      <c r="M140" t="s">
        <v>255</v>
      </c>
      <c r="N140">
        <v>1</v>
      </c>
      <c r="O140">
        <v>170</v>
      </c>
      <c r="P140">
        <v>100</v>
      </c>
      <c r="Q140" s="75">
        <f ca="1">INDIRECT(ADDRESS(11+(MATCH(RIGHT(Table3[[#This Row],[spawner_sku]],LEN(Table3[[#This Row],[spawner_sku]])-FIND("/",Table3[[#This Row],[spawner_sku]])),Table1[Entity Prefab],0)),10,1,1,"Entities"))</f>
        <v>25</v>
      </c>
      <c r="R140" s="75">
        <f ca="1">ROUND((Table3[[#This Row],[XP]]*Table3[[#This Row],[entity_spawned (AVG)]])*(Table3[[#This Row],[activating_chance]]/100),0)</f>
        <v>25</v>
      </c>
      <c r="S140" t="str">
        <f ca="1">INDIRECT(ADDRESS(11+(MATCH(RIGHT(Table3[[#This Row],[spawner_sku]],LEN(Table3[[#This Row],[spawner_sku]])-FIND("/",Table3[[#This Row],[spawner_sku]])),Table28[Entity Prefab],0)),24,1,1,"Entities"))</f>
        <v>no</v>
      </c>
      <c r="T140">
        <v>1</v>
      </c>
      <c r="U140">
        <v>1</v>
      </c>
      <c r="V140" t="b">
        <v>0</v>
      </c>
      <c r="W140" s="72"/>
      <c r="AI140" t="s">
        <v>229</v>
      </c>
      <c r="AJ140">
        <v>1</v>
      </c>
      <c r="AK140">
        <v>90</v>
      </c>
      <c r="AL140">
        <v>100</v>
      </c>
      <c r="AM140" s="75">
        <f ca="1">INDIRECT(ADDRESS(11+(MATCH(RIGHT(Table2[[#This Row],[spawner_sku]],LEN(Table2[[#This Row],[spawner_sku]])-FIND("/",Table2[[#This Row],[spawner_sku]])),Table1[Entity Prefab],0)),10,1,1,"Entities"))</f>
        <v>25</v>
      </c>
      <c r="AN140" s="75">
        <f ca="1">ROUND((Table2[[#This Row],[XP]]*Table2[[#This Row],[entity_spawned (AVG)]])*(Table2[[#This Row],[activating_chance]]/100),0)</f>
        <v>25</v>
      </c>
      <c r="AO14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40" s="72">
        <v>1</v>
      </c>
      <c r="AQ140" s="72">
        <v>1</v>
      </c>
      <c r="AR140" s="72" t="b">
        <v>0</v>
      </c>
      <c r="AT140" t="s">
        <v>609</v>
      </c>
      <c r="AU140">
        <v>1</v>
      </c>
      <c r="AV140">
        <v>130</v>
      </c>
      <c r="AW140">
        <v>100</v>
      </c>
      <c r="AX140" s="75">
        <f ca="1">INDIRECT(ADDRESS(11+(MATCH(RIGHT(Table6[[#This Row],[spawner_sku]],LEN(Table6[[#This Row],[spawner_sku]])-FIND("/",Table6[[#This Row],[spawner_sku]])),Table1[Entity Prefab],0)),10,1,1,"Entities"))</f>
        <v>25</v>
      </c>
      <c r="AY140" s="75">
        <f ca="1">ROUND((Table6[[#This Row],[XP]]*Table6[[#This Row],[entity_spawned (AVG)]])*(Table6[[#This Row],[activating_chance]]/100),0)</f>
        <v>25</v>
      </c>
      <c r="AZ140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40">
        <v>1</v>
      </c>
      <c r="BB140">
        <v>1</v>
      </c>
      <c r="BC140" t="b">
        <v>0</v>
      </c>
      <c r="BE140" t="s">
        <v>445</v>
      </c>
      <c r="BF140">
        <v>1</v>
      </c>
      <c r="BG140">
        <v>180</v>
      </c>
      <c r="BH140">
        <v>100</v>
      </c>
      <c r="BI140" s="75">
        <f ca="1">INDIRECT(ADDRESS(11+(MATCH(RIGHT(Table610[[#This Row],[spawner_sku]],LEN(Table610[[#This Row],[spawner_sku]])-FIND("/",Table610[[#This Row],[spawner_sku]])),Table1[Entity Prefab],0)),10,1,1,"Entities"))</f>
        <v>0</v>
      </c>
      <c r="BJ140" s="75">
        <f ca="1">ROUND((Table610[[#This Row],[XP]]*Table610[[#This Row],[entity_spawned (AVG)]])*(Table610[[#This Row],[activating_chance]]/100),0)</f>
        <v>0</v>
      </c>
      <c r="BK140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40">
        <v>1</v>
      </c>
      <c r="BM140">
        <v>1</v>
      </c>
      <c r="BN140" t="b">
        <v>0</v>
      </c>
      <c r="BP140" t="s">
        <v>336</v>
      </c>
      <c r="BQ140">
        <v>1</v>
      </c>
      <c r="BR140">
        <v>300</v>
      </c>
      <c r="BS140">
        <v>100</v>
      </c>
      <c r="BT140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40" s="75">
        <f ca="1">ROUND((Table61011[[#This Row],[XP]]*Table61011[[#This Row],[entity_spawned (AVG)]])*(Table61011[[#This Row],[activating_chance]]/100),0)</f>
        <v>195</v>
      </c>
      <c r="BV14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0" s="72">
        <v>1</v>
      </c>
      <c r="BX140" s="72">
        <v>1</v>
      </c>
      <c r="BY140" s="72" t="b">
        <v>0</v>
      </c>
      <c r="CA140" t="s">
        <v>237</v>
      </c>
      <c r="CB140">
        <v>1</v>
      </c>
      <c r="CC140">
        <v>2500</v>
      </c>
      <c r="CD140">
        <v>100</v>
      </c>
      <c r="CE140" s="75">
        <f ca="1">INDIRECT(ADDRESS(11+(MATCH(RIGHT(Table11[[#This Row],[spawner_sku]],LEN(Table11[[#This Row],[spawner_sku]])-FIND("/",Table11[[#This Row],[spawner_sku]])),Table1[Entity Prefab],0)),10,1,1,"Entities"))</f>
        <v>263</v>
      </c>
      <c r="CF140">
        <f ca="1">ROUND((Table11[[#This Row],[XP]]*Table11[[#This Row],[entity_spawned (AVG)]])*(Table11[[#This Row],[activating_chance]]/100),0)</f>
        <v>263</v>
      </c>
      <c r="CG140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40" s="72">
        <v>1</v>
      </c>
      <c r="CI140" s="72">
        <v>1</v>
      </c>
      <c r="CJ140" s="72" t="b">
        <v>0</v>
      </c>
      <c r="CL140" t="s">
        <v>255</v>
      </c>
      <c r="CM140">
        <v>1</v>
      </c>
      <c r="CN140">
        <v>150</v>
      </c>
      <c r="CO140">
        <v>100</v>
      </c>
      <c r="CP140" s="75">
        <f ca="1">INDIRECT(ADDRESS(11+(MATCH(RIGHT(Table12[[#This Row],[spawner_sku]],LEN(Table12[[#This Row],[spawner_sku]])-FIND("/",Table12[[#This Row],[spawner_sku]])),Table1[Entity Prefab],0)),10,1,1,"Entities"))</f>
        <v>25</v>
      </c>
      <c r="CQ140" s="75">
        <f ca="1">ROUND((Table12[[#This Row],[XP]]*Table12[[#This Row],[entity_spawned (AVG)]])*(Table12[[#This Row],[activating_chance]]/100),0)</f>
        <v>25</v>
      </c>
      <c r="CR140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40" s="72">
        <v>1</v>
      </c>
      <c r="CT140" s="72">
        <v>1</v>
      </c>
      <c r="CU140" s="72" t="b">
        <v>0</v>
      </c>
      <c r="CW140" t="s">
        <v>385</v>
      </c>
      <c r="CX140">
        <v>1</v>
      </c>
      <c r="CY140">
        <v>200</v>
      </c>
      <c r="CZ140">
        <v>100</v>
      </c>
      <c r="DA140" s="75">
        <f ca="1">INDIRECT(ADDRESS(11+(MATCH(RIGHT(Table13[[#This Row],[spawner_sku]],LEN(Table13[[#This Row],[spawner_sku]])-FIND("/",Table13[[#This Row],[spawner_sku]])),Table1[Entity Prefab],0)),10,1,1,"Entities"))</f>
        <v>75</v>
      </c>
      <c r="DB140" s="75">
        <f ca="1">ROUND((Table13[[#This Row],[XP]]*Table13[[#This Row],[entity_spawned (AVG)]])*(Table13[[#This Row],[activating_chance]]/100),0)</f>
        <v>75</v>
      </c>
      <c r="DC140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140" s="72">
        <v>1</v>
      </c>
      <c r="DE140" s="72">
        <v>1</v>
      </c>
      <c r="DF140" s="72" t="b">
        <v>0</v>
      </c>
      <c r="DH140" t="s">
        <v>227</v>
      </c>
      <c r="DI140">
        <v>17</v>
      </c>
      <c r="DJ140">
        <v>180</v>
      </c>
      <c r="DK140">
        <v>100</v>
      </c>
      <c r="DL140" s="75">
        <f ca="1">INDIRECT(ADDRESS(11+(MATCH(RIGHT(Table14[[#This Row],[spawner_sku]],LEN(Table14[[#This Row],[spawner_sku]])-FIND("/",Table14[[#This Row],[spawner_sku]])),Table1[Entity Prefab],0)),10,1,1,"Entities"))</f>
        <v>25</v>
      </c>
      <c r="DM140" s="75">
        <f ca="1">ROUND((Table14[[#This Row],[XP]]*Table14[[#This Row],[entity_spawned (AVG)]])*(Table14[[#This Row],[activating_chance]]/100),0)</f>
        <v>425</v>
      </c>
      <c r="DN14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40" s="72">
        <v>14</v>
      </c>
      <c r="DP140" s="72">
        <v>20</v>
      </c>
      <c r="DQ140" s="72" t="b">
        <v>1</v>
      </c>
      <c r="DS140" t="s">
        <v>402</v>
      </c>
      <c r="DT140">
        <v>1</v>
      </c>
      <c r="DU140">
        <v>340</v>
      </c>
      <c r="DV140">
        <v>100</v>
      </c>
      <c r="DW140" s="75">
        <f ca="1">INDIRECT(ADDRESS(11+(MATCH(RIGHT(Table18[[#This Row],[spawner_sku]],LEN(Table18[[#This Row],[spawner_sku]])-FIND("/",Table18[[#This Row],[spawner_sku]])),Table1[Entity Prefab],0)),10,1,1,"Entities"))</f>
        <v>263</v>
      </c>
      <c r="DX140" s="75">
        <f ca="1">ROUND((Table18[[#This Row],[XP]]*Table18[[#This Row],[entity_spawned (AVG)]])*(Table18[[#This Row],[activating_chance]]/100),0)</f>
        <v>263</v>
      </c>
      <c r="DY140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40">
        <v>1</v>
      </c>
      <c r="EA140">
        <v>1</v>
      </c>
      <c r="EB140" t="b">
        <v>0</v>
      </c>
      <c r="ED140" t="s">
        <v>517</v>
      </c>
      <c r="EE140">
        <v>1</v>
      </c>
      <c r="EF140">
        <v>140</v>
      </c>
      <c r="EG140">
        <v>100</v>
      </c>
      <c r="EH140" s="75">
        <f ca="1">INDIRECT(ADDRESS(11+(MATCH(RIGHT(Table1820[[#This Row],[spawner_sku]],LEN(Table1820[[#This Row],[spawner_sku]])-FIND("/",Table1820[[#This Row],[spawner_sku]])),Table1[Entity Prefab],0)),10,1,1,"Entities"))</f>
        <v>95</v>
      </c>
      <c r="EI140" s="75">
        <f ca="1">ROUND((Table1820[[#This Row],[XP]]*Table1820[[#This Row],[entity_spawned (AVG)]])*(Table1820[[#This Row],[activating_chance]]/100),0)</f>
        <v>95</v>
      </c>
      <c r="EJ140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40">
        <v>1</v>
      </c>
      <c r="EL140">
        <v>1</v>
      </c>
      <c r="EM140" t="b">
        <v>0</v>
      </c>
      <c r="EO140" t="s">
        <v>7348</v>
      </c>
      <c r="EP140">
        <v>1.5</v>
      </c>
      <c r="EQ140">
        <v>70</v>
      </c>
      <c r="ER140">
        <v>100</v>
      </c>
      <c r="ES140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ET140" s="75">
        <f ca="1">ROUND((Table182023[[#This Row],[XP]]*Table182023[[#This Row],[entity_spawned (AVG)]])*(Table182023[[#This Row],[activating_chance]]/100),0)</f>
        <v>38</v>
      </c>
      <c r="EU140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140" s="152">
        <v>1</v>
      </c>
      <c r="EW140" s="152">
        <v>2</v>
      </c>
      <c r="EX140" s="152" t="b">
        <v>0</v>
      </c>
      <c r="EZ140" t="s">
        <v>7341</v>
      </c>
      <c r="FA140">
        <v>1</v>
      </c>
      <c r="FB140">
        <v>90</v>
      </c>
      <c r="FC140">
        <v>100</v>
      </c>
      <c r="FD140" s="75">
        <f ca="1">INDIRECT(ADDRESS(11+(MATCH(RIGHT(Table18202324[[#This Row],[spawner_sku]],LEN(Table18202324[[#This Row],[spawner_sku]])-FIND("/",Table18202324[[#This Row],[spawner_sku]])),Table1[Entity Prefab],0)),10,1,1,"Entities"))</f>
        <v>105</v>
      </c>
      <c r="FE140" s="75">
        <f ca="1">ROUND((Table18202324[[#This Row],[XP]]*Table18202324[[#This Row],[entity_spawned (AVG)]])*(Table18202324[[#This Row],[activating_chance]]/100),0)</f>
        <v>105</v>
      </c>
      <c r="FF140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40">
        <v>1</v>
      </c>
      <c r="FH140">
        <v>1</v>
      </c>
      <c r="FI140" t="b">
        <v>0</v>
      </c>
    </row>
    <row r="141" spans="2:165" x14ac:dyDescent="0.25">
      <c r="B141" s="73" t="s">
        <v>228</v>
      </c>
      <c r="C141">
        <v>3</v>
      </c>
      <c r="D141">
        <v>160</v>
      </c>
      <c r="E141">
        <v>100</v>
      </c>
      <c r="F141" s="75">
        <f ca="1">INDIRECT(ADDRESS(11+(MATCH(RIGHT(Table245[[#This Row],[spawner_sku]],LEN(Table245[[#This Row],[spawner_sku]])-FIND("/",Table245[[#This Row],[spawner_sku]])),Table1[Entity Prefab],0)),10,1,1,"Entities"))</f>
        <v>25</v>
      </c>
      <c r="G141" s="75">
        <f ca="1">ROUND((Table245[[#This Row],[XP]]*Table245[[#This Row],[entity_spawned (AVG)]])*(Table245[[#This Row],[activating_chance]]/100),0)</f>
        <v>75</v>
      </c>
      <c r="H14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1" s="72">
        <v>2</v>
      </c>
      <c r="J141" s="72">
        <v>4</v>
      </c>
      <c r="K141" s="72" t="b">
        <v>0</v>
      </c>
      <c r="M141" t="s">
        <v>255</v>
      </c>
      <c r="N141">
        <v>1</v>
      </c>
      <c r="O141">
        <v>150</v>
      </c>
      <c r="P141">
        <v>100</v>
      </c>
      <c r="Q141" s="75">
        <f ca="1">INDIRECT(ADDRESS(11+(MATCH(RIGHT(Table3[[#This Row],[spawner_sku]],LEN(Table3[[#This Row],[spawner_sku]])-FIND("/",Table3[[#This Row],[spawner_sku]])),Table1[Entity Prefab],0)),10,1,1,"Entities"))</f>
        <v>25</v>
      </c>
      <c r="R141" s="75">
        <f ca="1">ROUND((Table3[[#This Row],[XP]]*Table3[[#This Row],[entity_spawned (AVG)]])*(Table3[[#This Row],[activating_chance]]/100),0)</f>
        <v>25</v>
      </c>
      <c r="S141" t="str">
        <f ca="1">INDIRECT(ADDRESS(11+(MATCH(RIGHT(Table3[[#This Row],[spawner_sku]],LEN(Table3[[#This Row],[spawner_sku]])-FIND("/",Table3[[#This Row],[spawner_sku]])),Table28[Entity Prefab],0)),24,1,1,"Entities"))</f>
        <v>no</v>
      </c>
      <c r="T141">
        <v>1</v>
      </c>
      <c r="U141">
        <v>1</v>
      </c>
      <c r="V141" t="b">
        <v>0</v>
      </c>
      <c r="W141" s="72"/>
      <c r="AI141" t="s">
        <v>229</v>
      </c>
      <c r="AJ141">
        <v>7.5</v>
      </c>
      <c r="AK141">
        <v>160</v>
      </c>
      <c r="AL141">
        <v>100</v>
      </c>
      <c r="AM141" s="75">
        <f ca="1">INDIRECT(ADDRESS(11+(MATCH(RIGHT(Table2[[#This Row],[spawner_sku]],LEN(Table2[[#This Row],[spawner_sku]])-FIND("/",Table2[[#This Row],[spawner_sku]])),Table1[Entity Prefab],0)),10,1,1,"Entities"))</f>
        <v>25</v>
      </c>
      <c r="AN141" s="75">
        <f ca="1">ROUND((Table2[[#This Row],[XP]]*Table2[[#This Row],[entity_spawned (AVG)]])*(Table2[[#This Row],[activating_chance]]/100),0)</f>
        <v>188</v>
      </c>
      <c r="AO14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41" s="72">
        <v>5</v>
      </c>
      <c r="AQ141" s="72">
        <v>10</v>
      </c>
      <c r="AR141" s="72" t="b">
        <v>1</v>
      </c>
      <c r="AT141" t="s">
        <v>609</v>
      </c>
      <c r="AU141">
        <v>1</v>
      </c>
      <c r="AV141">
        <v>120</v>
      </c>
      <c r="AW141">
        <v>100</v>
      </c>
      <c r="AX141" s="75">
        <f ca="1">INDIRECT(ADDRESS(11+(MATCH(RIGHT(Table6[[#This Row],[spawner_sku]],LEN(Table6[[#This Row],[spawner_sku]])-FIND("/",Table6[[#This Row],[spawner_sku]])),Table1[Entity Prefab],0)),10,1,1,"Entities"))</f>
        <v>25</v>
      </c>
      <c r="AY141" s="75">
        <f ca="1">ROUND((Table6[[#This Row],[XP]]*Table6[[#This Row],[entity_spawned (AVG)]])*(Table6[[#This Row],[activating_chance]]/100),0)</f>
        <v>25</v>
      </c>
      <c r="AZ141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41">
        <v>1</v>
      </c>
      <c r="BB141">
        <v>1</v>
      </c>
      <c r="BC141" t="b">
        <v>0</v>
      </c>
      <c r="BE141" t="s">
        <v>445</v>
      </c>
      <c r="BF141">
        <v>1</v>
      </c>
      <c r="BG141">
        <v>180</v>
      </c>
      <c r="BH141">
        <v>100</v>
      </c>
      <c r="BI141" s="75">
        <f ca="1">INDIRECT(ADDRESS(11+(MATCH(RIGHT(Table610[[#This Row],[spawner_sku]],LEN(Table610[[#This Row],[spawner_sku]])-FIND("/",Table610[[#This Row],[spawner_sku]])),Table1[Entity Prefab],0)),10,1,1,"Entities"))</f>
        <v>0</v>
      </c>
      <c r="BJ141" s="75">
        <f ca="1">ROUND((Table610[[#This Row],[XP]]*Table610[[#This Row],[entity_spawned (AVG)]])*(Table610[[#This Row],[activating_chance]]/100),0)</f>
        <v>0</v>
      </c>
      <c r="BK141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41">
        <v>1</v>
      </c>
      <c r="BM141">
        <v>1</v>
      </c>
      <c r="BN141" t="b">
        <v>0</v>
      </c>
      <c r="BP141" t="s">
        <v>336</v>
      </c>
      <c r="BQ141">
        <v>1</v>
      </c>
      <c r="BR141">
        <v>300</v>
      </c>
      <c r="BS141">
        <v>100</v>
      </c>
      <c r="BT141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41" s="75">
        <f ca="1">ROUND((Table61011[[#This Row],[XP]]*Table61011[[#This Row],[entity_spawned (AVG)]])*(Table61011[[#This Row],[activating_chance]]/100),0)</f>
        <v>195</v>
      </c>
      <c r="BV14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1" s="72">
        <v>1</v>
      </c>
      <c r="BX141" s="72">
        <v>1</v>
      </c>
      <c r="BY141" s="72" t="b">
        <v>0</v>
      </c>
      <c r="CA141" t="s">
        <v>237</v>
      </c>
      <c r="CB141">
        <v>1</v>
      </c>
      <c r="CC141">
        <v>2500</v>
      </c>
      <c r="CD141">
        <v>100</v>
      </c>
      <c r="CE141" s="75">
        <f ca="1">INDIRECT(ADDRESS(11+(MATCH(RIGHT(Table11[[#This Row],[spawner_sku]],LEN(Table11[[#This Row],[spawner_sku]])-FIND("/",Table11[[#This Row],[spawner_sku]])),Table1[Entity Prefab],0)),10,1,1,"Entities"))</f>
        <v>263</v>
      </c>
      <c r="CF141">
        <f ca="1">ROUND((Table11[[#This Row],[XP]]*Table11[[#This Row],[entity_spawned (AVG)]])*(Table11[[#This Row],[activating_chance]]/100),0)</f>
        <v>263</v>
      </c>
      <c r="CG141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41" s="72">
        <v>1</v>
      </c>
      <c r="CI141" s="72">
        <v>1</v>
      </c>
      <c r="CJ141" s="72" t="b">
        <v>0</v>
      </c>
      <c r="CL141" t="s">
        <v>255</v>
      </c>
      <c r="CM141">
        <v>1</v>
      </c>
      <c r="CN141">
        <v>150</v>
      </c>
      <c r="CO141">
        <v>100</v>
      </c>
      <c r="CP141" s="75">
        <f ca="1">INDIRECT(ADDRESS(11+(MATCH(RIGHT(Table12[[#This Row],[spawner_sku]],LEN(Table12[[#This Row],[spawner_sku]])-FIND("/",Table12[[#This Row],[spawner_sku]])),Table1[Entity Prefab],0)),10,1,1,"Entities"))</f>
        <v>25</v>
      </c>
      <c r="CQ141" s="75">
        <f ca="1">ROUND((Table12[[#This Row],[XP]]*Table12[[#This Row],[entity_spawned (AVG)]])*(Table12[[#This Row],[activating_chance]]/100),0)</f>
        <v>25</v>
      </c>
      <c r="CR141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41" s="72">
        <v>1</v>
      </c>
      <c r="CT141" s="72">
        <v>1</v>
      </c>
      <c r="CU141" s="72" t="b">
        <v>0</v>
      </c>
      <c r="CW141" t="s">
        <v>385</v>
      </c>
      <c r="CX141">
        <v>1</v>
      </c>
      <c r="CY141">
        <v>200</v>
      </c>
      <c r="CZ141">
        <v>100</v>
      </c>
      <c r="DA141" s="75">
        <f ca="1">INDIRECT(ADDRESS(11+(MATCH(RIGHT(Table13[[#This Row],[spawner_sku]],LEN(Table13[[#This Row],[spawner_sku]])-FIND("/",Table13[[#This Row],[spawner_sku]])),Table1[Entity Prefab],0)),10,1,1,"Entities"))</f>
        <v>75</v>
      </c>
      <c r="DB141" s="75">
        <f ca="1">ROUND((Table13[[#This Row],[XP]]*Table13[[#This Row],[entity_spawned (AVG)]])*(Table13[[#This Row],[activating_chance]]/100),0)</f>
        <v>75</v>
      </c>
      <c r="DC141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141" s="72">
        <v>1</v>
      </c>
      <c r="DE141" s="72">
        <v>1</v>
      </c>
      <c r="DF141" s="72" t="b">
        <v>0</v>
      </c>
      <c r="DH141" t="s">
        <v>227</v>
      </c>
      <c r="DI141">
        <v>20</v>
      </c>
      <c r="DJ141">
        <v>170</v>
      </c>
      <c r="DK141">
        <v>100</v>
      </c>
      <c r="DL141" s="75">
        <f ca="1">INDIRECT(ADDRESS(11+(MATCH(RIGHT(Table14[[#This Row],[spawner_sku]],LEN(Table14[[#This Row],[spawner_sku]])-FIND("/",Table14[[#This Row],[spawner_sku]])),Table1[Entity Prefab],0)),10,1,1,"Entities"))</f>
        <v>25</v>
      </c>
      <c r="DM141" s="75">
        <f ca="1">ROUND((Table14[[#This Row],[XP]]*Table14[[#This Row],[entity_spawned (AVG)]])*(Table14[[#This Row],[activating_chance]]/100),0)</f>
        <v>500</v>
      </c>
      <c r="DN14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41" s="72">
        <v>20</v>
      </c>
      <c r="DP141" s="72">
        <v>20</v>
      </c>
      <c r="DQ141" s="72" t="b">
        <v>1</v>
      </c>
      <c r="DS141" t="s">
        <v>402</v>
      </c>
      <c r="DT141">
        <v>1</v>
      </c>
      <c r="DU141">
        <v>240</v>
      </c>
      <c r="DV141">
        <v>100</v>
      </c>
      <c r="DW141" s="75">
        <f ca="1">INDIRECT(ADDRESS(11+(MATCH(RIGHT(Table18[[#This Row],[spawner_sku]],LEN(Table18[[#This Row],[spawner_sku]])-FIND("/",Table18[[#This Row],[spawner_sku]])),Table1[Entity Prefab],0)),10,1,1,"Entities"))</f>
        <v>263</v>
      </c>
      <c r="DX141" s="75">
        <f ca="1">ROUND((Table18[[#This Row],[XP]]*Table18[[#This Row],[entity_spawned (AVG)]])*(Table18[[#This Row],[activating_chance]]/100),0)</f>
        <v>263</v>
      </c>
      <c r="DY141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41">
        <v>1</v>
      </c>
      <c r="EA141">
        <v>1</v>
      </c>
      <c r="EB141" t="b">
        <v>0</v>
      </c>
      <c r="ED141" t="s">
        <v>517</v>
      </c>
      <c r="EE141">
        <v>1</v>
      </c>
      <c r="EF141">
        <v>140</v>
      </c>
      <c r="EG141">
        <v>100</v>
      </c>
      <c r="EH141" s="75">
        <f ca="1">INDIRECT(ADDRESS(11+(MATCH(RIGHT(Table1820[[#This Row],[spawner_sku]],LEN(Table1820[[#This Row],[spawner_sku]])-FIND("/",Table1820[[#This Row],[spawner_sku]])),Table1[Entity Prefab],0)),10,1,1,"Entities"))</f>
        <v>95</v>
      </c>
      <c r="EI141" s="75">
        <f ca="1">ROUND((Table1820[[#This Row],[XP]]*Table1820[[#This Row],[entity_spawned (AVG)]])*(Table1820[[#This Row],[activating_chance]]/100),0)</f>
        <v>95</v>
      </c>
      <c r="EJ141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41">
        <v>1</v>
      </c>
      <c r="EL141">
        <v>1</v>
      </c>
      <c r="EM141" t="b">
        <v>0</v>
      </c>
      <c r="EO141" t="s">
        <v>7348</v>
      </c>
      <c r="EP141">
        <v>2.5</v>
      </c>
      <c r="EQ141">
        <v>70</v>
      </c>
      <c r="ER141">
        <v>100</v>
      </c>
      <c r="ES141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ET141" s="75">
        <f ca="1">ROUND((Table182023[[#This Row],[XP]]*Table182023[[#This Row],[entity_spawned (AVG)]])*(Table182023[[#This Row],[activating_chance]]/100),0)</f>
        <v>63</v>
      </c>
      <c r="EU141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141" s="152">
        <v>2</v>
      </c>
      <c r="EW141" s="152">
        <v>3</v>
      </c>
      <c r="EX141" s="152" t="b">
        <v>0</v>
      </c>
      <c r="EZ141" t="s">
        <v>7339</v>
      </c>
      <c r="FA141">
        <v>1</v>
      </c>
      <c r="FB141">
        <v>90</v>
      </c>
      <c r="FC141">
        <v>100</v>
      </c>
      <c r="FD141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141" s="75">
        <f ca="1">ROUND((Table18202324[[#This Row],[XP]]*Table18202324[[#This Row],[entity_spawned (AVG)]])*(Table18202324[[#This Row],[activating_chance]]/100),0)</f>
        <v>25</v>
      </c>
      <c r="FF141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41">
        <v>1</v>
      </c>
      <c r="FH141">
        <v>1</v>
      </c>
      <c r="FI141" t="b">
        <v>0</v>
      </c>
    </row>
    <row r="142" spans="2:165" x14ac:dyDescent="0.25">
      <c r="B142" s="73" t="s">
        <v>228</v>
      </c>
      <c r="C142">
        <v>1</v>
      </c>
      <c r="D142">
        <v>80</v>
      </c>
      <c r="E142">
        <v>80</v>
      </c>
      <c r="F142" s="75">
        <f ca="1">INDIRECT(ADDRESS(11+(MATCH(RIGHT(Table245[[#This Row],[spawner_sku]],LEN(Table245[[#This Row],[spawner_sku]])-FIND("/",Table245[[#This Row],[spawner_sku]])),Table1[Entity Prefab],0)),10,1,1,"Entities"))</f>
        <v>25</v>
      </c>
      <c r="G142" s="75">
        <f ca="1">ROUND((Table245[[#This Row],[XP]]*Table245[[#This Row],[entity_spawned (AVG)]])*(Table245[[#This Row],[activating_chance]]/100),0)</f>
        <v>20</v>
      </c>
      <c r="H14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2" s="72">
        <v>1</v>
      </c>
      <c r="J142" s="72">
        <v>1</v>
      </c>
      <c r="K142" s="72" t="b">
        <v>0</v>
      </c>
      <c r="M142" t="s">
        <v>255</v>
      </c>
      <c r="N142">
        <v>1</v>
      </c>
      <c r="O142">
        <v>150</v>
      </c>
      <c r="P142">
        <v>100</v>
      </c>
      <c r="Q142" s="75">
        <f ca="1">INDIRECT(ADDRESS(11+(MATCH(RIGHT(Table3[[#This Row],[spawner_sku]],LEN(Table3[[#This Row],[spawner_sku]])-FIND("/",Table3[[#This Row],[spawner_sku]])),Table1[Entity Prefab],0)),10,1,1,"Entities"))</f>
        <v>25</v>
      </c>
      <c r="R142" s="75">
        <f ca="1">ROUND((Table3[[#This Row],[XP]]*Table3[[#This Row],[entity_spawned (AVG)]])*(Table3[[#This Row],[activating_chance]]/100),0)</f>
        <v>25</v>
      </c>
      <c r="S142" t="str">
        <f ca="1">INDIRECT(ADDRESS(11+(MATCH(RIGHT(Table3[[#This Row],[spawner_sku]],LEN(Table3[[#This Row],[spawner_sku]])-FIND("/",Table3[[#This Row],[spawner_sku]])),Table28[Entity Prefab],0)),24,1,1,"Entities"))</f>
        <v>no</v>
      </c>
      <c r="T142">
        <v>1</v>
      </c>
      <c r="U142">
        <v>1</v>
      </c>
      <c r="V142" t="b">
        <v>0</v>
      </c>
      <c r="W142" s="72"/>
      <c r="AI142" t="s">
        <v>229</v>
      </c>
      <c r="AJ142">
        <v>7.5</v>
      </c>
      <c r="AK142">
        <v>130</v>
      </c>
      <c r="AL142">
        <v>100</v>
      </c>
      <c r="AM142" s="75">
        <f ca="1">INDIRECT(ADDRESS(11+(MATCH(RIGHT(Table2[[#This Row],[spawner_sku]],LEN(Table2[[#This Row],[spawner_sku]])-FIND("/",Table2[[#This Row],[spawner_sku]])),Table1[Entity Prefab],0)),10,1,1,"Entities"))</f>
        <v>25</v>
      </c>
      <c r="AN142" s="75">
        <f ca="1">ROUND((Table2[[#This Row],[XP]]*Table2[[#This Row],[entity_spawned (AVG)]])*(Table2[[#This Row],[activating_chance]]/100),0)</f>
        <v>188</v>
      </c>
      <c r="AO14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42" s="72">
        <v>5</v>
      </c>
      <c r="AQ142" s="72">
        <v>10</v>
      </c>
      <c r="AR142" s="72" t="b">
        <v>1</v>
      </c>
      <c r="AT142" t="s">
        <v>609</v>
      </c>
      <c r="AU142">
        <v>1</v>
      </c>
      <c r="AV142">
        <v>130</v>
      </c>
      <c r="AW142">
        <v>100</v>
      </c>
      <c r="AX142" s="75">
        <f ca="1">INDIRECT(ADDRESS(11+(MATCH(RIGHT(Table6[[#This Row],[spawner_sku]],LEN(Table6[[#This Row],[spawner_sku]])-FIND("/",Table6[[#This Row],[spawner_sku]])),Table1[Entity Prefab],0)),10,1,1,"Entities"))</f>
        <v>25</v>
      </c>
      <c r="AY142" s="75">
        <f ca="1">ROUND((Table6[[#This Row],[XP]]*Table6[[#This Row],[entity_spawned (AVG)]])*(Table6[[#This Row],[activating_chance]]/100),0)</f>
        <v>25</v>
      </c>
      <c r="AZ142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42">
        <v>1</v>
      </c>
      <c r="BB142">
        <v>1</v>
      </c>
      <c r="BC142" t="b">
        <v>0</v>
      </c>
      <c r="BE142" t="s">
        <v>445</v>
      </c>
      <c r="BF142">
        <v>1</v>
      </c>
      <c r="BG142">
        <v>180</v>
      </c>
      <c r="BH142">
        <v>100</v>
      </c>
      <c r="BI142" s="75">
        <f ca="1">INDIRECT(ADDRESS(11+(MATCH(RIGHT(Table610[[#This Row],[spawner_sku]],LEN(Table610[[#This Row],[spawner_sku]])-FIND("/",Table610[[#This Row],[spawner_sku]])),Table1[Entity Prefab],0)),10,1,1,"Entities"))</f>
        <v>0</v>
      </c>
      <c r="BJ142" s="75">
        <f ca="1">ROUND((Table610[[#This Row],[XP]]*Table610[[#This Row],[entity_spawned (AVG)]])*(Table610[[#This Row],[activating_chance]]/100),0)</f>
        <v>0</v>
      </c>
      <c r="BK142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42">
        <v>1</v>
      </c>
      <c r="BM142">
        <v>1</v>
      </c>
      <c r="BN142" t="b">
        <v>0</v>
      </c>
      <c r="BP142" t="s">
        <v>336</v>
      </c>
      <c r="BQ142">
        <v>1</v>
      </c>
      <c r="BR142">
        <v>300</v>
      </c>
      <c r="BS142">
        <v>100</v>
      </c>
      <c r="BT142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42" s="75">
        <f ca="1">ROUND((Table61011[[#This Row],[XP]]*Table61011[[#This Row],[entity_spawned (AVG)]])*(Table61011[[#This Row],[activating_chance]]/100),0)</f>
        <v>195</v>
      </c>
      <c r="BV14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2" s="72">
        <v>1</v>
      </c>
      <c r="BX142" s="72">
        <v>1</v>
      </c>
      <c r="BY142" s="72" t="b">
        <v>0</v>
      </c>
      <c r="CA142" t="s">
        <v>237</v>
      </c>
      <c r="CB142">
        <v>1</v>
      </c>
      <c r="CC142">
        <v>2500</v>
      </c>
      <c r="CD142">
        <v>100</v>
      </c>
      <c r="CE142" s="75">
        <f ca="1">INDIRECT(ADDRESS(11+(MATCH(RIGHT(Table11[[#This Row],[spawner_sku]],LEN(Table11[[#This Row],[spawner_sku]])-FIND("/",Table11[[#This Row],[spawner_sku]])),Table1[Entity Prefab],0)),10,1,1,"Entities"))</f>
        <v>263</v>
      </c>
      <c r="CF142">
        <f ca="1">ROUND((Table11[[#This Row],[XP]]*Table11[[#This Row],[entity_spawned (AVG)]])*(Table11[[#This Row],[activating_chance]]/100),0)</f>
        <v>263</v>
      </c>
      <c r="CG142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42" s="72">
        <v>1</v>
      </c>
      <c r="CI142" s="72">
        <v>1</v>
      </c>
      <c r="CJ142" s="72" t="b">
        <v>0</v>
      </c>
      <c r="CL142" t="s">
        <v>255</v>
      </c>
      <c r="CM142">
        <v>1</v>
      </c>
      <c r="CN142">
        <v>150</v>
      </c>
      <c r="CO142">
        <v>80</v>
      </c>
      <c r="CP142" s="75">
        <f ca="1">INDIRECT(ADDRESS(11+(MATCH(RIGHT(Table12[[#This Row],[spawner_sku]],LEN(Table12[[#This Row],[spawner_sku]])-FIND("/",Table12[[#This Row],[spawner_sku]])),Table1[Entity Prefab],0)),10,1,1,"Entities"))</f>
        <v>25</v>
      </c>
      <c r="CQ142" s="75">
        <f ca="1">ROUND((Table12[[#This Row],[XP]]*Table12[[#This Row],[entity_spawned (AVG)]])*(Table12[[#This Row],[activating_chance]]/100),0)</f>
        <v>20</v>
      </c>
      <c r="CR142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42" s="72">
        <v>1</v>
      </c>
      <c r="CT142" s="72">
        <v>1</v>
      </c>
      <c r="CU142" s="72" t="b">
        <v>0</v>
      </c>
      <c r="CW142" t="s">
        <v>385</v>
      </c>
      <c r="CX142">
        <v>1</v>
      </c>
      <c r="CY142">
        <v>200</v>
      </c>
      <c r="CZ142">
        <v>100</v>
      </c>
      <c r="DA142" s="75">
        <f ca="1">INDIRECT(ADDRESS(11+(MATCH(RIGHT(Table13[[#This Row],[spawner_sku]],LEN(Table13[[#This Row],[spawner_sku]])-FIND("/",Table13[[#This Row],[spawner_sku]])),Table1[Entity Prefab],0)),10,1,1,"Entities"))</f>
        <v>75</v>
      </c>
      <c r="DB142" s="75">
        <f ca="1">ROUND((Table13[[#This Row],[XP]]*Table13[[#This Row],[entity_spawned (AVG)]])*(Table13[[#This Row],[activating_chance]]/100),0)</f>
        <v>75</v>
      </c>
      <c r="DC142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142" s="72">
        <v>1</v>
      </c>
      <c r="DE142" s="72">
        <v>1</v>
      </c>
      <c r="DF142" s="72" t="b">
        <v>0</v>
      </c>
      <c r="DH142" t="s">
        <v>227</v>
      </c>
      <c r="DI142">
        <v>12</v>
      </c>
      <c r="DJ142">
        <v>180</v>
      </c>
      <c r="DK142">
        <v>100</v>
      </c>
      <c r="DL142" s="75">
        <f ca="1">INDIRECT(ADDRESS(11+(MATCH(RIGHT(Table14[[#This Row],[spawner_sku]],LEN(Table14[[#This Row],[spawner_sku]])-FIND("/",Table14[[#This Row],[spawner_sku]])),Table1[Entity Prefab],0)),10,1,1,"Entities"))</f>
        <v>25</v>
      </c>
      <c r="DM142" s="75">
        <f ca="1">ROUND((Table14[[#This Row],[XP]]*Table14[[#This Row],[entity_spawned (AVG)]])*(Table14[[#This Row],[activating_chance]]/100),0)</f>
        <v>300</v>
      </c>
      <c r="DN14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42" s="72">
        <v>10</v>
      </c>
      <c r="DP142" s="72">
        <v>14</v>
      </c>
      <c r="DQ142" s="72" t="b">
        <v>1</v>
      </c>
      <c r="DS142" t="s">
        <v>243</v>
      </c>
      <c r="DT142">
        <v>1</v>
      </c>
      <c r="DU142">
        <v>150</v>
      </c>
      <c r="DV142">
        <v>100</v>
      </c>
      <c r="DW142" s="75">
        <f ca="1">INDIRECT(ADDRESS(11+(MATCH(RIGHT(Table18[[#This Row],[spawner_sku]],LEN(Table18[[#This Row],[spawner_sku]])-FIND("/",Table18[[#This Row],[spawner_sku]])),Table1[Entity Prefab],0)),10,1,1,"Entities"))</f>
        <v>28</v>
      </c>
      <c r="DX142" s="75">
        <f ca="1">ROUND((Table18[[#This Row],[XP]]*Table18[[#This Row],[entity_spawned (AVG)]])*(Table18[[#This Row],[activating_chance]]/100),0)</f>
        <v>28</v>
      </c>
      <c r="DY14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42">
        <v>1</v>
      </c>
      <c r="EA142">
        <v>1</v>
      </c>
      <c r="EB142" t="b">
        <v>0</v>
      </c>
      <c r="ED142" t="s">
        <v>520</v>
      </c>
      <c r="EE142">
        <v>2</v>
      </c>
      <c r="EF142">
        <v>120</v>
      </c>
      <c r="EG142">
        <v>100</v>
      </c>
      <c r="EH142" s="75">
        <f ca="1">INDIRECT(ADDRESS(11+(MATCH(RIGHT(Table1820[[#This Row],[spawner_sku]],LEN(Table1820[[#This Row],[spawner_sku]])-FIND("/",Table1820[[#This Row],[spawner_sku]])),Table1[Entity Prefab],0)),10,1,1,"Entities"))</f>
        <v>35</v>
      </c>
      <c r="EI142" s="75">
        <f ca="1">ROUND((Table1820[[#This Row],[XP]]*Table1820[[#This Row],[entity_spawned (AVG)]])*(Table1820[[#This Row],[activating_chance]]/100),0)</f>
        <v>70</v>
      </c>
      <c r="EJ142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42">
        <v>2</v>
      </c>
      <c r="EL142">
        <v>2</v>
      </c>
      <c r="EM142" t="b">
        <v>0</v>
      </c>
      <c r="EO142" t="s">
        <v>7348</v>
      </c>
      <c r="EP142">
        <v>1.5</v>
      </c>
      <c r="EQ142">
        <v>70</v>
      </c>
      <c r="ER142">
        <v>30</v>
      </c>
      <c r="ES142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ET142" s="75">
        <f ca="1">ROUND((Table182023[[#This Row],[XP]]*Table182023[[#This Row],[entity_spawned (AVG)]])*(Table182023[[#This Row],[activating_chance]]/100),0)</f>
        <v>11</v>
      </c>
      <c r="EU142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142" s="152">
        <v>1</v>
      </c>
      <c r="EW142" s="152">
        <v>2</v>
      </c>
      <c r="EX142" s="152" t="b">
        <v>0</v>
      </c>
      <c r="EZ142" t="s">
        <v>7339</v>
      </c>
      <c r="FA142">
        <v>1</v>
      </c>
      <c r="FB142">
        <v>90</v>
      </c>
      <c r="FC142">
        <v>100</v>
      </c>
      <c r="FD142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142" s="75">
        <f ca="1">ROUND((Table18202324[[#This Row],[XP]]*Table18202324[[#This Row],[entity_spawned (AVG)]])*(Table18202324[[#This Row],[activating_chance]]/100),0)</f>
        <v>25</v>
      </c>
      <c r="FF142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42">
        <v>1</v>
      </c>
      <c r="FH142">
        <v>1</v>
      </c>
      <c r="FI142" t="b">
        <v>0</v>
      </c>
    </row>
    <row r="143" spans="2:165" x14ac:dyDescent="0.25">
      <c r="B143" s="73" t="s">
        <v>228</v>
      </c>
      <c r="C143">
        <v>3</v>
      </c>
      <c r="D143">
        <v>160</v>
      </c>
      <c r="E143">
        <v>100</v>
      </c>
      <c r="F143" s="75">
        <f ca="1">INDIRECT(ADDRESS(11+(MATCH(RIGHT(Table245[[#This Row],[spawner_sku]],LEN(Table245[[#This Row],[spawner_sku]])-FIND("/",Table245[[#This Row],[spawner_sku]])),Table1[Entity Prefab],0)),10,1,1,"Entities"))</f>
        <v>25</v>
      </c>
      <c r="G143" s="75">
        <f ca="1">ROUND((Table245[[#This Row],[XP]]*Table245[[#This Row],[entity_spawned (AVG)]])*(Table245[[#This Row],[activating_chance]]/100),0)</f>
        <v>75</v>
      </c>
      <c r="H14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3" s="72">
        <v>2</v>
      </c>
      <c r="J143" s="72">
        <v>4</v>
      </c>
      <c r="K143" s="72" t="b">
        <v>0</v>
      </c>
      <c r="M143" t="s">
        <v>255</v>
      </c>
      <c r="N143">
        <v>1</v>
      </c>
      <c r="O143">
        <v>170</v>
      </c>
      <c r="P143">
        <v>100</v>
      </c>
      <c r="Q143" s="75">
        <f ca="1">INDIRECT(ADDRESS(11+(MATCH(RIGHT(Table3[[#This Row],[spawner_sku]],LEN(Table3[[#This Row],[spawner_sku]])-FIND("/",Table3[[#This Row],[spawner_sku]])),Table1[Entity Prefab],0)),10,1,1,"Entities"))</f>
        <v>25</v>
      </c>
      <c r="R143" s="75">
        <f ca="1">ROUND((Table3[[#This Row],[XP]]*Table3[[#This Row],[entity_spawned (AVG)]])*(Table3[[#This Row],[activating_chance]]/100),0)</f>
        <v>25</v>
      </c>
      <c r="S143" t="str">
        <f ca="1">INDIRECT(ADDRESS(11+(MATCH(RIGHT(Table3[[#This Row],[spawner_sku]],LEN(Table3[[#This Row],[spawner_sku]])-FIND("/",Table3[[#This Row],[spawner_sku]])),Table28[Entity Prefab],0)),24,1,1,"Entities"))</f>
        <v>no</v>
      </c>
      <c r="T143">
        <v>1</v>
      </c>
      <c r="U143">
        <v>1</v>
      </c>
      <c r="V143" t="b">
        <v>0</v>
      </c>
      <c r="W143" s="72"/>
      <c r="AI143" t="s">
        <v>229</v>
      </c>
      <c r="AJ143">
        <v>2</v>
      </c>
      <c r="AK143">
        <v>100</v>
      </c>
      <c r="AL143">
        <v>100</v>
      </c>
      <c r="AM143" s="75">
        <f ca="1">INDIRECT(ADDRESS(11+(MATCH(RIGHT(Table2[[#This Row],[spawner_sku]],LEN(Table2[[#This Row],[spawner_sku]])-FIND("/",Table2[[#This Row],[spawner_sku]])),Table1[Entity Prefab],0)),10,1,1,"Entities"))</f>
        <v>25</v>
      </c>
      <c r="AN143" s="75">
        <f ca="1">ROUND((Table2[[#This Row],[XP]]*Table2[[#This Row],[entity_spawned (AVG)]])*(Table2[[#This Row],[activating_chance]]/100),0)</f>
        <v>50</v>
      </c>
      <c r="AO14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43" s="72">
        <v>1</v>
      </c>
      <c r="AQ143" s="72">
        <v>3</v>
      </c>
      <c r="AR143" s="72" t="b">
        <v>0</v>
      </c>
      <c r="AT143" t="s">
        <v>609</v>
      </c>
      <c r="AU143">
        <v>1</v>
      </c>
      <c r="AV143">
        <v>130</v>
      </c>
      <c r="AW143">
        <v>100</v>
      </c>
      <c r="AX143" s="75">
        <f ca="1">INDIRECT(ADDRESS(11+(MATCH(RIGHT(Table6[[#This Row],[spawner_sku]],LEN(Table6[[#This Row],[spawner_sku]])-FIND("/",Table6[[#This Row],[spawner_sku]])),Table1[Entity Prefab],0)),10,1,1,"Entities"))</f>
        <v>25</v>
      </c>
      <c r="AY143" s="75">
        <f ca="1">ROUND((Table6[[#This Row],[XP]]*Table6[[#This Row],[entity_spawned (AVG)]])*(Table6[[#This Row],[activating_chance]]/100),0)</f>
        <v>25</v>
      </c>
      <c r="AZ143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43">
        <v>1</v>
      </c>
      <c r="BB143">
        <v>1</v>
      </c>
      <c r="BC143" t="b">
        <v>0</v>
      </c>
      <c r="BE143" t="s">
        <v>445</v>
      </c>
      <c r="BF143">
        <v>1</v>
      </c>
      <c r="BG143">
        <v>180</v>
      </c>
      <c r="BH143">
        <v>100</v>
      </c>
      <c r="BI143" s="75">
        <f ca="1">INDIRECT(ADDRESS(11+(MATCH(RIGHT(Table610[[#This Row],[spawner_sku]],LEN(Table610[[#This Row],[spawner_sku]])-FIND("/",Table610[[#This Row],[spawner_sku]])),Table1[Entity Prefab],0)),10,1,1,"Entities"))</f>
        <v>0</v>
      </c>
      <c r="BJ143" s="75">
        <f ca="1">ROUND((Table610[[#This Row],[XP]]*Table610[[#This Row],[entity_spawned (AVG)]])*(Table610[[#This Row],[activating_chance]]/100),0)</f>
        <v>0</v>
      </c>
      <c r="BK143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43">
        <v>1</v>
      </c>
      <c r="BM143">
        <v>1</v>
      </c>
      <c r="BN143" t="b">
        <v>0</v>
      </c>
      <c r="BP143" t="s">
        <v>336</v>
      </c>
      <c r="BQ143">
        <v>1</v>
      </c>
      <c r="BR143">
        <v>300</v>
      </c>
      <c r="BS143">
        <v>100</v>
      </c>
      <c r="BT143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43" s="75">
        <f ca="1">ROUND((Table61011[[#This Row],[XP]]*Table61011[[#This Row],[entity_spawned (AVG)]])*(Table61011[[#This Row],[activating_chance]]/100),0)</f>
        <v>195</v>
      </c>
      <c r="BV14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3" s="72">
        <v>1</v>
      </c>
      <c r="BX143" s="72">
        <v>1</v>
      </c>
      <c r="BY143" s="72" t="b">
        <v>0</v>
      </c>
      <c r="CA143" t="s">
        <v>237</v>
      </c>
      <c r="CB143">
        <v>1</v>
      </c>
      <c r="CC143">
        <v>2500</v>
      </c>
      <c r="CD143">
        <v>100</v>
      </c>
      <c r="CE143" s="75">
        <f ca="1">INDIRECT(ADDRESS(11+(MATCH(RIGHT(Table11[[#This Row],[spawner_sku]],LEN(Table11[[#This Row],[spawner_sku]])-FIND("/",Table11[[#This Row],[spawner_sku]])),Table1[Entity Prefab],0)),10,1,1,"Entities"))</f>
        <v>263</v>
      </c>
      <c r="CF143">
        <f ca="1">ROUND((Table11[[#This Row],[XP]]*Table11[[#This Row],[entity_spawned (AVG)]])*(Table11[[#This Row],[activating_chance]]/100),0)</f>
        <v>263</v>
      </c>
      <c r="CG143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43" s="72">
        <v>1</v>
      </c>
      <c r="CI143" s="72">
        <v>1</v>
      </c>
      <c r="CJ143" s="72" t="b">
        <v>0</v>
      </c>
      <c r="CL143" t="s">
        <v>255</v>
      </c>
      <c r="CM143">
        <v>1</v>
      </c>
      <c r="CN143">
        <v>150</v>
      </c>
      <c r="CO143">
        <v>30</v>
      </c>
      <c r="CP143" s="75">
        <f ca="1">INDIRECT(ADDRESS(11+(MATCH(RIGHT(Table12[[#This Row],[spawner_sku]],LEN(Table12[[#This Row],[spawner_sku]])-FIND("/",Table12[[#This Row],[spawner_sku]])),Table1[Entity Prefab],0)),10,1,1,"Entities"))</f>
        <v>25</v>
      </c>
      <c r="CQ143" s="75">
        <f ca="1">ROUND((Table12[[#This Row],[XP]]*Table12[[#This Row],[entity_spawned (AVG)]])*(Table12[[#This Row],[activating_chance]]/100),0)</f>
        <v>8</v>
      </c>
      <c r="CR143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43" s="72">
        <v>1</v>
      </c>
      <c r="CT143" s="72">
        <v>1</v>
      </c>
      <c r="CU143" s="72" t="b">
        <v>0</v>
      </c>
      <c r="CW143" t="s">
        <v>606</v>
      </c>
      <c r="CX143">
        <v>1</v>
      </c>
      <c r="CY143">
        <v>5000</v>
      </c>
      <c r="CZ143">
        <v>75</v>
      </c>
      <c r="DA143" s="75">
        <f ca="1">INDIRECT(ADDRESS(11+(MATCH(RIGHT(Table13[[#This Row],[spawner_sku]],LEN(Table13[[#This Row],[spawner_sku]])-FIND("/",Table13[[#This Row],[spawner_sku]])),Table1[Entity Prefab],0)),10,1,1,"Entities"))</f>
        <v>25</v>
      </c>
      <c r="DB143" s="75">
        <f ca="1">ROUND((Table13[[#This Row],[XP]]*Table13[[#This Row],[entity_spawned (AVG)]])*(Table13[[#This Row],[activating_chance]]/100),0)</f>
        <v>19</v>
      </c>
      <c r="DC143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143" s="72">
        <v>1</v>
      </c>
      <c r="DE143" s="72">
        <v>1</v>
      </c>
      <c r="DF143" s="72" t="b">
        <v>0</v>
      </c>
      <c r="DH143" t="s">
        <v>227</v>
      </c>
      <c r="DI143">
        <v>3.5</v>
      </c>
      <c r="DJ143">
        <v>100</v>
      </c>
      <c r="DK143">
        <v>100</v>
      </c>
      <c r="DL143" s="75">
        <f ca="1">INDIRECT(ADDRESS(11+(MATCH(RIGHT(Table14[[#This Row],[spawner_sku]],LEN(Table14[[#This Row],[spawner_sku]])-FIND("/",Table14[[#This Row],[spawner_sku]])),Table1[Entity Prefab],0)),10,1,1,"Entities"))</f>
        <v>25</v>
      </c>
      <c r="DM143" s="75">
        <f ca="1">ROUND((Table14[[#This Row],[XP]]*Table14[[#This Row],[entity_spawned (AVG)]])*(Table14[[#This Row],[activating_chance]]/100),0)</f>
        <v>88</v>
      </c>
      <c r="DN14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43" s="72">
        <v>3</v>
      </c>
      <c r="DP143" s="72">
        <v>4</v>
      </c>
      <c r="DQ143" s="72" t="b">
        <v>0</v>
      </c>
      <c r="DS143" t="s">
        <v>243</v>
      </c>
      <c r="DT143">
        <v>1</v>
      </c>
      <c r="DU143">
        <v>150</v>
      </c>
      <c r="DV143">
        <v>100</v>
      </c>
      <c r="DW143" s="75">
        <f ca="1">INDIRECT(ADDRESS(11+(MATCH(RIGHT(Table18[[#This Row],[spawner_sku]],LEN(Table18[[#This Row],[spawner_sku]])-FIND("/",Table18[[#This Row],[spawner_sku]])),Table1[Entity Prefab],0)),10,1,1,"Entities"))</f>
        <v>28</v>
      </c>
      <c r="DX143" s="75">
        <f ca="1">ROUND((Table18[[#This Row],[XP]]*Table18[[#This Row],[entity_spawned (AVG)]])*(Table18[[#This Row],[activating_chance]]/100),0)</f>
        <v>28</v>
      </c>
      <c r="DY14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43">
        <v>1</v>
      </c>
      <c r="EA143">
        <v>1</v>
      </c>
      <c r="EB143" t="b">
        <v>0</v>
      </c>
      <c r="ED143" t="s">
        <v>520</v>
      </c>
      <c r="EE143">
        <v>1</v>
      </c>
      <c r="EF143">
        <v>120</v>
      </c>
      <c r="EG143">
        <v>80</v>
      </c>
      <c r="EH143" s="75">
        <f ca="1">INDIRECT(ADDRESS(11+(MATCH(RIGHT(Table1820[[#This Row],[spawner_sku]],LEN(Table1820[[#This Row],[spawner_sku]])-FIND("/",Table1820[[#This Row],[spawner_sku]])),Table1[Entity Prefab],0)),10,1,1,"Entities"))</f>
        <v>35</v>
      </c>
      <c r="EI143" s="75">
        <f ca="1">ROUND((Table1820[[#This Row],[XP]]*Table1820[[#This Row],[entity_spawned (AVG)]])*(Table1820[[#This Row],[activating_chance]]/100),0)</f>
        <v>28</v>
      </c>
      <c r="EJ143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43">
        <v>1</v>
      </c>
      <c r="EL143">
        <v>2</v>
      </c>
      <c r="EM143" t="b">
        <v>0</v>
      </c>
      <c r="EO143" t="s">
        <v>7348</v>
      </c>
      <c r="EP143">
        <v>1.5</v>
      </c>
      <c r="EQ143">
        <v>70</v>
      </c>
      <c r="ER143">
        <v>100</v>
      </c>
      <c r="ES143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ET143" s="75">
        <f ca="1">ROUND((Table182023[[#This Row],[XP]]*Table182023[[#This Row],[entity_spawned (AVG)]])*(Table182023[[#This Row],[activating_chance]]/100),0)</f>
        <v>38</v>
      </c>
      <c r="EU143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143" s="152">
        <v>1</v>
      </c>
      <c r="EW143" s="152">
        <v>2</v>
      </c>
      <c r="EX143" s="152" t="b">
        <v>0</v>
      </c>
      <c r="EZ143" t="s">
        <v>7339</v>
      </c>
      <c r="FA143">
        <v>1</v>
      </c>
      <c r="FB143">
        <v>90</v>
      </c>
      <c r="FC143">
        <v>100</v>
      </c>
      <c r="FD143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143" s="75">
        <f ca="1">ROUND((Table18202324[[#This Row],[XP]]*Table18202324[[#This Row],[entity_spawned (AVG)]])*(Table18202324[[#This Row],[activating_chance]]/100),0)</f>
        <v>25</v>
      </c>
      <c r="FF143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43">
        <v>1</v>
      </c>
      <c r="FH143">
        <v>1</v>
      </c>
      <c r="FI143" t="b">
        <v>0</v>
      </c>
    </row>
    <row r="144" spans="2:165" x14ac:dyDescent="0.25">
      <c r="B144" s="73" t="s">
        <v>228</v>
      </c>
      <c r="C144">
        <v>2</v>
      </c>
      <c r="D144">
        <v>110</v>
      </c>
      <c r="E144">
        <v>100</v>
      </c>
      <c r="F144" s="75">
        <f ca="1">INDIRECT(ADDRESS(11+(MATCH(RIGHT(Table245[[#This Row],[spawner_sku]],LEN(Table245[[#This Row],[spawner_sku]])-FIND("/",Table245[[#This Row],[spawner_sku]])),Table1[Entity Prefab],0)),10,1,1,"Entities"))</f>
        <v>25</v>
      </c>
      <c r="G144" s="75">
        <f ca="1">ROUND((Table245[[#This Row],[XP]]*Table245[[#This Row],[entity_spawned (AVG)]])*(Table245[[#This Row],[activating_chance]]/100),0)</f>
        <v>50</v>
      </c>
      <c r="H14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4" s="72">
        <v>1</v>
      </c>
      <c r="J144" s="72">
        <v>3</v>
      </c>
      <c r="K144" s="72" t="b">
        <v>0</v>
      </c>
      <c r="M144" t="s">
        <v>255</v>
      </c>
      <c r="N144">
        <v>1</v>
      </c>
      <c r="O144">
        <v>170</v>
      </c>
      <c r="P144">
        <v>100</v>
      </c>
      <c r="Q144" s="75">
        <f ca="1">INDIRECT(ADDRESS(11+(MATCH(RIGHT(Table3[[#This Row],[spawner_sku]],LEN(Table3[[#This Row],[spawner_sku]])-FIND("/",Table3[[#This Row],[spawner_sku]])),Table1[Entity Prefab],0)),10,1,1,"Entities"))</f>
        <v>25</v>
      </c>
      <c r="R144" s="75">
        <f ca="1">ROUND((Table3[[#This Row],[XP]]*Table3[[#This Row],[entity_spawned (AVG)]])*(Table3[[#This Row],[activating_chance]]/100),0)</f>
        <v>25</v>
      </c>
      <c r="S144" t="str">
        <f ca="1">INDIRECT(ADDRESS(11+(MATCH(RIGHT(Table3[[#This Row],[spawner_sku]],LEN(Table3[[#This Row],[spawner_sku]])-FIND("/",Table3[[#This Row],[spawner_sku]])),Table28[Entity Prefab],0)),24,1,1,"Entities"))</f>
        <v>no</v>
      </c>
      <c r="T144">
        <v>1</v>
      </c>
      <c r="U144">
        <v>1</v>
      </c>
      <c r="V144" t="b">
        <v>0</v>
      </c>
      <c r="W144" s="72"/>
      <c r="AI144" t="s">
        <v>229</v>
      </c>
      <c r="AJ144">
        <v>2</v>
      </c>
      <c r="AK144">
        <v>100</v>
      </c>
      <c r="AL144">
        <v>80</v>
      </c>
      <c r="AM144" s="75">
        <f ca="1">INDIRECT(ADDRESS(11+(MATCH(RIGHT(Table2[[#This Row],[spawner_sku]],LEN(Table2[[#This Row],[spawner_sku]])-FIND("/",Table2[[#This Row],[spawner_sku]])),Table1[Entity Prefab],0)),10,1,1,"Entities"))</f>
        <v>25</v>
      </c>
      <c r="AN144" s="75">
        <f ca="1">ROUND((Table2[[#This Row],[XP]]*Table2[[#This Row],[entity_spawned (AVG)]])*(Table2[[#This Row],[activating_chance]]/100),0)</f>
        <v>40</v>
      </c>
      <c r="AO14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44" s="72">
        <v>1</v>
      </c>
      <c r="AQ144" s="72">
        <v>3</v>
      </c>
      <c r="AR144" s="72" t="b">
        <v>0</v>
      </c>
      <c r="AT144" t="s">
        <v>393</v>
      </c>
      <c r="AU144">
        <v>1</v>
      </c>
      <c r="AV144">
        <v>220</v>
      </c>
      <c r="AW144">
        <v>100</v>
      </c>
      <c r="AX144" s="75">
        <f ca="1">INDIRECT(ADDRESS(11+(MATCH(RIGHT(Table6[[#This Row],[spawner_sku]],LEN(Table6[[#This Row],[spawner_sku]])-FIND("/",Table6[[#This Row],[spawner_sku]])),Table1[Entity Prefab],0)),10,1,1,"Entities"))</f>
        <v>83</v>
      </c>
      <c r="AY144" s="75">
        <f ca="1">ROUND((Table6[[#This Row],[XP]]*Table6[[#This Row],[entity_spawned (AVG)]])*(Table6[[#This Row],[activating_chance]]/100),0)</f>
        <v>83</v>
      </c>
      <c r="AZ144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44">
        <v>1</v>
      </c>
      <c r="BB144">
        <v>1</v>
      </c>
      <c r="BC144" t="b">
        <v>0</v>
      </c>
      <c r="BE144" t="s">
        <v>445</v>
      </c>
      <c r="BF144">
        <v>1</v>
      </c>
      <c r="BG144">
        <v>180</v>
      </c>
      <c r="BH144">
        <v>100</v>
      </c>
      <c r="BI144" s="75">
        <f ca="1">INDIRECT(ADDRESS(11+(MATCH(RIGHT(Table610[[#This Row],[spawner_sku]],LEN(Table610[[#This Row],[spawner_sku]])-FIND("/",Table610[[#This Row],[spawner_sku]])),Table1[Entity Prefab],0)),10,1,1,"Entities"))</f>
        <v>0</v>
      </c>
      <c r="BJ144" s="75">
        <f ca="1">ROUND((Table610[[#This Row],[XP]]*Table610[[#This Row],[entity_spawned (AVG)]])*(Table610[[#This Row],[activating_chance]]/100),0)</f>
        <v>0</v>
      </c>
      <c r="BK144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44">
        <v>1</v>
      </c>
      <c r="BM144">
        <v>1</v>
      </c>
      <c r="BN144" t="b">
        <v>0</v>
      </c>
      <c r="BP144" t="s">
        <v>336</v>
      </c>
      <c r="BQ144">
        <v>1</v>
      </c>
      <c r="BR144">
        <v>300</v>
      </c>
      <c r="BS144">
        <v>100</v>
      </c>
      <c r="BT144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44" s="75">
        <f ca="1">ROUND((Table61011[[#This Row],[XP]]*Table61011[[#This Row],[entity_spawned (AVG)]])*(Table61011[[#This Row],[activating_chance]]/100),0)</f>
        <v>195</v>
      </c>
      <c r="BV14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4" s="72">
        <v>1</v>
      </c>
      <c r="BX144" s="72">
        <v>1</v>
      </c>
      <c r="BY144" s="72" t="b">
        <v>0</v>
      </c>
      <c r="CA144" t="s">
        <v>237</v>
      </c>
      <c r="CB144">
        <v>1</v>
      </c>
      <c r="CC144">
        <v>2500</v>
      </c>
      <c r="CD144">
        <v>100</v>
      </c>
      <c r="CE144" s="75">
        <f ca="1">INDIRECT(ADDRESS(11+(MATCH(RIGHT(Table11[[#This Row],[spawner_sku]],LEN(Table11[[#This Row],[spawner_sku]])-FIND("/",Table11[[#This Row],[spawner_sku]])),Table1[Entity Prefab],0)),10,1,1,"Entities"))</f>
        <v>263</v>
      </c>
      <c r="CF144">
        <f ca="1">ROUND((Table11[[#This Row],[XP]]*Table11[[#This Row],[entity_spawned (AVG)]])*(Table11[[#This Row],[activating_chance]]/100),0)</f>
        <v>263</v>
      </c>
      <c r="CG144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44" s="72">
        <v>1</v>
      </c>
      <c r="CI144" s="72">
        <v>1</v>
      </c>
      <c r="CJ144" s="72" t="b">
        <v>0</v>
      </c>
      <c r="CL144" t="s">
        <v>255</v>
      </c>
      <c r="CM144">
        <v>1</v>
      </c>
      <c r="CN144">
        <v>150</v>
      </c>
      <c r="CO144">
        <v>100</v>
      </c>
      <c r="CP144" s="75">
        <f ca="1">INDIRECT(ADDRESS(11+(MATCH(RIGHT(Table12[[#This Row],[spawner_sku]],LEN(Table12[[#This Row],[spawner_sku]])-FIND("/",Table12[[#This Row],[spawner_sku]])),Table1[Entity Prefab],0)),10,1,1,"Entities"))</f>
        <v>25</v>
      </c>
      <c r="CQ144" s="75">
        <f ca="1">ROUND((Table12[[#This Row],[XP]]*Table12[[#This Row],[entity_spawned (AVG)]])*(Table12[[#This Row],[activating_chance]]/100),0)</f>
        <v>25</v>
      </c>
      <c r="CR144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44" s="72">
        <v>1</v>
      </c>
      <c r="CT144" s="72">
        <v>1</v>
      </c>
      <c r="CU144" s="72" t="b">
        <v>0</v>
      </c>
      <c r="CW144" t="s">
        <v>606</v>
      </c>
      <c r="CX144">
        <v>1</v>
      </c>
      <c r="CY144">
        <v>5000</v>
      </c>
      <c r="CZ144">
        <v>75</v>
      </c>
      <c r="DA144" s="75">
        <f ca="1">INDIRECT(ADDRESS(11+(MATCH(RIGHT(Table13[[#This Row],[spawner_sku]],LEN(Table13[[#This Row],[spawner_sku]])-FIND("/",Table13[[#This Row],[spawner_sku]])),Table1[Entity Prefab],0)),10,1,1,"Entities"))</f>
        <v>25</v>
      </c>
      <c r="DB144" s="75">
        <f ca="1">ROUND((Table13[[#This Row],[XP]]*Table13[[#This Row],[entity_spawned (AVG)]])*(Table13[[#This Row],[activating_chance]]/100),0)</f>
        <v>19</v>
      </c>
      <c r="DC144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144" s="72">
        <v>1</v>
      </c>
      <c r="DE144" s="72">
        <v>1</v>
      </c>
      <c r="DF144" s="72" t="b">
        <v>0</v>
      </c>
      <c r="DH144" t="s">
        <v>227</v>
      </c>
      <c r="DI144">
        <v>6.5</v>
      </c>
      <c r="DJ144">
        <v>180</v>
      </c>
      <c r="DK144">
        <v>30</v>
      </c>
      <c r="DL144" s="75">
        <f ca="1">INDIRECT(ADDRESS(11+(MATCH(RIGHT(Table14[[#This Row],[spawner_sku]],LEN(Table14[[#This Row],[spawner_sku]])-FIND("/",Table14[[#This Row],[spawner_sku]])),Table1[Entity Prefab],0)),10,1,1,"Entities"))</f>
        <v>25</v>
      </c>
      <c r="DM144" s="75">
        <f ca="1">ROUND((Table14[[#This Row],[XP]]*Table14[[#This Row],[entity_spawned (AVG)]])*(Table14[[#This Row],[activating_chance]]/100),0)</f>
        <v>49</v>
      </c>
      <c r="DN14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44" s="72">
        <v>5</v>
      </c>
      <c r="DP144" s="72">
        <v>8</v>
      </c>
      <c r="DQ144" s="72" t="b">
        <v>1</v>
      </c>
      <c r="DS144" t="s">
        <v>243</v>
      </c>
      <c r="DT144">
        <v>1</v>
      </c>
      <c r="DU144">
        <v>150</v>
      </c>
      <c r="DV144">
        <v>100</v>
      </c>
      <c r="DW144" s="75">
        <f ca="1">INDIRECT(ADDRESS(11+(MATCH(RIGHT(Table18[[#This Row],[spawner_sku]],LEN(Table18[[#This Row],[spawner_sku]])-FIND("/",Table18[[#This Row],[spawner_sku]])),Table1[Entity Prefab],0)),10,1,1,"Entities"))</f>
        <v>28</v>
      </c>
      <c r="DX144" s="75">
        <f ca="1">ROUND((Table18[[#This Row],[XP]]*Table18[[#This Row],[entity_spawned (AVG)]])*(Table18[[#This Row],[activating_chance]]/100),0)</f>
        <v>28</v>
      </c>
      <c r="DY14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44">
        <v>1</v>
      </c>
      <c r="EA144">
        <v>1</v>
      </c>
      <c r="EB144" t="b">
        <v>0</v>
      </c>
      <c r="ED144" t="s">
        <v>520</v>
      </c>
      <c r="EE144">
        <v>1</v>
      </c>
      <c r="EF144">
        <v>120</v>
      </c>
      <c r="EG144">
        <v>30</v>
      </c>
      <c r="EH144" s="75">
        <f ca="1">INDIRECT(ADDRESS(11+(MATCH(RIGHT(Table1820[[#This Row],[spawner_sku]],LEN(Table1820[[#This Row],[spawner_sku]])-FIND("/",Table1820[[#This Row],[spawner_sku]])),Table1[Entity Prefab],0)),10,1,1,"Entities"))</f>
        <v>35</v>
      </c>
      <c r="EI144" s="75">
        <f ca="1">ROUND((Table1820[[#This Row],[XP]]*Table1820[[#This Row],[entity_spawned (AVG)]])*(Table1820[[#This Row],[activating_chance]]/100),0)</f>
        <v>11</v>
      </c>
      <c r="EJ144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44">
        <v>1</v>
      </c>
      <c r="EL144">
        <v>1</v>
      </c>
      <c r="EM144" t="b">
        <v>0</v>
      </c>
      <c r="EO144" t="s">
        <v>7348</v>
      </c>
      <c r="EP144">
        <v>2.5</v>
      </c>
      <c r="EQ144">
        <v>70</v>
      </c>
      <c r="ER144">
        <v>100</v>
      </c>
      <c r="ES144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ET144" s="75">
        <f ca="1">ROUND((Table182023[[#This Row],[XP]]*Table182023[[#This Row],[entity_spawned (AVG)]])*(Table182023[[#This Row],[activating_chance]]/100),0)</f>
        <v>63</v>
      </c>
      <c r="EU144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144" s="152">
        <v>1</v>
      </c>
      <c r="EW144" s="152">
        <v>4</v>
      </c>
      <c r="EX144" s="152" t="b">
        <v>0</v>
      </c>
      <c r="EZ144" t="s">
        <v>7339</v>
      </c>
      <c r="FA144">
        <v>1</v>
      </c>
      <c r="FB144">
        <v>90</v>
      </c>
      <c r="FC144">
        <v>100</v>
      </c>
      <c r="FD144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144" s="75">
        <f ca="1">ROUND((Table18202324[[#This Row],[XP]]*Table18202324[[#This Row],[entity_spawned (AVG)]])*(Table18202324[[#This Row],[activating_chance]]/100),0)</f>
        <v>25</v>
      </c>
      <c r="FF144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44">
        <v>1</v>
      </c>
      <c r="FH144">
        <v>1</v>
      </c>
      <c r="FI144" t="b">
        <v>0</v>
      </c>
    </row>
    <row r="145" spans="2:165" x14ac:dyDescent="0.25">
      <c r="B145" s="73" t="s">
        <v>228</v>
      </c>
      <c r="C145">
        <v>1.5</v>
      </c>
      <c r="D145">
        <v>110</v>
      </c>
      <c r="E145">
        <v>100</v>
      </c>
      <c r="F145" s="75">
        <f ca="1">INDIRECT(ADDRESS(11+(MATCH(RIGHT(Table245[[#This Row],[spawner_sku]],LEN(Table245[[#This Row],[spawner_sku]])-FIND("/",Table245[[#This Row],[spawner_sku]])),Table1[Entity Prefab],0)),10,1,1,"Entities"))</f>
        <v>25</v>
      </c>
      <c r="G145" s="75">
        <f ca="1">ROUND((Table245[[#This Row],[XP]]*Table245[[#This Row],[entity_spawned (AVG)]])*(Table245[[#This Row],[activating_chance]]/100),0)</f>
        <v>38</v>
      </c>
      <c r="H14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5" s="72">
        <v>1</v>
      </c>
      <c r="J145" s="72">
        <v>2</v>
      </c>
      <c r="K145" s="72" t="b">
        <v>0</v>
      </c>
      <c r="M145" t="s">
        <v>255</v>
      </c>
      <c r="N145">
        <v>1</v>
      </c>
      <c r="O145">
        <v>150</v>
      </c>
      <c r="P145">
        <v>100</v>
      </c>
      <c r="Q145" s="75">
        <f ca="1">INDIRECT(ADDRESS(11+(MATCH(RIGHT(Table3[[#This Row],[spawner_sku]],LEN(Table3[[#This Row],[spawner_sku]])-FIND("/",Table3[[#This Row],[spawner_sku]])),Table1[Entity Prefab],0)),10,1,1,"Entities"))</f>
        <v>25</v>
      </c>
      <c r="R145" s="75">
        <f ca="1">ROUND((Table3[[#This Row],[XP]]*Table3[[#This Row],[entity_spawned (AVG)]])*(Table3[[#This Row],[activating_chance]]/100),0)</f>
        <v>25</v>
      </c>
      <c r="S145" t="str">
        <f ca="1">INDIRECT(ADDRESS(11+(MATCH(RIGHT(Table3[[#This Row],[spawner_sku]],LEN(Table3[[#This Row],[spawner_sku]])-FIND("/",Table3[[#This Row],[spawner_sku]])),Table28[Entity Prefab],0)),24,1,1,"Entities"))</f>
        <v>no</v>
      </c>
      <c r="T145">
        <v>1</v>
      </c>
      <c r="U145">
        <v>1</v>
      </c>
      <c r="V145" t="b">
        <v>0</v>
      </c>
      <c r="W145" s="72"/>
      <c r="AI145" t="s">
        <v>229</v>
      </c>
      <c r="AJ145">
        <v>2</v>
      </c>
      <c r="AK145">
        <v>130</v>
      </c>
      <c r="AL145">
        <v>100</v>
      </c>
      <c r="AM145" s="75">
        <f ca="1">INDIRECT(ADDRESS(11+(MATCH(RIGHT(Table2[[#This Row],[spawner_sku]],LEN(Table2[[#This Row],[spawner_sku]])-FIND("/",Table2[[#This Row],[spawner_sku]])),Table1[Entity Prefab],0)),10,1,1,"Entities"))</f>
        <v>25</v>
      </c>
      <c r="AN145" s="75">
        <f ca="1">ROUND((Table2[[#This Row],[XP]]*Table2[[#This Row],[entity_spawned (AVG)]])*(Table2[[#This Row],[activating_chance]]/100),0)</f>
        <v>50</v>
      </c>
      <c r="AO14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45" s="72">
        <v>1</v>
      </c>
      <c r="AQ145" s="72">
        <v>3</v>
      </c>
      <c r="AR145" s="72" t="b">
        <v>0</v>
      </c>
      <c r="AT145" t="s">
        <v>396</v>
      </c>
      <c r="AU145">
        <v>1</v>
      </c>
      <c r="AV145">
        <v>120</v>
      </c>
      <c r="AW145">
        <v>50</v>
      </c>
      <c r="AX145" s="75">
        <f ca="1">INDIRECT(ADDRESS(11+(MATCH(RIGHT(Table6[[#This Row],[spawner_sku]],LEN(Table6[[#This Row],[spawner_sku]])-FIND("/",Table6[[#This Row],[spawner_sku]])),Table1[Entity Prefab],0)),10,1,1,"Entities"))</f>
        <v>25</v>
      </c>
      <c r="AY145" s="75">
        <f ca="1">ROUND((Table6[[#This Row],[XP]]*Table6[[#This Row],[entity_spawned (AVG)]])*(Table6[[#This Row],[activating_chance]]/100),0)</f>
        <v>13</v>
      </c>
      <c r="AZ145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45">
        <v>1</v>
      </c>
      <c r="BB145">
        <v>1</v>
      </c>
      <c r="BC145" t="b">
        <v>0</v>
      </c>
      <c r="BE145" t="s">
        <v>445</v>
      </c>
      <c r="BF145">
        <v>1</v>
      </c>
      <c r="BG145">
        <v>180</v>
      </c>
      <c r="BH145">
        <v>100</v>
      </c>
      <c r="BI145" s="75">
        <f ca="1">INDIRECT(ADDRESS(11+(MATCH(RIGHT(Table610[[#This Row],[spawner_sku]],LEN(Table610[[#This Row],[spawner_sku]])-FIND("/",Table610[[#This Row],[spawner_sku]])),Table1[Entity Prefab],0)),10,1,1,"Entities"))</f>
        <v>0</v>
      </c>
      <c r="BJ145" s="75">
        <f ca="1">ROUND((Table610[[#This Row],[XP]]*Table610[[#This Row],[entity_spawned (AVG)]])*(Table610[[#This Row],[activating_chance]]/100),0)</f>
        <v>0</v>
      </c>
      <c r="BK145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45">
        <v>1</v>
      </c>
      <c r="BM145">
        <v>1</v>
      </c>
      <c r="BN145" t="b">
        <v>0</v>
      </c>
      <c r="BP145" t="s">
        <v>336</v>
      </c>
      <c r="BQ145">
        <v>1</v>
      </c>
      <c r="BR145">
        <v>300</v>
      </c>
      <c r="BS145">
        <v>100</v>
      </c>
      <c r="BT145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45" s="75">
        <f ca="1">ROUND((Table61011[[#This Row],[XP]]*Table61011[[#This Row],[entity_spawned (AVG)]])*(Table61011[[#This Row],[activating_chance]]/100),0)</f>
        <v>195</v>
      </c>
      <c r="BV14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5" s="72">
        <v>1</v>
      </c>
      <c r="BX145" s="72">
        <v>1</v>
      </c>
      <c r="BY145" s="72" t="b">
        <v>0</v>
      </c>
      <c r="CA145" t="s">
        <v>237</v>
      </c>
      <c r="CB145">
        <v>1</v>
      </c>
      <c r="CC145">
        <v>2500</v>
      </c>
      <c r="CD145">
        <v>100</v>
      </c>
      <c r="CE145" s="75">
        <f ca="1">INDIRECT(ADDRESS(11+(MATCH(RIGHT(Table11[[#This Row],[spawner_sku]],LEN(Table11[[#This Row],[spawner_sku]])-FIND("/",Table11[[#This Row],[spawner_sku]])),Table1[Entity Prefab],0)),10,1,1,"Entities"))</f>
        <v>263</v>
      </c>
      <c r="CF145">
        <f ca="1">ROUND((Table11[[#This Row],[XP]]*Table11[[#This Row],[entity_spawned (AVG)]])*(Table11[[#This Row],[activating_chance]]/100),0)</f>
        <v>263</v>
      </c>
      <c r="CG145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45" s="72">
        <v>1</v>
      </c>
      <c r="CI145" s="72">
        <v>1</v>
      </c>
      <c r="CJ145" s="72" t="b">
        <v>0</v>
      </c>
      <c r="CL145" t="s">
        <v>255</v>
      </c>
      <c r="CM145">
        <v>1</v>
      </c>
      <c r="CN145">
        <v>150</v>
      </c>
      <c r="CO145">
        <v>80</v>
      </c>
      <c r="CP145" s="75">
        <f ca="1">INDIRECT(ADDRESS(11+(MATCH(RIGHT(Table12[[#This Row],[spawner_sku]],LEN(Table12[[#This Row],[spawner_sku]])-FIND("/",Table12[[#This Row],[spawner_sku]])),Table1[Entity Prefab],0)),10,1,1,"Entities"))</f>
        <v>25</v>
      </c>
      <c r="CQ145" s="75">
        <f ca="1">ROUND((Table12[[#This Row],[XP]]*Table12[[#This Row],[entity_spawned (AVG)]])*(Table12[[#This Row],[activating_chance]]/100),0)</f>
        <v>20</v>
      </c>
      <c r="CR145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45" s="72">
        <v>1</v>
      </c>
      <c r="CT145" s="72">
        <v>1</v>
      </c>
      <c r="CU145" s="72" t="b">
        <v>0</v>
      </c>
      <c r="CW145" t="s">
        <v>606</v>
      </c>
      <c r="CX145">
        <v>1</v>
      </c>
      <c r="CY145">
        <v>5000</v>
      </c>
      <c r="CZ145">
        <v>75</v>
      </c>
      <c r="DA145" s="75">
        <f ca="1">INDIRECT(ADDRESS(11+(MATCH(RIGHT(Table13[[#This Row],[spawner_sku]],LEN(Table13[[#This Row],[spawner_sku]])-FIND("/",Table13[[#This Row],[spawner_sku]])),Table1[Entity Prefab],0)),10,1,1,"Entities"))</f>
        <v>25</v>
      </c>
      <c r="DB145" s="75">
        <f ca="1">ROUND((Table13[[#This Row],[XP]]*Table13[[#This Row],[entity_spawned (AVG)]])*(Table13[[#This Row],[activating_chance]]/100),0)</f>
        <v>19</v>
      </c>
      <c r="DC145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145" s="72">
        <v>1</v>
      </c>
      <c r="DE145" s="72">
        <v>1</v>
      </c>
      <c r="DF145" s="72" t="b">
        <v>0</v>
      </c>
      <c r="DH145" t="s">
        <v>227</v>
      </c>
      <c r="DI145">
        <v>9</v>
      </c>
      <c r="DJ145">
        <v>200</v>
      </c>
      <c r="DK145">
        <v>100</v>
      </c>
      <c r="DL145" s="75">
        <f ca="1">INDIRECT(ADDRESS(11+(MATCH(RIGHT(Table14[[#This Row],[spawner_sku]],LEN(Table14[[#This Row],[spawner_sku]])-FIND("/",Table14[[#This Row],[spawner_sku]])),Table1[Entity Prefab],0)),10,1,1,"Entities"))</f>
        <v>25</v>
      </c>
      <c r="DM145" s="75">
        <f ca="1">ROUND((Table14[[#This Row],[XP]]*Table14[[#This Row],[entity_spawned (AVG)]])*(Table14[[#This Row],[activating_chance]]/100),0)</f>
        <v>225</v>
      </c>
      <c r="DN14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45" s="72">
        <v>8</v>
      </c>
      <c r="DP145" s="72">
        <v>10</v>
      </c>
      <c r="DQ145" s="72" t="b">
        <v>1</v>
      </c>
      <c r="DS145" t="s">
        <v>452</v>
      </c>
      <c r="DT145">
        <v>1</v>
      </c>
      <c r="DU145">
        <v>130</v>
      </c>
      <c r="DV145">
        <v>100</v>
      </c>
      <c r="DW145" s="75">
        <f ca="1">INDIRECT(ADDRESS(11+(MATCH(RIGHT(Table18[[#This Row],[spawner_sku]],LEN(Table18[[#This Row],[spawner_sku]])-FIND("/",Table18[[#This Row],[spawner_sku]])),Table1[Entity Prefab],0)),10,1,1,"Entities"))</f>
        <v>70</v>
      </c>
      <c r="DX145" s="75">
        <f ca="1">ROUND((Table18[[#This Row],[XP]]*Table18[[#This Row],[entity_spawned (AVG)]])*(Table18[[#This Row],[activating_chance]]/100),0)</f>
        <v>70</v>
      </c>
      <c r="DY145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45">
        <v>1</v>
      </c>
      <c r="EA145">
        <v>1</v>
      </c>
      <c r="EB145" t="b">
        <v>0</v>
      </c>
      <c r="ED145" t="s">
        <v>520</v>
      </c>
      <c r="EE145">
        <v>1</v>
      </c>
      <c r="EF145">
        <v>120</v>
      </c>
      <c r="EG145">
        <v>100</v>
      </c>
      <c r="EH145" s="75">
        <f ca="1">INDIRECT(ADDRESS(11+(MATCH(RIGHT(Table1820[[#This Row],[spawner_sku]],LEN(Table1820[[#This Row],[spawner_sku]])-FIND("/",Table1820[[#This Row],[spawner_sku]])),Table1[Entity Prefab],0)),10,1,1,"Entities"))</f>
        <v>35</v>
      </c>
      <c r="EI145" s="75">
        <f ca="1">ROUND((Table1820[[#This Row],[XP]]*Table1820[[#This Row],[entity_spawned (AVG)]])*(Table1820[[#This Row],[activating_chance]]/100),0)</f>
        <v>35</v>
      </c>
      <c r="EJ145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45">
        <v>1</v>
      </c>
      <c r="EL145">
        <v>2</v>
      </c>
      <c r="EM145" t="b">
        <v>0</v>
      </c>
      <c r="EO145" t="s">
        <v>7348</v>
      </c>
      <c r="EP145">
        <v>2.5</v>
      </c>
      <c r="EQ145">
        <v>70</v>
      </c>
      <c r="ER145">
        <v>100</v>
      </c>
      <c r="ES145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ET145" s="75">
        <f ca="1">ROUND((Table182023[[#This Row],[XP]]*Table182023[[#This Row],[entity_spawned (AVG)]])*(Table182023[[#This Row],[activating_chance]]/100),0)</f>
        <v>63</v>
      </c>
      <c r="EU145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145" s="152">
        <v>1</v>
      </c>
      <c r="EW145" s="152">
        <v>4</v>
      </c>
      <c r="EX145" s="152" t="b">
        <v>0</v>
      </c>
      <c r="EZ145" t="s">
        <v>7339</v>
      </c>
      <c r="FA145">
        <v>1</v>
      </c>
      <c r="FB145">
        <v>80</v>
      </c>
      <c r="FC145">
        <v>100</v>
      </c>
      <c r="FD145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145" s="75">
        <f ca="1">ROUND((Table18202324[[#This Row],[XP]]*Table18202324[[#This Row],[entity_spawned (AVG)]])*(Table18202324[[#This Row],[activating_chance]]/100),0)</f>
        <v>25</v>
      </c>
      <c r="FF145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45">
        <v>1</v>
      </c>
      <c r="FH145">
        <v>1</v>
      </c>
      <c r="FI145" t="b">
        <v>0</v>
      </c>
    </row>
    <row r="146" spans="2:165" x14ac:dyDescent="0.25">
      <c r="B146" s="73" t="s">
        <v>228</v>
      </c>
      <c r="C146">
        <v>1.5</v>
      </c>
      <c r="D146">
        <v>160</v>
      </c>
      <c r="E146">
        <v>100</v>
      </c>
      <c r="F146" s="75">
        <f ca="1">INDIRECT(ADDRESS(11+(MATCH(RIGHT(Table245[[#This Row],[spawner_sku]],LEN(Table245[[#This Row],[spawner_sku]])-FIND("/",Table245[[#This Row],[spawner_sku]])),Table1[Entity Prefab],0)),10,1,1,"Entities"))</f>
        <v>25</v>
      </c>
      <c r="G146" s="75">
        <f ca="1">ROUND((Table245[[#This Row],[XP]]*Table245[[#This Row],[entity_spawned (AVG)]])*(Table245[[#This Row],[activating_chance]]/100),0)</f>
        <v>38</v>
      </c>
      <c r="H14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6" s="72">
        <v>1</v>
      </c>
      <c r="J146" s="72">
        <v>2</v>
      </c>
      <c r="K146" s="72" t="b">
        <v>0</v>
      </c>
      <c r="M146" t="s">
        <v>255</v>
      </c>
      <c r="N146">
        <v>1</v>
      </c>
      <c r="O146">
        <v>180</v>
      </c>
      <c r="P146">
        <v>100</v>
      </c>
      <c r="Q146" s="75">
        <f ca="1">INDIRECT(ADDRESS(11+(MATCH(RIGHT(Table3[[#This Row],[spawner_sku]],LEN(Table3[[#This Row],[spawner_sku]])-FIND("/",Table3[[#This Row],[spawner_sku]])),Table1[Entity Prefab],0)),10,1,1,"Entities"))</f>
        <v>25</v>
      </c>
      <c r="R146" s="75">
        <f ca="1">ROUND((Table3[[#This Row],[XP]]*Table3[[#This Row],[entity_spawned (AVG)]])*(Table3[[#This Row],[activating_chance]]/100),0)</f>
        <v>25</v>
      </c>
      <c r="S146" t="str">
        <f ca="1">INDIRECT(ADDRESS(11+(MATCH(RIGHT(Table3[[#This Row],[spawner_sku]],LEN(Table3[[#This Row],[spawner_sku]])-FIND("/",Table3[[#This Row],[spawner_sku]])),Table28[Entity Prefab],0)),24,1,1,"Entities"))</f>
        <v>no</v>
      </c>
      <c r="T146">
        <v>1</v>
      </c>
      <c r="U146">
        <v>1</v>
      </c>
      <c r="V146" t="b">
        <v>0</v>
      </c>
      <c r="W146" s="72"/>
      <c r="AI146" t="s">
        <v>229</v>
      </c>
      <c r="AJ146">
        <v>8</v>
      </c>
      <c r="AK146">
        <v>150</v>
      </c>
      <c r="AL146">
        <v>100</v>
      </c>
      <c r="AM146" s="75">
        <f ca="1">INDIRECT(ADDRESS(11+(MATCH(RIGHT(Table2[[#This Row],[spawner_sku]],LEN(Table2[[#This Row],[spawner_sku]])-FIND("/",Table2[[#This Row],[spawner_sku]])),Table1[Entity Prefab],0)),10,1,1,"Entities"))</f>
        <v>25</v>
      </c>
      <c r="AN146" s="75">
        <f ca="1">ROUND((Table2[[#This Row],[XP]]*Table2[[#This Row],[entity_spawned (AVG)]])*(Table2[[#This Row],[activating_chance]]/100),0)</f>
        <v>200</v>
      </c>
      <c r="AO14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46" s="72">
        <v>6</v>
      </c>
      <c r="AQ146" s="72">
        <v>10</v>
      </c>
      <c r="AR146" s="72" t="b">
        <v>1</v>
      </c>
      <c r="AT146" t="s">
        <v>396</v>
      </c>
      <c r="AU146">
        <v>1</v>
      </c>
      <c r="AV146">
        <v>120</v>
      </c>
      <c r="AW146">
        <v>50</v>
      </c>
      <c r="AX146" s="75">
        <f ca="1">INDIRECT(ADDRESS(11+(MATCH(RIGHT(Table6[[#This Row],[spawner_sku]],LEN(Table6[[#This Row],[spawner_sku]])-FIND("/",Table6[[#This Row],[spawner_sku]])),Table1[Entity Prefab],0)),10,1,1,"Entities"))</f>
        <v>25</v>
      </c>
      <c r="AY146" s="75">
        <f ca="1">ROUND((Table6[[#This Row],[XP]]*Table6[[#This Row],[entity_spawned (AVG)]])*(Table6[[#This Row],[activating_chance]]/100),0)</f>
        <v>13</v>
      </c>
      <c r="AZ146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46">
        <v>1</v>
      </c>
      <c r="BB146">
        <v>1</v>
      </c>
      <c r="BC146" t="b">
        <v>0</v>
      </c>
      <c r="BE146" t="s">
        <v>445</v>
      </c>
      <c r="BF146">
        <v>1</v>
      </c>
      <c r="BG146">
        <v>180</v>
      </c>
      <c r="BH146">
        <v>100</v>
      </c>
      <c r="BI146" s="75">
        <f ca="1">INDIRECT(ADDRESS(11+(MATCH(RIGHT(Table610[[#This Row],[spawner_sku]],LEN(Table610[[#This Row],[spawner_sku]])-FIND("/",Table610[[#This Row],[spawner_sku]])),Table1[Entity Prefab],0)),10,1,1,"Entities"))</f>
        <v>0</v>
      </c>
      <c r="BJ146" s="75">
        <f ca="1">ROUND((Table610[[#This Row],[XP]]*Table610[[#This Row],[entity_spawned (AVG)]])*(Table610[[#This Row],[activating_chance]]/100),0)</f>
        <v>0</v>
      </c>
      <c r="BK146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46">
        <v>1</v>
      </c>
      <c r="BM146">
        <v>1</v>
      </c>
      <c r="BN146" t="b">
        <v>0</v>
      </c>
      <c r="BP146" t="s">
        <v>336</v>
      </c>
      <c r="BQ146">
        <v>1</v>
      </c>
      <c r="BR146">
        <v>300</v>
      </c>
      <c r="BS146">
        <v>100</v>
      </c>
      <c r="BT146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46" s="75">
        <f ca="1">ROUND((Table61011[[#This Row],[XP]]*Table61011[[#This Row],[entity_spawned (AVG)]])*(Table61011[[#This Row],[activating_chance]]/100),0)</f>
        <v>195</v>
      </c>
      <c r="BV14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6" s="72">
        <v>1</v>
      </c>
      <c r="BX146" s="72">
        <v>1</v>
      </c>
      <c r="BY146" s="72" t="b">
        <v>0</v>
      </c>
      <c r="CA146" t="s">
        <v>239</v>
      </c>
      <c r="CB146">
        <v>1</v>
      </c>
      <c r="CC146">
        <v>2000</v>
      </c>
      <c r="CD146">
        <v>100</v>
      </c>
      <c r="CE146" s="75">
        <f ca="1">INDIRECT(ADDRESS(11+(MATCH(RIGHT(Table11[[#This Row],[spawner_sku]],LEN(Table11[[#This Row],[spawner_sku]])-FIND("/",Table11[[#This Row],[spawner_sku]])),Table1[Entity Prefab],0)),10,1,1,"Entities"))</f>
        <v>175</v>
      </c>
      <c r="CF146">
        <f ca="1">ROUND((Table11[[#This Row],[XP]]*Table11[[#This Row],[entity_spawned (AVG)]])*(Table11[[#This Row],[activating_chance]]/100),0)</f>
        <v>175</v>
      </c>
      <c r="CG146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46" s="72">
        <v>1</v>
      </c>
      <c r="CI146" s="72">
        <v>1</v>
      </c>
      <c r="CJ146" s="72" t="b">
        <v>0</v>
      </c>
      <c r="CL146" t="s">
        <v>255</v>
      </c>
      <c r="CM146">
        <v>1</v>
      </c>
      <c r="CN146">
        <v>150</v>
      </c>
      <c r="CO146">
        <v>30</v>
      </c>
      <c r="CP146" s="75">
        <f ca="1">INDIRECT(ADDRESS(11+(MATCH(RIGHT(Table12[[#This Row],[spawner_sku]],LEN(Table12[[#This Row],[spawner_sku]])-FIND("/",Table12[[#This Row],[spawner_sku]])),Table1[Entity Prefab],0)),10,1,1,"Entities"))</f>
        <v>25</v>
      </c>
      <c r="CQ146" s="75">
        <f ca="1">ROUND((Table12[[#This Row],[XP]]*Table12[[#This Row],[entity_spawned (AVG)]])*(Table12[[#This Row],[activating_chance]]/100),0)</f>
        <v>8</v>
      </c>
      <c r="CR146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46" s="72">
        <v>1</v>
      </c>
      <c r="CT146" s="72">
        <v>1</v>
      </c>
      <c r="CU146" s="72" t="b">
        <v>0</v>
      </c>
      <c r="CW146" t="s">
        <v>246</v>
      </c>
      <c r="CX146">
        <v>1</v>
      </c>
      <c r="CY146">
        <v>500</v>
      </c>
      <c r="CZ146">
        <v>100</v>
      </c>
      <c r="DA146" s="75">
        <f ca="1">INDIRECT(ADDRESS(11+(MATCH(RIGHT(Table13[[#This Row],[spawner_sku]],LEN(Table13[[#This Row],[spawner_sku]])-FIND("/",Table13[[#This Row],[spawner_sku]])),Table1[Entity Prefab],0)),10,1,1,"Entities"))</f>
        <v>25</v>
      </c>
      <c r="DB146" s="75">
        <f ca="1">ROUND((Table13[[#This Row],[XP]]*Table13[[#This Row],[entity_spawned (AVG)]])*(Table13[[#This Row],[activating_chance]]/100),0)</f>
        <v>25</v>
      </c>
      <c r="DC146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146" s="72">
        <v>1</v>
      </c>
      <c r="DE146" s="72">
        <v>1</v>
      </c>
      <c r="DF146" s="72" t="b">
        <v>0</v>
      </c>
      <c r="DH146" t="s">
        <v>227</v>
      </c>
      <c r="DI146">
        <v>1.5</v>
      </c>
      <c r="DJ146">
        <v>100</v>
      </c>
      <c r="DK146">
        <v>100</v>
      </c>
      <c r="DL146" s="75">
        <f ca="1">INDIRECT(ADDRESS(11+(MATCH(RIGHT(Table14[[#This Row],[spawner_sku]],LEN(Table14[[#This Row],[spawner_sku]])-FIND("/",Table14[[#This Row],[spawner_sku]])),Table1[Entity Prefab],0)),10,1,1,"Entities"))</f>
        <v>25</v>
      </c>
      <c r="DM146" s="75">
        <f ca="1">ROUND((Table14[[#This Row],[XP]]*Table14[[#This Row],[entity_spawned (AVG)]])*(Table14[[#This Row],[activating_chance]]/100),0)</f>
        <v>38</v>
      </c>
      <c r="DN14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46" s="72">
        <v>1</v>
      </c>
      <c r="DP146" s="72">
        <v>2</v>
      </c>
      <c r="DQ146" s="72" t="b">
        <v>0</v>
      </c>
      <c r="DS146" t="s">
        <v>452</v>
      </c>
      <c r="DT146">
        <v>1</v>
      </c>
      <c r="DU146">
        <v>130</v>
      </c>
      <c r="DV146">
        <v>100</v>
      </c>
      <c r="DW146" s="75">
        <f ca="1">INDIRECT(ADDRESS(11+(MATCH(RIGHT(Table18[[#This Row],[spawner_sku]],LEN(Table18[[#This Row],[spawner_sku]])-FIND("/",Table18[[#This Row],[spawner_sku]])),Table1[Entity Prefab],0)),10,1,1,"Entities"))</f>
        <v>70</v>
      </c>
      <c r="DX146" s="75">
        <f ca="1">ROUND((Table18[[#This Row],[XP]]*Table18[[#This Row],[entity_spawned (AVG)]])*(Table18[[#This Row],[activating_chance]]/100),0)</f>
        <v>70</v>
      </c>
      <c r="DY146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46">
        <v>1</v>
      </c>
      <c r="EA146">
        <v>1</v>
      </c>
      <c r="EB146" t="b">
        <v>0</v>
      </c>
      <c r="ED146" t="s">
        <v>520</v>
      </c>
      <c r="EE146">
        <v>1</v>
      </c>
      <c r="EF146">
        <v>120</v>
      </c>
      <c r="EG146">
        <v>30</v>
      </c>
      <c r="EH146" s="75">
        <f ca="1">INDIRECT(ADDRESS(11+(MATCH(RIGHT(Table1820[[#This Row],[spawner_sku]],LEN(Table1820[[#This Row],[spawner_sku]])-FIND("/",Table1820[[#This Row],[spawner_sku]])),Table1[Entity Prefab],0)),10,1,1,"Entities"))</f>
        <v>35</v>
      </c>
      <c r="EI146" s="75">
        <f ca="1">ROUND((Table1820[[#This Row],[XP]]*Table1820[[#This Row],[entity_spawned (AVG)]])*(Table1820[[#This Row],[activating_chance]]/100),0)</f>
        <v>11</v>
      </c>
      <c r="EJ146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46">
        <v>1</v>
      </c>
      <c r="EL146">
        <v>1</v>
      </c>
      <c r="EM146" t="b">
        <v>0</v>
      </c>
      <c r="EO146" t="s">
        <v>7348</v>
      </c>
      <c r="EP146">
        <v>1.5</v>
      </c>
      <c r="EQ146">
        <v>70</v>
      </c>
      <c r="ER146">
        <v>100</v>
      </c>
      <c r="ES146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ET146" s="75">
        <f ca="1">ROUND((Table182023[[#This Row],[XP]]*Table182023[[#This Row],[entity_spawned (AVG)]])*(Table182023[[#This Row],[activating_chance]]/100),0)</f>
        <v>38</v>
      </c>
      <c r="EU146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146" s="152">
        <v>1</v>
      </c>
      <c r="EW146" s="152">
        <v>2</v>
      </c>
      <c r="EX146" s="152" t="b">
        <v>0</v>
      </c>
      <c r="EZ146" t="s">
        <v>7339</v>
      </c>
      <c r="FA146">
        <v>1</v>
      </c>
      <c r="FB146">
        <v>80</v>
      </c>
      <c r="FC146">
        <v>100</v>
      </c>
      <c r="FD146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146" s="75">
        <f ca="1">ROUND((Table18202324[[#This Row],[XP]]*Table18202324[[#This Row],[entity_spawned (AVG)]])*(Table18202324[[#This Row],[activating_chance]]/100),0)</f>
        <v>25</v>
      </c>
      <c r="FF146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46">
        <v>1</v>
      </c>
      <c r="FH146">
        <v>1</v>
      </c>
      <c r="FI146" t="b">
        <v>0</v>
      </c>
    </row>
    <row r="147" spans="2:165" x14ac:dyDescent="0.25">
      <c r="B147" s="73" t="s">
        <v>228</v>
      </c>
      <c r="C147">
        <v>1</v>
      </c>
      <c r="D147">
        <v>80</v>
      </c>
      <c r="E147">
        <v>100</v>
      </c>
      <c r="F147" s="75">
        <f ca="1">INDIRECT(ADDRESS(11+(MATCH(RIGHT(Table245[[#This Row],[spawner_sku]],LEN(Table245[[#This Row],[spawner_sku]])-FIND("/",Table245[[#This Row],[spawner_sku]])),Table1[Entity Prefab],0)),10,1,1,"Entities"))</f>
        <v>25</v>
      </c>
      <c r="G147" s="75">
        <f ca="1">ROUND((Table245[[#This Row],[XP]]*Table245[[#This Row],[entity_spawned (AVG)]])*(Table245[[#This Row],[activating_chance]]/100),0)</f>
        <v>25</v>
      </c>
      <c r="H14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7" s="72">
        <v>1</v>
      </c>
      <c r="J147" s="72">
        <v>1</v>
      </c>
      <c r="K147" s="72" t="b">
        <v>0</v>
      </c>
      <c r="M147" t="s">
        <v>255</v>
      </c>
      <c r="N147">
        <v>1</v>
      </c>
      <c r="O147">
        <v>180</v>
      </c>
      <c r="P147">
        <v>80</v>
      </c>
      <c r="Q147" s="75">
        <f ca="1">INDIRECT(ADDRESS(11+(MATCH(RIGHT(Table3[[#This Row],[spawner_sku]],LEN(Table3[[#This Row],[spawner_sku]])-FIND("/",Table3[[#This Row],[spawner_sku]])),Table1[Entity Prefab],0)),10,1,1,"Entities"))</f>
        <v>25</v>
      </c>
      <c r="R147" s="75">
        <f ca="1">ROUND((Table3[[#This Row],[XP]]*Table3[[#This Row],[entity_spawned (AVG)]])*(Table3[[#This Row],[activating_chance]]/100),0)</f>
        <v>20</v>
      </c>
      <c r="S147" t="str">
        <f ca="1">INDIRECT(ADDRESS(11+(MATCH(RIGHT(Table3[[#This Row],[spawner_sku]],LEN(Table3[[#This Row],[spawner_sku]])-FIND("/",Table3[[#This Row],[spawner_sku]])),Table28[Entity Prefab],0)),24,1,1,"Entities"))</f>
        <v>no</v>
      </c>
      <c r="T147">
        <v>1</v>
      </c>
      <c r="U147">
        <v>1</v>
      </c>
      <c r="V147" t="b">
        <v>0</v>
      </c>
      <c r="W147" s="72"/>
      <c r="AI147" t="s">
        <v>229</v>
      </c>
      <c r="AJ147">
        <v>7.5</v>
      </c>
      <c r="AK147">
        <v>170</v>
      </c>
      <c r="AL147">
        <v>80</v>
      </c>
      <c r="AM147" s="75">
        <f ca="1">INDIRECT(ADDRESS(11+(MATCH(RIGHT(Table2[[#This Row],[spawner_sku]],LEN(Table2[[#This Row],[spawner_sku]])-FIND("/",Table2[[#This Row],[spawner_sku]])),Table1[Entity Prefab],0)),10,1,1,"Entities"))</f>
        <v>25</v>
      </c>
      <c r="AN147" s="75">
        <f ca="1">ROUND((Table2[[#This Row],[XP]]*Table2[[#This Row],[entity_spawned (AVG)]])*(Table2[[#This Row],[activating_chance]]/100),0)</f>
        <v>150</v>
      </c>
      <c r="AO14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47" s="72">
        <v>5</v>
      </c>
      <c r="AQ147" s="72">
        <v>10</v>
      </c>
      <c r="AR147" s="72" t="b">
        <v>1</v>
      </c>
      <c r="AT147" t="s">
        <v>396</v>
      </c>
      <c r="AU147">
        <v>1</v>
      </c>
      <c r="AV147">
        <v>120</v>
      </c>
      <c r="AW147">
        <v>50</v>
      </c>
      <c r="AX147" s="75">
        <f ca="1">INDIRECT(ADDRESS(11+(MATCH(RIGHT(Table6[[#This Row],[spawner_sku]],LEN(Table6[[#This Row],[spawner_sku]])-FIND("/",Table6[[#This Row],[spawner_sku]])),Table1[Entity Prefab],0)),10,1,1,"Entities"))</f>
        <v>25</v>
      </c>
      <c r="AY147" s="75">
        <f ca="1">ROUND((Table6[[#This Row],[XP]]*Table6[[#This Row],[entity_spawned (AVG)]])*(Table6[[#This Row],[activating_chance]]/100),0)</f>
        <v>13</v>
      </c>
      <c r="AZ147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47">
        <v>1</v>
      </c>
      <c r="BB147">
        <v>1</v>
      </c>
      <c r="BC147" t="b">
        <v>0</v>
      </c>
      <c r="BE147" t="s">
        <v>445</v>
      </c>
      <c r="BF147">
        <v>1</v>
      </c>
      <c r="BG147">
        <v>180</v>
      </c>
      <c r="BH147">
        <v>100</v>
      </c>
      <c r="BI147" s="75">
        <f ca="1">INDIRECT(ADDRESS(11+(MATCH(RIGHT(Table610[[#This Row],[spawner_sku]],LEN(Table610[[#This Row],[spawner_sku]])-FIND("/",Table610[[#This Row],[spawner_sku]])),Table1[Entity Prefab],0)),10,1,1,"Entities"))</f>
        <v>0</v>
      </c>
      <c r="BJ147" s="75">
        <f ca="1">ROUND((Table610[[#This Row],[XP]]*Table610[[#This Row],[entity_spawned (AVG)]])*(Table610[[#This Row],[activating_chance]]/100),0)</f>
        <v>0</v>
      </c>
      <c r="BK147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47">
        <v>1</v>
      </c>
      <c r="BM147">
        <v>1</v>
      </c>
      <c r="BN147" t="b">
        <v>0</v>
      </c>
      <c r="BP147" t="s">
        <v>336</v>
      </c>
      <c r="BQ147">
        <v>1</v>
      </c>
      <c r="BR147">
        <v>300</v>
      </c>
      <c r="BS147">
        <v>100</v>
      </c>
      <c r="BT147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47" s="75">
        <f ca="1">ROUND((Table61011[[#This Row],[XP]]*Table61011[[#This Row],[entity_spawned (AVG)]])*(Table61011[[#This Row],[activating_chance]]/100),0)</f>
        <v>195</v>
      </c>
      <c r="BV14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7" s="72">
        <v>1</v>
      </c>
      <c r="BX147" s="72">
        <v>1</v>
      </c>
      <c r="BY147" s="72" t="b">
        <v>0</v>
      </c>
      <c r="CA147" t="s">
        <v>239</v>
      </c>
      <c r="CB147">
        <v>1</v>
      </c>
      <c r="CC147">
        <v>2000</v>
      </c>
      <c r="CD147">
        <v>100</v>
      </c>
      <c r="CE147" s="75">
        <f ca="1">INDIRECT(ADDRESS(11+(MATCH(RIGHT(Table11[[#This Row],[spawner_sku]],LEN(Table11[[#This Row],[spawner_sku]])-FIND("/",Table11[[#This Row],[spawner_sku]])),Table1[Entity Prefab],0)),10,1,1,"Entities"))</f>
        <v>175</v>
      </c>
      <c r="CF147">
        <f ca="1">ROUND((Table11[[#This Row],[XP]]*Table11[[#This Row],[entity_spawned (AVG)]])*(Table11[[#This Row],[activating_chance]]/100),0)</f>
        <v>175</v>
      </c>
      <c r="CG147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47" s="72">
        <v>1</v>
      </c>
      <c r="CI147" s="72">
        <v>1</v>
      </c>
      <c r="CJ147" s="72" t="b">
        <v>0</v>
      </c>
      <c r="CL147" t="s">
        <v>255</v>
      </c>
      <c r="CM147">
        <v>1</v>
      </c>
      <c r="CN147">
        <v>150</v>
      </c>
      <c r="CO147">
        <v>80</v>
      </c>
      <c r="CP147" s="75">
        <f ca="1">INDIRECT(ADDRESS(11+(MATCH(RIGHT(Table12[[#This Row],[spawner_sku]],LEN(Table12[[#This Row],[spawner_sku]])-FIND("/",Table12[[#This Row],[spawner_sku]])),Table1[Entity Prefab],0)),10,1,1,"Entities"))</f>
        <v>25</v>
      </c>
      <c r="CQ147" s="75">
        <f ca="1">ROUND((Table12[[#This Row],[XP]]*Table12[[#This Row],[entity_spawned (AVG)]])*(Table12[[#This Row],[activating_chance]]/100),0)</f>
        <v>20</v>
      </c>
      <c r="CR147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47" s="72">
        <v>1</v>
      </c>
      <c r="CT147" s="72">
        <v>1</v>
      </c>
      <c r="CU147" s="72" t="b">
        <v>0</v>
      </c>
      <c r="CW147" t="s">
        <v>246</v>
      </c>
      <c r="CX147">
        <v>1</v>
      </c>
      <c r="CY147">
        <v>500</v>
      </c>
      <c r="CZ147">
        <v>100</v>
      </c>
      <c r="DA147" s="75">
        <f ca="1">INDIRECT(ADDRESS(11+(MATCH(RIGHT(Table13[[#This Row],[spawner_sku]],LEN(Table13[[#This Row],[spawner_sku]])-FIND("/",Table13[[#This Row],[spawner_sku]])),Table1[Entity Prefab],0)),10,1,1,"Entities"))</f>
        <v>25</v>
      </c>
      <c r="DB147" s="75">
        <f ca="1">ROUND((Table13[[#This Row],[XP]]*Table13[[#This Row],[entity_spawned (AVG)]])*(Table13[[#This Row],[activating_chance]]/100),0)</f>
        <v>25</v>
      </c>
      <c r="DC147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147" s="72">
        <v>1</v>
      </c>
      <c r="DE147" s="72">
        <v>1</v>
      </c>
      <c r="DF147" s="72" t="b">
        <v>0</v>
      </c>
      <c r="DH147" t="s">
        <v>227</v>
      </c>
      <c r="DI147">
        <v>3.5</v>
      </c>
      <c r="DJ147">
        <v>150</v>
      </c>
      <c r="DK147">
        <v>10</v>
      </c>
      <c r="DL147" s="75">
        <f ca="1">INDIRECT(ADDRESS(11+(MATCH(RIGHT(Table14[[#This Row],[spawner_sku]],LEN(Table14[[#This Row],[spawner_sku]])-FIND("/",Table14[[#This Row],[spawner_sku]])),Table1[Entity Prefab],0)),10,1,1,"Entities"))</f>
        <v>25</v>
      </c>
      <c r="DM147" s="75">
        <f ca="1">ROUND((Table14[[#This Row],[XP]]*Table14[[#This Row],[entity_spawned (AVG)]])*(Table14[[#This Row],[activating_chance]]/100),0)</f>
        <v>9</v>
      </c>
      <c r="DN14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47" s="72">
        <v>3</v>
      </c>
      <c r="DP147" s="72">
        <v>4</v>
      </c>
      <c r="DQ147" s="72" t="b">
        <v>0</v>
      </c>
      <c r="DS147" t="s">
        <v>452</v>
      </c>
      <c r="DT147">
        <v>1</v>
      </c>
      <c r="DU147">
        <v>130</v>
      </c>
      <c r="DV147">
        <v>100</v>
      </c>
      <c r="DW147" s="75">
        <f ca="1">INDIRECT(ADDRESS(11+(MATCH(RIGHT(Table18[[#This Row],[spawner_sku]],LEN(Table18[[#This Row],[spawner_sku]])-FIND("/",Table18[[#This Row],[spawner_sku]])),Table1[Entity Prefab],0)),10,1,1,"Entities"))</f>
        <v>70</v>
      </c>
      <c r="DX147" s="75">
        <f ca="1">ROUND((Table18[[#This Row],[XP]]*Table18[[#This Row],[entity_spawned (AVG)]])*(Table18[[#This Row],[activating_chance]]/100),0)</f>
        <v>70</v>
      </c>
      <c r="DY147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47">
        <v>1</v>
      </c>
      <c r="EA147">
        <v>1</v>
      </c>
      <c r="EB147" t="b">
        <v>0</v>
      </c>
      <c r="ED147" t="s">
        <v>520</v>
      </c>
      <c r="EE147">
        <v>1</v>
      </c>
      <c r="EF147">
        <v>120</v>
      </c>
      <c r="EG147">
        <v>100</v>
      </c>
      <c r="EH147" s="75">
        <f ca="1">INDIRECT(ADDRESS(11+(MATCH(RIGHT(Table1820[[#This Row],[spawner_sku]],LEN(Table1820[[#This Row],[spawner_sku]])-FIND("/",Table1820[[#This Row],[spawner_sku]])),Table1[Entity Prefab],0)),10,1,1,"Entities"))</f>
        <v>35</v>
      </c>
      <c r="EI147" s="75">
        <f ca="1">ROUND((Table1820[[#This Row],[XP]]*Table1820[[#This Row],[entity_spawned (AVG)]])*(Table1820[[#This Row],[activating_chance]]/100),0)</f>
        <v>35</v>
      </c>
      <c r="EJ147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47">
        <v>1</v>
      </c>
      <c r="EL147">
        <v>2</v>
      </c>
      <c r="EM147" t="b">
        <v>0</v>
      </c>
      <c r="EO147" t="s">
        <v>7340</v>
      </c>
      <c r="EP147">
        <v>1</v>
      </c>
      <c r="EQ147">
        <v>70</v>
      </c>
      <c r="ER147">
        <v>100</v>
      </c>
      <c r="ES147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ET147" s="75">
        <f ca="1">ROUND((Table182023[[#This Row],[XP]]*Table182023[[#This Row],[entity_spawned (AVG)]])*(Table182023[[#This Row],[activating_chance]]/100),0)</f>
        <v>25</v>
      </c>
      <c r="EU147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147" s="152">
        <v>1</v>
      </c>
      <c r="EW147" s="152">
        <v>1</v>
      </c>
      <c r="EX147" s="152" t="b">
        <v>0</v>
      </c>
      <c r="EZ147" t="s">
        <v>7339</v>
      </c>
      <c r="FA147">
        <v>1</v>
      </c>
      <c r="FB147">
        <v>80</v>
      </c>
      <c r="FC147">
        <v>100</v>
      </c>
      <c r="FD147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147" s="75">
        <f ca="1">ROUND((Table18202324[[#This Row],[XP]]*Table18202324[[#This Row],[entity_spawned (AVG)]])*(Table18202324[[#This Row],[activating_chance]]/100),0)</f>
        <v>25</v>
      </c>
      <c r="FF147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47">
        <v>1</v>
      </c>
      <c r="FH147">
        <v>1</v>
      </c>
      <c r="FI147" t="b">
        <v>0</v>
      </c>
    </row>
    <row r="148" spans="2:165" x14ac:dyDescent="0.25">
      <c r="B148" s="73" t="s">
        <v>228</v>
      </c>
      <c r="C148">
        <v>7.5</v>
      </c>
      <c r="D148">
        <v>170</v>
      </c>
      <c r="E148">
        <v>100</v>
      </c>
      <c r="F148" s="75">
        <f ca="1">INDIRECT(ADDRESS(11+(MATCH(RIGHT(Table245[[#This Row],[spawner_sku]],LEN(Table245[[#This Row],[spawner_sku]])-FIND("/",Table245[[#This Row],[spawner_sku]])),Table1[Entity Prefab],0)),10,1,1,"Entities"))</f>
        <v>25</v>
      </c>
      <c r="G148" s="75">
        <f ca="1">ROUND((Table245[[#This Row],[XP]]*Table245[[#This Row],[entity_spawned (AVG)]])*(Table245[[#This Row],[activating_chance]]/100),0)</f>
        <v>188</v>
      </c>
      <c r="H14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8" s="72">
        <v>5</v>
      </c>
      <c r="J148" s="72">
        <v>10</v>
      </c>
      <c r="K148" s="72" t="b">
        <v>1</v>
      </c>
      <c r="M148" t="s">
        <v>255</v>
      </c>
      <c r="N148">
        <v>1</v>
      </c>
      <c r="O148">
        <v>180</v>
      </c>
      <c r="P148">
        <v>100</v>
      </c>
      <c r="Q148" s="75">
        <f ca="1">INDIRECT(ADDRESS(11+(MATCH(RIGHT(Table3[[#This Row],[spawner_sku]],LEN(Table3[[#This Row],[spawner_sku]])-FIND("/",Table3[[#This Row],[spawner_sku]])),Table1[Entity Prefab],0)),10,1,1,"Entities"))</f>
        <v>25</v>
      </c>
      <c r="R148" s="75">
        <f ca="1">ROUND((Table3[[#This Row],[XP]]*Table3[[#This Row],[entity_spawned (AVG)]])*(Table3[[#This Row],[activating_chance]]/100),0)</f>
        <v>25</v>
      </c>
      <c r="S148" t="str">
        <f ca="1">INDIRECT(ADDRESS(11+(MATCH(RIGHT(Table3[[#This Row],[spawner_sku]],LEN(Table3[[#This Row],[spawner_sku]])-FIND("/",Table3[[#This Row],[spawner_sku]])),Table28[Entity Prefab],0)),24,1,1,"Entities"))</f>
        <v>no</v>
      </c>
      <c r="T148">
        <v>1</v>
      </c>
      <c r="U148">
        <v>1</v>
      </c>
      <c r="V148" t="b">
        <v>0</v>
      </c>
      <c r="W148" s="72"/>
      <c r="AI148" t="s">
        <v>229</v>
      </c>
      <c r="AJ148">
        <v>3</v>
      </c>
      <c r="AK148">
        <v>110</v>
      </c>
      <c r="AL148">
        <v>100</v>
      </c>
      <c r="AM148" s="75">
        <f ca="1">INDIRECT(ADDRESS(11+(MATCH(RIGHT(Table2[[#This Row],[spawner_sku]],LEN(Table2[[#This Row],[spawner_sku]])-FIND("/",Table2[[#This Row],[spawner_sku]])),Table1[Entity Prefab],0)),10,1,1,"Entities"))</f>
        <v>25</v>
      </c>
      <c r="AN148" s="75">
        <f ca="1">ROUND((Table2[[#This Row],[XP]]*Table2[[#This Row],[entity_spawned (AVG)]])*(Table2[[#This Row],[activating_chance]]/100),0)</f>
        <v>75</v>
      </c>
      <c r="AO14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48" s="72">
        <v>2</v>
      </c>
      <c r="AQ148" s="72">
        <v>4</v>
      </c>
      <c r="AR148" s="72" t="b">
        <v>0</v>
      </c>
      <c r="AT148" t="s">
        <v>396</v>
      </c>
      <c r="AU148">
        <v>3</v>
      </c>
      <c r="AV148">
        <v>120</v>
      </c>
      <c r="AW148">
        <v>100</v>
      </c>
      <c r="AX148" s="75">
        <f ca="1">INDIRECT(ADDRESS(11+(MATCH(RIGHT(Table6[[#This Row],[spawner_sku]],LEN(Table6[[#This Row],[spawner_sku]])-FIND("/",Table6[[#This Row],[spawner_sku]])),Table1[Entity Prefab],0)),10,1,1,"Entities"))</f>
        <v>25</v>
      </c>
      <c r="AY148" s="75">
        <f ca="1">ROUND((Table6[[#This Row],[XP]]*Table6[[#This Row],[entity_spawned (AVG)]])*(Table6[[#This Row],[activating_chance]]/100),0)</f>
        <v>75</v>
      </c>
      <c r="AZ148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48">
        <v>2</v>
      </c>
      <c r="BB148">
        <v>4</v>
      </c>
      <c r="BC148" t="b">
        <v>0</v>
      </c>
      <c r="BE148" t="s">
        <v>445</v>
      </c>
      <c r="BF148">
        <v>1</v>
      </c>
      <c r="BG148">
        <v>180</v>
      </c>
      <c r="BH148">
        <v>100</v>
      </c>
      <c r="BI148" s="75">
        <f ca="1">INDIRECT(ADDRESS(11+(MATCH(RIGHT(Table610[[#This Row],[spawner_sku]],LEN(Table610[[#This Row],[spawner_sku]])-FIND("/",Table610[[#This Row],[spawner_sku]])),Table1[Entity Prefab],0)),10,1,1,"Entities"))</f>
        <v>0</v>
      </c>
      <c r="BJ148" s="75">
        <f ca="1">ROUND((Table610[[#This Row],[XP]]*Table610[[#This Row],[entity_spawned (AVG)]])*(Table610[[#This Row],[activating_chance]]/100),0)</f>
        <v>0</v>
      </c>
      <c r="BK148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48">
        <v>1</v>
      </c>
      <c r="BM148">
        <v>1</v>
      </c>
      <c r="BN148" t="b">
        <v>0</v>
      </c>
      <c r="BP148" t="s">
        <v>336</v>
      </c>
      <c r="BQ148">
        <v>1</v>
      </c>
      <c r="BR148">
        <v>300</v>
      </c>
      <c r="BS148">
        <v>100</v>
      </c>
      <c r="BT148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48" s="75">
        <f ca="1">ROUND((Table61011[[#This Row],[XP]]*Table61011[[#This Row],[entity_spawned (AVG)]])*(Table61011[[#This Row],[activating_chance]]/100),0)</f>
        <v>195</v>
      </c>
      <c r="BV14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8" s="72">
        <v>1</v>
      </c>
      <c r="BX148" s="72">
        <v>1</v>
      </c>
      <c r="BY148" s="72" t="b">
        <v>0</v>
      </c>
      <c r="CA148" t="s">
        <v>240</v>
      </c>
      <c r="CB148">
        <v>1</v>
      </c>
      <c r="CC148">
        <v>2000</v>
      </c>
      <c r="CD148">
        <v>100</v>
      </c>
      <c r="CE148" s="75">
        <f ca="1">INDIRECT(ADDRESS(11+(MATCH(RIGHT(Table11[[#This Row],[spawner_sku]],LEN(Table11[[#This Row],[spawner_sku]])-FIND("/",Table11[[#This Row],[spawner_sku]])),Table1[Entity Prefab],0)),10,1,1,"Entities"))</f>
        <v>175</v>
      </c>
      <c r="CF148">
        <f ca="1">ROUND((Table11[[#This Row],[XP]]*Table11[[#This Row],[entity_spawned (AVG)]])*(Table11[[#This Row],[activating_chance]]/100),0)</f>
        <v>175</v>
      </c>
      <c r="CG148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48" s="72">
        <v>1</v>
      </c>
      <c r="CI148" s="72">
        <v>1</v>
      </c>
      <c r="CJ148" s="72" t="b">
        <v>0</v>
      </c>
      <c r="CL148" t="s">
        <v>255</v>
      </c>
      <c r="CM148">
        <v>1</v>
      </c>
      <c r="CN148">
        <v>150</v>
      </c>
      <c r="CO148">
        <v>30</v>
      </c>
      <c r="CP148" s="75">
        <f ca="1">INDIRECT(ADDRESS(11+(MATCH(RIGHT(Table12[[#This Row],[spawner_sku]],LEN(Table12[[#This Row],[spawner_sku]])-FIND("/",Table12[[#This Row],[spawner_sku]])),Table1[Entity Prefab],0)),10,1,1,"Entities"))</f>
        <v>25</v>
      </c>
      <c r="CQ148" s="75">
        <f ca="1">ROUND((Table12[[#This Row],[XP]]*Table12[[#This Row],[entity_spawned (AVG)]])*(Table12[[#This Row],[activating_chance]]/100),0)</f>
        <v>8</v>
      </c>
      <c r="CR148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48" s="72">
        <v>1</v>
      </c>
      <c r="CT148" s="72">
        <v>1</v>
      </c>
      <c r="CU148" s="72" t="b">
        <v>0</v>
      </c>
      <c r="CW148" t="s">
        <v>246</v>
      </c>
      <c r="CX148">
        <v>1</v>
      </c>
      <c r="CY148">
        <v>500</v>
      </c>
      <c r="CZ148">
        <v>75</v>
      </c>
      <c r="DA148" s="75">
        <f ca="1">INDIRECT(ADDRESS(11+(MATCH(RIGHT(Table13[[#This Row],[spawner_sku]],LEN(Table13[[#This Row],[spawner_sku]])-FIND("/",Table13[[#This Row],[spawner_sku]])),Table1[Entity Prefab],0)),10,1,1,"Entities"))</f>
        <v>25</v>
      </c>
      <c r="DB148" s="75">
        <f ca="1">ROUND((Table13[[#This Row],[XP]]*Table13[[#This Row],[entity_spawned (AVG)]])*(Table13[[#This Row],[activating_chance]]/100),0)</f>
        <v>19</v>
      </c>
      <c r="DC148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148" s="72">
        <v>1</v>
      </c>
      <c r="DE148" s="72">
        <v>1</v>
      </c>
      <c r="DF148" s="72" t="b">
        <v>0</v>
      </c>
      <c r="DH148" t="s">
        <v>227</v>
      </c>
      <c r="DI148">
        <v>3.5</v>
      </c>
      <c r="DJ148">
        <v>100</v>
      </c>
      <c r="DK148">
        <v>100</v>
      </c>
      <c r="DL148" s="75">
        <f ca="1">INDIRECT(ADDRESS(11+(MATCH(RIGHT(Table14[[#This Row],[spawner_sku]],LEN(Table14[[#This Row],[spawner_sku]])-FIND("/",Table14[[#This Row],[spawner_sku]])),Table1[Entity Prefab],0)),10,1,1,"Entities"))</f>
        <v>25</v>
      </c>
      <c r="DM148" s="75">
        <f ca="1">ROUND((Table14[[#This Row],[XP]]*Table14[[#This Row],[entity_spawned (AVG)]])*(Table14[[#This Row],[activating_chance]]/100),0)</f>
        <v>88</v>
      </c>
      <c r="DN14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48" s="72">
        <v>3</v>
      </c>
      <c r="DP148" s="72">
        <v>4</v>
      </c>
      <c r="DQ148" s="72" t="b">
        <v>0</v>
      </c>
      <c r="DS148" t="s">
        <v>452</v>
      </c>
      <c r="DT148">
        <v>1</v>
      </c>
      <c r="DU148">
        <v>130</v>
      </c>
      <c r="DV148">
        <v>100</v>
      </c>
      <c r="DW148" s="75">
        <f ca="1">INDIRECT(ADDRESS(11+(MATCH(RIGHT(Table18[[#This Row],[spawner_sku]],LEN(Table18[[#This Row],[spawner_sku]])-FIND("/",Table18[[#This Row],[spawner_sku]])),Table1[Entity Prefab],0)),10,1,1,"Entities"))</f>
        <v>70</v>
      </c>
      <c r="DX148" s="75">
        <f ca="1">ROUND((Table18[[#This Row],[XP]]*Table18[[#This Row],[entity_spawned (AVG)]])*(Table18[[#This Row],[activating_chance]]/100),0)</f>
        <v>70</v>
      </c>
      <c r="DY148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48">
        <v>1</v>
      </c>
      <c r="EA148">
        <v>2</v>
      </c>
      <c r="EB148" t="b">
        <v>0</v>
      </c>
      <c r="ED148" t="s">
        <v>520</v>
      </c>
      <c r="EE148">
        <v>1</v>
      </c>
      <c r="EF148">
        <v>120</v>
      </c>
      <c r="EG148">
        <v>80</v>
      </c>
      <c r="EH148" s="75">
        <f ca="1">INDIRECT(ADDRESS(11+(MATCH(RIGHT(Table1820[[#This Row],[spawner_sku]],LEN(Table1820[[#This Row],[spawner_sku]])-FIND("/",Table1820[[#This Row],[spawner_sku]])),Table1[Entity Prefab],0)),10,1,1,"Entities"))</f>
        <v>35</v>
      </c>
      <c r="EI148" s="75">
        <f ca="1">ROUND((Table1820[[#This Row],[XP]]*Table1820[[#This Row],[entity_spawned (AVG)]])*(Table1820[[#This Row],[activating_chance]]/100),0)</f>
        <v>28</v>
      </c>
      <c r="EJ148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48">
        <v>1</v>
      </c>
      <c r="EL148">
        <v>2</v>
      </c>
      <c r="EM148" t="b">
        <v>0</v>
      </c>
      <c r="EO148" t="s">
        <v>7340</v>
      </c>
      <c r="EP148">
        <v>2</v>
      </c>
      <c r="EQ148">
        <v>80</v>
      </c>
      <c r="ER148">
        <v>100</v>
      </c>
      <c r="ES148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ET148" s="75">
        <f ca="1">ROUND((Table182023[[#This Row],[XP]]*Table182023[[#This Row],[entity_spawned (AVG)]])*(Table182023[[#This Row],[activating_chance]]/100),0)</f>
        <v>50</v>
      </c>
      <c r="EU148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148" s="152">
        <v>1</v>
      </c>
      <c r="EW148" s="152">
        <v>3</v>
      </c>
      <c r="EX148" s="152" t="b">
        <v>0</v>
      </c>
      <c r="EZ148" t="s">
        <v>7339</v>
      </c>
      <c r="FA148">
        <v>1</v>
      </c>
      <c r="FB148">
        <v>80</v>
      </c>
      <c r="FC148">
        <v>100</v>
      </c>
      <c r="FD148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148" s="75">
        <f ca="1">ROUND((Table18202324[[#This Row],[XP]]*Table18202324[[#This Row],[entity_spawned (AVG)]])*(Table18202324[[#This Row],[activating_chance]]/100),0)</f>
        <v>25</v>
      </c>
      <c r="FF148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48">
        <v>1</v>
      </c>
      <c r="FH148">
        <v>1</v>
      </c>
      <c r="FI148" t="b">
        <v>0</v>
      </c>
    </row>
    <row r="149" spans="2:165" x14ac:dyDescent="0.25">
      <c r="B149" s="73" t="s">
        <v>228</v>
      </c>
      <c r="C149">
        <v>3</v>
      </c>
      <c r="D149">
        <v>110</v>
      </c>
      <c r="E149">
        <v>100</v>
      </c>
      <c r="F149" s="75">
        <f ca="1">INDIRECT(ADDRESS(11+(MATCH(RIGHT(Table245[[#This Row],[spawner_sku]],LEN(Table245[[#This Row],[spawner_sku]])-FIND("/",Table245[[#This Row],[spawner_sku]])),Table1[Entity Prefab],0)),10,1,1,"Entities"))</f>
        <v>25</v>
      </c>
      <c r="G149" s="75">
        <f ca="1">ROUND((Table245[[#This Row],[XP]]*Table245[[#This Row],[entity_spawned (AVG)]])*(Table245[[#This Row],[activating_chance]]/100),0)</f>
        <v>75</v>
      </c>
      <c r="H14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9" s="72">
        <v>3</v>
      </c>
      <c r="J149" s="72">
        <v>3</v>
      </c>
      <c r="K149" s="72" t="b">
        <v>0</v>
      </c>
      <c r="M149" t="s">
        <v>255</v>
      </c>
      <c r="N149">
        <v>1</v>
      </c>
      <c r="O149">
        <v>200</v>
      </c>
      <c r="P149">
        <v>100</v>
      </c>
      <c r="Q149" s="75">
        <f ca="1">INDIRECT(ADDRESS(11+(MATCH(RIGHT(Table3[[#This Row],[spawner_sku]],LEN(Table3[[#This Row],[spawner_sku]])-FIND("/",Table3[[#This Row],[spawner_sku]])),Table1[Entity Prefab],0)),10,1,1,"Entities"))</f>
        <v>25</v>
      </c>
      <c r="R149" s="75">
        <f ca="1">ROUND((Table3[[#This Row],[XP]]*Table3[[#This Row],[entity_spawned (AVG)]])*(Table3[[#This Row],[activating_chance]]/100),0)</f>
        <v>25</v>
      </c>
      <c r="S149" t="str">
        <f ca="1">INDIRECT(ADDRESS(11+(MATCH(RIGHT(Table3[[#This Row],[spawner_sku]],LEN(Table3[[#This Row],[spawner_sku]])-FIND("/",Table3[[#This Row],[spawner_sku]])),Table28[Entity Prefab],0)),24,1,1,"Entities"))</f>
        <v>no</v>
      </c>
      <c r="T149">
        <v>1</v>
      </c>
      <c r="U149">
        <v>1</v>
      </c>
      <c r="V149" t="b">
        <v>0</v>
      </c>
      <c r="W149" s="72"/>
      <c r="AI149" t="s">
        <v>229</v>
      </c>
      <c r="AJ149">
        <v>2</v>
      </c>
      <c r="AK149">
        <v>100</v>
      </c>
      <c r="AL149">
        <v>100</v>
      </c>
      <c r="AM149" s="75">
        <f ca="1">INDIRECT(ADDRESS(11+(MATCH(RIGHT(Table2[[#This Row],[spawner_sku]],LEN(Table2[[#This Row],[spawner_sku]])-FIND("/",Table2[[#This Row],[spawner_sku]])),Table1[Entity Prefab],0)),10,1,1,"Entities"))</f>
        <v>25</v>
      </c>
      <c r="AN149" s="75">
        <f ca="1">ROUND((Table2[[#This Row],[XP]]*Table2[[#This Row],[entity_spawned (AVG)]])*(Table2[[#This Row],[activating_chance]]/100),0)</f>
        <v>50</v>
      </c>
      <c r="AO14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49" s="72">
        <v>1</v>
      </c>
      <c r="AQ149" s="72">
        <v>3</v>
      </c>
      <c r="AR149" s="72" t="b">
        <v>0</v>
      </c>
      <c r="AT149" t="s">
        <v>396</v>
      </c>
      <c r="AU149">
        <v>1</v>
      </c>
      <c r="AV149">
        <v>120</v>
      </c>
      <c r="AW149">
        <v>50</v>
      </c>
      <c r="AX149" s="75">
        <f ca="1">INDIRECT(ADDRESS(11+(MATCH(RIGHT(Table6[[#This Row],[spawner_sku]],LEN(Table6[[#This Row],[spawner_sku]])-FIND("/",Table6[[#This Row],[spawner_sku]])),Table1[Entity Prefab],0)),10,1,1,"Entities"))</f>
        <v>25</v>
      </c>
      <c r="AY149" s="75">
        <f ca="1">ROUND((Table6[[#This Row],[XP]]*Table6[[#This Row],[entity_spawned (AVG)]])*(Table6[[#This Row],[activating_chance]]/100),0)</f>
        <v>13</v>
      </c>
      <c r="AZ149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49">
        <v>1</v>
      </c>
      <c r="BB149">
        <v>1</v>
      </c>
      <c r="BC149" t="b">
        <v>0</v>
      </c>
      <c r="BE149" t="s">
        <v>445</v>
      </c>
      <c r="BF149">
        <v>1</v>
      </c>
      <c r="BG149">
        <v>180</v>
      </c>
      <c r="BH149">
        <v>100</v>
      </c>
      <c r="BI149" s="75">
        <f ca="1">INDIRECT(ADDRESS(11+(MATCH(RIGHT(Table610[[#This Row],[spawner_sku]],LEN(Table610[[#This Row],[spawner_sku]])-FIND("/",Table610[[#This Row],[spawner_sku]])),Table1[Entity Prefab],0)),10,1,1,"Entities"))</f>
        <v>0</v>
      </c>
      <c r="BJ149" s="75">
        <f ca="1">ROUND((Table610[[#This Row],[XP]]*Table610[[#This Row],[entity_spawned (AVG)]])*(Table610[[#This Row],[activating_chance]]/100),0)</f>
        <v>0</v>
      </c>
      <c r="BK149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49">
        <v>1</v>
      </c>
      <c r="BM149">
        <v>1</v>
      </c>
      <c r="BN149" t="b">
        <v>0</v>
      </c>
      <c r="BP149" t="s">
        <v>336</v>
      </c>
      <c r="BQ149">
        <v>1</v>
      </c>
      <c r="BR149">
        <v>300</v>
      </c>
      <c r="BS149">
        <v>100</v>
      </c>
      <c r="BT149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49" s="75">
        <f ca="1">ROUND((Table61011[[#This Row],[XP]]*Table61011[[#This Row],[entity_spawned (AVG)]])*(Table61011[[#This Row],[activating_chance]]/100),0)</f>
        <v>195</v>
      </c>
      <c r="BV14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9" s="72">
        <v>1</v>
      </c>
      <c r="BX149" s="72">
        <v>1</v>
      </c>
      <c r="BY149" s="72" t="b">
        <v>0</v>
      </c>
      <c r="CA149" t="s">
        <v>240</v>
      </c>
      <c r="CB149">
        <v>1</v>
      </c>
      <c r="CC149">
        <v>2000</v>
      </c>
      <c r="CD149">
        <v>100</v>
      </c>
      <c r="CE149" s="75">
        <f ca="1">INDIRECT(ADDRESS(11+(MATCH(RIGHT(Table11[[#This Row],[spawner_sku]],LEN(Table11[[#This Row],[spawner_sku]])-FIND("/",Table11[[#This Row],[spawner_sku]])),Table1[Entity Prefab],0)),10,1,1,"Entities"))</f>
        <v>175</v>
      </c>
      <c r="CF149">
        <f ca="1">ROUND((Table11[[#This Row],[XP]]*Table11[[#This Row],[entity_spawned (AVG)]])*(Table11[[#This Row],[activating_chance]]/100),0)</f>
        <v>175</v>
      </c>
      <c r="CG149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49" s="72">
        <v>1</v>
      </c>
      <c r="CI149" s="72">
        <v>1</v>
      </c>
      <c r="CJ149" s="72" t="b">
        <v>0</v>
      </c>
      <c r="CL149" t="s">
        <v>255</v>
      </c>
      <c r="CM149">
        <v>1</v>
      </c>
      <c r="CN149">
        <v>150</v>
      </c>
      <c r="CO149">
        <v>100</v>
      </c>
      <c r="CP149" s="75">
        <f ca="1">INDIRECT(ADDRESS(11+(MATCH(RIGHT(Table12[[#This Row],[spawner_sku]],LEN(Table12[[#This Row],[spawner_sku]])-FIND("/",Table12[[#This Row],[spawner_sku]])),Table1[Entity Prefab],0)),10,1,1,"Entities"))</f>
        <v>25</v>
      </c>
      <c r="CQ149" s="75">
        <f ca="1">ROUND((Table12[[#This Row],[XP]]*Table12[[#This Row],[entity_spawned (AVG)]])*(Table12[[#This Row],[activating_chance]]/100),0)</f>
        <v>25</v>
      </c>
      <c r="CR149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49" s="72">
        <v>1</v>
      </c>
      <c r="CT149" s="72">
        <v>1</v>
      </c>
      <c r="CU149" s="72" t="b">
        <v>0</v>
      </c>
      <c r="CW149" t="s">
        <v>246</v>
      </c>
      <c r="CX149">
        <v>1</v>
      </c>
      <c r="CY149">
        <v>500</v>
      </c>
      <c r="CZ149">
        <v>100</v>
      </c>
      <c r="DA149" s="75">
        <f ca="1">INDIRECT(ADDRESS(11+(MATCH(RIGHT(Table13[[#This Row],[spawner_sku]],LEN(Table13[[#This Row],[spawner_sku]])-FIND("/",Table13[[#This Row],[spawner_sku]])),Table1[Entity Prefab],0)),10,1,1,"Entities"))</f>
        <v>25</v>
      </c>
      <c r="DB149" s="75">
        <f ca="1">ROUND((Table13[[#This Row],[XP]]*Table13[[#This Row],[entity_spawned (AVG)]])*(Table13[[#This Row],[activating_chance]]/100),0)</f>
        <v>25</v>
      </c>
      <c r="DC149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149" s="72">
        <v>1</v>
      </c>
      <c r="DE149" s="72">
        <v>1</v>
      </c>
      <c r="DF149" s="72" t="b">
        <v>0</v>
      </c>
      <c r="DH149" t="s">
        <v>227</v>
      </c>
      <c r="DI149">
        <v>3.5</v>
      </c>
      <c r="DJ149">
        <v>120</v>
      </c>
      <c r="DK149">
        <v>100</v>
      </c>
      <c r="DL149" s="75">
        <f ca="1">INDIRECT(ADDRESS(11+(MATCH(RIGHT(Table14[[#This Row],[spawner_sku]],LEN(Table14[[#This Row],[spawner_sku]])-FIND("/",Table14[[#This Row],[spawner_sku]])),Table1[Entity Prefab],0)),10,1,1,"Entities"))</f>
        <v>25</v>
      </c>
      <c r="DM149" s="75">
        <f ca="1">ROUND((Table14[[#This Row],[XP]]*Table14[[#This Row],[entity_spawned (AVG)]])*(Table14[[#This Row],[activating_chance]]/100),0)</f>
        <v>88</v>
      </c>
      <c r="DN14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49" s="72">
        <v>3</v>
      </c>
      <c r="DP149" s="72">
        <v>4</v>
      </c>
      <c r="DQ149" s="72" t="b">
        <v>0</v>
      </c>
      <c r="DS149" t="s">
        <v>517</v>
      </c>
      <c r="DT149">
        <v>1</v>
      </c>
      <c r="DU149">
        <v>120</v>
      </c>
      <c r="DV149">
        <v>100</v>
      </c>
      <c r="DW149" s="75">
        <f ca="1">INDIRECT(ADDRESS(11+(MATCH(RIGHT(Table18[[#This Row],[spawner_sku]],LEN(Table18[[#This Row],[spawner_sku]])-FIND("/",Table18[[#This Row],[spawner_sku]])),Table1[Entity Prefab],0)),10,1,1,"Entities"))</f>
        <v>95</v>
      </c>
      <c r="DX149" s="75">
        <f ca="1">ROUND((Table18[[#This Row],[XP]]*Table18[[#This Row],[entity_spawned (AVG)]])*(Table18[[#This Row],[activating_chance]]/100),0)</f>
        <v>95</v>
      </c>
      <c r="DY149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49">
        <v>1</v>
      </c>
      <c r="EA149">
        <v>1</v>
      </c>
      <c r="EB149" t="b">
        <v>0</v>
      </c>
      <c r="ED149" t="s">
        <v>520</v>
      </c>
      <c r="EE149">
        <v>2</v>
      </c>
      <c r="EF149">
        <v>120</v>
      </c>
      <c r="EG149">
        <v>100</v>
      </c>
      <c r="EH149" s="75">
        <f ca="1">INDIRECT(ADDRESS(11+(MATCH(RIGHT(Table1820[[#This Row],[spawner_sku]],LEN(Table1820[[#This Row],[spawner_sku]])-FIND("/",Table1820[[#This Row],[spawner_sku]])),Table1[Entity Prefab],0)),10,1,1,"Entities"))</f>
        <v>35</v>
      </c>
      <c r="EI149" s="75">
        <f ca="1">ROUND((Table1820[[#This Row],[XP]]*Table1820[[#This Row],[entity_spawned (AVG)]])*(Table1820[[#This Row],[activating_chance]]/100),0)</f>
        <v>70</v>
      </c>
      <c r="EJ149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49">
        <v>2</v>
      </c>
      <c r="EL149">
        <v>2</v>
      </c>
      <c r="EM149" t="b">
        <v>0</v>
      </c>
      <c r="EO149" t="s">
        <v>7340</v>
      </c>
      <c r="EP149">
        <v>1.5</v>
      </c>
      <c r="EQ149">
        <v>70</v>
      </c>
      <c r="ER149">
        <v>100</v>
      </c>
      <c r="ES149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ET149" s="75">
        <f ca="1">ROUND((Table182023[[#This Row],[XP]]*Table182023[[#This Row],[entity_spawned (AVG)]])*(Table182023[[#This Row],[activating_chance]]/100),0)</f>
        <v>38</v>
      </c>
      <c r="EU149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149" s="152">
        <v>1</v>
      </c>
      <c r="EW149" s="152">
        <v>2</v>
      </c>
      <c r="EX149" s="152" t="b">
        <v>0</v>
      </c>
      <c r="EZ149" t="s">
        <v>7339</v>
      </c>
      <c r="FA149">
        <v>1</v>
      </c>
      <c r="FB149">
        <v>90</v>
      </c>
      <c r="FC149">
        <v>100</v>
      </c>
      <c r="FD149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149" s="75">
        <f ca="1">ROUND((Table18202324[[#This Row],[XP]]*Table18202324[[#This Row],[entity_spawned (AVG)]])*(Table18202324[[#This Row],[activating_chance]]/100),0)</f>
        <v>25</v>
      </c>
      <c r="FF149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49">
        <v>1</v>
      </c>
      <c r="FH149">
        <v>1</v>
      </c>
      <c r="FI149" t="b">
        <v>0</v>
      </c>
    </row>
    <row r="150" spans="2:165" x14ac:dyDescent="0.25">
      <c r="B150" s="73" t="s">
        <v>228</v>
      </c>
      <c r="C150">
        <v>11</v>
      </c>
      <c r="D150">
        <v>190</v>
      </c>
      <c r="E150">
        <v>100</v>
      </c>
      <c r="F150" s="75">
        <f ca="1">INDIRECT(ADDRESS(11+(MATCH(RIGHT(Table245[[#This Row],[spawner_sku]],LEN(Table245[[#This Row],[spawner_sku]])-FIND("/",Table245[[#This Row],[spawner_sku]])),Table1[Entity Prefab],0)),10,1,1,"Entities"))</f>
        <v>25</v>
      </c>
      <c r="G150" s="75">
        <f ca="1">ROUND((Table245[[#This Row],[XP]]*Table245[[#This Row],[entity_spawned (AVG)]])*(Table245[[#This Row],[activating_chance]]/100),0)</f>
        <v>275</v>
      </c>
      <c r="H15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0" s="72">
        <v>8</v>
      </c>
      <c r="J150" s="72">
        <v>14</v>
      </c>
      <c r="K150" s="72" t="b">
        <v>1</v>
      </c>
      <c r="M150" t="s">
        <v>255</v>
      </c>
      <c r="N150">
        <v>1</v>
      </c>
      <c r="O150">
        <v>190</v>
      </c>
      <c r="P150">
        <v>100</v>
      </c>
      <c r="Q150" s="75">
        <f ca="1">INDIRECT(ADDRESS(11+(MATCH(RIGHT(Table3[[#This Row],[spawner_sku]],LEN(Table3[[#This Row],[spawner_sku]])-FIND("/",Table3[[#This Row],[spawner_sku]])),Table1[Entity Prefab],0)),10,1,1,"Entities"))</f>
        <v>25</v>
      </c>
      <c r="R150" s="75">
        <f ca="1">ROUND((Table3[[#This Row],[XP]]*Table3[[#This Row],[entity_spawned (AVG)]])*(Table3[[#This Row],[activating_chance]]/100),0)</f>
        <v>25</v>
      </c>
      <c r="S150" t="str">
        <f ca="1">INDIRECT(ADDRESS(11+(MATCH(RIGHT(Table3[[#This Row],[spawner_sku]],LEN(Table3[[#This Row],[spawner_sku]])-FIND("/",Table3[[#This Row],[spawner_sku]])),Table28[Entity Prefab],0)),24,1,1,"Entities"))</f>
        <v>no</v>
      </c>
      <c r="T150">
        <v>1</v>
      </c>
      <c r="U150">
        <v>1</v>
      </c>
      <c r="V150" t="b">
        <v>0</v>
      </c>
      <c r="W150" s="72"/>
      <c r="AI150" t="s">
        <v>229</v>
      </c>
      <c r="AJ150">
        <v>1</v>
      </c>
      <c r="AK150">
        <v>90</v>
      </c>
      <c r="AL150">
        <v>100</v>
      </c>
      <c r="AM150" s="75">
        <f ca="1">INDIRECT(ADDRESS(11+(MATCH(RIGHT(Table2[[#This Row],[spawner_sku]],LEN(Table2[[#This Row],[spawner_sku]])-FIND("/",Table2[[#This Row],[spawner_sku]])),Table1[Entity Prefab],0)),10,1,1,"Entities"))</f>
        <v>25</v>
      </c>
      <c r="AN150" s="75">
        <f ca="1">ROUND((Table2[[#This Row],[XP]]*Table2[[#This Row],[entity_spawned (AVG)]])*(Table2[[#This Row],[activating_chance]]/100),0)</f>
        <v>25</v>
      </c>
      <c r="AO15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50" s="72">
        <v>1</v>
      </c>
      <c r="AQ150" s="72">
        <v>1</v>
      </c>
      <c r="AR150" s="72" t="b">
        <v>0</v>
      </c>
      <c r="AT150" t="s">
        <v>396</v>
      </c>
      <c r="AU150">
        <v>1</v>
      </c>
      <c r="AV150">
        <v>120</v>
      </c>
      <c r="AW150">
        <v>100</v>
      </c>
      <c r="AX150" s="75">
        <f ca="1">INDIRECT(ADDRESS(11+(MATCH(RIGHT(Table6[[#This Row],[spawner_sku]],LEN(Table6[[#This Row],[spawner_sku]])-FIND("/",Table6[[#This Row],[spawner_sku]])),Table1[Entity Prefab],0)),10,1,1,"Entities"))</f>
        <v>25</v>
      </c>
      <c r="AY150" s="75">
        <f ca="1">ROUND((Table6[[#This Row],[XP]]*Table6[[#This Row],[entity_spawned (AVG)]])*(Table6[[#This Row],[activating_chance]]/100),0)</f>
        <v>25</v>
      </c>
      <c r="AZ150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50">
        <v>1</v>
      </c>
      <c r="BB150">
        <v>1</v>
      </c>
      <c r="BC150" t="b">
        <v>0</v>
      </c>
      <c r="BE150" t="s">
        <v>445</v>
      </c>
      <c r="BF150">
        <v>1</v>
      </c>
      <c r="BG150">
        <v>180</v>
      </c>
      <c r="BH150">
        <v>100</v>
      </c>
      <c r="BI150" s="75">
        <f ca="1">INDIRECT(ADDRESS(11+(MATCH(RIGHT(Table610[[#This Row],[spawner_sku]],LEN(Table610[[#This Row],[spawner_sku]])-FIND("/",Table610[[#This Row],[spawner_sku]])),Table1[Entity Prefab],0)),10,1,1,"Entities"))</f>
        <v>0</v>
      </c>
      <c r="BJ150" s="75">
        <f ca="1">ROUND((Table610[[#This Row],[XP]]*Table610[[#This Row],[entity_spawned (AVG)]])*(Table610[[#This Row],[activating_chance]]/100),0)</f>
        <v>0</v>
      </c>
      <c r="BK150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50">
        <v>1</v>
      </c>
      <c r="BM150">
        <v>1</v>
      </c>
      <c r="BN150" t="b">
        <v>0</v>
      </c>
      <c r="BP150" t="s">
        <v>402</v>
      </c>
      <c r="BQ150">
        <v>1</v>
      </c>
      <c r="BR150">
        <v>340</v>
      </c>
      <c r="BS150">
        <v>100</v>
      </c>
      <c r="BT150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50" s="75">
        <f ca="1">ROUND((Table61011[[#This Row],[XP]]*Table61011[[#This Row],[entity_spawned (AVG)]])*(Table61011[[#This Row],[activating_chance]]/100),0)</f>
        <v>263</v>
      </c>
      <c r="BV15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0" s="72">
        <v>1</v>
      </c>
      <c r="BX150" s="72">
        <v>1</v>
      </c>
      <c r="BY150" s="72" t="b">
        <v>0</v>
      </c>
      <c r="CA150" t="s">
        <v>240</v>
      </c>
      <c r="CB150">
        <v>1</v>
      </c>
      <c r="CC150">
        <v>2000</v>
      </c>
      <c r="CD150">
        <v>100</v>
      </c>
      <c r="CE150" s="75">
        <f ca="1">INDIRECT(ADDRESS(11+(MATCH(RIGHT(Table11[[#This Row],[spawner_sku]],LEN(Table11[[#This Row],[spawner_sku]])-FIND("/",Table11[[#This Row],[spawner_sku]])),Table1[Entity Prefab],0)),10,1,1,"Entities"))</f>
        <v>175</v>
      </c>
      <c r="CF150">
        <f ca="1">ROUND((Table11[[#This Row],[XP]]*Table11[[#This Row],[entity_spawned (AVG)]])*(Table11[[#This Row],[activating_chance]]/100),0)</f>
        <v>175</v>
      </c>
      <c r="CG150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50" s="72">
        <v>1</v>
      </c>
      <c r="CI150" s="72">
        <v>1</v>
      </c>
      <c r="CJ150" s="72" t="b">
        <v>0</v>
      </c>
      <c r="CL150" t="s">
        <v>255</v>
      </c>
      <c r="CM150">
        <v>1</v>
      </c>
      <c r="CN150">
        <v>150</v>
      </c>
      <c r="CO150">
        <v>100</v>
      </c>
      <c r="CP150" s="75">
        <f ca="1">INDIRECT(ADDRESS(11+(MATCH(RIGHT(Table12[[#This Row],[spawner_sku]],LEN(Table12[[#This Row],[spawner_sku]])-FIND("/",Table12[[#This Row],[spawner_sku]])),Table1[Entity Prefab],0)),10,1,1,"Entities"))</f>
        <v>25</v>
      </c>
      <c r="CQ150" s="75">
        <f ca="1">ROUND((Table12[[#This Row],[XP]]*Table12[[#This Row],[entity_spawned (AVG)]])*(Table12[[#This Row],[activating_chance]]/100),0)</f>
        <v>25</v>
      </c>
      <c r="CR150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50" s="72">
        <v>1</v>
      </c>
      <c r="CT150" s="72">
        <v>1</v>
      </c>
      <c r="CU150" s="72" t="b">
        <v>0</v>
      </c>
      <c r="CW150" t="s">
        <v>246</v>
      </c>
      <c r="CX150">
        <v>1</v>
      </c>
      <c r="CY150">
        <v>500</v>
      </c>
      <c r="CZ150">
        <v>100</v>
      </c>
      <c r="DA150" s="75">
        <f ca="1">INDIRECT(ADDRESS(11+(MATCH(RIGHT(Table13[[#This Row],[spawner_sku]],LEN(Table13[[#This Row],[spawner_sku]])-FIND("/",Table13[[#This Row],[spawner_sku]])),Table1[Entity Prefab],0)),10,1,1,"Entities"))</f>
        <v>25</v>
      </c>
      <c r="DB150" s="75">
        <f ca="1">ROUND((Table13[[#This Row],[XP]]*Table13[[#This Row],[entity_spawned (AVG)]])*(Table13[[#This Row],[activating_chance]]/100),0)</f>
        <v>25</v>
      </c>
      <c r="DC150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150" s="72">
        <v>1</v>
      </c>
      <c r="DE150" s="72">
        <v>1</v>
      </c>
      <c r="DF150" s="72" t="b">
        <v>0</v>
      </c>
      <c r="DH150" t="s">
        <v>227</v>
      </c>
      <c r="DI150">
        <v>7</v>
      </c>
      <c r="DJ150">
        <v>180</v>
      </c>
      <c r="DK150">
        <v>100</v>
      </c>
      <c r="DL150" s="75">
        <f ca="1">INDIRECT(ADDRESS(11+(MATCH(RIGHT(Table14[[#This Row],[spawner_sku]],LEN(Table14[[#This Row],[spawner_sku]])-FIND("/",Table14[[#This Row],[spawner_sku]])),Table1[Entity Prefab],0)),10,1,1,"Entities"))</f>
        <v>25</v>
      </c>
      <c r="DM150" s="75">
        <f ca="1">ROUND((Table14[[#This Row],[XP]]*Table14[[#This Row],[entity_spawned (AVG)]])*(Table14[[#This Row],[activating_chance]]/100),0)</f>
        <v>175</v>
      </c>
      <c r="DN15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50" s="72">
        <v>6</v>
      </c>
      <c r="DP150" s="72">
        <v>8</v>
      </c>
      <c r="DQ150" s="72" t="b">
        <v>1</v>
      </c>
      <c r="DS150" t="s">
        <v>517</v>
      </c>
      <c r="DT150">
        <v>1</v>
      </c>
      <c r="DU150">
        <v>140</v>
      </c>
      <c r="DV150">
        <v>100</v>
      </c>
      <c r="DW150" s="75">
        <f ca="1">INDIRECT(ADDRESS(11+(MATCH(RIGHT(Table18[[#This Row],[spawner_sku]],LEN(Table18[[#This Row],[spawner_sku]])-FIND("/",Table18[[#This Row],[spawner_sku]])),Table1[Entity Prefab],0)),10,1,1,"Entities"))</f>
        <v>95</v>
      </c>
      <c r="DX150" s="75">
        <f ca="1">ROUND((Table18[[#This Row],[XP]]*Table18[[#This Row],[entity_spawned (AVG)]])*(Table18[[#This Row],[activating_chance]]/100),0)</f>
        <v>95</v>
      </c>
      <c r="DY150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50">
        <v>1</v>
      </c>
      <c r="EA150">
        <v>1</v>
      </c>
      <c r="EB150" t="b">
        <v>0</v>
      </c>
      <c r="ED150" t="s">
        <v>520</v>
      </c>
      <c r="EE150">
        <v>1</v>
      </c>
      <c r="EF150">
        <v>120</v>
      </c>
      <c r="EG150">
        <v>30</v>
      </c>
      <c r="EH150" s="75">
        <f ca="1">INDIRECT(ADDRESS(11+(MATCH(RIGHT(Table1820[[#This Row],[spawner_sku]],LEN(Table1820[[#This Row],[spawner_sku]])-FIND("/",Table1820[[#This Row],[spawner_sku]])),Table1[Entity Prefab],0)),10,1,1,"Entities"))</f>
        <v>35</v>
      </c>
      <c r="EI150" s="75">
        <f ca="1">ROUND((Table1820[[#This Row],[XP]]*Table1820[[#This Row],[entity_spawned (AVG)]])*(Table1820[[#This Row],[activating_chance]]/100),0)</f>
        <v>11</v>
      </c>
      <c r="EJ150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50">
        <v>1</v>
      </c>
      <c r="EL150">
        <v>1</v>
      </c>
      <c r="EM150" t="b">
        <v>0</v>
      </c>
      <c r="EO150" t="s">
        <v>7340</v>
      </c>
      <c r="EP150">
        <v>2</v>
      </c>
      <c r="EQ150">
        <v>120</v>
      </c>
      <c r="ER150">
        <v>80</v>
      </c>
      <c r="ES150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ET150" s="75">
        <f ca="1">ROUND((Table182023[[#This Row],[XP]]*Table182023[[#This Row],[entity_spawned (AVG)]])*(Table182023[[#This Row],[activating_chance]]/100),0)</f>
        <v>40</v>
      </c>
      <c r="EU150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150" s="152">
        <v>1</v>
      </c>
      <c r="EW150" s="152">
        <v>3</v>
      </c>
      <c r="EX150" s="152" t="b">
        <v>0</v>
      </c>
      <c r="EZ150" t="s">
        <v>7339</v>
      </c>
      <c r="FA150">
        <v>1</v>
      </c>
      <c r="FB150">
        <v>80</v>
      </c>
      <c r="FC150">
        <v>100</v>
      </c>
      <c r="FD150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150" s="75">
        <f ca="1">ROUND((Table18202324[[#This Row],[XP]]*Table18202324[[#This Row],[entity_spawned (AVG)]])*(Table18202324[[#This Row],[activating_chance]]/100),0)</f>
        <v>25</v>
      </c>
      <c r="FF150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50">
        <v>1</v>
      </c>
      <c r="FH150">
        <v>1</v>
      </c>
      <c r="FI150" t="b">
        <v>0</v>
      </c>
    </row>
    <row r="151" spans="2:165" x14ac:dyDescent="0.25">
      <c r="B151" s="73" t="s">
        <v>228</v>
      </c>
      <c r="C151">
        <v>1</v>
      </c>
      <c r="D151">
        <v>80</v>
      </c>
      <c r="E151">
        <v>100</v>
      </c>
      <c r="F151" s="75">
        <f ca="1">INDIRECT(ADDRESS(11+(MATCH(RIGHT(Table245[[#This Row],[spawner_sku]],LEN(Table245[[#This Row],[spawner_sku]])-FIND("/",Table245[[#This Row],[spawner_sku]])),Table1[Entity Prefab],0)),10,1,1,"Entities"))</f>
        <v>25</v>
      </c>
      <c r="G151" s="75">
        <f ca="1">ROUND((Table245[[#This Row],[XP]]*Table245[[#This Row],[entity_spawned (AVG)]])*(Table245[[#This Row],[activating_chance]]/100),0)</f>
        <v>25</v>
      </c>
      <c r="H15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1" s="72">
        <v>1</v>
      </c>
      <c r="J151" s="72">
        <v>1</v>
      </c>
      <c r="K151" s="72" t="b">
        <v>0</v>
      </c>
      <c r="M151" t="s">
        <v>255</v>
      </c>
      <c r="N151">
        <v>1</v>
      </c>
      <c r="O151">
        <v>200</v>
      </c>
      <c r="P151">
        <v>100</v>
      </c>
      <c r="Q151" s="75">
        <f ca="1">INDIRECT(ADDRESS(11+(MATCH(RIGHT(Table3[[#This Row],[spawner_sku]],LEN(Table3[[#This Row],[spawner_sku]])-FIND("/",Table3[[#This Row],[spawner_sku]])),Table1[Entity Prefab],0)),10,1,1,"Entities"))</f>
        <v>25</v>
      </c>
      <c r="R151" s="75">
        <f ca="1">ROUND((Table3[[#This Row],[XP]]*Table3[[#This Row],[entity_spawned (AVG)]])*(Table3[[#This Row],[activating_chance]]/100),0)</f>
        <v>25</v>
      </c>
      <c r="S151" t="str">
        <f ca="1">INDIRECT(ADDRESS(11+(MATCH(RIGHT(Table3[[#This Row],[spawner_sku]],LEN(Table3[[#This Row],[spawner_sku]])-FIND("/",Table3[[#This Row],[spawner_sku]])),Table28[Entity Prefab],0)),24,1,1,"Entities"))</f>
        <v>no</v>
      </c>
      <c r="T151">
        <v>1</v>
      </c>
      <c r="U151">
        <v>1</v>
      </c>
      <c r="V151" t="b">
        <v>0</v>
      </c>
      <c r="W151" s="72"/>
      <c r="AI151" t="s">
        <v>229</v>
      </c>
      <c r="AJ151">
        <v>2</v>
      </c>
      <c r="AK151">
        <v>120</v>
      </c>
      <c r="AL151">
        <v>100</v>
      </c>
      <c r="AM151" s="75">
        <f ca="1">INDIRECT(ADDRESS(11+(MATCH(RIGHT(Table2[[#This Row],[spawner_sku]],LEN(Table2[[#This Row],[spawner_sku]])-FIND("/",Table2[[#This Row],[spawner_sku]])),Table1[Entity Prefab],0)),10,1,1,"Entities"))</f>
        <v>25</v>
      </c>
      <c r="AN151" s="75">
        <f ca="1">ROUND((Table2[[#This Row],[XP]]*Table2[[#This Row],[entity_spawned (AVG)]])*(Table2[[#This Row],[activating_chance]]/100),0)</f>
        <v>50</v>
      </c>
      <c r="AO15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51" s="72">
        <v>1</v>
      </c>
      <c r="AQ151" s="72">
        <v>3</v>
      </c>
      <c r="AR151" s="72" t="b">
        <v>0</v>
      </c>
      <c r="AT151" t="s">
        <v>396</v>
      </c>
      <c r="AU151">
        <v>1</v>
      </c>
      <c r="AV151">
        <v>120</v>
      </c>
      <c r="AW151">
        <v>100</v>
      </c>
      <c r="AX151" s="75">
        <f ca="1">INDIRECT(ADDRESS(11+(MATCH(RIGHT(Table6[[#This Row],[spawner_sku]],LEN(Table6[[#This Row],[spawner_sku]])-FIND("/",Table6[[#This Row],[spawner_sku]])),Table1[Entity Prefab],0)),10,1,1,"Entities"))</f>
        <v>25</v>
      </c>
      <c r="AY151" s="75">
        <f ca="1">ROUND((Table6[[#This Row],[XP]]*Table6[[#This Row],[entity_spawned (AVG)]])*(Table6[[#This Row],[activating_chance]]/100),0)</f>
        <v>25</v>
      </c>
      <c r="AZ151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51">
        <v>1</v>
      </c>
      <c r="BB151">
        <v>1</v>
      </c>
      <c r="BC151" t="b">
        <v>0</v>
      </c>
      <c r="BE151" t="s">
        <v>445</v>
      </c>
      <c r="BF151">
        <v>1</v>
      </c>
      <c r="BG151">
        <v>180</v>
      </c>
      <c r="BH151">
        <v>100</v>
      </c>
      <c r="BI151" s="75">
        <f ca="1">INDIRECT(ADDRESS(11+(MATCH(RIGHT(Table610[[#This Row],[spawner_sku]],LEN(Table610[[#This Row],[spawner_sku]])-FIND("/",Table610[[#This Row],[spawner_sku]])),Table1[Entity Prefab],0)),10,1,1,"Entities"))</f>
        <v>0</v>
      </c>
      <c r="BJ151" s="75">
        <f ca="1">ROUND((Table610[[#This Row],[XP]]*Table610[[#This Row],[entity_spawned (AVG)]])*(Table610[[#This Row],[activating_chance]]/100),0)</f>
        <v>0</v>
      </c>
      <c r="BK151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51">
        <v>1</v>
      </c>
      <c r="BM151">
        <v>1</v>
      </c>
      <c r="BN151" t="b">
        <v>0</v>
      </c>
      <c r="BP151" t="s">
        <v>402</v>
      </c>
      <c r="BQ151">
        <v>1</v>
      </c>
      <c r="BR151">
        <v>340</v>
      </c>
      <c r="BS151">
        <v>100</v>
      </c>
      <c r="BT151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51" s="75">
        <f ca="1">ROUND((Table61011[[#This Row],[XP]]*Table61011[[#This Row],[entity_spawned (AVG)]])*(Table61011[[#This Row],[activating_chance]]/100),0)</f>
        <v>263</v>
      </c>
      <c r="BV15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1" s="72">
        <v>1</v>
      </c>
      <c r="BX151" s="72">
        <v>1</v>
      </c>
      <c r="BY151" s="72" t="b">
        <v>0</v>
      </c>
      <c r="CA151" t="s">
        <v>240</v>
      </c>
      <c r="CB151">
        <v>1</v>
      </c>
      <c r="CC151">
        <v>2000</v>
      </c>
      <c r="CD151">
        <v>100</v>
      </c>
      <c r="CE151" s="75">
        <f ca="1">INDIRECT(ADDRESS(11+(MATCH(RIGHT(Table11[[#This Row],[spawner_sku]],LEN(Table11[[#This Row],[spawner_sku]])-FIND("/",Table11[[#This Row],[spawner_sku]])),Table1[Entity Prefab],0)),10,1,1,"Entities"))</f>
        <v>175</v>
      </c>
      <c r="CF151">
        <f ca="1">ROUND((Table11[[#This Row],[XP]]*Table11[[#This Row],[entity_spawned (AVG)]])*(Table11[[#This Row],[activating_chance]]/100),0)</f>
        <v>175</v>
      </c>
      <c r="CG151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51" s="72">
        <v>1</v>
      </c>
      <c r="CI151" s="72">
        <v>1</v>
      </c>
      <c r="CJ151" s="72" t="b">
        <v>0</v>
      </c>
      <c r="CL151" t="s">
        <v>255</v>
      </c>
      <c r="CM151">
        <v>1</v>
      </c>
      <c r="CN151">
        <v>150</v>
      </c>
      <c r="CO151">
        <v>100</v>
      </c>
      <c r="CP151" s="75">
        <f ca="1">INDIRECT(ADDRESS(11+(MATCH(RIGHT(Table12[[#This Row],[spawner_sku]],LEN(Table12[[#This Row],[spawner_sku]])-FIND("/",Table12[[#This Row],[spawner_sku]])),Table1[Entity Prefab],0)),10,1,1,"Entities"))</f>
        <v>25</v>
      </c>
      <c r="CQ151" s="75">
        <f ca="1">ROUND((Table12[[#This Row],[XP]]*Table12[[#This Row],[entity_spawned (AVG)]])*(Table12[[#This Row],[activating_chance]]/100),0)</f>
        <v>25</v>
      </c>
      <c r="CR151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51" s="72">
        <v>1</v>
      </c>
      <c r="CT151" s="72">
        <v>1</v>
      </c>
      <c r="CU151" s="72" t="b">
        <v>0</v>
      </c>
      <c r="CW151" t="s">
        <v>246</v>
      </c>
      <c r="CX151">
        <v>1</v>
      </c>
      <c r="CY151">
        <v>500</v>
      </c>
      <c r="CZ151">
        <v>75</v>
      </c>
      <c r="DA151" s="75">
        <f ca="1">INDIRECT(ADDRESS(11+(MATCH(RIGHT(Table13[[#This Row],[spawner_sku]],LEN(Table13[[#This Row],[spawner_sku]])-FIND("/",Table13[[#This Row],[spawner_sku]])),Table1[Entity Prefab],0)),10,1,1,"Entities"))</f>
        <v>25</v>
      </c>
      <c r="DB151" s="75">
        <f ca="1">ROUND((Table13[[#This Row],[XP]]*Table13[[#This Row],[entity_spawned (AVG)]])*(Table13[[#This Row],[activating_chance]]/100),0)</f>
        <v>19</v>
      </c>
      <c r="DC151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151" s="72">
        <v>1</v>
      </c>
      <c r="DE151" s="72">
        <v>1</v>
      </c>
      <c r="DF151" s="72" t="b">
        <v>0</v>
      </c>
      <c r="DH151" t="s">
        <v>227</v>
      </c>
      <c r="DI151">
        <v>3.5</v>
      </c>
      <c r="DJ151">
        <v>100</v>
      </c>
      <c r="DK151">
        <v>100</v>
      </c>
      <c r="DL151" s="75">
        <f ca="1">INDIRECT(ADDRESS(11+(MATCH(RIGHT(Table14[[#This Row],[spawner_sku]],LEN(Table14[[#This Row],[spawner_sku]])-FIND("/",Table14[[#This Row],[spawner_sku]])),Table1[Entity Prefab],0)),10,1,1,"Entities"))</f>
        <v>25</v>
      </c>
      <c r="DM151" s="75">
        <f ca="1">ROUND((Table14[[#This Row],[XP]]*Table14[[#This Row],[entity_spawned (AVG)]])*(Table14[[#This Row],[activating_chance]]/100),0)</f>
        <v>88</v>
      </c>
      <c r="DN15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51" s="72">
        <v>3</v>
      </c>
      <c r="DP151" s="72">
        <v>4</v>
      </c>
      <c r="DQ151" s="72" t="b">
        <v>0</v>
      </c>
      <c r="DS151" t="s">
        <v>520</v>
      </c>
      <c r="DT151">
        <v>1</v>
      </c>
      <c r="DU151">
        <v>120</v>
      </c>
      <c r="DV151">
        <v>100</v>
      </c>
      <c r="DW151" s="75">
        <f ca="1">INDIRECT(ADDRESS(11+(MATCH(RIGHT(Table18[[#This Row],[spawner_sku]],LEN(Table18[[#This Row],[spawner_sku]])-FIND("/",Table18[[#This Row],[spawner_sku]])),Table1[Entity Prefab],0)),10,1,1,"Entities"))</f>
        <v>35</v>
      </c>
      <c r="DX151" s="75">
        <f ca="1">ROUND((Table18[[#This Row],[XP]]*Table18[[#This Row],[entity_spawned (AVG)]])*(Table18[[#This Row],[activating_chance]]/100),0)</f>
        <v>35</v>
      </c>
      <c r="DY151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51">
        <v>1</v>
      </c>
      <c r="EA151">
        <v>1</v>
      </c>
      <c r="EB151" t="b">
        <v>0</v>
      </c>
      <c r="ED151" t="s">
        <v>520</v>
      </c>
      <c r="EE151">
        <v>1</v>
      </c>
      <c r="EF151">
        <v>120</v>
      </c>
      <c r="EG151">
        <v>100</v>
      </c>
      <c r="EH151" s="75">
        <f ca="1">INDIRECT(ADDRESS(11+(MATCH(RIGHT(Table1820[[#This Row],[spawner_sku]],LEN(Table1820[[#This Row],[spawner_sku]])-FIND("/",Table1820[[#This Row],[spawner_sku]])),Table1[Entity Prefab],0)),10,1,1,"Entities"))</f>
        <v>35</v>
      </c>
      <c r="EI151" s="75">
        <f ca="1">ROUND((Table1820[[#This Row],[XP]]*Table1820[[#This Row],[entity_spawned (AVG)]])*(Table1820[[#This Row],[activating_chance]]/100),0)</f>
        <v>35</v>
      </c>
      <c r="EJ151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51">
        <v>1</v>
      </c>
      <c r="EL151">
        <v>2</v>
      </c>
      <c r="EM151" t="b">
        <v>0</v>
      </c>
      <c r="EO151" t="s">
        <v>7340</v>
      </c>
      <c r="EP151">
        <v>2.5</v>
      </c>
      <c r="EQ151">
        <v>80</v>
      </c>
      <c r="ER151">
        <v>40</v>
      </c>
      <c r="ES151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ET151" s="75">
        <f ca="1">ROUND((Table182023[[#This Row],[XP]]*Table182023[[#This Row],[entity_spawned (AVG)]])*(Table182023[[#This Row],[activating_chance]]/100),0)</f>
        <v>25</v>
      </c>
      <c r="EU151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151" s="152">
        <v>2</v>
      </c>
      <c r="EW151" s="152">
        <v>3</v>
      </c>
      <c r="EX151" s="152" t="b">
        <v>0</v>
      </c>
      <c r="EZ151" t="s">
        <v>7339</v>
      </c>
      <c r="FA151">
        <v>1</v>
      </c>
      <c r="FB151">
        <v>80</v>
      </c>
      <c r="FC151">
        <v>100</v>
      </c>
      <c r="FD151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151" s="75">
        <f ca="1">ROUND((Table18202324[[#This Row],[XP]]*Table18202324[[#This Row],[entity_spawned (AVG)]])*(Table18202324[[#This Row],[activating_chance]]/100),0)</f>
        <v>25</v>
      </c>
      <c r="FF151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51">
        <v>1</v>
      </c>
      <c r="FH151">
        <v>1</v>
      </c>
      <c r="FI151" t="b">
        <v>0</v>
      </c>
    </row>
    <row r="152" spans="2:165" x14ac:dyDescent="0.25">
      <c r="B152" s="73" t="s">
        <v>228</v>
      </c>
      <c r="C152">
        <v>3</v>
      </c>
      <c r="D152">
        <v>110</v>
      </c>
      <c r="E152">
        <v>30</v>
      </c>
      <c r="F152" s="75">
        <f ca="1">INDIRECT(ADDRESS(11+(MATCH(RIGHT(Table245[[#This Row],[spawner_sku]],LEN(Table245[[#This Row],[spawner_sku]])-FIND("/",Table245[[#This Row],[spawner_sku]])),Table1[Entity Prefab],0)),10,1,1,"Entities"))</f>
        <v>25</v>
      </c>
      <c r="G152" s="75">
        <f ca="1">ROUND((Table245[[#This Row],[XP]]*Table245[[#This Row],[entity_spawned (AVG)]])*(Table245[[#This Row],[activating_chance]]/100),0)</f>
        <v>23</v>
      </c>
      <c r="H15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2" s="72">
        <v>2</v>
      </c>
      <c r="J152" s="72">
        <v>4</v>
      </c>
      <c r="K152" s="72" t="b">
        <v>0</v>
      </c>
      <c r="M152" t="s">
        <v>255</v>
      </c>
      <c r="N152">
        <v>1</v>
      </c>
      <c r="O152">
        <v>180</v>
      </c>
      <c r="P152">
        <v>100</v>
      </c>
      <c r="Q152" s="75">
        <f ca="1">INDIRECT(ADDRESS(11+(MATCH(RIGHT(Table3[[#This Row],[spawner_sku]],LEN(Table3[[#This Row],[spawner_sku]])-FIND("/",Table3[[#This Row],[spawner_sku]])),Table1[Entity Prefab],0)),10,1,1,"Entities"))</f>
        <v>25</v>
      </c>
      <c r="R152" s="75">
        <f ca="1">ROUND((Table3[[#This Row],[XP]]*Table3[[#This Row],[entity_spawned (AVG)]])*(Table3[[#This Row],[activating_chance]]/100),0)</f>
        <v>25</v>
      </c>
      <c r="S152" t="str">
        <f ca="1">INDIRECT(ADDRESS(11+(MATCH(RIGHT(Table3[[#This Row],[spawner_sku]],LEN(Table3[[#This Row],[spawner_sku]])-FIND("/",Table3[[#This Row],[spawner_sku]])),Table28[Entity Prefab],0)),24,1,1,"Entities"))</f>
        <v>no</v>
      </c>
      <c r="T152">
        <v>1</v>
      </c>
      <c r="U152">
        <v>1</v>
      </c>
      <c r="V152" t="b">
        <v>0</v>
      </c>
      <c r="W152" s="72"/>
      <c r="AI152" t="s">
        <v>229</v>
      </c>
      <c r="AJ152">
        <v>7.5</v>
      </c>
      <c r="AK152">
        <v>150</v>
      </c>
      <c r="AL152">
        <v>100</v>
      </c>
      <c r="AM152" s="75">
        <f ca="1">INDIRECT(ADDRESS(11+(MATCH(RIGHT(Table2[[#This Row],[spawner_sku]],LEN(Table2[[#This Row],[spawner_sku]])-FIND("/",Table2[[#This Row],[spawner_sku]])),Table1[Entity Prefab],0)),10,1,1,"Entities"))</f>
        <v>25</v>
      </c>
      <c r="AN152" s="75">
        <f ca="1">ROUND((Table2[[#This Row],[XP]]*Table2[[#This Row],[entity_spawned (AVG)]])*(Table2[[#This Row],[activating_chance]]/100),0)</f>
        <v>188</v>
      </c>
      <c r="AO15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52" s="72">
        <v>5</v>
      </c>
      <c r="AQ152" s="72">
        <v>10</v>
      </c>
      <c r="AR152" s="72" t="b">
        <v>1</v>
      </c>
      <c r="AT152" t="s">
        <v>396</v>
      </c>
      <c r="AU152">
        <v>1</v>
      </c>
      <c r="AV152">
        <v>120</v>
      </c>
      <c r="AW152">
        <v>100</v>
      </c>
      <c r="AX152" s="75">
        <f ca="1">INDIRECT(ADDRESS(11+(MATCH(RIGHT(Table6[[#This Row],[spawner_sku]],LEN(Table6[[#This Row],[spawner_sku]])-FIND("/",Table6[[#This Row],[spawner_sku]])),Table1[Entity Prefab],0)),10,1,1,"Entities"))</f>
        <v>25</v>
      </c>
      <c r="AY152" s="75">
        <f ca="1">ROUND((Table6[[#This Row],[XP]]*Table6[[#This Row],[entity_spawned (AVG)]])*(Table6[[#This Row],[activating_chance]]/100),0)</f>
        <v>25</v>
      </c>
      <c r="AZ152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52">
        <v>1</v>
      </c>
      <c r="BB152">
        <v>1</v>
      </c>
      <c r="BC152" t="b">
        <v>0</v>
      </c>
      <c r="BE152" t="s">
        <v>445</v>
      </c>
      <c r="BF152">
        <v>1</v>
      </c>
      <c r="BG152">
        <v>180</v>
      </c>
      <c r="BH152">
        <v>100</v>
      </c>
      <c r="BI152" s="75">
        <f ca="1">INDIRECT(ADDRESS(11+(MATCH(RIGHT(Table610[[#This Row],[spawner_sku]],LEN(Table610[[#This Row],[spawner_sku]])-FIND("/",Table610[[#This Row],[spawner_sku]])),Table1[Entity Prefab],0)),10,1,1,"Entities"))</f>
        <v>0</v>
      </c>
      <c r="BJ152" s="75">
        <f ca="1">ROUND((Table610[[#This Row],[XP]]*Table610[[#This Row],[entity_spawned (AVG)]])*(Table610[[#This Row],[activating_chance]]/100),0)</f>
        <v>0</v>
      </c>
      <c r="BK152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52">
        <v>1</v>
      </c>
      <c r="BM152">
        <v>1</v>
      </c>
      <c r="BN152" t="b">
        <v>0</v>
      </c>
      <c r="BP152" t="s">
        <v>402</v>
      </c>
      <c r="BQ152">
        <v>1</v>
      </c>
      <c r="BR152">
        <v>340</v>
      </c>
      <c r="BS152">
        <v>100</v>
      </c>
      <c r="BT152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52" s="75">
        <f ca="1">ROUND((Table61011[[#This Row],[XP]]*Table61011[[#This Row],[entity_spawned (AVG)]])*(Table61011[[#This Row],[activating_chance]]/100),0)</f>
        <v>263</v>
      </c>
      <c r="BV15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2" s="72">
        <v>1</v>
      </c>
      <c r="BX152" s="72">
        <v>1</v>
      </c>
      <c r="BY152" s="72" t="b">
        <v>0</v>
      </c>
      <c r="CA152" t="s">
        <v>241</v>
      </c>
      <c r="CB152">
        <v>1</v>
      </c>
      <c r="CC152">
        <v>1500</v>
      </c>
      <c r="CD152">
        <v>100</v>
      </c>
      <c r="CE152" s="75">
        <f ca="1">INDIRECT(ADDRESS(11+(MATCH(RIGHT(Table11[[#This Row],[spawner_sku]],LEN(Table11[[#This Row],[spawner_sku]])-FIND("/",Table11[[#This Row],[spawner_sku]])),Table1[Entity Prefab],0)),10,1,1,"Entities"))</f>
        <v>130</v>
      </c>
      <c r="CF152">
        <f ca="1">ROUND((Table11[[#This Row],[XP]]*Table11[[#This Row],[entity_spawned (AVG)]])*(Table11[[#This Row],[activating_chance]]/100),0)</f>
        <v>130</v>
      </c>
      <c r="CG152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52" s="72">
        <v>1</v>
      </c>
      <c r="CI152" s="72">
        <v>1</v>
      </c>
      <c r="CJ152" s="72" t="b">
        <v>0</v>
      </c>
      <c r="CL152" t="s">
        <v>255</v>
      </c>
      <c r="CM152">
        <v>1</v>
      </c>
      <c r="CN152">
        <v>150</v>
      </c>
      <c r="CO152">
        <v>100</v>
      </c>
      <c r="CP152" s="75">
        <f ca="1">INDIRECT(ADDRESS(11+(MATCH(RIGHT(Table12[[#This Row],[spawner_sku]],LEN(Table12[[#This Row],[spawner_sku]])-FIND("/",Table12[[#This Row],[spawner_sku]])),Table1[Entity Prefab],0)),10,1,1,"Entities"))</f>
        <v>25</v>
      </c>
      <c r="CQ152" s="75">
        <f ca="1">ROUND((Table12[[#This Row],[XP]]*Table12[[#This Row],[entity_spawned (AVG)]])*(Table12[[#This Row],[activating_chance]]/100),0)</f>
        <v>25</v>
      </c>
      <c r="CR152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52" s="72">
        <v>1</v>
      </c>
      <c r="CT152" s="72">
        <v>1</v>
      </c>
      <c r="CU152" s="72" t="b">
        <v>0</v>
      </c>
      <c r="CW152" t="s">
        <v>246</v>
      </c>
      <c r="CX152">
        <v>1</v>
      </c>
      <c r="CY152">
        <v>500</v>
      </c>
      <c r="CZ152">
        <v>100</v>
      </c>
      <c r="DA152" s="75">
        <f ca="1">INDIRECT(ADDRESS(11+(MATCH(RIGHT(Table13[[#This Row],[spawner_sku]],LEN(Table13[[#This Row],[spawner_sku]])-FIND("/",Table13[[#This Row],[spawner_sku]])),Table1[Entity Prefab],0)),10,1,1,"Entities"))</f>
        <v>25</v>
      </c>
      <c r="DB152" s="75">
        <f ca="1">ROUND((Table13[[#This Row],[XP]]*Table13[[#This Row],[entity_spawned (AVG)]])*(Table13[[#This Row],[activating_chance]]/100),0)</f>
        <v>25</v>
      </c>
      <c r="DC152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152" s="72">
        <v>1</v>
      </c>
      <c r="DE152" s="72">
        <v>1</v>
      </c>
      <c r="DF152" s="72" t="b">
        <v>0</v>
      </c>
      <c r="DH152" t="s">
        <v>227</v>
      </c>
      <c r="DI152">
        <v>3.5</v>
      </c>
      <c r="DJ152">
        <v>150</v>
      </c>
      <c r="DK152">
        <v>10</v>
      </c>
      <c r="DL152" s="75">
        <f ca="1">INDIRECT(ADDRESS(11+(MATCH(RIGHT(Table14[[#This Row],[spawner_sku]],LEN(Table14[[#This Row],[spawner_sku]])-FIND("/",Table14[[#This Row],[spawner_sku]])),Table1[Entity Prefab],0)),10,1,1,"Entities"))</f>
        <v>25</v>
      </c>
      <c r="DM152" s="75">
        <f ca="1">ROUND((Table14[[#This Row],[XP]]*Table14[[#This Row],[entity_spawned (AVG)]])*(Table14[[#This Row],[activating_chance]]/100),0)</f>
        <v>9</v>
      </c>
      <c r="DN15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52" s="72">
        <v>3</v>
      </c>
      <c r="DP152" s="72">
        <v>4</v>
      </c>
      <c r="DQ152" s="72" t="b">
        <v>0</v>
      </c>
      <c r="DS152" t="s">
        <v>520</v>
      </c>
      <c r="DT152">
        <v>1</v>
      </c>
      <c r="DU152">
        <v>120</v>
      </c>
      <c r="DV152">
        <v>100</v>
      </c>
      <c r="DW152" s="75">
        <f ca="1">INDIRECT(ADDRESS(11+(MATCH(RIGHT(Table18[[#This Row],[spawner_sku]],LEN(Table18[[#This Row],[spawner_sku]])-FIND("/",Table18[[#This Row],[spawner_sku]])),Table1[Entity Prefab],0)),10,1,1,"Entities"))</f>
        <v>35</v>
      </c>
      <c r="DX152" s="75">
        <f ca="1">ROUND((Table18[[#This Row],[XP]]*Table18[[#This Row],[entity_spawned (AVG)]])*(Table18[[#This Row],[activating_chance]]/100),0)</f>
        <v>35</v>
      </c>
      <c r="DY152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52">
        <v>1</v>
      </c>
      <c r="EA152">
        <v>2</v>
      </c>
      <c r="EB152" t="b">
        <v>0</v>
      </c>
      <c r="ED152" t="s">
        <v>520</v>
      </c>
      <c r="EE152">
        <v>2</v>
      </c>
      <c r="EF152">
        <v>120</v>
      </c>
      <c r="EG152">
        <v>100</v>
      </c>
      <c r="EH152" s="75">
        <f ca="1">INDIRECT(ADDRESS(11+(MATCH(RIGHT(Table1820[[#This Row],[spawner_sku]],LEN(Table1820[[#This Row],[spawner_sku]])-FIND("/",Table1820[[#This Row],[spawner_sku]])),Table1[Entity Prefab],0)),10,1,1,"Entities"))</f>
        <v>35</v>
      </c>
      <c r="EI152" s="75">
        <f ca="1">ROUND((Table1820[[#This Row],[XP]]*Table1820[[#This Row],[entity_spawned (AVG)]])*(Table1820[[#This Row],[activating_chance]]/100),0)</f>
        <v>70</v>
      </c>
      <c r="EJ152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52">
        <v>2</v>
      </c>
      <c r="EL152">
        <v>2</v>
      </c>
      <c r="EM152" t="b">
        <v>0</v>
      </c>
      <c r="EO152" t="s">
        <v>7340</v>
      </c>
      <c r="EP152">
        <v>1</v>
      </c>
      <c r="EQ152">
        <v>70</v>
      </c>
      <c r="ER152">
        <v>100</v>
      </c>
      <c r="ES152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ET152" s="75">
        <f ca="1">ROUND((Table182023[[#This Row],[XP]]*Table182023[[#This Row],[entity_spawned (AVG)]])*(Table182023[[#This Row],[activating_chance]]/100),0)</f>
        <v>25</v>
      </c>
      <c r="EU152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152" s="152">
        <v>1</v>
      </c>
      <c r="EW152" s="152">
        <v>1</v>
      </c>
      <c r="EX152" s="152" t="b">
        <v>0</v>
      </c>
      <c r="EZ152" t="s">
        <v>7348</v>
      </c>
      <c r="FA152">
        <v>1.5</v>
      </c>
      <c r="FB152">
        <v>80</v>
      </c>
      <c r="FC152">
        <v>100</v>
      </c>
      <c r="FD152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152" s="75">
        <f ca="1">ROUND((Table18202324[[#This Row],[XP]]*Table18202324[[#This Row],[entity_spawned (AVG)]])*(Table18202324[[#This Row],[activating_chance]]/100),0)</f>
        <v>38</v>
      </c>
      <c r="FF152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52">
        <v>1</v>
      </c>
      <c r="FH152">
        <v>2</v>
      </c>
      <c r="FI152" t="b">
        <v>0</v>
      </c>
    </row>
    <row r="153" spans="2:165" x14ac:dyDescent="0.25">
      <c r="B153" s="73" t="s">
        <v>228</v>
      </c>
      <c r="C153">
        <v>2</v>
      </c>
      <c r="D153">
        <v>110</v>
      </c>
      <c r="E153">
        <v>100</v>
      </c>
      <c r="F153" s="75">
        <f ca="1">INDIRECT(ADDRESS(11+(MATCH(RIGHT(Table245[[#This Row],[spawner_sku]],LEN(Table245[[#This Row],[spawner_sku]])-FIND("/",Table245[[#This Row],[spawner_sku]])),Table1[Entity Prefab],0)),10,1,1,"Entities"))</f>
        <v>25</v>
      </c>
      <c r="G153" s="75">
        <f ca="1">ROUND((Table245[[#This Row],[XP]]*Table245[[#This Row],[entity_spawned (AVG)]])*(Table245[[#This Row],[activating_chance]]/100),0)</f>
        <v>50</v>
      </c>
      <c r="H15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3" s="72">
        <v>1</v>
      </c>
      <c r="J153" s="72">
        <v>3</v>
      </c>
      <c r="K153" s="72" t="b">
        <v>0</v>
      </c>
      <c r="M153" t="s">
        <v>255</v>
      </c>
      <c r="N153">
        <v>1</v>
      </c>
      <c r="O153">
        <v>180</v>
      </c>
      <c r="P153">
        <v>70</v>
      </c>
      <c r="Q153" s="75">
        <f ca="1">INDIRECT(ADDRESS(11+(MATCH(RIGHT(Table3[[#This Row],[spawner_sku]],LEN(Table3[[#This Row],[spawner_sku]])-FIND("/",Table3[[#This Row],[spawner_sku]])),Table1[Entity Prefab],0)),10,1,1,"Entities"))</f>
        <v>25</v>
      </c>
      <c r="R153" s="75">
        <f ca="1">ROUND((Table3[[#This Row],[XP]]*Table3[[#This Row],[entity_spawned (AVG)]])*(Table3[[#This Row],[activating_chance]]/100),0)</f>
        <v>18</v>
      </c>
      <c r="S153" t="str">
        <f ca="1">INDIRECT(ADDRESS(11+(MATCH(RIGHT(Table3[[#This Row],[spawner_sku]],LEN(Table3[[#This Row],[spawner_sku]])-FIND("/",Table3[[#This Row],[spawner_sku]])),Table28[Entity Prefab],0)),24,1,1,"Entities"))</f>
        <v>no</v>
      </c>
      <c r="T153">
        <v>1</v>
      </c>
      <c r="U153">
        <v>1</v>
      </c>
      <c r="V153" t="b">
        <v>0</v>
      </c>
      <c r="W153" s="72"/>
      <c r="AI153" t="s">
        <v>229</v>
      </c>
      <c r="AJ153">
        <v>2</v>
      </c>
      <c r="AK153">
        <v>100</v>
      </c>
      <c r="AL153">
        <v>100</v>
      </c>
      <c r="AM153" s="75">
        <f ca="1">INDIRECT(ADDRESS(11+(MATCH(RIGHT(Table2[[#This Row],[spawner_sku]],LEN(Table2[[#This Row],[spawner_sku]])-FIND("/",Table2[[#This Row],[spawner_sku]])),Table1[Entity Prefab],0)),10,1,1,"Entities"))</f>
        <v>25</v>
      </c>
      <c r="AN153" s="75">
        <f ca="1">ROUND((Table2[[#This Row],[XP]]*Table2[[#This Row],[entity_spawned (AVG)]])*(Table2[[#This Row],[activating_chance]]/100),0)</f>
        <v>50</v>
      </c>
      <c r="AO15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53" s="72">
        <v>1</v>
      </c>
      <c r="AQ153" s="72">
        <v>3</v>
      </c>
      <c r="AR153" s="72" t="b">
        <v>0</v>
      </c>
      <c r="AT153" t="s">
        <v>396</v>
      </c>
      <c r="AU153">
        <v>3</v>
      </c>
      <c r="AV153">
        <v>120</v>
      </c>
      <c r="AW153">
        <v>100</v>
      </c>
      <c r="AX153" s="75">
        <f ca="1">INDIRECT(ADDRESS(11+(MATCH(RIGHT(Table6[[#This Row],[spawner_sku]],LEN(Table6[[#This Row],[spawner_sku]])-FIND("/",Table6[[#This Row],[spawner_sku]])),Table1[Entity Prefab],0)),10,1,1,"Entities"))</f>
        <v>25</v>
      </c>
      <c r="AY153" s="75">
        <f ca="1">ROUND((Table6[[#This Row],[XP]]*Table6[[#This Row],[entity_spawned (AVG)]])*(Table6[[#This Row],[activating_chance]]/100),0)</f>
        <v>75</v>
      </c>
      <c r="AZ153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53">
        <v>2</v>
      </c>
      <c r="BB153">
        <v>4</v>
      </c>
      <c r="BC153" t="b">
        <v>0</v>
      </c>
      <c r="BE153" t="s">
        <v>445</v>
      </c>
      <c r="BF153">
        <v>1</v>
      </c>
      <c r="BG153">
        <v>180</v>
      </c>
      <c r="BH153">
        <v>100</v>
      </c>
      <c r="BI153" s="75">
        <f ca="1">INDIRECT(ADDRESS(11+(MATCH(RIGHT(Table610[[#This Row],[spawner_sku]],LEN(Table610[[#This Row],[spawner_sku]])-FIND("/",Table610[[#This Row],[spawner_sku]])),Table1[Entity Prefab],0)),10,1,1,"Entities"))</f>
        <v>0</v>
      </c>
      <c r="BJ153" s="75">
        <f ca="1">ROUND((Table610[[#This Row],[XP]]*Table610[[#This Row],[entity_spawned (AVG)]])*(Table610[[#This Row],[activating_chance]]/100),0)</f>
        <v>0</v>
      </c>
      <c r="BK153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53">
        <v>1</v>
      </c>
      <c r="BM153">
        <v>1</v>
      </c>
      <c r="BN153" t="b">
        <v>0</v>
      </c>
      <c r="BP153" t="s">
        <v>402</v>
      </c>
      <c r="BQ153">
        <v>1</v>
      </c>
      <c r="BR153">
        <v>340</v>
      </c>
      <c r="BS153">
        <v>100</v>
      </c>
      <c r="BT153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53" s="75">
        <f ca="1">ROUND((Table61011[[#This Row],[XP]]*Table61011[[#This Row],[entity_spawned (AVG)]])*(Table61011[[#This Row],[activating_chance]]/100),0)</f>
        <v>263</v>
      </c>
      <c r="BV15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3" s="72">
        <v>1</v>
      </c>
      <c r="BX153" s="72">
        <v>1</v>
      </c>
      <c r="BY153" s="72" t="b">
        <v>0</v>
      </c>
      <c r="CA153" t="s">
        <v>241</v>
      </c>
      <c r="CB153">
        <v>1</v>
      </c>
      <c r="CC153">
        <v>1500</v>
      </c>
      <c r="CD153">
        <v>10</v>
      </c>
      <c r="CE153" s="75">
        <f ca="1">INDIRECT(ADDRESS(11+(MATCH(RIGHT(Table11[[#This Row],[spawner_sku]],LEN(Table11[[#This Row],[spawner_sku]])-FIND("/",Table11[[#This Row],[spawner_sku]])),Table1[Entity Prefab],0)),10,1,1,"Entities"))</f>
        <v>130</v>
      </c>
      <c r="CF153">
        <f ca="1">ROUND((Table11[[#This Row],[XP]]*Table11[[#This Row],[entity_spawned (AVG)]])*(Table11[[#This Row],[activating_chance]]/100),0)</f>
        <v>13</v>
      </c>
      <c r="CG153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53" s="72">
        <v>1</v>
      </c>
      <c r="CI153" s="72">
        <v>1</v>
      </c>
      <c r="CJ153" s="72" t="b">
        <v>0</v>
      </c>
      <c r="CL153" t="s">
        <v>255</v>
      </c>
      <c r="CM153">
        <v>1</v>
      </c>
      <c r="CN153">
        <v>150</v>
      </c>
      <c r="CO153">
        <v>100</v>
      </c>
      <c r="CP153" s="75">
        <f ca="1">INDIRECT(ADDRESS(11+(MATCH(RIGHT(Table12[[#This Row],[spawner_sku]],LEN(Table12[[#This Row],[spawner_sku]])-FIND("/",Table12[[#This Row],[spawner_sku]])),Table1[Entity Prefab],0)),10,1,1,"Entities"))</f>
        <v>25</v>
      </c>
      <c r="CQ153" s="75">
        <f ca="1">ROUND((Table12[[#This Row],[XP]]*Table12[[#This Row],[entity_spawned (AVG)]])*(Table12[[#This Row],[activating_chance]]/100),0)</f>
        <v>25</v>
      </c>
      <c r="CR153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53" s="72">
        <v>1</v>
      </c>
      <c r="CT153" s="72">
        <v>1</v>
      </c>
      <c r="CU153" s="72" t="b">
        <v>0</v>
      </c>
      <c r="CW153" t="s">
        <v>246</v>
      </c>
      <c r="CX153">
        <v>1</v>
      </c>
      <c r="CY153">
        <v>500</v>
      </c>
      <c r="CZ153">
        <v>100</v>
      </c>
      <c r="DA153" s="75">
        <f ca="1">INDIRECT(ADDRESS(11+(MATCH(RIGHT(Table13[[#This Row],[spawner_sku]],LEN(Table13[[#This Row],[spawner_sku]])-FIND("/",Table13[[#This Row],[spawner_sku]])),Table1[Entity Prefab],0)),10,1,1,"Entities"))</f>
        <v>25</v>
      </c>
      <c r="DB153" s="75">
        <f ca="1">ROUND((Table13[[#This Row],[XP]]*Table13[[#This Row],[entity_spawned (AVG)]])*(Table13[[#This Row],[activating_chance]]/100),0)</f>
        <v>25</v>
      </c>
      <c r="DC153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153" s="72">
        <v>1</v>
      </c>
      <c r="DE153" s="72">
        <v>1</v>
      </c>
      <c r="DF153" s="72" t="b">
        <v>0</v>
      </c>
      <c r="DH153" t="s">
        <v>227</v>
      </c>
      <c r="DI153">
        <v>20</v>
      </c>
      <c r="DJ153">
        <v>220</v>
      </c>
      <c r="DK153">
        <v>100</v>
      </c>
      <c r="DL153" s="75">
        <f ca="1">INDIRECT(ADDRESS(11+(MATCH(RIGHT(Table14[[#This Row],[spawner_sku]],LEN(Table14[[#This Row],[spawner_sku]])-FIND("/",Table14[[#This Row],[spawner_sku]])),Table1[Entity Prefab],0)),10,1,1,"Entities"))</f>
        <v>25</v>
      </c>
      <c r="DM153" s="75">
        <f ca="1">ROUND((Table14[[#This Row],[XP]]*Table14[[#This Row],[entity_spawned (AVG)]])*(Table14[[#This Row],[activating_chance]]/100),0)</f>
        <v>500</v>
      </c>
      <c r="DN15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53" s="72">
        <v>20</v>
      </c>
      <c r="DP153" s="72">
        <v>20</v>
      </c>
      <c r="DQ153" s="72" t="b">
        <v>1</v>
      </c>
      <c r="DS153" t="s">
        <v>520</v>
      </c>
      <c r="DT153">
        <v>3</v>
      </c>
      <c r="DU153">
        <v>120</v>
      </c>
      <c r="DV153">
        <v>100</v>
      </c>
      <c r="DW153" s="75">
        <f ca="1">INDIRECT(ADDRESS(11+(MATCH(RIGHT(Table18[[#This Row],[spawner_sku]],LEN(Table18[[#This Row],[spawner_sku]])-FIND("/",Table18[[#This Row],[spawner_sku]])),Table1[Entity Prefab],0)),10,1,1,"Entities"))</f>
        <v>35</v>
      </c>
      <c r="DX153" s="75">
        <f ca="1">ROUND((Table18[[#This Row],[XP]]*Table18[[#This Row],[entity_spawned (AVG)]])*(Table18[[#This Row],[activating_chance]]/100),0)</f>
        <v>105</v>
      </c>
      <c r="DY153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53">
        <v>3</v>
      </c>
      <c r="EA153">
        <v>3</v>
      </c>
      <c r="EB153" t="b">
        <v>0</v>
      </c>
      <c r="ED153" t="s">
        <v>520</v>
      </c>
      <c r="EE153">
        <v>1</v>
      </c>
      <c r="EF153">
        <v>120</v>
      </c>
      <c r="EG153">
        <v>30</v>
      </c>
      <c r="EH153" s="75">
        <f ca="1">INDIRECT(ADDRESS(11+(MATCH(RIGHT(Table1820[[#This Row],[spawner_sku]],LEN(Table1820[[#This Row],[spawner_sku]])-FIND("/",Table1820[[#This Row],[spawner_sku]])),Table1[Entity Prefab],0)),10,1,1,"Entities"))</f>
        <v>35</v>
      </c>
      <c r="EI153" s="75">
        <f ca="1">ROUND((Table1820[[#This Row],[XP]]*Table1820[[#This Row],[entity_spawned (AVG)]])*(Table1820[[#This Row],[activating_chance]]/100),0)</f>
        <v>11</v>
      </c>
      <c r="EJ153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53">
        <v>1</v>
      </c>
      <c r="EL153">
        <v>1</v>
      </c>
      <c r="EM153" t="b">
        <v>0</v>
      </c>
      <c r="EO153" t="s">
        <v>7340</v>
      </c>
      <c r="EP153">
        <v>2.5</v>
      </c>
      <c r="EQ153">
        <v>80</v>
      </c>
      <c r="ER153">
        <v>100</v>
      </c>
      <c r="ES153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ET153" s="75">
        <f ca="1">ROUND((Table182023[[#This Row],[XP]]*Table182023[[#This Row],[entity_spawned (AVG)]])*(Table182023[[#This Row],[activating_chance]]/100),0)</f>
        <v>63</v>
      </c>
      <c r="EU153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153" s="152">
        <v>2</v>
      </c>
      <c r="EW153" s="152">
        <v>3</v>
      </c>
      <c r="EX153" s="152" t="b">
        <v>0</v>
      </c>
      <c r="EZ153" t="s">
        <v>7348</v>
      </c>
      <c r="FA153">
        <v>1.5</v>
      </c>
      <c r="FB153">
        <v>70</v>
      </c>
      <c r="FC153">
        <v>100</v>
      </c>
      <c r="FD153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153" s="75">
        <f ca="1">ROUND((Table18202324[[#This Row],[XP]]*Table18202324[[#This Row],[entity_spawned (AVG)]])*(Table18202324[[#This Row],[activating_chance]]/100),0)</f>
        <v>38</v>
      </c>
      <c r="FF153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53">
        <v>1</v>
      </c>
      <c r="FH153">
        <v>2</v>
      </c>
      <c r="FI153" t="b">
        <v>0</v>
      </c>
    </row>
    <row r="154" spans="2:165" x14ac:dyDescent="0.25">
      <c r="B154" s="73" t="s">
        <v>228</v>
      </c>
      <c r="C154">
        <v>3</v>
      </c>
      <c r="D154">
        <v>160</v>
      </c>
      <c r="E154">
        <v>100</v>
      </c>
      <c r="F154" s="75">
        <f ca="1">INDIRECT(ADDRESS(11+(MATCH(RIGHT(Table245[[#This Row],[spawner_sku]],LEN(Table245[[#This Row],[spawner_sku]])-FIND("/",Table245[[#This Row],[spawner_sku]])),Table1[Entity Prefab],0)),10,1,1,"Entities"))</f>
        <v>25</v>
      </c>
      <c r="G154" s="75">
        <f ca="1">ROUND((Table245[[#This Row],[XP]]*Table245[[#This Row],[entity_spawned (AVG)]])*(Table245[[#This Row],[activating_chance]]/100),0)</f>
        <v>75</v>
      </c>
      <c r="H15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4" s="72">
        <v>2</v>
      </c>
      <c r="J154" s="72">
        <v>4</v>
      </c>
      <c r="K154" s="72" t="b">
        <v>0</v>
      </c>
      <c r="M154" t="s">
        <v>255</v>
      </c>
      <c r="N154">
        <v>1</v>
      </c>
      <c r="O154">
        <v>170</v>
      </c>
      <c r="P154">
        <v>100</v>
      </c>
      <c r="Q154" s="75">
        <f ca="1">INDIRECT(ADDRESS(11+(MATCH(RIGHT(Table3[[#This Row],[spawner_sku]],LEN(Table3[[#This Row],[spawner_sku]])-FIND("/",Table3[[#This Row],[spawner_sku]])),Table1[Entity Prefab],0)),10,1,1,"Entities"))</f>
        <v>25</v>
      </c>
      <c r="R154" s="75">
        <f ca="1">ROUND((Table3[[#This Row],[XP]]*Table3[[#This Row],[entity_spawned (AVG)]])*(Table3[[#This Row],[activating_chance]]/100),0)</f>
        <v>25</v>
      </c>
      <c r="S154" t="str">
        <f ca="1">INDIRECT(ADDRESS(11+(MATCH(RIGHT(Table3[[#This Row],[spawner_sku]],LEN(Table3[[#This Row],[spawner_sku]])-FIND("/",Table3[[#This Row],[spawner_sku]])),Table28[Entity Prefab],0)),24,1,1,"Entities"))</f>
        <v>no</v>
      </c>
      <c r="T154">
        <v>1</v>
      </c>
      <c r="U154">
        <v>1</v>
      </c>
      <c r="V154" t="b">
        <v>0</v>
      </c>
      <c r="W154" s="72"/>
      <c r="AI154" t="s">
        <v>229</v>
      </c>
      <c r="AJ154">
        <v>1</v>
      </c>
      <c r="AK154">
        <v>90</v>
      </c>
      <c r="AL154">
        <v>85</v>
      </c>
      <c r="AM154" s="75">
        <f ca="1">INDIRECT(ADDRESS(11+(MATCH(RIGHT(Table2[[#This Row],[spawner_sku]],LEN(Table2[[#This Row],[spawner_sku]])-FIND("/",Table2[[#This Row],[spawner_sku]])),Table1[Entity Prefab],0)),10,1,1,"Entities"))</f>
        <v>25</v>
      </c>
      <c r="AN154" s="75">
        <f ca="1">ROUND((Table2[[#This Row],[XP]]*Table2[[#This Row],[entity_spawned (AVG)]])*(Table2[[#This Row],[activating_chance]]/100),0)</f>
        <v>21</v>
      </c>
      <c r="AO15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54" s="72">
        <v>1</v>
      </c>
      <c r="AQ154" s="72">
        <v>1</v>
      </c>
      <c r="AR154" s="72" t="b">
        <v>0</v>
      </c>
      <c r="AT154" t="s">
        <v>396</v>
      </c>
      <c r="AU154">
        <v>5</v>
      </c>
      <c r="AV154">
        <v>120</v>
      </c>
      <c r="AW154">
        <v>100</v>
      </c>
      <c r="AX154" s="75">
        <f ca="1">INDIRECT(ADDRESS(11+(MATCH(RIGHT(Table6[[#This Row],[spawner_sku]],LEN(Table6[[#This Row],[spawner_sku]])-FIND("/",Table6[[#This Row],[spawner_sku]])),Table1[Entity Prefab],0)),10,1,1,"Entities"))</f>
        <v>25</v>
      </c>
      <c r="AY154" s="75">
        <f ca="1">ROUND((Table6[[#This Row],[XP]]*Table6[[#This Row],[entity_spawned (AVG)]])*(Table6[[#This Row],[activating_chance]]/100),0)</f>
        <v>125</v>
      </c>
      <c r="AZ154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54">
        <v>5</v>
      </c>
      <c r="BB154">
        <v>5</v>
      </c>
      <c r="BC154" t="b">
        <v>1</v>
      </c>
      <c r="BE154" t="s">
        <v>445</v>
      </c>
      <c r="BF154">
        <v>1</v>
      </c>
      <c r="BG154">
        <v>180</v>
      </c>
      <c r="BH154">
        <v>100</v>
      </c>
      <c r="BI154" s="75">
        <f ca="1">INDIRECT(ADDRESS(11+(MATCH(RIGHT(Table610[[#This Row],[spawner_sku]],LEN(Table610[[#This Row],[spawner_sku]])-FIND("/",Table610[[#This Row],[spawner_sku]])),Table1[Entity Prefab],0)),10,1,1,"Entities"))</f>
        <v>0</v>
      </c>
      <c r="BJ154" s="75">
        <f ca="1">ROUND((Table610[[#This Row],[XP]]*Table610[[#This Row],[entity_spawned (AVG)]])*(Table610[[#This Row],[activating_chance]]/100),0)</f>
        <v>0</v>
      </c>
      <c r="BK154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54">
        <v>1</v>
      </c>
      <c r="BM154">
        <v>1</v>
      </c>
      <c r="BN154" t="b">
        <v>0</v>
      </c>
      <c r="BP154" t="s">
        <v>402</v>
      </c>
      <c r="BQ154">
        <v>1</v>
      </c>
      <c r="BR154">
        <v>340</v>
      </c>
      <c r="BS154">
        <v>100</v>
      </c>
      <c r="BT154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54" s="75">
        <f ca="1">ROUND((Table61011[[#This Row],[XP]]*Table61011[[#This Row],[entity_spawned (AVG)]])*(Table61011[[#This Row],[activating_chance]]/100),0)</f>
        <v>263</v>
      </c>
      <c r="BV15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4" s="72">
        <v>1</v>
      </c>
      <c r="BX154" s="72">
        <v>1</v>
      </c>
      <c r="BY154" s="72" t="b">
        <v>0</v>
      </c>
      <c r="CA154" t="s">
        <v>241</v>
      </c>
      <c r="CB154">
        <v>1</v>
      </c>
      <c r="CC154">
        <v>1500</v>
      </c>
      <c r="CD154">
        <v>100</v>
      </c>
      <c r="CE154" s="75">
        <f ca="1">INDIRECT(ADDRESS(11+(MATCH(RIGHT(Table11[[#This Row],[spawner_sku]],LEN(Table11[[#This Row],[spawner_sku]])-FIND("/",Table11[[#This Row],[spawner_sku]])),Table1[Entity Prefab],0)),10,1,1,"Entities"))</f>
        <v>130</v>
      </c>
      <c r="CF154">
        <f ca="1">ROUND((Table11[[#This Row],[XP]]*Table11[[#This Row],[entity_spawned (AVG)]])*(Table11[[#This Row],[activating_chance]]/100),0)</f>
        <v>130</v>
      </c>
      <c r="CG154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54" s="72">
        <v>1</v>
      </c>
      <c r="CI154" s="72">
        <v>1</v>
      </c>
      <c r="CJ154" s="72" t="b">
        <v>0</v>
      </c>
      <c r="CL154" t="s">
        <v>255</v>
      </c>
      <c r="CM154">
        <v>1</v>
      </c>
      <c r="CN154">
        <v>150</v>
      </c>
      <c r="CO154">
        <v>30</v>
      </c>
      <c r="CP154" s="75">
        <f ca="1">INDIRECT(ADDRESS(11+(MATCH(RIGHT(Table12[[#This Row],[spawner_sku]],LEN(Table12[[#This Row],[spawner_sku]])-FIND("/",Table12[[#This Row],[spawner_sku]])),Table1[Entity Prefab],0)),10,1,1,"Entities"))</f>
        <v>25</v>
      </c>
      <c r="CQ154" s="75">
        <f ca="1">ROUND((Table12[[#This Row],[XP]]*Table12[[#This Row],[entity_spawned (AVG)]])*(Table12[[#This Row],[activating_chance]]/100),0)</f>
        <v>8</v>
      </c>
      <c r="CR154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54" s="72">
        <v>1</v>
      </c>
      <c r="CT154" s="72">
        <v>1</v>
      </c>
      <c r="CU154" s="72" t="b">
        <v>0</v>
      </c>
      <c r="CW154" t="s">
        <v>246</v>
      </c>
      <c r="CX154">
        <v>1</v>
      </c>
      <c r="CY154">
        <v>500</v>
      </c>
      <c r="CZ154">
        <v>75</v>
      </c>
      <c r="DA154" s="75">
        <f ca="1">INDIRECT(ADDRESS(11+(MATCH(RIGHT(Table13[[#This Row],[spawner_sku]],LEN(Table13[[#This Row],[spawner_sku]])-FIND("/",Table13[[#This Row],[spawner_sku]])),Table1[Entity Prefab],0)),10,1,1,"Entities"))</f>
        <v>25</v>
      </c>
      <c r="DB154" s="75">
        <f ca="1">ROUND((Table13[[#This Row],[XP]]*Table13[[#This Row],[entity_spawned (AVG)]])*(Table13[[#This Row],[activating_chance]]/100),0)</f>
        <v>19</v>
      </c>
      <c r="DC154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154" s="72">
        <v>1</v>
      </c>
      <c r="DE154" s="72">
        <v>1</v>
      </c>
      <c r="DF154" s="72" t="b">
        <v>0</v>
      </c>
      <c r="DH154" t="s">
        <v>227</v>
      </c>
      <c r="DI154">
        <v>1.5</v>
      </c>
      <c r="DJ154">
        <v>80</v>
      </c>
      <c r="DK154">
        <v>100</v>
      </c>
      <c r="DL154" s="75">
        <f ca="1">INDIRECT(ADDRESS(11+(MATCH(RIGHT(Table14[[#This Row],[spawner_sku]],LEN(Table14[[#This Row],[spawner_sku]])-FIND("/",Table14[[#This Row],[spawner_sku]])),Table1[Entity Prefab],0)),10,1,1,"Entities"))</f>
        <v>25</v>
      </c>
      <c r="DM154" s="75">
        <f ca="1">ROUND((Table14[[#This Row],[XP]]*Table14[[#This Row],[entity_spawned (AVG)]])*(Table14[[#This Row],[activating_chance]]/100),0)</f>
        <v>38</v>
      </c>
      <c r="DN15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54" s="72">
        <v>1</v>
      </c>
      <c r="DP154" s="72">
        <v>2</v>
      </c>
      <c r="DQ154" s="72" t="b">
        <v>0</v>
      </c>
      <c r="DS154" t="s">
        <v>520</v>
      </c>
      <c r="DT154">
        <v>1</v>
      </c>
      <c r="DU154">
        <v>120</v>
      </c>
      <c r="DV154">
        <v>100</v>
      </c>
      <c r="DW154" s="75">
        <f ca="1">INDIRECT(ADDRESS(11+(MATCH(RIGHT(Table18[[#This Row],[spawner_sku]],LEN(Table18[[#This Row],[spawner_sku]])-FIND("/",Table18[[#This Row],[spawner_sku]])),Table1[Entity Prefab],0)),10,1,1,"Entities"))</f>
        <v>35</v>
      </c>
      <c r="DX154" s="75">
        <f ca="1">ROUND((Table18[[#This Row],[XP]]*Table18[[#This Row],[entity_spawned (AVG)]])*(Table18[[#This Row],[activating_chance]]/100),0)</f>
        <v>35</v>
      </c>
      <c r="DY154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54">
        <v>1</v>
      </c>
      <c r="EA154">
        <v>2</v>
      </c>
      <c r="EB154" t="b">
        <v>0</v>
      </c>
      <c r="ED154" t="s">
        <v>520</v>
      </c>
      <c r="EE154">
        <v>1</v>
      </c>
      <c r="EF154">
        <v>120</v>
      </c>
      <c r="EG154">
        <v>80</v>
      </c>
      <c r="EH154" s="75">
        <f ca="1">INDIRECT(ADDRESS(11+(MATCH(RIGHT(Table1820[[#This Row],[spawner_sku]],LEN(Table1820[[#This Row],[spawner_sku]])-FIND("/",Table1820[[#This Row],[spawner_sku]])),Table1[Entity Prefab],0)),10,1,1,"Entities"))</f>
        <v>35</v>
      </c>
      <c r="EI154" s="75">
        <f ca="1">ROUND((Table1820[[#This Row],[XP]]*Table1820[[#This Row],[entity_spawned (AVG)]])*(Table1820[[#This Row],[activating_chance]]/100),0)</f>
        <v>28</v>
      </c>
      <c r="EJ154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54">
        <v>1</v>
      </c>
      <c r="EL154">
        <v>1</v>
      </c>
      <c r="EM154" t="b">
        <v>0</v>
      </c>
      <c r="EO154" t="s">
        <v>7340</v>
      </c>
      <c r="EP154">
        <v>1.5</v>
      </c>
      <c r="EQ154">
        <v>80</v>
      </c>
      <c r="ER154">
        <v>100</v>
      </c>
      <c r="ES154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ET154" s="75">
        <f ca="1">ROUND((Table182023[[#This Row],[XP]]*Table182023[[#This Row],[entity_spawned (AVG)]])*(Table182023[[#This Row],[activating_chance]]/100),0)</f>
        <v>38</v>
      </c>
      <c r="EU154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154" s="152">
        <v>1</v>
      </c>
      <c r="EW154" s="152">
        <v>2</v>
      </c>
      <c r="EX154" s="152" t="b">
        <v>0</v>
      </c>
      <c r="EZ154" t="s">
        <v>7348</v>
      </c>
      <c r="FA154">
        <v>3</v>
      </c>
      <c r="FB154">
        <v>70</v>
      </c>
      <c r="FC154">
        <v>100</v>
      </c>
      <c r="FD154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154" s="75">
        <f ca="1">ROUND((Table18202324[[#This Row],[XP]]*Table18202324[[#This Row],[entity_spawned (AVG)]])*(Table18202324[[#This Row],[activating_chance]]/100),0)</f>
        <v>75</v>
      </c>
      <c r="FF154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54">
        <v>2</v>
      </c>
      <c r="FH154">
        <v>4</v>
      </c>
      <c r="FI154" t="b">
        <v>0</v>
      </c>
    </row>
    <row r="155" spans="2:165" x14ac:dyDescent="0.25">
      <c r="B155" s="73" t="s">
        <v>228</v>
      </c>
      <c r="C155">
        <v>5.5</v>
      </c>
      <c r="D155">
        <v>160</v>
      </c>
      <c r="E155">
        <v>100</v>
      </c>
      <c r="F155" s="75">
        <f ca="1">INDIRECT(ADDRESS(11+(MATCH(RIGHT(Table245[[#This Row],[spawner_sku]],LEN(Table245[[#This Row],[spawner_sku]])-FIND("/",Table245[[#This Row],[spawner_sku]])),Table1[Entity Prefab],0)),10,1,1,"Entities"))</f>
        <v>25</v>
      </c>
      <c r="G155" s="75">
        <f ca="1">ROUND((Table245[[#This Row],[XP]]*Table245[[#This Row],[entity_spawned (AVG)]])*(Table245[[#This Row],[activating_chance]]/100),0)</f>
        <v>138</v>
      </c>
      <c r="H15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5" s="72">
        <v>5</v>
      </c>
      <c r="J155" s="72">
        <v>6</v>
      </c>
      <c r="K155" s="72" t="b">
        <v>1</v>
      </c>
      <c r="M155" t="s">
        <v>255</v>
      </c>
      <c r="N155">
        <v>1</v>
      </c>
      <c r="O155">
        <v>150</v>
      </c>
      <c r="P155">
        <v>80</v>
      </c>
      <c r="Q155" s="75">
        <f ca="1">INDIRECT(ADDRESS(11+(MATCH(RIGHT(Table3[[#This Row],[spawner_sku]],LEN(Table3[[#This Row],[spawner_sku]])-FIND("/",Table3[[#This Row],[spawner_sku]])),Table1[Entity Prefab],0)),10,1,1,"Entities"))</f>
        <v>25</v>
      </c>
      <c r="R155" s="75">
        <f ca="1">ROUND((Table3[[#This Row],[XP]]*Table3[[#This Row],[entity_spawned (AVG)]])*(Table3[[#This Row],[activating_chance]]/100),0)</f>
        <v>20</v>
      </c>
      <c r="S155" t="str">
        <f ca="1">INDIRECT(ADDRESS(11+(MATCH(RIGHT(Table3[[#This Row],[spawner_sku]],LEN(Table3[[#This Row],[spawner_sku]])-FIND("/",Table3[[#This Row],[spawner_sku]])),Table28[Entity Prefab],0)),24,1,1,"Entities"))</f>
        <v>no</v>
      </c>
      <c r="T155">
        <v>1</v>
      </c>
      <c r="U155">
        <v>1</v>
      </c>
      <c r="V155" t="b">
        <v>0</v>
      </c>
      <c r="W155" s="72"/>
      <c r="AI155" t="s">
        <v>229</v>
      </c>
      <c r="AJ155">
        <v>2</v>
      </c>
      <c r="AK155">
        <v>100</v>
      </c>
      <c r="AL155">
        <v>100</v>
      </c>
      <c r="AM155" s="75">
        <f ca="1">INDIRECT(ADDRESS(11+(MATCH(RIGHT(Table2[[#This Row],[spawner_sku]],LEN(Table2[[#This Row],[spawner_sku]])-FIND("/",Table2[[#This Row],[spawner_sku]])),Table1[Entity Prefab],0)),10,1,1,"Entities"))</f>
        <v>25</v>
      </c>
      <c r="AN155" s="75">
        <f ca="1">ROUND((Table2[[#This Row],[XP]]*Table2[[#This Row],[entity_spawned (AVG)]])*(Table2[[#This Row],[activating_chance]]/100),0)</f>
        <v>50</v>
      </c>
      <c r="AO15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55" s="72">
        <v>1</v>
      </c>
      <c r="AQ155" s="72">
        <v>3</v>
      </c>
      <c r="AR155" s="72" t="b">
        <v>0</v>
      </c>
      <c r="AT155" t="s">
        <v>396</v>
      </c>
      <c r="AU155">
        <v>1</v>
      </c>
      <c r="AV155">
        <v>120</v>
      </c>
      <c r="AW155">
        <v>100</v>
      </c>
      <c r="AX155" s="75">
        <f ca="1">INDIRECT(ADDRESS(11+(MATCH(RIGHT(Table6[[#This Row],[spawner_sku]],LEN(Table6[[#This Row],[spawner_sku]])-FIND("/",Table6[[#This Row],[spawner_sku]])),Table1[Entity Prefab],0)),10,1,1,"Entities"))</f>
        <v>25</v>
      </c>
      <c r="AY155" s="75">
        <f ca="1">ROUND((Table6[[#This Row],[XP]]*Table6[[#This Row],[entity_spawned (AVG)]])*(Table6[[#This Row],[activating_chance]]/100),0)</f>
        <v>25</v>
      </c>
      <c r="AZ155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55">
        <v>1</v>
      </c>
      <c r="BB155">
        <v>1</v>
      </c>
      <c r="BC155" t="b">
        <v>0</v>
      </c>
      <c r="BE155" t="s">
        <v>445</v>
      </c>
      <c r="BF155">
        <v>1</v>
      </c>
      <c r="BG155">
        <v>180</v>
      </c>
      <c r="BH155">
        <v>100</v>
      </c>
      <c r="BI155" s="75">
        <f ca="1">INDIRECT(ADDRESS(11+(MATCH(RIGHT(Table610[[#This Row],[spawner_sku]],LEN(Table610[[#This Row],[spawner_sku]])-FIND("/",Table610[[#This Row],[spawner_sku]])),Table1[Entity Prefab],0)),10,1,1,"Entities"))</f>
        <v>0</v>
      </c>
      <c r="BJ155" s="75">
        <f ca="1">ROUND((Table610[[#This Row],[XP]]*Table610[[#This Row],[entity_spawned (AVG)]])*(Table610[[#This Row],[activating_chance]]/100),0)</f>
        <v>0</v>
      </c>
      <c r="BK155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55">
        <v>1</v>
      </c>
      <c r="BM155">
        <v>1</v>
      </c>
      <c r="BN155" t="b">
        <v>0</v>
      </c>
      <c r="BP155" t="s">
        <v>402</v>
      </c>
      <c r="BQ155">
        <v>1</v>
      </c>
      <c r="BR155">
        <v>340</v>
      </c>
      <c r="BS155">
        <v>100</v>
      </c>
      <c r="BT155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55" s="75">
        <f ca="1">ROUND((Table61011[[#This Row],[XP]]*Table61011[[#This Row],[entity_spawned (AVG)]])*(Table61011[[#This Row],[activating_chance]]/100),0)</f>
        <v>263</v>
      </c>
      <c r="BV15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5" s="72">
        <v>1</v>
      </c>
      <c r="BX155" s="72">
        <v>1</v>
      </c>
      <c r="BY155" s="72" t="b">
        <v>0</v>
      </c>
      <c r="CA155" t="s">
        <v>241</v>
      </c>
      <c r="CB155">
        <v>1</v>
      </c>
      <c r="CC155">
        <v>1500</v>
      </c>
      <c r="CD155">
        <v>100</v>
      </c>
      <c r="CE155" s="75">
        <f ca="1">INDIRECT(ADDRESS(11+(MATCH(RIGHT(Table11[[#This Row],[spawner_sku]],LEN(Table11[[#This Row],[spawner_sku]])-FIND("/",Table11[[#This Row],[spawner_sku]])),Table1[Entity Prefab],0)),10,1,1,"Entities"))</f>
        <v>130</v>
      </c>
      <c r="CF155">
        <f ca="1">ROUND((Table11[[#This Row],[XP]]*Table11[[#This Row],[entity_spawned (AVG)]])*(Table11[[#This Row],[activating_chance]]/100),0)</f>
        <v>130</v>
      </c>
      <c r="CG155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55" s="72">
        <v>1</v>
      </c>
      <c r="CI155" s="72">
        <v>1</v>
      </c>
      <c r="CJ155" s="72" t="b">
        <v>0</v>
      </c>
      <c r="CL155" t="s">
        <v>255</v>
      </c>
      <c r="CM155">
        <v>1</v>
      </c>
      <c r="CN155">
        <v>150</v>
      </c>
      <c r="CO155">
        <v>80</v>
      </c>
      <c r="CP155" s="75">
        <f ca="1">INDIRECT(ADDRESS(11+(MATCH(RIGHT(Table12[[#This Row],[spawner_sku]],LEN(Table12[[#This Row],[spawner_sku]])-FIND("/",Table12[[#This Row],[spawner_sku]])),Table1[Entity Prefab],0)),10,1,1,"Entities"))</f>
        <v>25</v>
      </c>
      <c r="CQ155" s="75">
        <f ca="1">ROUND((Table12[[#This Row],[XP]]*Table12[[#This Row],[entity_spawned (AVG)]])*(Table12[[#This Row],[activating_chance]]/100),0)</f>
        <v>20</v>
      </c>
      <c r="CR155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55" s="72">
        <v>1</v>
      </c>
      <c r="CT155" s="72">
        <v>1</v>
      </c>
      <c r="CU155" s="72" t="b">
        <v>0</v>
      </c>
      <c r="CW155" t="s">
        <v>246</v>
      </c>
      <c r="CX155">
        <v>1</v>
      </c>
      <c r="CY155">
        <v>500</v>
      </c>
      <c r="CZ155">
        <v>75</v>
      </c>
      <c r="DA155" s="75">
        <f ca="1">INDIRECT(ADDRESS(11+(MATCH(RIGHT(Table13[[#This Row],[spawner_sku]],LEN(Table13[[#This Row],[spawner_sku]])-FIND("/",Table13[[#This Row],[spawner_sku]])),Table1[Entity Prefab],0)),10,1,1,"Entities"))</f>
        <v>25</v>
      </c>
      <c r="DB155" s="75">
        <f ca="1">ROUND((Table13[[#This Row],[XP]]*Table13[[#This Row],[entity_spawned (AVG)]])*(Table13[[#This Row],[activating_chance]]/100),0)</f>
        <v>19</v>
      </c>
      <c r="DC155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155" s="72">
        <v>1</v>
      </c>
      <c r="DE155" s="72">
        <v>1</v>
      </c>
      <c r="DF155" s="72" t="b">
        <v>0</v>
      </c>
      <c r="DH155" t="s">
        <v>449</v>
      </c>
      <c r="DI155">
        <v>5</v>
      </c>
      <c r="DJ155">
        <v>5000</v>
      </c>
      <c r="DK155">
        <v>100</v>
      </c>
      <c r="DL155" s="75">
        <f ca="1">INDIRECT(ADDRESS(11+(MATCH(RIGHT(Table14[[#This Row],[spawner_sku]],LEN(Table14[[#This Row],[spawner_sku]])-FIND("/",Table14[[#This Row],[spawner_sku]])),Table1[Entity Prefab],0)),10,1,1,"Entities"))</f>
        <v>25</v>
      </c>
      <c r="DM155" s="75">
        <f ca="1">ROUND((Table14[[#This Row],[XP]]*Table14[[#This Row],[entity_spawned (AVG)]])*(Table14[[#This Row],[activating_chance]]/100),0)</f>
        <v>125</v>
      </c>
      <c r="DN15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55" s="72">
        <v>5</v>
      </c>
      <c r="DP155" s="72">
        <v>5</v>
      </c>
      <c r="DQ155" s="72" t="b">
        <v>1</v>
      </c>
      <c r="DS155" t="s">
        <v>520</v>
      </c>
      <c r="DT155">
        <v>3</v>
      </c>
      <c r="DU155">
        <v>120</v>
      </c>
      <c r="DV155">
        <v>100</v>
      </c>
      <c r="DW155" s="75">
        <f ca="1">INDIRECT(ADDRESS(11+(MATCH(RIGHT(Table18[[#This Row],[spawner_sku]],LEN(Table18[[#This Row],[spawner_sku]])-FIND("/",Table18[[#This Row],[spawner_sku]])),Table1[Entity Prefab],0)),10,1,1,"Entities"))</f>
        <v>35</v>
      </c>
      <c r="DX155" s="75">
        <f ca="1">ROUND((Table18[[#This Row],[XP]]*Table18[[#This Row],[entity_spawned (AVG)]])*(Table18[[#This Row],[activating_chance]]/100),0)</f>
        <v>105</v>
      </c>
      <c r="DY155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55">
        <v>3</v>
      </c>
      <c r="EA155">
        <v>3</v>
      </c>
      <c r="EB155" t="b">
        <v>0</v>
      </c>
      <c r="ED155" t="s">
        <v>520</v>
      </c>
      <c r="EE155">
        <v>1</v>
      </c>
      <c r="EF155">
        <v>120</v>
      </c>
      <c r="EG155">
        <v>10</v>
      </c>
      <c r="EH155" s="75">
        <f ca="1">INDIRECT(ADDRESS(11+(MATCH(RIGHT(Table1820[[#This Row],[spawner_sku]],LEN(Table1820[[#This Row],[spawner_sku]])-FIND("/",Table1820[[#This Row],[spawner_sku]])),Table1[Entity Prefab],0)),10,1,1,"Entities"))</f>
        <v>35</v>
      </c>
      <c r="EI155" s="75">
        <f ca="1">ROUND((Table1820[[#This Row],[XP]]*Table1820[[#This Row],[entity_spawned (AVG)]])*(Table1820[[#This Row],[activating_chance]]/100),0)</f>
        <v>4</v>
      </c>
      <c r="EJ155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55">
        <v>1</v>
      </c>
      <c r="EL155">
        <v>1</v>
      </c>
      <c r="EM155" t="b">
        <v>0</v>
      </c>
      <c r="EO155" t="s">
        <v>7347</v>
      </c>
      <c r="EP155">
        <v>1</v>
      </c>
      <c r="EQ155">
        <v>80</v>
      </c>
      <c r="ER155">
        <v>80</v>
      </c>
      <c r="ES155" s="75">
        <f ca="1">INDIRECT(ADDRESS(11+(MATCH(RIGHT(Table182023[[#This Row],[spawner_sku]],LEN(Table182023[[#This Row],[spawner_sku]])-FIND("/",Table182023[[#This Row],[spawner_sku]])),Table1[Entity Prefab],0)),10,1,1,"Entities"))</f>
        <v>55</v>
      </c>
      <c r="ET155" s="75">
        <f ca="1">ROUND((Table182023[[#This Row],[XP]]*Table182023[[#This Row],[entity_spawned (AVG)]])*(Table182023[[#This Row],[activating_chance]]/100),0)</f>
        <v>44</v>
      </c>
      <c r="EU155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EV155" s="152">
        <v>1</v>
      </c>
      <c r="EW155" s="152">
        <v>1</v>
      </c>
      <c r="EX155" s="152" t="b">
        <v>0</v>
      </c>
      <c r="EZ155" t="s">
        <v>7348</v>
      </c>
      <c r="FA155">
        <v>1.5</v>
      </c>
      <c r="FB155">
        <v>80</v>
      </c>
      <c r="FC155">
        <v>100</v>
      </c>
      <c r="FD155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155" s="75">
        <f ca="1">ROUND((Table18202324[[#This Row],[XP]]*Table18202324[[#This Row],[entity_spawned (AVG)]])*(Table18202324[[#This Row],[activating_chance]]/100),0)</f>
        <v>38</v>
      </c>
      <c r="FF155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55">
        <v>1</v>
      </c>
      <c r="FH155">
        <v>2</v>
      </c>
      <c r="FI155" t="b">
        <v>0</v>
      </c>
    </row>
    <row r="156" spans="2:165" x14ac:dyDescent="0.25">
      <c r="B156" s="73" t="s">
        <v>228</v>
      </c>
      <c r="C156">
        <v>6.5</v>
      </c>
      <c r="D156">
        <v>150</v>
      </c>
      <c r="E156">
        <v>100</v>
      </c>
      <c r="F156" s="75">
        <f ca="1">INDIRECT(ADDRESS(11+(MATCH(RIGHT(Table245[[#This Row],[spawner_sku]],LEN(Table245[[#This Row],[spawner_sku]])-FIND("/",Table245[[#This Row],[spawner_sku]])),Table1[Entity Prefab],0)),10,1,1,"Entities"))</f>
        <v>25</v>
      </c>
      <c r="G156" s="75">
        <f ca="1">ROUND((Table245[[#This Row],[XP]]*Table245[[#This Row],[entity_spawned (AVG)]])*(Table245[[#This Row],[activating_chance]]/100),0)</f>
        <v>163</v>
      </c>
      <c r="H15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6" s="72">
        <v>5</v>
      </c>
      <c r="J156" s="72">
        <v>8</v>
      </c>
      <c r="K156" s="72" t="b">
        <v>1</v>
      </c>
      <c r="M156" t="s">
        <v>255</v>
      </c>
      <c r="N156">
        <v>1</v>
      </c>
      <c r="O156">
        <v>120</v>
      </c>
      <c r="P156">
        <v>100</v>
      </c>
      <c r="Q156" s="75">
        <f ca="1">INDIRECT(ADDRESS(11+(MATCH(RIGHT(Table3[[#This Row],[spawner_sku]],LEN(Table3[[#This Row],[spawner_sku]])-FIND("/",Table3[[#This Row],[spawner_sku]])),Table1[Entity Prefab],0)),10,1,1,"Entities"))</f>
        <v>25</v>
      </c>
      <c r="R156" s="75">
        <f ca="1">ROUND((Table3[[#This Row],[XP]]*Table3[[#This Row],[entity_spawned (AVG)]])*(Table3[[#This Row],[activating_chance]]/100),0)</f>
        <v>25</v>
      </c>
      <c r="S156" t="str">
        <f ca="1">INDIRECT(ADDRESS(11+(MATCH(RIGHT(Table3[[#This Row],[spawner_sku]],LEN(Table3[[#This Row],[spawner_sku]])-FIND("/",Table3[[#This Row],[spawner_sku]])),Table28[Entity Prefab],0)),24,1,1,"Entities"))</f>
        <v>no</v>
      </c>
      <c r="T156">
        <v>1</v>
      </c>
      <c r="U156">
        <v>1</v>
      </c>
      <c r="V156" t="b">
        <v>0</v>
      </c>
      <c r="W156" s="72"/>
      <c r="AI156" t="s">
        <v>229</v>
      </c>
      <c r="AJ156">
        <v>1</v>
      </c>
      <c r="AK156">
        <v>90</v>
      </c>
      <c r="AL156">
        <v>100</v>
      </c>
      <c r="AM156" s="75">
        <f ca="1">INDIRECT(ADDRESS(11+(MATCH(RIGHT(Table2[[#This Row],[spawner_sku]],LEN(Table2[[#This Row],[spawner_sku]])-FIND("/",Table2[[#This Row],[spawner_sku]])),Table1[Entity Prefab],0)),10,1,1,"Entities"))</f>
        <v>25</v>
      </c>
      <c r="AN156" s="75">
        <f ca="1">ROUND((Table2[[#This Row],[XP]]*Table2[[#This Row],[entity_spawned (AVG)]])*(Table2[[#This Row],[activating_chance]]/100),0)</f>
        <v>25</v>
      </c>
      <c r="AO15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56" s="72">
        <v>1</v>
      </c>
      <c r="AQ156" s="72">
        <v>1</v>
      </c>
      <c r="AR156" s="72" t="b">
        <v>0</v>
      </c>
      <c r="AT156" t="s">
        <v>451</v>
      </c>
      <c r="AU156">
        <v>1</v>
      </c>
      <c r="AV156">
        <v>120</v>
      </c>
      <c r="AW156">
        <v>50</v>
      </c>
      <c r="AX156" s="75">
        <f ca="1">INDIRECT(ADDRESS(11+(MATCH(RIGHT(Table6[[#This Row],[spawner_sku]],LEN(Table6[[#This Row],[spawner_sku]])-FIND("/",Table6[[#This Row],[spawner_sku]])),Table1[Entity Prefab],0)),10,1,1,"Entities"))</f>
        <v>25</v>
      </c>
      <c r="AY156" s="75">
        <f ca="1">ROUND((Table6[[#This Row],[XP]]*Table6[[#This Row],[entity_spawned (AVG)]])*(Table6[[#This Row],[activating_chance]]/100),0)</f>
        <v>13</v>
      </c>
      <c r="AZ156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56">
        <v>1</v>
      </c>
      <c r="BB156">
        <v>1</v>
      </c>
      <c r="BC156" t="b">
        <v>0</v>
      </c>
      <c r="BE156" t="s">
        <v>606</v>
      </c>
      <c r="BF156">
        <v>1</v>
      </c>
      <c r="BG156">
        <v>5000</v>
      </c>
      <c r="BH156">
        <v>30</v>
      </c>
      <c r="BI156" s="75">
        <f ca="1">INDIRECT(ADDRESS(11+(MATCH(RIGHT(Table610[[#This Row],[spawner_sku]],LEN(Table610[[#This Row],[spawner_sku]])-FIND("/",Table610[[#This Row],[spawner_sku]])),Table1[Entity Prefab],0)),10,1,1,"Entities"))</f>
        <v>25</v>
      </c>
      <c r="BJ156" s="75">
        <f ca="1">ROUND((Table610[[#This Row],[XP]]*Table610[[#This Row],[entity_spawned (AVG)]])*(Table610[[#This Row],[activating_chance]]/100),0)</f>
        <v>8</v>
      </c>
      <c r="BK156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56">
        <v>1</v>
      </c>
      <c r="BM156">
        <v>1</v>
      </c>
      <c r="BN156" t="b">
        <v>0</v>
      </c>
      <c r="BP156" t="s">
        <v>402</v>
      </c>
      <c r="BQ156">
        <v>1</v>
      </c>
      <c r="BR156">
        <v>340</v>
      </c>
      <c r="BS156">
        <v>100</v>
      </c>
      <c r="BT156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56" s="75">
        <f ca="1">ROUND((Table61011[[#This Row],[XP]]*Table61011[[#This Row],[entity_spawned (AVG)]])*(Table61011[[#This Row],[activating_chance]]/100),0)</f>
        <v>263</v>
      </c>
      <c r="BV15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6" s="72">
        <v>1</v>
      </c>
      <c r="BX156" s="72">
        <v>1</v>
      </c>
      <c r="BY156" s="72" t="b">
        <v>0</v>
      </c>
      <c r="CA156" t="s">
        <v>242</v>
      </c>
      <c r="CB156">
        <v>1</v>
      </c>
      <c r="CC156">
        <v>1500</v>
      </c>
      <c r="CD156">
        <v>100</v>
      </c>
      <c r="CE156" s="75">
        <f ca="1">INDIRECT(ADDRESS(11+(MATCH(RIGHT(Table11[[#This Row],[spawner_sku]],LEN(Table11[[#This Row],[spawner_sku]])-FIND("/",Table11[[#This Row],[spawner_sku]])),Table1[Entity Prefab],0)),10,1,1,"Entities"))</f>
        <v>130</v>
      </c>
      <c r="CF156">
        <f ca="1">ROUND((Table11[[#This Row],[XP]]*Table11[[#This Row],[entity_spawned (AVG)]])*(Table11[[#This Row],[activating_chance]]/100),0)</f>
        <v>130</v>
      </c>
      <c r="CG156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56" s="72">
        <v>1</v>
      </c>
      <c r="CI156" s="72">
        <v>1</v>
      </c>
      <c r="CJ156" s="72" t="b">
        <v>0</v>
      </c>
      <c r="CL156" t="s">
        <v>255</v>
      </c>
      <c r="CM156">
        <v>1</v>
      </c>
      <c r="CN156">
        <v>150</v>
      </c>
      <c r="CO156">
        <v>100</v>
      </c>
      <c r="CP156" s="75">
        <f ca="1">INDIRECT(ADDRESS(11+(MATCH(RIGHT(Table12[[#This Row],[spawner_sku]],LEN(Table12[[#This Row],[spawner_sku]])-FIND("/",Table12[[#This Row],[spawner_sku]])),Table1[Entity Prefab],0)),10,1,1,"Entities"))</f>
        <v>25</v>
      </c>
      <c r="CQ156" s="75">
        <f ca="1">ROUND((Table12[[#This Row],[XP]]*Table12[[#This Row],[entity_spawned (AVG)]])*(Table12[[#This Row],[activating_chance]]/100),0)</f>
        <v>25</v>
      </c>
      <c r="CR156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56" s="72">
        <v>1</v>
      </c>
      <c r="CT156" s="72">
        <v>1</v>
      </c>
      <c r="CU156" s="72" t="b">
        <v>0</v>
      </c>
      <c r="CW156" t="s">
        <v>246</v>
      </c>
      <c r="CX156">
        <v>1</v>
      </c>
      <c r="CY156">
        <v>500</v>
      </c>
      <c r="CZ156">
        <v>75</v>
      </c>
      <c r="DA156" s="75">
        <f ca="1">INDIRECT(ADDRESS(11+(MATCH(RIGHT(Table13[[#This Row],[spawner_sku]],LEN(Table13[[#This Row],[spawner_sku]])-FIND("/",Table13[[#This Row],[spawner_sku]])),Table1[Entity Prefab],0)),10,1,1,"Entities"))</f>
        <v>25</v>
      </c>
      <c r="DB156" s="75">
        <f ca="1">ROUND((Table13[[#This Row],[XP]]*Table13[[#This Row],[entity_spawned (AVG)]])*(Table13[[#This Row],[activating_chance]]/100),0)</f>
        <v>19</v>
      </c>
      <c r="DC156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156" s="72">
        <v>1</v>
      </c>
      <c r="DE156" s="72">
        <v>1</v>
      </c>
      <c r="DF156" s="72" t="b">
        <v>0</v>
      </c>
      <c r="DH156" t="s">
        <v>449</v>
      </c>
      <c r="DI156">
        <v>5</v>
      </c>
      <c r="DJ156">
        <v>5000</v>
      </c>
      <c r="DK156">
        <v>100</v>
      </c>
      <c r="DL156" s="75">
        <f ca="1">INDIRECT(ADDRESS(11+(MATCH(RIGHT(Table14[[#This Row],[spawner_sku]],LEN(Table14[[#This Row],[spawner_sku]])-FIND("/",Table14[[#This Row],[spawner_sku]])),Table1[Entity Prefab],0)),10,1,1,"Entities"))</f>
        <v>25</v>
      </c>
      <c r="DM156" s="75">
        <f ca="1">ROUND((Table14[[#This Row],[XP]]*Table14[[#This Row],[entity_spawned (AVG)]])*(Table14[[#This Row],[activating_chance]]/100),0)</f>
        <v>125</v>
      </c>
      <c r="DN15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56" s="72">
        <v>5</v>
      </c>
      <c r="DP156" s="72">
        <v>5</v>
      </c>
      <c r="DQ156" s="72" t="b">
        <v>1</v>
      </c>
      <c r="DS156" t="s">
        <v>520</v>
      </c>
      <c r="DT156">
        <v>3</v>
      </c>
      <c r="DU156">
        <v>120</v>
      </c>
      <c r="DV156">
        <v>10</v>
      </c>
      <c r="DW156" s="75">
        <f ca="1">INDIRECT(ADDRESS(11+(MATCH(RIGHT(Table18[[#This Row],[spawner_sku]],LEN(Table18[[#This Row],[spawner_sku]])-FIND("/",Table18[[#This Row],[spawner_sku]])),Table1[Entity Prefab],0)),10,1,1,"Entities"))</f>
        <v>35</v>
      </c>
      <c r="DX156" s="75">
        <f ca="1">ROUND((Table18[[#This Row],[XP]]*Table18[[#This Row],[entity_spawned (AVG)]])*(Table18[[#This Row],[activating_chance]]/100),0)</f>
        <v>11</v>
      </c>
      <c r="DY156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56">
        <v>3</v>
      </c>
      <c r="EA156">
        <v>3</v>
      </c>
      <c r="EB156" t="b">
        <v>0</v>
      </c>
      <c r="ED156" t="s">
        <v>520</v>
      </c>
      <c r="EE156">
        <v>3</v>
      </c>
      <c r="EF156">
        <v>120</v>
      </c>
      <c r="EG156">
        <v>100</v>
      </c>
      <c r="EH156" s="75">
        <f ca="1">INDIRECT(ADDRESS(11+(MATCH(RIGHT(Table1820[[#This Row],[spawner_sku]],LEN(Table1820[[#This Row],[spawner_sku]])-FIND("/",Table1820[[#This Row],[spawner_sku]])),Table1[Entity Prefab],0)),10,1,1,"Entities"))</f>
        <v>35</v>
      </c>
      <c r="EI156" s="75">
        <f ca="1">ROUND((Table1820[[#This Row],[XP]]*Table1820[[#This Row],[entity_spawned (AVG)]])*(Table1820[[#This Row],[activating_chance]]/100),0)</f>
        <v>105</v>
      </c>
      <c r="EJ156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56">
        <v>3</v>
      </c>
      <c r="EL156">
        <v>3</v>
      </c>
      <c r="EM156" t="b">
        <v>0</v>
      </c>
      <c r="EO156" t="s">
        <v>7347</v>
      </c>
      <c r="EP156">
        <v>1</v>
      </c>
      <c r="EQ156">
        <v>80</v>
      </c>
      <c r="ER156">
        <v>100</v>
      </c>
      <c r="ES156" s="75">
        <f ca="1">INDIRECT(ADDRESS(11+(MATCH(RIGHT(Table182023[[#This Row],[spawner_sku]],LEN(Table182023[[#This Row],[spawner_sku]])-FIND("/",Table182023[[#This Row],[spawner_sku]])),Table1[Entity Prefab],0)),10,1,1,"Entities"))</f>
        <v>55</v>
      </c>
      <c r="ET156" s="75">
        <f ca="1">ROUND((Table182023[[#This Row],[XP]]*Table182023[[#This Row],[entity_spawned (AVG)]])*(Table182023[[#This Row],[activating_chance]]/100),0)</f>
        <v>55</v>
      </c>
      <c r="EU156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EV156" s="152">
        <v>1</v>
      </c>
      <c r="EW156" s="152">
        <v>1</v>
      </c>
      <c r="EX156" s="152" t="b">
        <v>0</v>
      </c>
      <c r="EZ156" t="s">
        <v>7348</v>
      </c>
      <c r="FA156">
        <v>3.5</v>
      </c>
      <c r="FB156">
        <v>70</v>
      </c>
      <c r="FC156">
        <v>100</v>
      </c>
      <c r="FD156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156" s="75">
        <f ca="1">ROUND((Table18202324[[#This Row],[XP]]*Table18202324[[#This Row],[entity_spawned (AVG)]])*(Table18202324[[#This Row],[activating_chance]]/100),0)</f>
        <v>88</v>
      </c>
      <c r="FF156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56">
        <v>3</v>
      </c>
      <c r="FH156">
        <v>4</v>
      </c>
      <c r="FI156" t="b">
        <v>0</v>
      </c>
    </row>
    <row r="157" spans="2:165" x14ac:dyDescent="0.25">
      <c r="B157" s="73" t="s">
        <v>228</v>
      </c>
      <c r="C157">
        <v>3</v>
      </c>
      <c r="D157">
        <v>130</v>
      </c>
      <c r="E157">
        <v>100</v>
      </c>
      <c r="F157" s="75">
        <f ca="1">INDIRECT(ADDRESS(11+(MATCH(RIGHT(Table245[[#This Row],[spawner_sku]],LEN(Table245[[#This Row],[spawner_sku]])-FIND("/",Table245[[#This Row],[spawner_sku]])),Table1[Entity Prefab],0)),10,1,1,"Entities"))</f>
        <v>25</v>
      </c>
      <c r="G157" s="75">
        <f ca="1">ROUND((Table245[[#This Row],[XP]]*Table245[[#This Row],[entity_spawned (AVG)]])*(Table245[[#This Row],[activating_chance]]/100),0)</f>
        <v>75</v>
      </c>
      <c r="H15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7" s="72">
        <v>2</v>
      </c>
      <c r="J157" s="72">
        <v>4</v>
      </c>
      <c r="K157" s="72" t="b">
        <v>0</v>
      </c>
      <c r="M157" t="s">
        <v>255</v>
      </c>
      <c r="N157">
        <v>1</v>
      </c>
      <c r="O157">
        <v>200</v>
      </c>
      <c r="P157">
        <v>100</v>
      </c>
      <c r="Q157" s="75">
        <f ca="1">INDIRECT(ADDRESS(11+(MATCH(RIGHT(Table3[[#This Row],[spawner_sku]],LEN(Table3[[#This Row],[spawner_sku]])-FIND("/",Table3[[#This Row],[spawner_sku]])),Table1[Entity Prefab],0)),10,1,1,"Entities"))</f>
        <v>25</v>
      </c>
      <c r="R157" s="75">
        <f ca="1">ROUND((Table3[[#This Row],[XP]]*Table3[[#This Row],[entity_spawned (AVG)]])*(Table3[[#This Row],[activating_chance]]/100),0)</f>
        <v>25</v>
      </c>
      <c r="S157" t="str">
        <f ca="1">INDIRECT(ADDRESS(11+(MATCH(RIGHT(Table3[[#This Row],[spawner_sku]],LEN(Table3[[#This Row],[spawner_sku]])-FIND("/",Table3[[#This Row],[spawner_sku]])),Table28[Entity Prefab],0)),24,1,1,"Entities"))</f>
        <v>no</v>
      </c>
      <c r="T157">
        <v>1</v>
      </c>
      <c r="U157">
        <v>1</v>
      </c>
      <c r="V157" t="b">
        <v>0</v>
      </c>
      <c r="W157" s="72"/>
      <c r="AI157" t="s">
        <v>229</v>
      </c>
      <c r="AJ157">
        <v>1</v>
      </c>
      <c r="AK157">
        <v>90</v>
      </c>
      <c r="AL157">
        <v>100</v>
      </c>
      <c r="AM157" s="75">
        <f ca="1">INDIRECT(ADDRESS(11+(MATCH(RIGHT(Table2[[#This Row],[spawner_sku]],LEN(Table2[[#This Row],[spawner_sku]])-FIND("/",Table2[[#This Row],[spawner_sku]])),Table1[Entity Prefab],0)),10,1,1,"Entities"))</f>
        <v>25</v>
      </c>
      <c r="AN157" s="75">
        <f ca="1">ROUND((Table2[[#This Row],[XP]]*Table2[[#This Row],[entity_spawned (AVG)]])*(Table2[[#This Row],[activating_chance]]/100),0)</f>
        <v>25</v>
      </c>
      <c r="AO15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57" s="72">
        <v>1</v>
      </c>
      <c r="AQ157" s="72">
        <v>1</v>
      </c>
      <c r="AR157" s="72" t="b">
        <v>0</v>
      </c>
      <c r="AT157" t="s">
        <v>451</v>
      </c>
      <c r="AU157">
        <v>1</v>
      </c>
      <c r="AV157">
        <v>120</v>
      </c>
      <c r="AW157">
        <v>100</v>
      </c>
      <c r="AX157" s="75">
        <f ca="1">INDIRECT(ADDRESS(11+(MATCH(RIGHT(Table6[[#This Row],[spawner_sku]],LEN(Table6[[#This Row],[spawner_sku]])-FIND("/",Table6[[#This Row],[spawner_sku]])),Table1[Entity Prefab],0)),10,1,1,"Entities"))</f>
        <v>25</v>
      </c>
      <c r="AY157" s="75">
        <f ca="1">ROUND((Table6[[#This Row],[XP]]*Table6[[#This Row],[entity_spawned (AVG)]])*(Table6[[#This Row],[activating_chance]]/100),0)</f>
        <v>25</v>
      </c>
      <c r="AZ157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57">
        <v>1</v>
      </c>
      <c r="BB157">
        <v>1</v>
      </c>
      <c r="BC157" t="b">
        <v>0</v>
      </c>
      <c r="BE157" t="s">
        <v>606</v>
      </c>
      <c r="BF157">
        <v>1</v>
      </c>
      <c r="BG157">
        <v>5000</v>
      </c>
      <c r="BH157">
        <v>30</v>
      </c>
      <c r="BI157" s="75">
        <f ca="1">INDIRECT(ADDRESS(11+(MATCH(RIGHT(Table610[[#This Row],[spawner_sku]],LEN(Table610[[#This Row],[spawner_sku]])-FIND("/",Table610[[#This Row],[spawner_sku]])),Table1[Entity Prefab],0)),10,1,1,"Entities"))</f>
        <v>25</v>
      </c>
      <c r="BJ157" s="75">
        <f ca="1">ROUND((Table610[[#This Row],[XP]]*Table610[[#This Row],[entity_spawned (AVG)]])*(Table610[[#This Row],[activating_chance]]/100),0)</f>
        <v>8</v>
      </c>
      <c r="BK157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57">
        <v>1</v>
      </c>
      <c r="BM157">
        <v>1</v>
      </c>
      <c r="BN157" t="b">
        <v>0</v>
      </c>
      <c r="BP157" t="s">
        <v>402</v>
      </c>
      <c r="BQ157">
        <v>1</v>
      </c>
      <c r="BR157">
        <v>340</v>
      </c>
      <c r="BS157">
        <v>100</v>
      </c>
      <c r="BT157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57" s="75">
        <f ca="1">ROUND((Table61011[[#This Row],[XP]]*Table61011[[#This Row],[entity_spawned (AVG)]])*(Table61011[[#This Row],[activating_chance]]/100),0)</f>
        <v>263</v>
      </c>
      <c r="BV15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7" s="72">
        <v>1</v>
      </c>
      <c r="BX157" s="72">
        <v>1</v>
      </c>
      <c r="BY157" s="72" t="b">
        <v>0</v>
      </c>
      <c r="CA157" t="s">
        <v>242</v>
      </c>
      <c r="CB157">
        <v>1</v>
      </c>
      <c r="CC157">
        <v>1500</v>
      </c>
      <c r="CD157">
        <v>100</v>
      </c>
      <c r="CE157" s="75">
        <f ca="1">INDIRECT(ADDRESS(11+(MATCH(RIGHT(Table11[[#This Row],[spawner_sku]],LEN(Table11[[#This Row],[spawner_sku]])-FIND("/",Table11[[#This Row],[spawner_sku]])),Table1[Entity Prefab],0)),10,1,1,"Entities"))</f>
        <v>130</v>
      </c>
      <c r="CF157">
        <f ca="1">ROUND((Table11[[#This Row],[XP]]*Table11[[#This Row],[entity_spawned (AVG)]])*(Table11[[#This Row],[activating_chance]]/100),0)</f>
        <v>130</v>
      </c>
      <c r="CG157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57" s="72">
        <v>1</v>
      </c>
      <c r="CI157" s="72">
        <v>1</v>
      </c>
      <c r="CJ157" s="72" t="b">
        <v>0</v>
      </c>
      <c r="CL157" t="s">
        <v>255</v>
      </c>
      <c r="CM157">
        <v>1</v>
      </c>
      <c r="CN157">
        <v>150</v>
      </c>
      <c r="CO157">
        <v>80</v>
      </c>
      <c r="CP157" s="75">
        <f ca="1">INDIRECT(ADDRESS(11+(MATCH(RIGHT(Table12[[#This Row],[spawner_sku]],LEN(Table12[[#This Row],[spawner_sku]])-FIND("/",Table12[[#This Row],[spawner_sku]])),Table1[Entity Prefab],0)),10,1,1,"Entities"))</f>
        <v>25</v>
      </c>
      <c r="CQ157" s="75">
        <f ca="1">ROUND((Table12[[#This Row],[XP]]*Table12[[#This Row],[entity_spawned (AVG)]])*(Table12[[#This Row],[activating_chance]]/100),0)</f>
        <v>20</v>
      </c>
      <c r="CR157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57" s="72">
        <v>1</v>
      </c>
      <c r="CT157" s="72">
        <v>1</v>
      </c>
      <c r="CU157" s="72" t="b">
        <v>0</v>
      </c>
      <c r="CW157" t="s">
        <v>246</v>
      </c>
      <c r="CX157">
        <v>1</v>
      </c>
      <c r="CY157">
        <v>500</v>
      </c>
      <c r="CZ157">
        <v>100</v>
      </c>
      <c r="DA157" s="75">
        <f ca="1">INDIRECT(ADDRESS(11+(MATCH(RIGHT(Table13[[#This Row],[spawner_sku]],LEN(Table13[[#This Row],[spawner_sku]])-FIND("/",Table13[[#This Row],[spawner_sku]])),Table1[Entity Prefab],0)),10,1,1,"Entities"))</f>
        <v>25</v>
      </c>
      <c r="DB157" s="75">
        <f ca="1">ROUND((Table13[[#This Row],[XP]]*Table13[[#This Row],[entity_spawned (AVG)]])*(Table13[[#This Row],[activating_chance]]/100),0)</f>
        <v>25</v>
      </c>
      <c r="DC157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157" s="72">
        <v>1</v>
      </c>
      <c r="DE157" s="72">
        <v>1</v>
      </c>
      <c r="DF157" s="72" t="b">
        <v>0</v>
      </c>
      <c r="DH157" t="s">
        <v>449</v>
      </c>
      <c r="DI157">
        <v>5</v>
      </c>
      <c r="DJ157">
        <v>5000</v>
      </c>
      <c r="DK157">
        <v>100</v>
      </c>
      <c r="DL157" s="75">
        <f ca="1">INDIRECT(ADDRESS(11+(MATCH(RIGHT(Table14[[#This Row],[spawner_sku]],LEN(Table14[[#This Row],[spawner_sku]])-FIND("/",Table14[[#This Row],[spawner_sku]])),Table1[Entity Prefab],0)),10,1,1,"Entities"))</f>
        <v>25</v>
      </c>
      <c r="DM157" s="75">
        <f ca="1">ROUND((Table14[[#This Row],[XP]]*Table14[[#This Row],[entity_spawned (AVG)]])*(Table14[[#This Row],[activating_chance]]/100),0)</f>
        <v>125</v>
      </c>
      <c r="DN15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57" s="72">
        <v>5</v>
      </c>
      <c r="DP157" s="72">
        <v>5</v>
      </c>
      <c r="DQ157" s="72" t="b">
        <v>1</v>
      </c>
      <c r="DS157" t="s">
        <v>520</v>
      </c>
      <c r="DT157">
        <v>1</v>
      </c>
      <c r="DU157">
        <v>120</v>
      </c>
      <c r="DV157">
        <v>100</v>
      </c>
      <c r="DW157" s="75">
        <f ca="1">INDIRECT(ADDRESS(11+(MATCH(RIGHT(Table18[[#This Row],[spawner_sku]],LEN(Table18[[#This Row],[spawner_sku]])-FIND("/",Table18[[#This Row],[spawner_sku]])),Table1[Entity Prefab],0)),10,1,1,"Entities"))</f>
        <v>35</v>
      </c>
      <c r="DX157" s="75">
        <f ca="1">ROUND((Table18[[#This Row],[XP]]*Table18[[#This Row],[entity_spawned (AVG)]])*(Table18[[#This Row],[activating_chance]]/100),0)</f>
        <v>35</v>
      </c>
      <c r="DY157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57">
        <v>1</v>
      </c>
      <c r="EA157">
        <v>2</v>
      </c>
      <c r="EB157" t="b">
        <v>0</v>
      </c>
      <c r="ED157" t="s">
        <v>520</v>
      </c>
      <c r="EE157">
        <v>1</v>
      </c>
      <c r="EF157">
        <v>120</v>
      </c>
      <c r="EG157">
        <v>30</v>
      </c>
      <c r="EH157" s="75">
        <f ca="1">INDIRECT(ADDRESS(11+(MATCH(RIGHT(Table1820[[#This Row],[spawner_sku]],LEN(Table1820[[#This Row],[spawner_sku]])-FIND("/",Table1820[[#This Row],[spawner_sku]])),Table1[Entity Prefab],0)),10,1,1,"Entities"))</f>
        <v>35</v>
      </c>
      <c r="EI157" s="75">
        <f ca="1">ROUND((Table1820[[#This Row],[XP]]*Table1820[[#This Row],[entity_spawned (AVG)]])*(Table1820[[#This Row],[activating_chance]]/100),0)</f>
        <v>11</v>
      </c>
      <c r="EJ157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57">
        <v>1</v>
      </c>
      <c r="EL157">
        <v>1</v>
      </c>
      <c r="EM157" t="b">
        <v>0</v>
      </c>
      <c r="EO157" t="s">
        <v>7347</v>
      </c>
      <c r="EP157">
        <v>1</v>
      </c>
      <c r="EQ157">
        <v>80</v>
      </c>
      <c r="ER157">
        <v>100</v>
      </c>
      <c r="ES157" s="75">
        <f ca="1">INDIRECT(ADDRESS(11+(MATCH(RIGHT(Table182023[[#This Row],[spawner_sku]],LEN(Table182023[[#This Row],[spawner_sku]])-FIND("/",Table182023[[#This Row],[spawner_sku]])),Table1[Entity Prefab],0)),10,1,1,"Entities"))</f>
        <v>55</v>
      </c>
      <c r="ET157" s="75">
        <f ca="1">ROUND((Table182023[[#This Row],[XP]]*Table182023[[#This Row],[entity_spawned (AVG)]])*(Table182023[[#This Row],[activating_chance]]/100),0)</f>
        <v>55</v>
      </c>
      <c r="EU157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EV157" s="152">
        <v>1</v>
      </c>
      <c r="EW157" s="152">
        <v>1</v>
      </c>
      <c r="EX157" s="152" t="b">
        <v>0</v>
      </c>
      <c r="EZ157" t="s">
        <v>7348</v>
      </c>
      <c r="FA157">
        <v>1.5</v>
      </c>
      <c r="FB157">
        <v>80</v>
      </c>
      <c r="FC157">
        <v>100</v>
      </c>
      <c r="FD157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157" s="75">
        <f ca="1">ROUND((Table18202324[[#This Row],[XP]]*Table18202324[[#This Row],[entity_spawned (AVG)]])*(Table18202324[[#This Row],[activating_chance]]/100),0)</f>
        <v>38</v>
      </c>
      <c r="FF157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57">
        <v>1</v>
      </c>
      <c r="FH157">
        <v>2</v>
      </c>
      <c r="FI157" t="b">
        <v>0</v>
      </c>
    </row>
    <row r="158" spans="2:165" x14ac:dyDescent="0.25">
      <c r="B158" s="73" t="s">
        <v>228</v>
      </c>
      <c r="C158">
        <v>3</v>
      </c>
      <c r="D158">
        <v>160</v>
      </c>
      <c r="E158">
        <v>100</v>
      </c>
      <c r="F158" s="75">
        <f ca="1">INDIRECT(ADDRESS(11+(MATCH(RIGHT(Table245[[#This Row],[spawner_sku]],LEN(Table245[[#This Row],[spawner_sku]])-FIND("/",Table245[[#This Row],[spawner_sku]])),Table1[Entity Prefab],0)),10,1,1,"Entities"))</f>
        <v>25</v>
      </c>
      <c r="G158" s="75">
        <f ca="1">ROUND((Table245[[#This Row],[XP]]*Table245[[#This Row],[entity_spawned (AVG)]])*(Table245[[#This Row],[activating_chance]]/100),0)</f>
        <v>75</v>
      </c>
      <c r="H15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8" s="72">
        <v>2</v>
      </c>
      <c r="J158" s="72">
        <v>4</v>
      </c>
      <c r="K158" s="72" t="b">
        <v>0</v>
      </c>
      <c r="M158" t="s">
        <v>255</v>
      </c>
      <c r="N158">
        <v>1</v>
      </c>
      <c r="O158">
        <v>170</v>
      </c>
      <c r="P158">
        <v>100</v>
      </c>
      <c r="Q158" s="75">
        <f ca="1">INDIRECT(ADDRESS(11+(MATCH(RIGHT(Table3[[#This Row],[spawner_sku]],LEN(Table3[[#This Row],[spawner_sku]])-FIND("/",Table3[[#This Row],[spawner_sku]])),Table1[Entity Prefab],0)),10,1,1,"Entities"))</f>
        <v>25</v>
      </c>
      <c r="R158" s="75">
        <f ca="1">ROUND((Table3[[#This Row],[XP]]*Table3[[#This Row],[entity_spawned (AVG)]])*(Table3[[#This Row],[activating_chance]]/100),0)</f>
        <v>25</v>
      </c>
      <c r="S158" t="str">
        <f ca="1">INDIRECT(ADDRESS(11+(MATCH(RIGHT(Table3[[#This Row],[spawner_sku]],LEN(Table3[[#This Row],[spawner_sku]])-FIND("/",Table3[[#This Row],[spawner_sku]])),Table28[Entity Prefab],0)),24,1,1,"Entities"))</f>
        <v>no</v>
      </c>
      <c r="T158">
        <v>1</v>
      </c>
      <c r="U158">
        <v>1</v>
      </c>
      <c r="V158" t="b">
        <v>0</v>
      </c>
      <c r="W158" s="72"/>
      <c r="AI158" t="s">
        <v>230</v>
      </c>
      <c r="AJ158">
        <v>1.5</v>
      </c>
      <c r="AK158">
        <v>100</v>
      </c>
      <c r="AL158">
        <v>100</v>
      </c>
      <c r="AM158" s="75">
        <f ca="1">INDIRECT(ADDRESS(11+(MATCH(RIGHT(Table2[[#This Row],[spawner_sku]],LEN(Table2[[#This Row],[spawner_sku]])-FIND("/",Table2[[#This Row],[spawner_sku]])),Table1[Entity Prefab],0)),10,1,1,"Entities"))</f>
        <v>25</v>
      </c>
      <c r="AN158" s="75">
        <f ca="1">ROUND((Table2[[#This Row],[XP]]*Table2[[#This Row],[entity_spawned (AVG)]])*(Table2[[#This Row],[activating_chance]]/100),0)</f>
        <v>38</v>
      </c>
      <c r="AO15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58" s="72">
        <v>1</v>
      </c>
      <c r="AQ158" s="72">
        <v>2</v>
      </c>
      <c r="AR158" s="72" t="b">
        <v>0</v>
      </c>
      <c r="AT158" t="s">
        <v>451</v>
      </c>
      <c r="AU158">
        <v>1</v>
      </c>
      <c r="AV158">
        <v>120</v>
      </c>
      <c r="AW158">
        <v>50</v>
      </c>
      <c r="AX158" s="75">
        <f ca="1">INDIRECT(ADDRESS(11+(MATCH(RIGHT(Table6[[#This Row],[spawner_sku]],LEN(Table6[[#This Row],[spawner_sku]])-FIND("/",Table6[[#This Row],[spawner_sku]])),Table1[Entity Prefab],0)),10,1,1,"Entities"))</f>
        <v>25</v>
      </c>
      <c r="AY158" s="75">
        <f ca="1">ROUND((Table6[[#This Row],[XP]]*Table6[[#This Row],[entity_spawned (AVG)]])*(Table6[[#This Row],[activating_chance]]/100),0)</f>
        <v>13</v>
      </c>
      <c r="AZ158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58">
        <v>1</v>
      </c>
      <c r="BB158">
        <v>1</v>
      </c>
      <c r="BC158" t="b">
        <v>0</v>
      </c>
      <c r="BE158" t="s">
        <v>606</v>
      </c>
      <c r="BF158">
        <v>1</v>
      </c>
      <c r="BG158">
        <v>5000</v>
      </c>
      <c r="BH158">
        <v>30</v>
      </c>
      <c r="BI158" s="75">
        <f ca="1">INDIRECT(ADDRESS(11+(MATCH(RIGHT(Table610[[#This Row],[spawner_sku]],LEN(Table610[[#This Row],[spawner_sku]])-FIND("/",Table610[[#This Row],[spawner_sku]])),Table1[Entity Prefab],0)),10,1,1,"Entities"))</f>
        <v>25</v>
      </c>
      <c r="BJ158" s="75">
        <f ca="1">ROUND((Table610[[#This Row],[XP]]*Table610[[#This Row],[entity_spawned (AVG)]])*(Table610[[#This Row],[activating_chance]]/100),0)</f>
        <v>8</v>
      </c>
      <c r="BK158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58">
        <v>1</v>
      </c>
      <c r="BM158">
        <v>1</v>
      </c>
      <c r="BN158" t="b">
        <v>0</v>
      </c>
      <c r="BP158" t="s">
        <v>402</v>
      </c>
      <c r="BQ158">
        <v>1</v>
      </c>
      <c r="BR158">
        <v>340</v>
      </c>
      <c r="BS158">
        <v>100</v>
      </c>
      <c r="BT158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58" s="75">
        <f ca="1">ROUND((Table61011[[#This Row],[XP]]*Table61011[[#This Row],[entity_spawned (AVG)]])*(Table61011[[#This Row],[activating_chance]]/100),0)</f>
        <v>263</v>
      </c>
      <c r="BV15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8" s="72">
        <v>1</v>
      </c>
      <c r="BX158" s="72">
        <v>1</v>
      </c>
      <c r="BY158" s="72" t="b">
        <v>0</v>
      </c>
      <c r="CA158" t="s">
        <v>242</v>
      </c>
      <c r="CB158">
        <v>1</v>
      </c>
      <c r="CC158">
        <v>1500</v>
      </c>
      <c r="CD158">
        <v>10</v>
      </c>
      <c r="CE158" s="75">
        <f ca="1">INDIRECT(ADDRESS(11+(MATCH(RIGHT(Table11[[#This Row],[spawner_sku]],LEN(Table11[[#This Row],[spawner_sku]])-FIND("/",Table11[[#This Row],[spawner_sku]])),Table1[Entity Prefab],0)),10,1,1,"Entities"))</f>
        <v>130</v>
      </c>
      <c r="CF158">
        <f ca="1">ROUND((Table11[[#This Row],[XP]]*Table11[[#This Row],[entity_spawned (AVG)]])*(Table11[[#This Row],[activating_chance]]/100),0)</f>
        <v>13</v>
      </c>
      <c r="CG158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58" s="72">
        <v>1</v>
      </c>
      <c r="CI158" s="72">
        <v>1</v>
      </c>
      <c r="CJ158" s="72" t="b">
        <v>0</v>
      </c>
      <c r="CL158" t="s">
        <v>256</v>
      </c>
      <c r="CM158">
        <v>1</v>
      </c>
      <c r="CN158">
        <v>150</v>
      </c>
      <c r="CO158">
        <v>100</v>
      </c>
      <c r="CP158" s="75">
        <f ca="1">INDIRECT(ADDRESS(11+(MATCH(RIGHT(Table12[[#This Row],[spawner_sku]],LEN(Table12[[#This Row],[spawner_sku]])-FIND("/",Table12[[#This Row],[spawner_sku]])),Table1[Entity Prefab],0)),10,1,1,"Entities"))</f>
        <v>25</v>
      </c>
      <c r="CQ158" s="75">
        <f ca="1">ROUND((Table12[[#This Row],[XP]]*Table12[[#This Row],[entity_spawned (AVG)]])*(Table12[[#This Row],[activating_chance]]/100),0)</f>
        <v>25</v>
      </c>
      <c r="CR158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58" s="72">
        <v>1</v>
      </c>
      <c r="CT158" s="72">
        <v>1</v>
      </c>
      <c r="CU158" s="72" t="b">
        <v>0</v>
      </c>
      <c r="CW158" t="s">
        <v>246</v>
      </c>
      <c r="CX158">
        <v>1</v>
      </c>
      <c r="CY158">
        <v>500</v>
      </c>
      <c r="CZ158">
        <v>75</v>
      </c>
      <c r="DA158" s="75">
        <f ca="1">INDIRECT(ADDRESS(11+(MATCH(RIGHT(Table13[[#This Row],[spawner_sku]],LEN(Table13[[#This Row],[spawner_sku]])-FIND("/",Table13[[#This Row],[spawner_sku]])),Table1[Entity Prefab],0)),10,1,1,"Entities"))</f>
        <v>25</v>
      </c>
      <c r="DB158" s="75">
        <f ca="1">ROUND((Table13[[#This Row],[XP]]*Table13[[#This Row],[entity_spawned (AVG)]])*(Table13[[#This Row],[activating_chance]]/100),0)</f>
        <v>19</v>
      </c>
      <c r="DC158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158" s="72">
        <v>1</v>
      </c>
      <c r="DE158" s="72">
        <v>1</v>
      </c>
      <c r="DF158" s="72" t="b">
        <v>0</v>
      </c>
      <c r="DH158" t="s">
        <v>449</v>
      </c>
      <c r="DI158">
        <v>5</v>
      </c>
      <c r="DJ158">
        <v>5000</v>
      </c>
      <c r="DK158">
        <v>100</v>
      </c>
      <c r="DL158" s="75">
        <f ca="1">INDIRECT(ADDRESS(11+(MATCH(RIGHT(Table14[[#This Row],[spawner_sku]],LEN(Table14[[#This Row],[spawner_sku]])-FIND("/",Table14[[#This Row],[spawner_sku]])),Table1[Entity Prefab],0)),10,1,1,"Entities"))</f>
        <v>25</v>
      </c>
      <c r="DM158" s="75">
        <f ca="1">ROUND((Table14[[#This Row],[XP]]*Table14[[#This Row],[entity_spawned (AVG)]])*(Table14[[#This Row],[activating_chance]]/100),0)</f>
        <v>125</v>
      </c>
      <c r="DN15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58" s="72">
        <v>5</v>
      </c>
      <c r="DP158" s="72">
        <v>5</v>
      </c>
      <c r="DQ158" s="72" t="b">
        <v>1</v>
      </c>
      <c r="DS158" t="s">
        <v>629</v>
      </c>
      <c r="DT158">
        <v>1</v>
      </c>
      <c r="DU158">
        <v>120</v>
      </c>
      <c r="DV158">
        <v>30</v>
      </c>
      <c r="DW158" s="75">
        <f ca="1">INDIRECT(ADDRESS(11+(MATCH(RIGHT(Table18[[#This Row],[spawner_sku]],LEN(Table18[[#This Row],[spawner_sku]])-FIND("/",Table18[[#This Row],[spawner_sku]])),Table1[Entity Prefab],0)),10,1,1,"Entities"))</f>
        <v>50</v>
      </c>
      <c r="DX158" s="75">
        <f ca="1">ROUND((Table18[[#This Row],[XP]]*Table18[[#This Row],[entity_spawned (AVG)]])*(Table18[[#This Row],[activating_chance]]/100),0)</f>
        <v>15</v>
      </c>
      <c r="DY15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58">
        <v>1</v>
      </c>
      <c r="EA158">
        <v>1</v>
      </c>
      <c r="EB158" t="b">
        <v>0</v>
      </c>
      <c r="ED158" t="s">
        <v>520</v>
      </c>
      <c r="EE158">
        <v>1</v>
      </c>
      <c r="EF158">
        <v>120</v>
      </c>
      <c r="EG158">
        <v>100</v>
      </c>
      <c r="EH158" s="75">
        <f ca="1">INDIRECT(ADDRESS(11+(MATCH(RIGHT(Table1820[[#This Row],[spawner_sku]],LEN(Table1820[[#This Row],[spawner_sku]])-FIND("/",Table1820[[#This Row],[spawner_sku]])),Table1[Entity Prefab],0)),10,1,1,"Entities"))</f>
        <v>35</v>
      </c>
      <c r="EI158" s="75">
        <f ca="1">ROUND((Table1820[[#This Row],[XP]]*Table1820[[#This Row],[entity_spawned (AVG)]])*(Table1820[[#This Row],[activating_chance]]/100),0)</f>
        <v>35</v>
      </c>
      <c r="EJ158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58">
        <v>1</v>
      </c>
      <c r="EL158">
        <v>1</v>
      </c>
      <c r="EM158" t="b">
        <v>0</v>
      </c>
      <c r="EO158" t="s">
        <v>7347</v>
      </c>
      <c r="EP158">
        <v>1</v>
      </c>
      <c r="EQ158">
        <v>80</v>
      </c>
      <c r="ER158">
        <v>100</v>
      </c>
      <c r="ES158" s="75">
        <f ca="1">INDIRECT(ADDRESS(11+(MATCH(RIGHT(Table182023[[#This Row],[spawner_sku]],LEN(Table182023[[#This Row],[spawner_sku]])-FIND("/",Table182023[[#This Row],[spawner_sku]])),Table1[Entity Prefab],0)),10,1,1,"Entities"))</f>
        <v>55</v>
      </c>
      <c r="ET158" s="75">
        <f ca="1">ROUND((Table182023[[#This Row],[XP]]*Table182023[[#This Row],[entity_spawned (AVG)]])*(Table182023[[#This Row],[activating_chance]]/100),0)</f>
        <v>55</v>
      </c>
      <c r="EU158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EV158" s="152">
        <v>1</v>
      </c>
      <c r="EW158" s="152">
        <v>1</v>
      </c>
      <c r="EX158" s="152" t="b">
        <v>0</v>
      </c>
      <c r="EZ158" t="s">
        <v>7348</v>
      </c>
      <c r="FA158">
        <v>1.5</v>
      </c>
      <c r="FB158">
        <v>70</v>
      </c>
      <c r="FC158">
        <v>100</v>
      </c>
      <c r="FD158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158" s="75">
        <f ca="1">ROUND((Table18202324[[#This Row],[XP]]*Table18202324[[#This Row],[entity_spawned (AVG)]])*(Table18202324[[#This Row],[activating_chance]]/100),0)</f>
        <v>38</v>
      </c>
      <c r="FF158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58">
        <v>1</v>
      </c>
      <c r="FH158">
        <v>2</v>
      </c>
      <c r="FI158" t="b">
        <v>0</v>
      </c>
    </row>
    <row r="159" spans="2:165" x14ac:dyDescent="0.25">
      <c r="B159" s="73" t="s">
        <v>228</v>
      </c>
      <c r="C159">
        <v>1.5</v>
      </c>
      <c r="D159">
        <v>80</v>
      </c>
      <c r="E159">
        <v>100</v>
      </c>
      <c r="F159" s="75">
        <f ca="1">INDIRECT(ADDRESS(11+(MATCH(RIGHT(Table245[[#This Row],[spawner_sku]],LEN(Table245[[#This Row],[spawner_sku]])-FIND("/",Table245[[#This Row],[spawner_sku]])),Table1[Entity Prefab],0)),10,1,1,"Entities"))</f>
        <v>25</v>
      </c>
      <c r="G159" s="75">
        <f ca="1">ROUND((Table245[[#This Row],[XP]]*Table245[[#This Row],[entity_spawned (AVG)]])*(Table245[[#This Row],[activating_chance]]/100),0)</f>
        <v>38</v>
      </c>
      <c r="H15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9" s="72">
        <v>1</v>
      </c>
      <c r="J159" s="72">
        <v>2</v>
      </c>
      <c r="K159" s="72" t="b">
        <v>0</v>
      </c>
      <c r="M159" t="s">
        <v>255</v>
      </c>
      <c r="N159">
        <v>1</v>
      </c>
      <c r="O159">
        <v>190</v>
      </c>
      <c r="P159">
        <v>80</v>
      </c>
      <c r="Q159" s="75">
        <f ca="1">INDIRECT(ADDRESS(11+(MATCH(RIGHT(Table3[[#This Row],[spawner_sku]],LEN(Table3[[#This Row],[spawner_sku]])-FIND("/",Table3[[#This Row],[spawner_sku]])),Table1[Entity Prefab],0)),10,1,1,"Entities"))</f>
        <v>25</v>
      </c>
      <c r="R159" s="75">
        <f ca="1">ROUND((Table3[[#This Row],[XP]]*Table3[[#This Row],[entity_spawned (AVG)]])*(Table3[[#This Row],[activating_chance]]/100),0)</f>
        <v>20</v>
      </c>
      <c r="S159" t="str">
        <f ca="1">INDIRECT(ADDRESS(11+(MATCH(RIGHT(Table3[[#This Row],[spawner_sku]],LEN(Table3[[#This Row],[spawner_sku]])-FIND("/",Table3[[#This Row],[spawner_sku]])),Table28[Entity Prefab],0)),24,1,1,"Entities"))</f>
        <v>no</v>
      </c>
      <c r="T159">
        <v>1</v>
      </c>
      <c r="U159">
        <v>1</v>
      </c>
      <c r="V159" t="b">
        <v>0</v>
      </c>
      <c r="W159" s="72"/>
      <c r="AI159" t="s">
        <v>230</v>
      </c>
      <c r="AJ159">
        <v>3</v>
      </c>
      <c r="AK159">
        <v>170</v>
      </c>
      <c r="AL159">
        <v>100</v>
      </c>
      <c r="AM159" s="75">
        <f ca="1">INDIRECT(ADDRESS(11+(MATCH(RIGHT(Table2[[#This Row],[spawner_sku]],LEN(Table2[[#This Row],[spawner_sku]])-FIND("/",Table2[[#This Row],[spawner_sku]])),Table1[Entity Prefab],0)),10,1,1,"Entities"))</f>
        <v>25</v>
      </c>
      <c r="AN159" s="75">
        <f ca="1">ROUND((Table2[[#This Row],[XP]]*Table2[[#This Row],[entity_spawned (AVG)]])*(Table2[[#This Row],[activating_chance]]/100),0)</f>
        <v>75</v>
      </c>
      <c r="AO15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59" s="72">
        <v>2</v>
      </c>
      <c r="AQ159" s="72">
        <v>4</v>
      </c>
      <c r="AR159" s="72" t="b">
        <v>0</v>
      </c>
      <c r="AT159" t="s">
        <v>451</v>
      </c>
      <c r="AU159">
        <v>1</v>
      </c>
      <c r="AV159">
        <v>120</v>
      </c>
      <c r="AW159">
        <v>100</v>
      </c>
      <c r="AX159" s="75">
        <f ca="1">INDIRECT(ADDRESS(11+(MATCH(RIGHT(Table6[[#This Row],[spawner_sku]],LEN(Table6[[#This Row],[spawner_sku]])-FIND("/",Table6[[#This Row],[spawner_sku]])),Table1[Entity Prefab],0)),10,1,1,"Entities"))</f>
        <v>25</v>
      </c>
      <c r="AY159" s="75">
        <f ca="1">ROUND((Table6[[#This Row],[XP]]*Table6[[#This Row],[entity_spawned (AVG)]])*(Table6[[#This Row],[activating_chance]]/100),0)</f>
        <v>25</v>
      </c>
      <c r="AZ159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59">
        <v>1</v>
      </c>
      <c r="BB159">
        <v>1</v>
      </c>
      <c r="BC159" t="b">
        <v>0</v>
      </c>
      <c r="BE159" t="s">
        <v>246</v>
      </c>
      <c r="BF159">
        <v>1</v>
      </c>
      <c r="BG159">
        <v>500</v>
      </c>
      <c r="BH159">
        <v>75</v>
      </c>
      <c r="BI159" s="75">
        <f ca="1">INDIRECT(ADDRESS(11+(MATCH(RIGHT(Table610[[#This Row],[spawner_sku]],LEN(Table610[[#This Row],[spawner_sku]])-FIND("/",Table610[[#This Row],[spawner_sku]])),Table1[Entity Prefab],0)),10,1,1,"Entities"))</f>
        <v>25</v>
      </c>
      <c r="BJ159" s="75">
        <f ca="1">ROUND((Table610[[#This Row],[XP]]*Table610[[#This Row],[entity_spawned (AVG)]])*(Table610[[#This Row],[activating_chance]]/100),0)</f>
        <v>19</v>
      </c>
      <c r="BK159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59">
        <v>1</v>
      </c>
      <c r="BM159">
        <v>1</v>
      </c>
      <c r="BN159" t="b">
        <v>0</v>
      </c>
      <c r="BP159" t="s">
        <v>402</v>
      </c>
      <c r="BQ159">
        <v>1</v>
      </c>
      <c r="BR159">
        <v>340</v>
      </c>
      <c r="BS159">
        <v>100</v>
      </c>
      <c r="BT159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59" s="75">
        <f ca="1">ROUND((Table61011[[#This Row],[XP]]*Table61011[[#This Row],[entity_spawned (AVG)]])*(Table61011[[#This Row],[activating_chance]]/100),0)</f>
        <v>263</v>
      </c>
      <c r="BV15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9" s="72">
        <v>1</v>
      </c>
      <c r="BX159" s="72">
        <v>1</v>
      </c>
      <c r="BY159" s="72" t="b">
        <v>0</v>
      </c>
      <c r="CA159" t="s">
        <v>242</v>
      </c>
      <c r="CB159">
        <v>1</v>
      </c>
      <c r="CC159">
        <v>1500</v>
      </c>
      <c r="CD159">
        <v>100</v>
      </c>
      <c r="CE159" s="75">
        <f ca="1">INDIRECT(ADDRESS(11+(MATCH(RIGHT(Table11[[#This Row],[spawner_sku]],LEN(Table11[[#This Row],[spawner_sku]])-FIND("/",Table11[[#This Row],[spawner_sku]])),Table1[Entity Prefab],0)),10,1,1,"Entities"))</f>
        <v>130</v>
      </c>
      <c r="CF159">
        <f ca="1">ROUND((Table11[[#This Row],[XP]]*Table11[[#This Row],[entity_spawned (AVG)]])*(Table11[[#This Row],[activating_chance]]/100),0)</f>
        <v>130</v>
      </c>
      <c r="CG159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59" s="72">
        <v>1</v>
      </c>
      <c r="CI159" s="72">
        <v>1</v>
      </c>
      <c r="CJ159" s="72" t="b">
        <v>0</v>
      </c>
      <c r="CL159" t="s">
        <v>256</v>
      </c>
      <c r="CM159">
        <v>1</v>
      </c>
      <c r="CN159">
        <v>150</v>
      </c>
      <c r="CO159">
        <v>100</v>
      </c>
      <c r="CP159" s="75">
        <f ca="1">INDIRECT(ADDRESS(11+(MATCH(RIGHT(Table12[[#This Row],[spawner_sku]],LEN(Table12[[#This Row],[spawner_sku]])-FIND("/",Table12[[#This Row],[spawner_sku]])),Table1[Entity Prefab],0)),10,1,1,"Entities"))</f>
        <v>25</v>
      </c>
      <c r="CQ159" s="75">
        <f ca="1">ROUND((Table12[[#This Row],[XP]]*Table12[[#This Row],[entity_spawned (AVG)]])*(Table12[[#This Row],[activating_chance]]/100),0)</f>
        <v>25</v>
      </c>
      <c r="CR159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59" s="72">
        <v>1</v>
      </c>
      <c r="CT159" s="72">
        <v>1</v>
      </c>
      <c r="CU159" s="72" t="b">
        <v>0</v>
      </c>
      <c r="CW159" t="s">
        <v>246</v>
      </c>
      <c r="CX159">
        <v>1</v>
      </c>
      <c r="CY159">
        <v>500</v>
      </c>
      <c r="CZ159">
        <v>75</v>
      </c>
      <c r="DA159" s="75">
        <f ca="1">INDIRECT(ADDRESS(11+(MATCH(RIGHT(Table13[[#This Row],[spawner_sku]],LEN(Table13[[#This Row],[spawner_sku]])-FIND("/",Table13[[#This Row],[spawner_sku]])),Table1[Entity Prefab],0)),10,1,1,"Entities"))</f>
        <v>25</v>
      </c>
      <c r="DB159" s="75">
        <f ca="1">ROUND((Table13[[#This Row],[XP]]*Table13[[#This Row],[entity_spawned (AVG)]])*(Table13[[#This Row],[activating_chance]]/100),0)</f>
        <v>19</v>
      </c>
      <c r="DC159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159" s="72">
        <v>1</v>
      </c>
      <c r="DE159" s="72">
        <v>1</v>
      </c>
      <c r="DF159" s="72" t="b">
        <v>0</v>
      </c>
      <c r="DH159" t="s">
        <v>449</v>
      </c>
      <c r="DI159">
        <v>5</v>
      </c>
      <c r="DJ159">
        <v>5000</v>
      </c>
      <c r="DK159">
        <v>100</v>
      </c>
      <c r="DL159" s="75">
        <f ca="1">INDIRECT(ADDRESS(11+(MATCH(RIGHT(Table14[[#This Row],[spawner_sku]],LEN(Table14[[#This Row],[spawner_sku]])-FIND("/",Table14[[#This Row],[spawner_sku]])),Table1[Entity Prefab],0)),10,1,1,"Entities"))</f>
        <v>25</v>
      </c>
      <c r="DM159" s="75">
        <f ca="1">ROUND((Table14[[#This Row],[XP]]*Table14[[#This Row],[entity_spawned (AVG)]])*(Table14[[#This Row],[activating_chance]]/100),0)</f>
        <v>125</v>
      </c>
      <c r="DN15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59" s="72">
        <v>5</v>
      </c>
      <c r="DP159" s="72">
        <v>5</v>
      </c>
      <c r="DQ159" s="72" t="b">
        <v>1</v>
      </c>
      <c r="DS159" t="s">
        <v>629</v>
      </c>
      <c r="DT159">
        <v>2</v>
      </c>
      <c r="DU159">
        <v>100</v>
      </c>
      <c r="DV159">
        <v>100</v>
      </c>
      <c r="DW159" s="75">
        <f ca="1">INDIRECT(ADDRESS(11+(MATCH(RIGHT(Table18[[#This Row],[spawner_sku]],LEN(Table18[[#This Row],[spawner_sku]])-FIND("/",Table18[[#This Row],[spawner_sku]])),Table1[Entity Prefab],0)),10,1,1,"Entities"))</f>
        <v>50</v>
      </c>
      <c r="DX159" s="75">
        <f ca="1">ROUND((Table18[[#This Row],[XP]]*Table18[[#This Row],[entity_spawned (AVG)]])*(Table18[[#This Row],[activating_chance]]/100),0)</f>
        <v>100</v>
      </c>
      <c r="DY15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59">
        <v>1</v>
      </c>
      <c r="EA159">
        <v>3</v>
      </c>
      <c r="EB159" t="b">
        <v>0</v>
      </c>
      <c r="ED159" t="s">
        <v>520</v>
      </c>
      <c r="EE159">
        <v>1</v>
      </c>
      <c r="EF159">
        <v>120</v>
      </c>
      <c r="EG159">
        <v>30</v>
      </c>
      <c r="EH159" s="75">
        <f ca="1">INDIRECT(ADDRESS(11+(MATCH(RIGHT(Table1820[[#This Row],[spawner_sku]],LEN(Table1820[[#This Row],[spawner_sku]])-FIND("/",Table1820[[#This Row],[spawner_sku]])),Table1[Entity Prefab],0)),10,1,1,"Entities"))</f>
        <v>35</v>
      </c>
      <c r="EI159" s="75">
        <f ca="1">ROUND((Table1820[[#This Row],[XP]]*Table1820[[#This Row],[entity_spawned (AVG)]])*(Table1820[[#This Row],[activating_chance]]/100),0)</f>
        <v>11</v>
      </c>
      <c r="EJ159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59">
        <v>1</v>
      </c>
      <c r="EL159">
        <v>1</v>
      </c>
      <c r="EM159" t="b">
        <v>0</v>
      </c>
      <c r="EO159" t="s">
        <v>7347</v>
      </c>
      <c r="EP159">
        <v>1</v>
      </c>
      <c r="EQ159">
        <v>80</v>
      </c>
      <c r="ER159">
        <v>100</v>
      </c>
      <c r="ES159" s="75">
        <f ca="1">INDIRECT(ADDRESS(11+(MATCH(RIGHT(Table182023[[#This Row],[spawner_sku]],LEN(Table182023[[#This Row],[spawner_sku]])-FIND("/",Table182023[[#This Row],[spawner_sku]])),Table1[Entity Prefab],0)),10,1,1,"Entities"))</f>
        <v>55</v>
      </c>
      <c r="ET159" s="75">
        <f ca="1">ROUND((Table182023[[#This Row],[XP]]*Table182023[[#This Row],[entity_spawned (AVG)]])*(Table182023[[#This Row],[activating_chance]]/100),0)</f>
        <v>55</v>
      </c>
      <c r="EU159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EV159" s="152">
        <v>1</v>
      </c>
      <c r="EW159" s="152">
        <v>1</v>
      </c>
      <c r="EX159" s="152" t="b">
        <v>0</v>
      </c>
      <c r="EZ159" t="s">
        <v>7348</v>
      </c>
      <c r="FA159">
        <v>3.5</v>
      </c>
      <c r="FB159">
        <v>80</v>
      </c>
      <c r="FC159">
        <v>100</v>
      </c>
      <c r="FD159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159" s="75">
        <f ca="1">ROUND((Table18202324[[#This Row],[XP]]*Table18202324[[#This Row],[entity_spawned (AVG)]])*(Table18202324[[#This Row],[activating_chance]]/100),0)</f>
        <v>88</v>
      </c>
      <c r="FF159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59">
        <v>3</v>
      </c>
      <c r="FH159">
        <v>4</v>
      </c>
      <c r="FI159" t="b">
        <v>0</v>
      </c>
    </row>
    <row r="160" spans="2:165" x14ac:dyDescent="0.25">
      <c r="B160" s="73" t="s">
        <v>228</v>
      </c>
      <c r="C160">
        <v>3.5</v>
      </c>
      <c r="D160">
        <v>140</v>
      </c>
      <c r="E160">
        <v>100</v>
      </c>
      <c r="F160" s="75">
        <f ca="1">INDIRECT(ADDRESS(11+(MATCH(RIGHT(Table245[[#This Row],[spawner_sku]],LEN(Table245[[#This Row],[spawner_sku]])-FIND("/",Table245[[#This Row],[spawner_sku]])),Table1[Entity Prefab],0)),10,1,1,"Entities"))</f>
        <v>25</v>
      </c>
      <c r="G160" s="75">
        <f ca="1">ROUND((Table245[[#This Row],[XP]]*Table245[[#This Row],[entity_spawned (AVG)]])*(Table245[[#This Row],[activating_chance]]/100),0)</f>
        <v>88</v>
      </c>
      <c r="H16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0" s="72">
        <v>3</v>
      </c>
      <c r="J160" s="72">
        <v>4</v>
      </c>
      <c r="K160" s="72" t="b">
        <v>0</v>
      </c>
      <c r="M160" t="s">
        <v>255</v>
      </c>
      <c r="N160">
        <v>1</v>
      </c>
      <c r="O160">
        <v>160</v>
      </c>
      <c r="P160">
        <v>40</v>
      </c>
      <c r="Q160" s="75">
        <f ca="1">INDIRECT(ADDRESS(11+(MATCH(RIGHT(Table3[[#This Row],[spawner_sku]],LEN(Table3[[#This Row],[spawner_sku]])-FIND("/",Table3[[#This Row],[spawner_sku]])),Table1[Entity Prefab],0)),10,1,1,"Entities"))</f>
        <v>25</v>
      </c>
      <c r="R160" s="75">
        <f ca="1">ROUND((Table3[[#This Row],[XP]]*Table3[[#This Row],[entity_spawned (AVG)]])*(Table3[[#This Row],[activating_chance]]/100),0)</f>
        <v>10</v>
      </c>
      <c r="S160" t="str">
        <f ca="1">INDIRECT(ADDRESS(11+(MATCH(RIGHT(Table3[[#This Row],[spawner_sku]],LEN(Table3[[#This Row],[spawner_sku]])-FIND("/",Table3[[#This Row],[spawner_sku]])),Table28[Entity Prefab],0)),24,1,1,"Entities"))</f>
        <v>no</v>
      </c>
      <c r="T160">
        <v>1</v>
      </c>
      <c r="U160">
        <v>1</v>
      </c>
      <c r="V160" t="b">
        <v>0</v>
      </c>
      <c r="W160" s="72"/>
      <c r="AI160" t="s">
        <v>230</v>
      </c>
      <c r="AJ160">
        <v>1.5</v>
      </c>
      <c r="AK160">
        <v>110</v>
      </c>
      <c r="AL160">
        <v>100</v>
      </c>
      <c r="AM160" s="75">
        <f ca="1">INDIRECT(ADDRESS(11+(MATCH(RIGHT(Table2[[#This Row],[spawner_sku]],LEN(Table2[[#This Row],[spawner_sku]])-FIND("/",Table2[[#This Row],[spawner_sku]])),Table1[Entity Prefab],0)),10,1,1,"Entities"))</f>
        <v>25</v>
      </c>
      <c r="AN160" s="75">
        <f ca="1">ROUND((Table2[[#This Row],[XP]]*Table2[[#This Row],[entity_spawned (AVG)]])*(Table2[[#This Row],[activating_chance]]/100),0)</f>
        <v>38</v>
      </c>
      <c r="AO16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60" s="72">
        <v>1</v>
      </c>
      <c r="AQ160" s="72">
        <v>2</v>
      </c>
      <c r="AR160" s="72" t="b">
        <v>0</v>
      </c>
      <c r="AT160" t="s">
        <v>451</v>
      </c>
      <c r="AU160">
        <v>1</v>
      </c>
      <c r="AV160">
        <v>120</v>
      </c>
      <c r="AW160">
        <v>100</v>
      </c>
      <c r="AX160" s="75">
        <f ca="1">INDIRECT(ADDRESS(11+(MATCH(RIGHT(Table6[[#This Row],[spawner_sku]],LEN(Table6[[#This Row],[spawner_sku]])-FIND("/",Table6[[#This Row],[spawner_sku]])),Table1[Entity Prefab],0)),10,1,1,"Entities"))</f>
        <v>25</v>
      </c>
      <c r="AY160" s="75">
        <f ca="1">ROUND((Table6[[#This Row],[XP]]*Table6[[#This Row],[entity_spawned (AVG)]])*(Table6[[#This Row],[activating_chance]]/100),0)</f>
        <v>25</v>
      </c>
      <c r="AZ160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60">
        <v>1</v>
      </c>
      <c r="BB160">
        <v>1</v>
      </c>
      <c r="BC160" t="b">
        <v>0</v>
      </c>
      <c r="BE160" t="s">
        <v>246</v>
      </c>
      <c r="BF160">
        <v>1</v>
      </c>
      <c r="BG160">
        <v>500</v>
      </c>
      <c r="BH160">
        <v>100</v>
      </c>
      <c r="BI160" s="75">
        <f ca="1">INDIRECT(ADDRESS(11+(MATCH(RIGHT(Table610[[#This Row],[spawner_sku]],LEN(Table610[[#This Row],[spawner_sku]])-FIND("/",Table610[[#This Row],[spawner_sku]])),Table1[Entity Prefab],0)),10,1,1,"Entities"))</f>
        <v>25</v>
      </c>
      <c r="BJ160" s="75">
        <f ca="1">ROUND((Table610[[#This Row],[XP]]*Table610[[#This Row],[entity_spawned (AVG)]])*(Table610[[#This Row],[activating_chance]]/100),0)</f>
        <v>25</v>
      </c>
      <c r="BK160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60">
        <v>1</v>
      </c>
      <c r="BM160">
        <v>1</v>
      </c>
      <c r="BN160" t="b">
        <v>0</v>
      </c>
      <c r="BP160" t="s">
        <v>402</v>
      </c>
      <c r="BQ160">
        <v>1</v>
      </c>
      <c r="BR160">
        <v>340</v>
      </c>
      <c r="BS160">
        <v>100</v>
      </c>
      <c r="BT160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60" s="75">
        <f ca="1">ROUND((Table61011[[#This Row],[XP]]*Table61011[[#This Row],[entity_spawned (AVG)]])*(Table61011[[#This Row],[activating_chance]]/100),0)</f>
        <v>263</v>
      </c>
      <c r="BV16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0" s="72">
        <v>1</v>
      </c>
      <c r="BX160" s="72">
        <v>1</v>
      </c>
      <c r="BY160" s="72" t="b">
        <v>0</v>
      </c>
      <c r="CA160" t="s">
        <v>242</v>
      </c>
      <c r="CB160">
        <v>1</v>
      </c>
      <c r="CC160">
        <v>1500</v>
      </c>
      <c r="CD160">
        <v>100</v>
      </c>
      <c r="CE160" s="75">
        <f ca="1">INDIRECT(ADDRESS(11+(MATCH(RIGHT(Table11[[#This Row],[spawner_sku]],LEN(Table11[[#This Row],[spawner_sku]])-FIND("/",Table11[[#This Row],[spawner_sku]])),Table1[Entity Prefab],0)),10,1,1,"Entities"))</f>
        <v>130</v>
      </c>
      <c r="CF160">
        <f ca="1">ROUND((Table11[[#This Row],[XP]]*Table11[[#This Row],[entity_spawned (AVG)]])*(Table11[[#This Row],[activating_chance]]/100),0)</f>
        <v>130</v>
      </c>
      <c r="CG160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60" s="72">
        <v>1</v>
      </c>
      <c r="CI160" s="72">
        <v>1</v>
      </c>
      <c r="CJ160" s="72" t="b">
        <v>0</v>
      </c>
      <c r="CL160" t="s">
        <v>256</v>
      </c>
      <c r="CM160">
        <v>1</v>
      </c>
      <c r="CN160">
        <v>150</v>
      </c>
      <c r="CO160">
        <v>100</v>
      </c>
      <c r="CP160" s="75">
        <f ca="1">INDIRECT(ADDRESS(11+(MATCH(RIGHT(Table12[[#This Row],[spawner_sku]],LEN(Table12[[#This Row],[spawner_sku]])-FIND("/",Table12[[#This Row],[spawner_sku]])),Table1[Entity Prefab],0)),10,1,1,"Entities"))</f>
        <v>25</v>
      </c>
      <c r="CQ160" s="75">
        <f ca="1">ROUND((Table12[[#This Row],[XP]]*Table12[[#This Row],[entity_spawned (AVG)]])*(Table12[[#This Row],[activating_chance]]/100),0)</f>
        <v>25</v>
      </c>
      <c r="CR160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60" s="72">
        <v>1</v>
      </c>
      <c r="CT160" s="72">
        <v>1</v>
      </c>
      <c r="CU160" s="72" t="b">
        <v>0</v>
      </c>
      <c r="CW160" t="s">
        <v>396</v>
      </c>
      <c r="CX160">
        <v>2.5</v>
      </c>
      <c r="CY160">
        <v>140</v>
      </c>
      <c r="CZ160">
        <v>80</v>
      </c>
      <c r="DA160" s="75">
        <f ca="1">INDIRECT(ADDRESS(11+(MATCH(RIGHT(Table13[[#This Row],[spawner_sku]],LEN(Table13[[#This Row],[spawner_sku]])-FIND("/",Table13[[#This Row],[spawner_sku]])),Table1[Entity Prefab],0)),10,1,1,"Entities"))</f>
        <v>25</v>
      </c>
      <c r="DB160" s="75">
        <f ca="1">ROUND((Table13[[#This Row],[XP]]*Table13[[#This Row],[entity_spawned (AVG)]])*(Table13[[#This Row],[activating_chance]]/100),0)</f>
        <v>50</v>
      </c>
      <c r="DC160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160" s="72">
        <v>2</v>
      </c>
      <c r="DE160" s="72">
        <v>3</v>
      </c>
      <c r="DF160" s="72" t="b">
        <v>0</v>
      </c>
      <c r="DH160" t="s">
        <v>231</v>
      </c>
      <c r="DI160">
        <v>1</v>
      </c>
      <c r="DJ160">
        <v>5000</v>
      </c>
      <c r="DK160">
        <v>75</v>
      </c>
      <c r="DL160" s="75">
        <f ca="1">INDIRECT(ADDRESS(11+(MATCH(RIGHT(Table14[[#This Row],[spawner_sku]],LEN(Table14[[#This Row],[spawner_sku]])-FIND("/",Table14[[#This Row],[spawner_sku]])),Table1[Entity Prefab],0)),10,1,1,"Entities"))</f>
        <v>75</v>
      </c>
      <c r="DM160" s="75">
        <f ca="1">ROUND((Table14[[#This Row],[XP]]*Table14[[#This Row],[entity_spawned (AVG)]])*(Table14[[#This Row],[activating_chance]]/100),0)</f>
        <v>56</v>
      </c>
      <c r="DN16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60" s="72">
        <v>1</v>
      </c>
      <c r="DP160" s="72">
        <v>1</v>
      </c>
      <c r="DQ160" s="72" t="b">
        <v>0</v>
      </c>
      <c r="DS160" t="s">
        <v>629</v>
      </c>
      <c r="DT160">
        <v>1</v>
      </c>
      <c r="DU160">
        <v>120</v>
      </c>
      <c r="DV160">
        <v>80</v>
      </c>
      <c r="DW160" s="75">
        <f ca="1">INDIRECT(ADDRESS(11+(MATCH(RIGHT(Table18[[#This Row],[spawner_sku]],LEN(Table18[[#This Row],[spawner_sku]])-FIND("/",Table18[[#This Row],[spawner_sku]])),Table1[Entity Prefab],0)),10,1,1,"Entities"))</f>
        <v>50</v>
      </c>
      <c r="DX160" s="75">
        <f ca="1">ROUND((Table18[[#This Row],[XP]]*Table18[[#This Row],[entity_spawned (AVG)]])*(Table18[[#This Row],[activating_chance]]/100),0)</f>
        <v>40</v>
      </c>
      <c r="DY16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60">
        <v>1</v>
      </c>
      <c r="EA160">
        <v>1</v>
      </c>
      <c r="EB160" t="b">
        <v>0</v>
      </c>
      <c r="ED160" t="s">
        <v>520</v>
      </c>
      <c r="EE160">
        <v>1</v>
      </c>
      <c r="EF160">
        <v>120</v>
      </c>
      <c r="EG160">
        <v>100</v>
      </c>
      <c r="EH160" s="75">
        <f ca="1">INDIRECT(ADDRESS(11+(MATCH(RIGHT(Table1820[[#This Row],[spawner_sku]],LEN(Table1820[[#This Row],[spawner_sku]])-FIND("/",Table1820[[#This Row],[spawner_sku]])),Table1[Entity Prefab],0)),10,1,1,"Entities"))</f>
        <v>35</v>
      </c>
      <c r="EI160" s="75">
        <f ca="1">ROUND((Table1820[[#This Row],[XP]]*Table1820[[#This Row],[entity_spawned (AVG)]])*(Table1820[[#This Row],[activating_chance]]/100),0)</f>
        <v>35</v>
      </c>
      <c r="EJ160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60">
        <v>1</v>
      </c>
      <c r="EL160">
        <v>1</v>
      </c>
      <c r="EM160" t="b">
        <v>0</v>
      </c>
      <c r="EZ160" t="s">
        <v>7348</v>
      </c>
      <c r="FA160">
        <v>1</v>
      </c>
      <c r="FB160">
        <v>80</v>
      </c>
      <c r="FC160">
        <v>100</v>
      </c>
      <c r="FD160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160" s="75">
        <f ca="1">ROUND((Table18202324[[#This Row],[XP]]*Table18202324[[#This Row],[entity_spawned (AVG)]])*(Table18202324[[#This Row],[activating_chance]]/100),0)</f>
        <v>25</v>
      </c>
      <c r="FF160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60">
        <v>1</v>
      </c>
      <c r="FH160">
        <v>1</v>
      </c>
      <c r="FI160" t="b">
        <v>0</v>
      </c>
    </row>
    <row r="161" spans="2:165" x14ac:dyDescent="0.25">
      <c r="B161" s="73" t="s">
        <v>228</v>
      </c>
      <c r="C161">
        <v>1</v>
      </c>
      <c r="D161">
        <v>60</v>
      </c>
      <c r="E161">
        <v>100</v>
      </c>
      <c r="F161" s="75">
        <f ca="1">INDIRECT(ADDRESS(11+(MATCH(RIGHT(Table245[[#This Row],[spawner_sku]],LEN(Table245[[#This Row],[spawner_sku]])-FIND("/",Table245[[#This Row],[spawner_sku]])),Table1[Entity Prefab],0)),10,1,1,"Entities"))</f>
        <v>25</v>
      </c>
      <c r="G161" s="75">
        <f ca="1">ROUND((Table245[[#This Row],[XP]]*Table245[[#This Row],[entity_spawned (AVG)]])*(Table245[[#This Row],[activating_chance]]/100),0)</f>
        <v>25</v>
      </c>
      <c r="H16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1" s="72">
        <v>1</v>
      </c>
      <c r="J161" s="72">
        <v>1</v>
      </c>
      <c r="K161" s="72" t="b">
        <v>0</v>
      </c>
      <c r="M161" t="s">
        <v>257</v>
      </c>
      <c r="N161">
        <v>1</v>
      </c>
      <c r="O161">
        <v>240</v>
      </c>
      <c r="P161">
        <v>100</v>
      </c>
      <c r="Q161" s="75">
        <f ca="1">INDIRECT(ADDRESS(11+(MATCH(RIGHT(Table3[[#This Row],[spawner_sku]],LEN(Table3[[#This Row],[spawner_sku]])-FIND("/",Table3[[#This Row],[spawner_sku]])),Table1[Entity Prefab],0)),10,1,1,"Entities"))</f>
        <v>50</v>
      </c>
      <c r="R161" s="75">
        <f ca="1">ROUND((Table3[[#This Row],[XP]]*Table3[[#This Row],[entity_spawned (AVG)]])*(Table3[[#This Row],[activating_chance]]/100),0)</f>
        <v>50</v>
      </c>
      <c r="S161" t="str">
        <f ca="1">INDIRECT(ADDRESS(11+(MATCH(RIGHT(Table3[[#This Row],[spawner_sku]],LEN(Table3[[#This Row],[spawner_sku]])-FIND("/",Table3[[#This Row],[spawner_sku]])),Table28[Entity Prefab],0)),24,1,1,"Entities"))</f>
        <v>no</v>
      </c>
      <c r="T161">
        <v>1</v>
      </c>
      <c r="U161">
        <v>1</v>
      </c>
      <c r="V161" t="b">
        <v>0</v>
      </c>
      <c r="W161" s="72"/>
      <c r="AI161" t="s">
        <v>391</v>
      </c>
      <c r="AJ161">
        <v>3</v>
      </c>
      <c r="AK161">
        <v>120</v>
      </c>
      <c r="AL161">
        <v>100</v>
      </c>
      <c r="AM161" s="75">
        <f ca="1">INDIRECT(ADDRESS(11+(MATCH(RIGHT(Table2[[#This Row],[spawner_sku]],LEN(Table2[[#This Row],[spawner_sku]])-FIND("/",Table2[[#This Row],[spawner_sku]])),Table1[Entity Prefab],0)),10,1,1,"Entities"))</f>
        <v>25</v>
      </c>
      <c r="AN161" s="75">
        <f ca="1">ROUND((Table2[[#This Row],[XP]]*Table2[[#This Row],[entity_spawned (AVG)]])*(Table2[[#This Row],[activating_chance]]/100),0)</f>
        <v>75</v>
      </c>
      <c r="AO16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61" s="72">
        <v>2</v>
      </c>
      <c r="AQ161" s="72">
        <v>4</v>
      </c>
      <c r="AR161" s="72" t="b">
        <v>0</v>
      </c>
      <c r="AT161" t="s">
        <v>451</v>
      </c>
      <c r="AU161">
        <v>1</v>
      </c>
      <c r="AV161">
        <v>120</v>
      </c>
      <c r="AW161">
        <v>100</v>
      </c>
      <c r="AX161" s="75">
        <f ca="1">INDIRECT(ADDRESS(11+(MATCH(RIGHT(Table6[[#This Row],[spawner_sku]],LEN(Table6[[#This Row],[spawner_sku]])-FIND("/",Table6[[#This Row],[spawner_sku]])),Table1[Entity Prefab],0)),10,1,1,"Entities"))</f>
        <v>25</v>
      </c>
      <c r="AY161" s="75">
        <f ca="1">ROUND((Table6[[#This Row],[XP]]*Table6[[#This Row],[entity_spawned (AVG)]])*(Table6[[#This Row],[activating_chance]]/100),0)</f>
        <v>25</v>
      </c>
      <c r="AZ161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61">
        <v>1</v>
      </c>
      <c r="BB161">
        <v>1</v>
      </c>
      <c r="BC161" t="b">
        <v>0</v>
      </c>
      <c r="BE161" t="s">
        <v>246</v>
      </c>
      <c r="BF161">
        <v>1</v>
      </c>
      <c r="BG161">
        <v>500</v>
      </c>
      <c r="BH161">
        <v>100</v>
      </c>
      <c r="BI161" s="75">
        <f ca="1">INDIRECT(ADDRESS(11+(MATCH(RIGHT(Table610[[#This Row],[spawner_sku]],LEN(Table610[[#This Row],[spawner_sku]])-FIND("/",Table610[[#This Row],[spawner_sku]])),Table1[Entity Prefab],0)),10,1,1,"Entities"))</f>
        <v>25</v>
      </c>
      <c r="BJ161" s="75">
        <f ca="1">ROUND((Table610[[#This Row],[XP]]*Table610[[#This Row],[entity_spawned (AVG)]])*(Table610[[#This Row],[activating_chance]]/100),0)</f>
        <v>25</v>
      </c>
      <c r="BK161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61">
        <v>1</v>
      </c>
      <c r="BM161">
        <v>1</v>
      </c>
      <c r="BN161" t="b">
        <v>0</v>
      </c>
      <c r="BP161" t="s">
        <v>402</v>
      </c>
      <c r="BQ161">
        <v>1</v>
      </c>
      <c r="BR161">
        <v>340</v>
      </c>
      <c r="BS161">
        <v>100</v>
      </c>
      <c r="BT161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61" s="75">
        <f ca="1">ROUND((Table61011[[#This Row],[XP]]*Table61011[[#This Row],[entity_spawned (AVG)]])*(Table61011[[#This Row],[activating_chance]]/100),0)</f>
        <v>263</v>
      </c>
      <c r="BV16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1" s="72">
        <v>1</v>
      </c>
      <c r="BX161" s="72">
        <v>1</v>
      </c>
      <c r="BY161" s="72" t="b">
        <v>0</v>
      </c>
      <c r="CA161" t="s">
        <v>242</v>
      </c>
      <c r="CB161">
        <v>1</v>
      </c>
      <c r="CC161">
        <v>1500</v>
      </c>
      <c r="CD161">
        <v>100</v>
      </c>
      <c r="CE161" s="75">
        <f ca="1">INDIRECT(ADDRESS(11+(MATCH(RIGHT(Table11[[#This Row],[spawner_sku]],LEN(Table11[[#This Row],[spawner_sku]])-FIND("/",Table11[[#This Row],[spawner_sku]])),Table1[Entity Prefab],0)),10,1,1,"Entities"))</f>
        <v>130</v>
      </c>
      <c r="CF161">
        <f ca="1">ROUND((Table11[[#This Row],[XP]]*Table11[[#This Row],[entity_spawned (AVG)]])*(Table11[[#This Row],[activating_chance]]/100),0)</f>
        <v>130</v>
      </c>
      <c r="CG161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61" s="72">
        <v>1</v>
      </c>
      <c r="CI161" s="72">
        <v>1</v>
      </c>
      <c r="CJ161" s="72" t="b">
        <v>0</v>
      </c>
      <c r="CL161" t="s">
        <v>256</v>
      </c>
      <c r="CM161">
        <v>1</v>
      </c>
      <c r="CN161">
        <v>150</v>
      </c>
      <c r="CO161">
        <v>30</v>
      </c>
      <c r="CP161" s="75">
        <f ca="1">INDIRECT(ADDRESS(11+(MATCH(RIGHT(Table12[[#This Row],[spawner_sku]],LEN(Table12[[#This Row],[spawner_sku]])-FIND("/",Table12[[#This Row],[spawner_sku]])),Table1[Entity Prefab],0)),10,1,1,"Entities"))</f>
        <v>25</v>
      </c>
      <c r="CQ161" s="75">
        <f ca="1">ROUND((Table12[[#This Row],[XP]]*Table12[[#This Row],[entity_spawned (AVG)]])*(Table12[[#This Row],[activating_chance]]/100),0)</f>
        <v>8</v>
      </c>
      <c r="CR161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61" s="72">
        <v>1</v>
      </c>
      <c r="CT161" s="72">
        <v>1</v>
      </c>
      <c r="CU161" s="72" t="b">
        <v>0</v>
      </c>
      <c r="CW161" t="s">
        <v>396</v>
      </c>
      <c r="CX161">
        <v>5</v>
      </c>
      <c r="CY161">
        <v>160</v>
      </c>
      <c r="CZ161">
        <v>100</v>
      </c>
      <c r="DA161" s="75">
        <f ca="1">INDIRECT(ADDRESS(11+(MATCH(RIGHT(Table13[[#This Row],[spawner_sku]],LEN(Table13[[#This Row],[spawner_sku]])-FIND("/",Table13[[#This Row],[spawner_sku]])),Table1[Entity Prefab],0)),10,1,1,"Entities"))</f>
        <v>25</v>
      </c>
      <c r="DB161" s="75">
        <f ca="1">ROUND((Table13[[#This Row],[XP]]*Table13[[#This Row],[entity_spawned (AVG)]])*(Table13[[#This Row],[activating_chance]]/100),0)</f>
        <v>125</v>
      </c>
      <c r="DC161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161" s="72">
        <v>5</v>
      </c>
      <c r="DE161" s="72">
        <v>5</v>
      </c>
      <c r="DF161" s="72" t="b">
        <v>1</v>
      </c>
      <c r="DH161" t="s">
        <v>231</v>
      </c>
      <c r="DI161">
        <v>1</v>
      </c>
      <c r="DJ161">
        <v>5000</v>
      </c>
      <c r="DK161">
        <v>90</v>
      </c>
      <c r="DL161" s="75">
        <f ca="1">INDIRECT(ADDRESS(11+(MATCH(RIGHT(Table14[[#This Row],[spawner_sku]],LEN(Table14[[#This Row],[spawner_sku]])-FIND("/",Table14[[#This Row],[spawner_sku]])),Table1[Entity Prefab],0)),10,1,1,"Entities"))</f>
        <v>75</v>
      </c>
      <c r="DM161" s="75">
        <f ca="1">ROUND((Table14[[#This Row],[XP]]*Table14[[#This Row],[entity_spawned (AVG)]])*(Table14[[#This Row],[activating_chance]]/100),0)</f>
        <v>68</v>
      </c>
      <c r="DN16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61" s="72">
        <v>1</v>
      </c>
      <c r="DP161" s="72">
        <v>1</v>
      </c>
      <c r="DQ161" s="72" t="b">
        <v>0</v>
      </c>
      <c r="DS161" t="s">
        <v>629</v>
      </c>
      <c r="DT161">
        <v>1</v>
      </c>
      <c r="DU161">
        <v>120</v>
      </c>
      <c r="DV161">
        <v>100</v>
      </c>
      <c r="DW161" s="75">
        <f ca="1">INDIRECT(ADDRESS(11+(MATCH(RIGHT(Table18[[#This Row],[spawner_sku]],LEN(Table18[[#This Row],[spawner_sku]])-FIND("/",Table18[[#This Row],[spawner_sku]])),Table1[Entity Prefab],0)),10,1,1,"Entities"))</f>
        <v>50</v>
      </c>
      <c r="DX161" s="75">
        <f ca="1">ROUND((Table18[[#This Row],[XP]]*Table18[[#This Row],[entity_spawned (AVG)]])*(Table18[[#This Row],[activating_chance]]/100),0)</f>
        <v>50</v>
      </c>
      <c r="DY16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61">
        <v>1</v>
      </c>
      <c r="EA161">
        <v>1</v>
      </c>
      <c r="EB161" t="b">
        <v>0</v>
      </c>
      <c r="ED161" t="s">
        <v>520</v>
      </c>
      <c r="EE161">
        <v>2</v>
      </c>
      <c r="EF161">
        <v>120</v>
      </c>
      <c r="EG161">
        <v>100</v>
      </c>
      <c r="EH161" s="75">
        <f ca="1">INDIRECT(ADDRESS(11+(MATCH(RIGHT(Table1820[[#This Row],[spawner_sku]],LEN(Table1820[[#This Row],[spawner_sku]])-FIND("/",Table1820[[#This Row],[spawner_sku]])),Table1[Entity Prefab],0)),10,1,1,"Entities"))</f>
        <v>35</v>
      </c>
      <c r="EI161" s="75">
        <f ca="1">ROUND((Table1820[[#This Row],[XP]]*Table1820[[#This Row],[entity_spawned (AVG)]])*(Table1820[[#This Row],[activating_chance]]/100),0)</f>
        <v>70</v>
      </c>
      <c r="EJ161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61">
        <v>2</v>
      </c>
      <c r="EL161">
        <v>2</v>
      </c>
      <c r="EM161" t="b">
        <v>0</v>
      </c>
      <c r="EZ161" t="s">
        <v>7348</v>
      </c>
      <c r="FA161">
        <v>3.5</v>
      </c>
      <c r="FB161">
        <v>70</v>
      </c>
      <c r="FC161">
        <v>100</v>
      </c>
      <c r="FD161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161" s="75">
        <f ca="1">ROUND((Table18202324[[#This Row],[XP]]*Table18202324[[#This Row],[entity_spawned (AVG)]])*(Table18202324[[#This Row],[activating_chance]]/100),0)</f>
        <v>88</v>
      </c>
      <c r="FF161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61">
        <v>3</v>
      </c>
      <c r="FH161">
        <v>4</v>
      </c>
      <c r="FI161" t="b">
        <v>0</v>
      </c>
    </row>
    <row r="162" spans="2:165" x14ac:dyDescent="0.25">
      <c r="B162" s="73" t="s">
        <v>228</v>
      </c>
      <c r="C162">
        <v>2.5</v>
      </c>
      <c r="D162">
        <v>120</v>
      </c>
      <c r="E162">
        <v>100</v>
      </c>
      <c r="F162" s="75">
        <f ca="1">INDIRECT(ADDRESS(11+(MATCH(RIGHT(Table245[[#This Row],[spawner_sku]],LEN(Table245[[#This Row],[spawner_sku]])-FIND("/",Table245[[#This Row],[spawner_sku]])),Table1[Entity Prefab],0)),10,1,1,"Entities"))</f>
        <v>25</v>
      </c>
      <c r="G162" s="75">
        <f ca="1">ROUND((Table245[[#This Row],[XP]]*Table245[[#This Row],[entity_spawned (AVG)]])*(Table245[[#This Row],[activating_chance]]/100),0)</f>
        <v>63</v>
      </c>
      <c r="H16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2" s="72">
        <v>2</v>
      </c>
      <c r="J162" s="72">
        <v>3</v>
      </c>
      <c r="K162" s="72" t="b">
        <v>0</v>
      </c>
      <c r="M162" t="s">
        <v>257</v>
      </c>
      <c r="N162">
        <v>1</v>
      </c>
      <c r="O162">
        <v>220</v>
      </c>
      <c r="P162">
        <v>100</v>
      </c>
      <c r="Q162" s="75">
        <f ca="1">INDIRECT(ADDRESS(11+(MATCH(RIGHT(Table3[[#This Row],[spawner_sku]],LEN(Table3[[#This Row],[spawner_sku]])-FIND("/",Table3[[#This Row],[spawner_sku]])),Table1[Entity Prefab],0)),10,1,1,"Entities"))</f>
        <v>50</v>
      </c>
      <c r="R162" s="75">
        <f ca="1">ROUND((Table3[[#This Row],[XP]]*Table3[[#This Row],[entity_spawned (AVG)]])*(Table3[[#This Row],[activating_chance]]/100),0)</f>
        <v>50</v>
      </c>
      <c r="S162" t="str">
        <f ca="1">INDIRECT(ADDRESS(11+(MATCH(RIGHT(Table3[[#This Row],[spawner_sku]],LEN(Table3[[#This Row],[spawner_sku]])-FIND("/",Table3[[#This Row],[spawner_sku]])),Table28[Entity Prefab],0)),24,1,1,"Entities"))</f>
        <v>no</v>
      </c>
      <c r="T162">
        <v>1</v>
      </c>
      <c r="U162">
        <v>1</v>
      </c>
      <c r="V162" t="b">
        <v>0</v>
      </c>
      <c r="W162" s="72"/>
      <c r="AI162" t="s">
        <v>231</v>
      </c>
      <c r="AJ162">
        <v>1</v>
      </c>
      <c r="AK162">
        <v>5000</v>
      </c>
      <c r="AL162">
        <v>75</v>
      </c>
      <c r="AM162" s="75">
        <f ca="1">INDIRECT(ADDRESS(11+(MATCH(RIGHT(Table2[[#This Row],[spawner_sku]],LEN(Table2[[#This Row],[spawner_sku]])-FIND("/",Table2[[#This Row],[spawner_sku]])),Table1[Entity Prefab],0)),10,1,1,"Entities"))</f>
        <v>75</v>
      </c>
      <c r="AN162" s="75">
        <f ca="1">ROUND((Table2[[#This Row],[XP]]*Table2[[#This Row],[entity_spawned (AVG)]])*(Table2[[#This Row],[activating_chance]]/100),0)</f>
        <v>56</v>
      </c>
      <c r="AO16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62" s="72">
        <v>1</v>
      </c>
      <c r="AQ162" s="72">
        <v>1</v>
      </c>
      <c r="AR162" s="72" t="b">
        <v>0</v>
      </c>
      <c r="AT162" t="s">
        <v>450</v>
      </c>
      <c r="AU162">
        <v>3</v>
      </c>
      <c r="AV162">
        <v>120</v>
      </c>
      <c r="AW162">
        <v>100</v>
      </c>
      <c r="AX162" s="75">
        <f ca="1">INDIRECT(ADDRESS(11+(MATCH(RIGHT(Table6[[#This Row],[spawner_sku]],LEN(Table6[[#This Row],[spawner_sku]])-FIND("/",Table6[[#This Row],[spawner_sku]])),Table1[Entity Prefab],0)),10,1,1,"Entities"))</f>
        <v>25</v>
      </c>
      <c r="AY162" s="75">
        <f ca="1">ROUND((Table6[[#This Row],[XP]]*Table6[[#This Row],[entity_spawned (AVG)]])*(Table6[[#This Row],[activating_chance]]/100),0)</f>
        <v>75</v>
      </c>
      <c r="AZ162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62">
        <v>3</v>
      </c>
      <c r="BB162">
        <v>3</v>
      </c>
      <c r="BC162" t="b">
        <v>0</v>
      </c>
      <c r="BE162" t="s">
        <v>491</v>
      </c>
      <c r="BF162">
        <v>1</v>
      </c>
      <c r="BG162">
        <v>120</v>
      </c>
      <c r="BH162">
        <v>100</v>
      </c>
      <c r="BI162" s="75">
        <f ca="1">INDIRECT(ADDRESS(11+(MATCH(RIGHT(Table610[[#This Row],[spawner_sku]],LEN(Table610[[#This Row],[spawner_sku]])-FIND("/",Table610[[#This Row],[spawner_sku]])),Table1[Entity Prefab],0)),10,1,1,"Entities"))</f>
        <v>25</v>
      </c>
      <c r="BJ162" s="75">
        <f ca="1">ROUND((Table610[[#This Row],[XP]]*Table610[[#This Row],[entity_spawned (AVG)]])*(Table610[[#This Row],[activating_chance]]/100),0)</f>
        <v>25</v>
      </c>
      <c r="BK162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62">
        <v>1</v>
      </c>
      <c r="BM162">
        <v>1</v>
      </c>
      <c r="BN162" t="b">
        <v>0</v>
      </c>
      <c r="BP162" t="s">
        <v>402</v>
      </c>
      <c r="BQ162">
        <v>1</v>
      </c>
      <c r="BR162">
        <v>340</v>
      </c>
      <c r="BS162">
        <v>100</v>
      </c>
      <c r="BT162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62" s="75">
        <f ca="1">ROUND((Table61011[[#This Row],[XP]]*Table61011[[#This Row],[entity_spawned (AVG)]])*(Table61011[[#This Row],[activating_chance]]/100),0)</f>
        <v>263</v>
      </c>
      <c r="BV16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2" s="72">
        <v>1</v>
      </c>
      <c r="BX162" s="72">
        <v>1</v>
      </c>
      <c r="BY162" s="72" t="b">
        <v>0</v>
      </c>
      <c r="CA162" t="s">
        <v>242</v>
      </c>
      <c r="CB162">
        <v>1</v>
      </c>
      <c r="CC162">
        <v>1500</v>
      </c>
      <c r="CD162">
        <v>100</v>
      </c>
      <c r="CE162" s="75">
        <f ca="1">INDIRECT(ADDRESS(11+(MATCH(RIGHT(Table11[[#This Row],[spawner_sku]],LEN(Table11[[#This Row],[spawner_sku]])-FIND("/",Table11[[#This Row],[spawner_sku]])),Table1[Entity Prefab],0)),10,1,1,"Entities"))</f>
        <v>130</v>
      </c>
      <c r="CF162">
        <f ca="1">ROUND((Table11[[#This Row],[XP]]*Table11[[#This Row],[entity_spawned (AVG)]])*(Table11[[#This Row],[activating_chance]]/100),0)</f>
        <v>130</v>
      </c>
      <c r="CG162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62" s="72">
        <v>1</v>
      </c>
      <c r="CI162" s="72">
        <v>1</v>
      </c>
      <c r="CJ162" s="72" t="b">
        <v>0</v>
      </c>
      <c r="CL162" t="s">
        <v>256</v>
      </c>
      <c r="CM162">
        <v>1</v>
      </c>
      <c r="CN162">
        <v>150</v>
      </c>
      <c r="CO162">
        <v>100</v>
      </c>
      <c r="CP162" s="75">
        <f ca="1">INDIRECT(ADDRESS(11+(MATCH(RIGHT(Table12[[#This Row],[spawner_sku]],LEN(Table12[[#This Row],[spawner_sku]])-FIND("/",Table12[[#This Row],[spawner_sku]])),Table1[Entity Prefab],0)),10,1,1,"Entities"))</f>
        <v>25</v>
      </c>
      <c r="CQ162" s="75">
        <f ca="1">ROUND((Table12[[#This Row],[XP]]*Table12[[#This Row],[entity_spawned (AVG)]])*(Table12[[#This Row],[activating_chance]]/100),0)</f>
        <v>25</v>
      </c>
      <c r="CR162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62" s="72">
        <v>1</v>
      </c>
      <c r="CT162" s="72">
        <v>1</v>
      </c>
      <c r="CU162" s="72" t="b">
        <v>0</v>
      </c>
      <c r="CW162" t="s">
        <v>396</v>
      </c>
      <c r="CX162">
        <v>1.5</v>
      </c>
      <c r="CY162">
        <v>120</v>
      </c>
      <c r="CZ162">
        <v>100</v>
      </c>
      <c r="DA162" s="75">
        <f ca="1">INDIRECT(ADDRESS(11+(MATCH(RIGHT(Table13[[#This Row],[spawner_sku]],LEN(Table13[[#This Row],[spawner_sku]])-FIND("/",Table13[[#This Row],[spawner_sku]])),Table1[Entity Prefab],0)),10,1,1,"Entities"))</f>
        <v>25</v>
      </c>
      <c r="DB162" s="75">
        <f ca="1">ROUND((Table13[[#This Row],[XP]]*Table13[[#This Row],[entity_spawned (AVG)]])*(Table13[[#This Row],[activating_chance]]/100),0)</f>
        <v>38</v>
      </c>
      <c r="DC162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162" s="72">
        <v>1</v>
      </c>
      <c r="DE162" s="72">
        <v>2</v>
      </c>
      <c r="DF162" s="72" t="b">
        <v>0</v>
      </c>
      <c r="DH162" t="s">
        <v>231</v>
      </c>
      <c r="DI162">
        <v>1</v>
      </c>
      <c r="DJ162">
        <v>5000</v>
      </c>
      <c r="DK162">
        <v>90</v>
      </c>
      <c r="DL162" s="75">
        <f ca="1">INDIRECT(ADDRESS(11+(MATCH(RIGHT(Table14[[#This Row],[spawner_sku]],LEN(Table14[[#This Row],[spawner_sku]])-FIND("/",Table14[[#This Row],[spawner_sku]])),Table1[Entity Prefab],0)),10,1,1,"Entities"))</f>
        <v>75</v>
      </c>
      <c r="DM162" s="75">
        <f ca="1">ROUND((Table14[[#This Row],[XP]]*Table14[[#This Row],[entity_spawned (AVG)]])*(Table14[[#This Row],[activating_chance]]/100),0)</f>
        <v>68</v>
      </c>
      <c r="DN16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62" s="72">
        <v>1</v>
      </c>
      <c r="DP162" s="72">
        <v>1</v>
      </c>
      <c r="DQ162" s="72" t="b">
        <v>0</v>
      </c>
      <c r="DS162" t="s">
        <v>629</v>
      </c>
      <c r="DT162">
        <v>1</v>
      </c>
      <c r="DU162">
        <v>120</v>
      </c>
      <c r="DV162">
        <v>100</v>
      </c>
      <c r="DW162" s="75">
        <f ca="1">INDIRECT(ADDRESS(11+(MATCH(RIGHT(Table18[[#This Row],[spawner_sku]],LEN(Table18[[#This Row],[spawner_sku]])-FIND("/",Table18[[#This Row],[spawner_sku]])),Table1[Entity Prefab],0)),10,1,1,"Entities"))</f>
        <v>50</v>
      </c>
      <c r="DX162" s="75">
        <f ca="1">ROUND((Table18[[#This Row],[XP]]*Table18[[#This Row],[entity_spawned (AVG)]])*(Table18[[#This Row],[activating_chance]]/100),0)</f>
        <v>50</v>
      </c>
      <c r="DY16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62">
        <v>1</v>
      </c>
      <c r="EA162">
        <v>1</v>
      </c>
      <c r="EB162" t="b">
        <v>0</v>
      </c>
      <c r="ED162" t="s">
        <v>520</v>
      </c>
      <c r="EE162">
        <v>2</v>
      </c>
      <c r="EF162">
        <v>120</v>
      </c>
      <c r="EG162">
        <v>100</v>
      </c>
      <c r="EH162" s="75">
        <f ca="1">INDIRECT(ADDRESS(11+(MATCH(RIGHT(Table1820[[#This Row],[spawner_sku]],LEN(Table1820[[#This Row],[spawner_sku]])-FIND("/",Table1820[[#This Row],[spawner_sku]])),Table1[Entity Prefab],0)),10,1,1,"Entities"))</f>
        <v>35</v>
      </c>
      <c r="EI162" s="75">
        <f ca="1">ROUND((Table1820[[#This Row],[XP]]*Table1820[[#This Row],[entity_spawned (AVG)]])*(Table1820[[#This Row],[activating_chance]]/100),0)</f>
        <v>70</v>
      </c>
      <c r="EJ162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62">
        <v>2</v>
      </c>
      <c r="EL162">
        <v>2</v>
      </c>
      <c r="EM162" t="b">
        <v>0</v>
      </c>
      <c r="EZ162" t="s">
        <v>7348</v>
      </c>
      <c r="FA162">
        <v>1.5</v>
      </c>
      <c r="FB162">
        <v>70</v>
      </c>
      <c r="FC162">
        <v>100</v>
      </c>
      <c r="FD162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162" s="75">
        <f ca="1">ROUND((Table18202324[[#This Row],[XP]]*Table18202324[[#This Row],[entity_spawned (AVG)]])*(Table18202324[[#This Row],[activating_chance]]/100),0)</f>
        <v>38</v>
      </c>
      <c r="FF162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62">
        <v>1</v>
      </c>
      <c r="FH162">
        <v>2</v>
      </c>
      <c r="FI162" t="b">
        <v>0</v>
      </c>
    </row>
    <row r="163" spans="2:165" x14ac:dyDescent="0.25">
      <c r="B163" s="73" t="s">
        <v>228</v>
      </c>
      <c r="C163">
        <v>7.5</v>
      </c>
      <c r="D163">
        <v>170</v>
      </c>
      <c r="E163">
        <v>100</v>
      </c>
      <c r="F163" s="75">
        <f ca="1">INDIRECT(ADDRESS(11+(MATCH(RIGHT(Table245[[#This Row],[spawner_sku]],LEN(Table245[[#This Row],[spawner_sku]])-FIND("/",Table245[[#This Row],[spawner_sku]])),Table1[Entity Prefab],0)),10,1,1,"Entities"))</f>
        <v>25</v>
      </c>
      <c r="G163" s="75">
        <f ca="1">ROUND((Table245[[#This Row],[XP]]*Table245[[#This Row],[entity_spawned (AVG)]])*(Table245[[#This Row],[activating_chance]]/100),0)</f>
        <v>188</v>
      </c>
      <c r="H16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3" s="72">
        <v>5</v>
      </c>
      <c r="J163" s="72">
        <v>10</v>
      </c>
      <c r="K163" s="72" t="b">
        <v>1</v>
      </c>
      <c r="M163" t="s">
        <v>257</v>
      </c>
      <c r="N163">
        <v>1</v>
      </c>
      <c r="O163">
        <v>250</v>
      </c>
      <c r="P163">
        <v>100</v>
      </c>
      <c r="Q163" s="75">
        <f ca="1">INDIRECT(ADDRESS(11+(MATCH(RIGHT(Table3[[#This Row],[spawner_sku]],LEN(Table3[[#This Row],[spawner_sku]])-FIND("/",Table3[[#This Row],[spawner_sku]])),Table1[Entity Prefab],0)),10,1,1,"Entities"))</f>
        <v>50</v>
      </c>
      <c r="R163" s="75">
        <f ca="1">ROUND((Table3[[#This Row],[XP]]*Table3[[#This Row],[entity_spawned (AVG)]])*(Table3[[#This Row],[activating_chance]]/100),0)</f>
        <v>50</v>
      </c>
      <c r="S163" t="str">
        <f ca="1">INDIRECT(ADDRESS(11+(MATCH(RIGHT(Table3[[#This Row],[spawner_sku]],LEN(Table3[[#This Row],[spawner_sku]])-FIND("/",Table3[[#This Row],[spawner_sku]])),Table28[Entity Prefab],0)),24,1,1,"Entities"))</f>
        <v>no</v>
      </c>
      <c r="T163">
        <v>1</v>
      </c>
      <c r="U163">
        <v>1</v>
      </c>
      <c r="V163" t="b">
        <v>0</v>
      </c>
      <c r="W163" s="72"/>
      <c r="AI163" t="s">
        <v>231</v>
      </c>
      <c r="AJ163">
        <v>1</v>
      </c>
      <c r="AK163">
        <v>5000</v>
      </c>
      <c r="AL163">
        <v>75</v>
      </c>
      <c r="AM163" s="75">
        <f ca="1">INDIRECT(ADDRESS(11+(MATCH(RIGHT(Table2[[#This Row],[spawner_sku]],LEN(Table2[[#This Row],[spawner_sku]])-FIND("/",Table2[[#This Row],[spawner_sku]])),Table1[Entity Prefab],0)),10,1,1,"Entities"))</f>
        <v>75</v>
      </c>
      <c r="AN163" s="75">
        <f ca="1">ROUND((Table2[[#This Row],[XP]]*Table2[[#This Row],[entity_spawned (AVG)]])*(Table2[[#This Row],[activating_chance]]/100),0)</f>
        <v>56</v>
      </c>
      <c r="AO16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63" s="72">
        <v>1</v>
      </c>
      <c r="AQ163" s="72">
        <v>1</v>
      </c>
      <c r="AR163" s="72" t="b">
        <v>0</v>
      </c>
      <c r="AT163" t="s">
        <v>450</v>
      </c>
      <c r="AU163">
        <v>1</v>
      </c>
      <c r="AV163">
        <v>120</v>
      </c>
      <c r="AW163">
        <v>100</v>
      </c>
      <c r="AX163" s="75">
        <f ca="1">INDIRECT(ADDRESS(11+(MATCH(RIGHT(Table6[[#This Row],[spawner_sku]],LEN(Table6[[#This Row],[spawner_sku]])-FIND("/",Table6[[#This Row],[spawner_sku]])),Table1[Entity Prefab],0)),10,1,1,"Entities"))</f>
        <v>25</v>
      </c>
      <c r="AY163" s="75">
        <f ca="1">ROUND((Table6[[#This Row],[XP]]*Table6[[#This Row],[entity_spawned (AVG)]])*(Table6[[#This Row],[activating_chance]]/100),0)</f>
        <v>25</v>
      </c>
      <c r="AZ163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63">
        <v>1</v>
      </c>
      <c r="BB163">
        <v>1</v>
      </c>
      <c r="BC163" t="b">
        <v>0</v>
      </c>
      <c r="BE163" t="s">
        <v>491</v>
      </c>
      <c r="BF163">
        <v>1</v>
      </c>
      <c r="BG163">
        <v>100</v>
      </c>
      <c r="BH163">
        <v>100</v>
      </c>
      <c r="BI163" s="75">
        <f ca="1">INDIRECT(ADDRESS(11+(MATCH(RIGHT(Table610[[#This Row],[spawner_sku]],LEN(Table610[[#This Row],[spawner_sku]])-FIND("/",Table610[[#This Row],[spawner_sku]])),Table1[Entity Prefab],0)),10,1,1,"Entities"))</f>
        <v>25</v>
      </c>
      <c r="BJ163" s="75">
        <f ca="1">ROUND((Table610[[#This Row],[XP]]*Table610[[#This Row],[entity_spawned (AVG)]])*(Table610[[#This Row],[activating_chance]]/100),0)</f>
        <v>25</v>
      </c>
      <c r="BK163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63">
        <v>1</v>
      </c>
      <c r="BM163">
        <v>1</v>
      </c>
      <c r="BN163" t="b">
        <v>0</v>
      </c>
      <c r="BP163" t="s">
        <v>402</v>
      </c>
      <c r="BQ163">
        <v>1</v>
      </c>
      <c r="BR163">
        <v>340</v>
      </c>
      <c r="BS163">
        <v>100</v>
      </c>
      <c r="BT163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63" s="75">
        <f ca="1">ROUND((Table61011[[#This Row],[XP]]*Table61011[[#This Row],[entity_spawned (AVG)]])*(Table61011[[#This Row],[activating_chance]]/100),0)</f>
        <v>263</v>
      </c>
      <c r="BV16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3" s="72">
        <v>1</v>
      </c>
      <c r="BX163" s="72">
        <v>1</v>
      </c>
      <c r="BY163" s="72" t="b">
        <v>0</v>
      </c>
      <c r="CA163" t="s">
        <v>242</v>
      </c>
      <c r="CB163">
        <v>1</v>
      </c>
      <c r="CC163">
        <v>1500</v>
      </c>
      <c r="CD163">
        <v>100</v>
      </c>
      <c r="CE163" s="75">
        <f ca="1">INDIRECT(ADDRESS(11+(MATCH(RIGHT(Table11[[#This Row],[spawner_sku]],LEN(Table11[[#This Row],[spawner_sku]])-FIND("/",Table11[[#This Row],[spawner_sku]])),Table1[Entity Prefab],0)),10,1,1,"Entities"))</f>
        <v>130</v>
      </c>
      <c r="CF163">
        <f ca="1">ROUND((Table11[[#This Row],[XP]]*Table11[[#This Row],[entity_spawned (AVG)]])*(Table11[[#This Row],[activating_chance]]/100),0)</f>
        <v>130</v>
      </c>
      <c r="CG163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63" s="72">
        <v>1</v>
      </c>
      <c r="CI163" s="72">
        <v>1</v>
      </c>
      <c r="CJ163" s="72" t="b">
        <v>0</v>
      </c>
      <c r="CL163" t="s">
        <v>256</v>
      </c>
      <c r="CM163">
        <v>1</v>
      </c>
      <c r="CN163">
        <v>150</v>
      </c>
      <c r="CO163">
        <v>100</v>
      </c>
      <c r="CP163" s="75">
        <f ca="1">INDIRECT(ADDRESS(11+(MATCH(RIGHT(Table12[[#This Row],[spawner_sku]],LEN(Table12[[#This Row],[spawner_sku]])-FIND("/",Table12[[#This Row],[spawner_sku]])),Table1[Entity Prefab],0)),10,1,1,"Entities"))</f>
        <v>25</v>
      </c>
      <c r="CQ163" s="75">
        <f ca="1">ROUND((Table12[[#This Row],[XP]]*Table12[[#This Row],[entity_spawned (AVG)]])*(Table12[[#This Row],[activating_chance]]/100),0)</f>
        <v>25</v>
      </c>
      <c r="CR163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63" s="72">
        <v>1</v>
      </c>
      <c r="CT163" s="72">
        <v>1</v>
      </c>
      <c r="CU163" s="72" t="b">
        <v>0</v>
      </c>
      <c r="CW163" t="s">
        <v>396</v>
      </c>
      <c r="CX163">
        <v>5</v>
      </c>
      <c r="CY163">
        <v>120</v>
      </c>
      <c r="CZ163">
        <v>100</v>
      </c>
      <c r="DA163" s="75">
        <f ca="1">INDIRECT(ADDRESS(11+(MATCH(RIGHT(Table13[[#This Row],[spawner_sku]],LEN(Table13[[#This Row],[spawner_sku]])-FIND("/",Table13[[#This Row],[spawner_sku]])),Table1[Entity Prefab],0)),10,1,1,"Entities"))</f>
        <v>25</v>
      </c>
      <c r="DB163" s="75">
        <f ca="1">ROUND((Table13[[#This Row],[XP]]*Table13[[#This Row],[entity_spawned (AVG)]])*(Table13[[#This Row],[activating_chance]]/100),0)</f>
        <v>125</v>
      </c>
      <c r="DC163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163" s="72">
        <v>5</v>
      </c>
      <c r="DE163" s="72">
        <v>5</v>
      </c>
      <c r="DF163" s="72" t="b">
        <v>1</v>
      </c>
      <c r="DH163" t="s">
        <v>231</v>
      </c>
      <c r="DI163">
        <v>1</v>
      </c>
      <c r="DJ163">
        <v>5000</v>
      </c>
      <c r="DK163">
        <v>75</v>
      </c>
      <c r="DL163" s="75">
        <f ca="1">INDIRECT(ADDRESS(11+(MATCH(RIGHT(Table14[[#This Row],[spawner_sku]],LEN(Table14[[#This Row],[spawner_sku]])-FIND("/",Table14[[#This Row],[spawner_sku]])),Table1[Entity Prefab],0)),10,1,1,"Entities"))</f>
        <v>75</v>
      </c>
      <c r="DM163" s="75">
        <f ca="1">ROUND((Table14[[#This Row],[XP]]*Table14[[#This Row],[entity_spawned (AVG)]])*(Table14[[#This Row],[activating_chance]]/100),0)</f>
        <v>56</v>
      </c>
      <c r="DN16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63" s="72">
        <v>1</v>
      </c>
      <c r="DP163" s="72">
        <v>1</v>
      </c>
      <c r="DQ163" s="72" t="b">
        <v>0</v>
      </c>
      <c r="DS163" t="s">
        <v>629</v>
      </c>
      <c r="DT163">
        <v>2</v>
      </c>
      <c r="DU163">
        <v>120</v>
      </c>
      <c r="DV163">
        <v>100</v>
      </c>
      <c r="DW163" s="75">
        <f ca="1">INDIRECT(ADDRESS(11+(MATCH(RIGHT(Table18[[#This Row],[spawner_sku]],LEN(Table18[[#This Row],[spawner_sku]])-FIND("/",Table18[[#This Row],[spawner_sku]])),Table1[Entity Prefab],0)),10,1,1,"Entities"))</f>
        <v>50</v>
      </c>
      <c r="DX163" s="75">
        <f ca="1">ROUND((Table18[[#This Row],[XP]]*Table18[[#This Row],[entity_spawned (AVG)]])*(Table18[[#This Row],[activating_chance]]/100),0)</f>
        <v>100</v>
      </c>
      <c r="DY16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63">
        <v>2</v>
      </c>
      <c r="EA163">
        <v>3</v>
      </c>
      <c r="EB163" t="b">
        <v>0</v>
      </c>
      <c r="ED163" t="s">
        <v>520</v>
      </c>
      <c r="EE163">
        <v>1</v>
      </c>
      <c r="EF163">
        <v>120</v>
      </c>
      <c r="EG163">
        <v>80</v>
      </c>
      <c r="EH163" s="75">
        <f ca="1">INDIRECT(ADDRESS(11+(MATCH(RIGHT(Table1820[[#This Row],[spawner_sku]],LEN(Table1820[[#This Row],[spawner_sku]])-FIND("/",Table1820[[#This Row],[spawner_sku]])),Table1[Entity Prefab],0)),10,1,1,"Entities"))</f>
        <v>35</v>
      </c>
      <c r="EI163" s="75">
        <f ca="1">ROUND((Table1820[[#This Row],[XP]]*Table1820[[#This Row],[entity_spawned (AVG)]])*(Table1820[[#This Row],[activating_chance]]/100),0)</f>
        <v>28</v>
      </c>
      <c r="EJ163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63">
        <v>1</v>
      </c>
      <c r="EL163">
        <v>1</v>
      </c>
      <c r="EM163" t="b">
        <v>0</v>
      </c>
      <c r="EZ163" t="s">
        <v>7348</v>
      </c>
      <c r="FA163">
        <v>1.5</v>
      </c>
      <c r="FB163">
        <v>80</v>
      </c>
      <c r="FC163">
        <v>80</v>
      </c>
      <c r="FD163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163" s="75">
        <f ca="1">ROUND((Table18202324[[#This Row],[XP]]*Table18202324[[#This Row],[entity_spawned (AVG)]])*(Table18202324[[#This Row],[activating_chance]]/100),0)</f>
        <v>30</v>
      </c>
      <c r="FF163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63">
        <v>1</v>
      </c>
      <c r="FH163">
        <v>2</v>
      </c>
      <c r="FI163" t="b">
        <v>0</v>
      </c>
    </row>
    <row r="164" spans="2:165" x14ac:dyDescent="0.25">
      <c r="B164" s="73" t="s">
        <v>228</v>
      </c>
      <c r="C164">
        <v>7.5</v>
      </c>
      <c r="D164">
        <v>180</v>
      </c>
      <c r="E164">
        <v>100</v>
      </c>
      <c r="F164" s="75">
        <f ca="1">INDIRECT(ADDRESS(11+(MATCH(RIGHT(Table245[[#This Row],[spawner_sku]],LEN(Table245[[#This Row],[spawner_sku]])-FIND("/",Table245[[#This Row],[spawner_sku]])),Table1[Entity Prefab],0)),10,1,1,"Entities"))</f>
        <v>25</v>
      </c>
      <c r="G164" s="75">
        <f ca="1">ROUND((Table245[[#This Row],[XP]]*Table245[[#This Row],[entity_spawned (AVG)]])*(Table245[[#This Row],[activating_chance]]/100),0)</f>
        <v>188</v>
      </c>
      <c r="H16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4" s="72">
        <v>5</v>
      </c>
      <c r="J164" s="72">
        <v>10</v>
      </c>
      <c r="K164" s="72" t="b">
        <v>1</v>
      </c>
      <c r="M164" t="s">
        <v>257</v>
      </c>
      <c r="N164">
        <v>1</v>
      </c>
      <c r="O164">
        <v>220</v>
      </c>
      <c r="P164">
        <v>100</v>
      </c>
      <c r="Q164" s="75">
        <f ca="1">INDIRECT(ADDRESS(11+(MATCH(RIGHT(Table3[[#This Row],[spawner_sku]],LEN(Table3[[#This Row],[spawner_sku]])-FIND("/",Table3[[#This Row],[spawner_sku]])),Table1[Entity Prefab],0)),10,1,1,"Entities"))</f>
        <v>50</v>
      </c>
      <c r="R164" s="75">
        <f ca="1">ROUND((Table3[[#This Row],[XP]]*Table3[[#This Row],[entity_spawned (AVG)]])*(Table3[[#This Row],[activating_chance]]/100),0)</f>
        <v>50</v>
      </c>
      <c r="S164" t="str">
        <f ca="1">INDIRECT(ADDRESS(11+(MATCH(RIGHT(Table3[[#This Row],[spawner_sku]],LEN(Table3[[#This Row],[spawner_sku]])-FIND("/",Table3[[#This Row],[spawner_sku]])),Table28[Entity Prefab],0)),24,1,1,"Entities"))</f>
        <v>no</v>
      </c>
      <c r="T164">
        <v>1</v>
      </c>
      <c r="U164">
        <v>1</v>
      </c>
      <c r="V164" t="b">
        <v>0</v>
      </c>
      <c r="W164" s="72"/>
      <c r="AI164" t="s">
        <v>231</v>
      </c>
      <c r="AJ164">
        <v>1</v>
      </c>
      <c r="AK164">
        <v>5000</v>
      </c>
      <c r="AL164">
        <v>75</v>
      </c>
      <c r="AM164" s="75">
        <f ca="1">INDIRECT(ADDRESS(11+(MATCH(RIGHT(Table2[[#This Row],[spawner_sku]],LEN(Table2[[#This Row],[spawner_sku]])-FIND("/",Table2[[#This Row],[spawner_sku]])),Table1[Entity Prefab],0)),10,1,1,"Entities"))</f>
        <v>75</v>
      </c>
      <c r="AN164" s="75">
        <f ca="1">ROUND((Table2[[#This Row],[XP]]*Table2[[#This Row],[entity_spawned (AVG)]])*(Table2[[#This Row],[activating_chance]]/100),0)</f>
        <v>56</v>
      </c>
      <c r="AO16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64" s="72">
        <v>1</v>
      </c>
      <c r="AQ164" s="72">
        <v>1</v>
      </c>
      <c r="AR164" s="72" t="b">
        <v>0</v>
      </c>
      <c r="AT164" t="s">
        <v>253</v>
      </c>
      <c r="AU164">
        <v>1</v>
      </c>
      <c r="AV164">
        <v>170</v>
      </c>
      <c r="AW164">
        <v>100</v>
      </c>
      <c r="AX164" s="75">
        <f ca="1">INDIRECT(ADDRESS(11+(MATCH(RIGHT(Table6[[#This Row],[spawner_sku]],LEN(Table6[[#This Row],[spawner_sku]])-FIND("/",Table6[[#This Row],[spawner_sku]])),Table1[Entity Prefab],0)),10,1,1,"Entities"))</f>
        <v>70</v>
      </c>
      <c r="AY164" s="75">
        <f ca="1">ROUND((Table6[[#This Row],[XP]]*Table6[[#This Row],[entity_spawned (AVG)]])*(Table6[[#This Row],[activating_chance]]/100),0)</f>
        <v>70</v>
      </c>
      <c r="AZ164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64">
        <v>1</v>
      </c>
      <c r="BB164">
        <v>1</v>
      </c>
      <c r="BC164" t="b">
        <v>0</v>
      </c>
      <c r="BE164" t="s">
        <v>491</v>
      </c>
      <c r="BF164">
        <v>1</v>
      </c>
      <c r="BG164">
        <v>100</v>
      </c>
      <c r="BH164">
        <v>100</v>
      </c>
      <c r="BI164" s="75">
        <f ca="1">INDIRECT(ADDRESS(11+(MATCH(RIGHT(Table610[[#This Row],[spawner_sku]],LEN(Table610[[#This Row],[spawner_sku]])-FIND("/",Table610[[#This Row],[spawner_sku]])),Table1[Entity Prefab],0)),10,1,1,"Entities"))</f>
        <v>25</v>
      </c>
      <c r="BJ164" s="75">
        <f ca="1">ROUND((Table610[[#This Row],[XP]]*Table610[[#This Row],[entity_spawned (AVG)]])*(Table610[[#This Row],[activating_chance]]/100),0)</f>
        <v>25</v>
      </c>
      <c r="BK164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64">
        <v>1</v>
      </c>
      <c r="BM164">
        <v>1</v>
      </c>
      <c r="BN164" t="b">
        <v>0</v>
      </c>
      <c r="BP164" t="s">
        <v>402</v>
      </c>
      <c r="BQ164">
        <v>1</v>
      </c>
      <c r="BR164">
        <v>340</v>
      </c>
      <c r="BS164">
        <v>100</v>
      </c>
      <c r="BT164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64" s="75">
        <f ca="1">ROUND((Table61011[[#This Row],[XP]]*Table61011[[#This Row],[entity_spawned (AVG)]])*(Table61011[[#This Row],[activating_chance]]/100),0)</f>
        <v>263</v>
      </c>
      <c r="BV16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4" s="72">
        <v>1</v>
      </c>
      <c r="BX164" s="72">
        <v>1</v>
      </c>
      <c r="BY164" s="72" t="b">
        <v>0</v>
      </c>
      <c r="CA164" t="s">
        <v>242</v>
      </c>
      <c r="CB164">
        <v>1</v>
      </c>
      <c r="CC164">
        <v>1500</v>
      </c>
      <c r="CD164">
        <v>70</v>
      </c>
      <c r="CE164" s="75">
        <f ca="1">INDIRECT(ADDRESS(11+(MATCH(RIGHT(Table11[[#This Row],[spawner_sku]],LEN(Table11[[#This Row],[spawner_sku]])-FIND("/",Table11[[#This Row],[spawner_sku]])),Table1[Entity Prefab],0)),10,1,1,"Entities"))</f>
        <v>130</v>
      </c>
      <c r="CF164">
        <f ca="1">ROUND((Table11[[#This Row],[XP]]*Table11[[#This Row],[entity_spawned (AVG)]])*(Table11[[#This Row],[activating_chance]]/100),0)</f>
        <v>91</v>
      </c>
      <c r="CG164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64" s="72">
        <v>1</v>
      </c>
      <c r="CI164" s="72">
        <v>1</v>
      </c>
      <c r="CJ164" s="72" t="b">
        <v>0</v>
      </c>
      <c r="CL164" t="s">
        <v>256</v>
      </c>
      <c r="CM164">
        <v>1</v>
      </c>
      <c r="CN164">
        <v>150</v>
      </c>
      <c r="CO164">
        <v>100</v>
      </c>
      <c r="CP164" s="75">
        <f ca="1">INDIRECT(ADDRESS(11+(MATCH(RIGHT(Table12[[#This Row],[spawner_sku]],LEN(Table12[[#This Row],[spawner_sku]])-FIND("/",Table12[[#This Row],[spawner_sku]])),Table1[Entity Prefab],0)),10,1,1,"Entities"))</f>
        <v>25</v>
      </c>
      <c r="CQ164" s="75">
        <f ca="1">ROUND((Table12[[#This Row],[XP]]*Table12[[#This Row],[entity_spawned (AVG)]])*(Table12[[#This Row],[activating_chance]]/100),0)</f>
        <v>25</v>
      </c>
      <c r="CR164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64" s="72">
        <v>1</v>
      </c>
      <c r="CT164" s="72">
        <v>1</v>
      </c>
      <c r="CU164" s="72" t="b">
        <v>0</v>
      </c>
      <c r="CW164" t="s">
        <v>396</v>
      </c>
      <c r="CX164">
        <v>5</v>
      </c>
      <c r="CY164">
        <v>120</v>
      </c>
      <c r="CZ164">
        <v>100</v>
      </c>
      <c r="DA164" s="75">
        <f ca="1">INDIRECT(ADDRESS(11+(MATCH(RIGHT(Table13[[#This Row],[spawner_sku]],LEN(Table13[[#This Row],[spawner_sku]])-FIND("/",Table13[[#This Row],[spawner_sku]])),Table1[Entity Prefab],0)),10,1,1,"Entities"))</f>
        <v>25</v>
      </c>
      <c r="DB164" s="75">
        <f ca="1">ROUND((Table13[[#This Row],[XP]]*Table13[[#This Row],[entity_spawned (AVG)]])*(Table13[[#This Row],[activating_chance]]/100),0)</f>
        <v>125</v>
      </c>
      <c r="DC164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164" s="72">
        <v>5</v>
      </c>
      <c r="DE164" s="72">
        <v>5</v>
      </c>
      <c r="DF164" s="72" t="b">
        <v>1</v>
      </c>
      <c r="DH164" t="s">
        <v>231</v>
      </c>
      <c r="DI164">
        <v>1</v>
      </c>
      <c r="DJ164">
        <v>5000</v>
      </c>
      <c r="DK164">
        <v>75</v>
      </c>
      <c r="DL164" s="75">
        <f ca="1">INDIRECT(ADDRESS(11+(MATCH(RIGHT(Table14[[#This Row],[spawner_sku]],LEN(Table14[[#This Row],[spawner_sku]])-FIND("/",Table14[[#This Row],[spawner_sku]])),Table1[Entity Prefab],0)),10,1,1,"Entities"))</f>
        <v>75</v>
      </c>
      <c r="DM164" s="75">
        <f ca="1">ROUND((Table14[[#This Row],[XP]]*Table14[[#This Row],[entity_spawned (AVG)]])*(Table14[[#This Row],[activating_chance]]/100),0)</f>
        <v>56</v>
      </c>
      <c r="DN16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64" s="72">
        <v>1</v>
      </c>
      <c r="DP164" s="72">
        <v>1</v>
      </c>
      <c r="DQ164" s="72" t="b">
        <v>0</v>
      </c>
      <c r="DS164" t="s">
        <v>629</v>
      </c>
      <c r="DT164">
        <v>1</v>
      </c>
      <c r="DU164">
        <v>120</v>
      </c>
      <c r="DV164">
        <v>10</v>
      </c>
      <c r="DW164" s="75">
        <f ca="1">INDIRECT(ADDRESS(11+(MATCH(RIGHT(Table18[[#This Row],[spawner_sku]],LEN(Table18[[#This Row],[spawner_sku]])-FIND("/",Table18[[#This Row],[spawner_sku]])),Table1[Entity Prefab],0)),10,1,1,"Entities"))</f>
        <v>50</v>
      </c>
      <c r="DX164" s="75">
        <f ca="1">ROUND((Table18[[#This Row],[XP]]*Table18[[#This Row],[entity_spawned (AVG)]])*(Table18[[#This Row],[activating_chance]]/100),0)</f>
        <v>5</v>
      </c>
      <c r="DY16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64">
        <v>1</v>
      </c>
      <c r="EA164">
        <v>2</v>
      </c>
      <c r="EB164" t="b">
        <v>0</v>
      </c>
      <c r="ED164" t="s">
        <v>389</v>
      </c>
      <c r="EE164">
        <v>1</v>
      </c>
      <c r="EF164">
        <v>450</v>
      </c>
      <c r="EG164">
        <v>100</v>
      </c>
      <c r="EH164" s="75">
        <f ca="1">INDIRECT(ADDRESS(11+(MATCH(RIGHT(Table1820[[#This Row],[spawner_sku]],LEN(Table1820[[#This Row],[spawner_sku]])-FIND("/",Table1820[[#This Row],[spawner_sku]])),Table1[Entity Prefab],0)),10,1,1,"Entities"))</f>
        <v>0</v>
      </c>
      <c r="EI164" s="75">
        <f ca="1">ROUND((Table1820[[#This Row],[XP]]*Table1820[[#This Row],[entity_spawned (AVG)]])*(Table1820[[#This Row],[activating_chance]]/100),0)</f>
        <v>0</v>
      </c>
      <c r="EJ16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64">
        <v>1</v>
      </c>
      <c r="EL164">
        <v>1</v>
      </c>
      <c r="EM164" t="b">
        <v>0</v>
      </c>
      <c r="EZ164" t="s">
        <v>7348</v>
      </c>
      <c r="FA164">
        <v>1.5</v>
      </c>
      <c r="FB164">
        <v>70</v>
      </c>
      <c r="FC164">
        <v>100</v>
      </c>
      <c r="FD164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164" s="75">
        <f ca="1">ROUND((Table18202324[[#This Row],[XP]]*Table18202324[[#This Row],[entity_spawned (AVG)]])*(Table18202324[[#This Row],[activating_chance]]/100),0)</f>
        <v>38</v>
      </c>
      <c r="FF164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64">
        <v>1</v>
      </c>
      <c r="FH164">
        <v>2</v>
      </c>
      <c r="FI164" t="b">
        <v>0</v>
      </c>
    </row>
    <row r="165" spans="2:165" x14ac:dyDescent="0.25">
      <c r="B165" s="73" t="s">
        <v>228</v>
      </c>
      <c r="C165">
        <v>1</v>
      </c>
      <c r="D165">
        <v>90</v>
      </c>
      <c r="E165">
        <v>85</v>
      </c>
      <c r="F165" s="75">
        <f ca="1">INDIRECT(ADDRESS(11+(MATCH(RIGHT(Table245[[#This Row],[spawner_sku]],LEN(Table245[[#This Row],[spawner_sku]])-FIND("/",Table245[[#This Row],[spawner_sku]])),Table1[Entity Prefab],0)),10,1,1,"Entities"))</f>
        <v>25</v>
      </c>
      <c r="G165" s="75">
        <f ca="1">ROUND((Table245[[#This Row],[XP]]*Table245[[#This Row],[entity_spawned (AVG)]])*(Table245[[#This Row],[activating_chance]]/100),0)</f>
        <v>21</v>
      </c>
      <c r="H16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5" s="72">
        <v>1</v>
      </c>
      <c r="J165" s="72">
        <v>1</v>
      </c>
      <c r="K165" s="72" t="b">
        <v>0</v>
      </c>
      <c r="M165" t="s">
        <v>394</v>
      </c>
      <c r="N165">
        <v>1</v>
      </c>
      <c r="O165">
        <v>220</v>
      </c>
      <c r="P165">
        <v>100</v>
      </c>
      <c r="Q165" s="75">
        <f ca="1">INDIRECT(ADDRESS(11+(MATCH(RIGHT(Table3[[#This Row],[spawner_sku]],LEN(Table3[[#This Row],[spawner_sku]])-FIND("/",Table3[[#This Row],[spawner_sku]])),Table1[Entity Prefab],0)),10,1,1,"Entities"))</f>
        <v>50</v>
      </c>
      <c r="R165" s="75">
        <f ca="1">ROUND((Table3[[#This Row],[XP]]*Table3[[#This Row],[entity_spawned (AVG)]])*(Table3[[#This Row],[activating_chance]]/100),0)</f>
        <v>50</v>
      </c>
      <c r="S165" t="str">
        <f ca="1">INDIRECT(ADDRESS(11+(MATCH(RIGHT(Table3[[#This Row],[spawner_sku]],LEN(Table3[[#This Row],[spawner_sku]])-FIND("/",Table3[[#This Row],[spawner_sku]])),Table28[Entity Prefab],0)),24,1,1,"Entities"))</f>
        <v>no</v>
      </c>
      <c r="T165">
        <v>1</v>
      </c>
      <c r="U165">
        <v>1</v>
      </c>
      <c r="V165" t="b">
        <v>0</v>
      </c>
      <c r="W165" s="72"/>
      <c r="AI165" t="s">
        <v>231</v>
      </c>
      <c r="AJ165">
        <v>1</v>
      </c>
      <c r="AK165">
        <v>5000</v>
      </c>
      <c r="AL165">
        <v>75</v>
      </c>
      <c r="AM165" s="75">
        <f ca="1">INDIRECT(ADDRESS(11+(MATCH(RIGHT(Table2[[#This Row],[spawner_sku]],LEN(Table2[[#This Row],[spawner_sku]])-FIND("/",Table2[[#This Row],[spawner_sku]])),Table1[Entity Prefab],0)),10,1,1,"Entities"))</f>
        <v>75</v>
      </c>
      <c r="AN165" s="75">
        <f ca="1">ROUND((Table2[[#This Row],[XP]]*Table2[[#This Row],[entity_spawned (AVG)]])*(Table2[[#This Row],[activating_chance]]/100),0)</f>
        <v>56</v>
      </c>
      <c r="AO16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65" s="72">
        <v>1</v>
      </c>
      <c r="AQ165" s="72">
        <v>1</v>
      </c>
      <c r="AR165" s="72" t="b">
        <v>0</v>
      </c>
      <c r="AT165" t="s">
        <v>253</v>
      </c>
      <c r="AU165">
        <v>1</v>
      </c>
      <c r="AV165">
        <v>170</v>
      </c>
      <c r="AW165">
        <v>100</v>
      </c>
      <c r="AX165" s="75">
        <f ca="1">INDIRECT(ADDRESS(11+(MATCH(RIGHT(Table6[[#This Row],[spawner_sku]],LEN(Table6[[#This Row],[spawner_sku]])-FIND("/",Table6[[#This Row],[spawner_sku]])),Table1[Entity Prefab],0)),10,1,1,"Entities"))</f>
        <v>70</v>
      </c>
      <c r="AY165" s="75">
        <f ca="1">ROUND((Table6[[#This Row],[XP]]*Table6[[#This Row],[entity_spawned (AVG)]])*(Table6[[#This Row],[activating_chance]]/100),0)</f>
        <v>70</v>
      </c>
      <c r="AZ165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65">
        <v>1</v>
      </c>
      <c r="BB165">
        <v>1</v>
      </c>
      <c r="BC165" t="b">
        <v>0</v>
      </c>
      <c r="BE165" t="s">
        <v>491</v>
      </c>
      <c r="BF165">
        <v>1</v>
      </c>
      <c r="BG165">
        <v>100</v>
      </c>
      <c r="BH165">
        <v>100</v>
      </c>
      <c r="BI165" s="75">
        <f ca="1">INDIRECT(ADDRESS(11+(MATCH(RIGHT(Table610[[#This Row],[spawner_sku]],LEN(Table610[[#This Row],[spawner_sku]])-FIND("/",Table610[[#This Row],[spawner_sku]])),Table1[Entity Prefab],0)),10,1,1,"Entities"))</f>
        <v>25</v>
      </c>
      <c r="BJ165" s="75">
        <f ca="1">ROUND((Table610[[#This Row],[XP]]*Table610[[#This Row],[entity_spawned (AVG)]])*(Table610[[#This Row],[activating_chance]]/100),0)</f>
        <v>25</v>
      </c>
      <c r="BK165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65">
        <v>1</v>
      </c>
      <c r="BM165">
        <v>1</v>
      </c>
      <c r="BN165" t="b">
        <v>0</v>
      </c>
      <c r="BP165" t="s">
        <v>402</v>
      </c>
      <c r="BQ165">
        <v>1</v>
      </c>
      <c r="BR165">
        <v>340</v>
      </c>
      <c r="BS165">
        <v>100</v>
      </c>
      <c r="BT165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65" s="75">
        <f ca="1">ROUND((Table61011[[#This Row],[XP]]*Table61011[[#This Row],[entity_spawned (AVG)]])*(Table61011[[#This Row],[activating_chance]]/100),0)</f>
        <v>263</v>
      </c>
      <c r="BV16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5" s="72">
        <v>1</v>
      </c>
      <c r="BX165" s="72">
        <v>1</v>
      </c>
      <c r="BY165" s="72" t="b">
        <v>0</v>
      </c>
      <c r="CA165" t="s">
        <v>242</v>
      </c>
      <c r="CB165">
        <v>1</v>
      </c>
      <c r="CC165">
        <v>1500</v>
      </c>
      <c r="CD165">
        <v>100</v>
      </c>
      <c r="CE165" s="75">
        <f ca="1">INDIRECT(ADDRESS(11+(MATCH(RIGHT(Table11[[#This Row],[spawner_sku]],LEN(Table11[[#This Row],[spawner_sku]])-FIND("/",Table11[[#This Row],[spawner_sku]])),Table1[Entity Prefab],0)),10,1,1,"Entities"))</f>
        <v>130</v>
      </c>
      <c r="CF165">
        <f ca="1">ROUND((Table11[[#This Row],[XP]]*Table11[[#This Row],[entity_spawned (AVG)]])*(Table11[[#This Row],[activating_chance]]/100),0)</f>
        <v>130</v>
      </c>
      <c r="CG165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65" s="72">
        <v>1</v>
      </c>
      <c r="CI165" s="72">
        <v>1</v>
      </c>
      <c r="CJ165" s="72" t="b">
        <v>0</v>
      </c>
      <c r="CL165" t="s">
        <v>256</v>
      </c>
      <c r="CM165">
        <v>1</v>
      </c>
      <c r="CN165">
        <v>150</v>
      </c>
      <c r="CO165">
        <v>100</v>
      </c>
      <c r="CP165" s="75">
        <f ca="1">INDIRECT(ADDRESS(11+(MATCH(RIGHT(Table12[[#This Row],[spawner_sku]],LEN(Table12[[#This Row],[spawner_sku]])-FIND("/",Table12[[#This Row],[spawner_sku]])),Table1[Entity Prefab],0)),10,1,1,"Entities"))</f>
        <v>25</v>
      </c>
      <c r="CQ165" s="75">
        <f ca="1">ROUND((Table12[[#This Row],[XP]]*Table12[[#This Row],[entity_spawned (AVG)]])*(Table12[[#This Row],[activating_chance]]/100),0)</f>
        <v>25</v>
      </c>
      <c r="CR165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65" s="72">
        <v>1</v>
      </c>
      <c r="CT165" s="72">
        <v>1</v>
      </c>
      <c r="CU165" s="72" t="b">
        <v>0</v>
      </c>
      <c r="CW165" t="s">
        <v>396</v>
      </c>
      <c r="CX165">
        <v>5</v>
      </c>
      <c r="CY165">
        <v>120</v>
      </c>
      <c r="CZ165">
        <v>100</v>
      </c>
      <c r="DA165" s="75">
        <f ca="1">INDIRECT(ADDRESS(11+(MATCH(RIGHT(Table13[[#This Row],[spawner_sku]],LEN(Table13[[#This Row],[spawner_sku]])-FIND("/",Table13[[#This Row],[spawner_sku]])),Table1[Entity Prefab],0)),10,1,1,"Entities"))</f>
        <v>25</v>
      </c>
      <c r="DB165" s="75">
        <f ca="1">ROUND((Table13[[#This Row],[XP]]*Table13[[#This Row],[entity_spawned (AVG)]])*(Table13[[#This Row],[activating_chance]]/100),0)</f>
        <v>125</v>
      </c>
      <c r="DC165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165" s="72">
        <v>5</v>
      </c>
      <c r="DE165" s="72">
        <v>5</v>
      </c>
      <c r="DF165" s="72" t="b">
        <v>1</v>
      </c>
      <c r="DH165" t="s">
        <v>231</v>
      </c>
      <c r="DI165">
        <v>1</v>
      </c>
      <c r="DJ165">
        <v>5000</v>
      </c>
      <c r="DK165">
        <v>75</v>
      </c>
      <c r="DL165" s="75">
        <f ca="1">INDIRECT(ADDRESS(11+(MATCH(RIGHT(Table14[[#This Row],[spawner_sku]],LEN(Table14[[#This Row],[spawner_sku]])-FIND("/",Table14[[#This Row],[spawner_sku]])),Table1[Entity Prefab],0)),10,1,1,"Entities"))</f>
        <v>75</v>
      </c>
      <c r="DM165" s="75">
        <f ca="1">ROUND((Table14[[#This Row],[XP]]*Table14[[#This Row],[entity_spawned (AVG)]])*(Table14[[#This Row],[activating_chance]]/100),0)</f>
        <v>56</v>
      </c>
      <c r="DN16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65" s="72">
        <v>1</v>
      </c>
      <c r="DP165" s="72">
        <v>1</v>
      </c>
      <c r="DQ165" s="72" t="b">
        <v>0</v>
      </c>
      <c r="DS165" t="s">
        <v>629</v>
      </c>
      <c r="DT165">
        <v>2</v>
      </c>
      <c r="DU165">
        <v>120</v>
      </c>
      <c r="DV165">
        <v>100</v>
      </c>
      <c r="DW165" s="75">
        <f ca="1">INDIRECT(ADDRESS(11+(MATCH(RIGHT(Table18[[#This Row],[spawner_sku]],LEN(Table18[[#This Row],[spawner_sku]])-FIND("/",Table18[[#This Row],[spawner_sku]])),Table1[Entity Prefab],0)),10,1,1,"Entities"))</f>
        <v>50</v>
      </c>
      <c r="DX165" s="75">
        <f ca="1">ROUND((Table18[[#This Row],[XP]]*Table18[[#This Row],[entity_spawned (AVG)]])*(Table18[[#This Row],[activating_chance]]/100),0)</f>
        <v>100</v>
      </c>
      <c r="DY16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65">
        <v>2</v>
      </c>
      <c r="EA165">
        <v>2</v>
      </c>
      <c r="EB165" t="b">
        <v>0</v>
      </c>
      <c r="ED165" t="s">
        <v>389</v>
      </c>
      <c r="EE165">
        <v>1</v>
      </c>
      <c r="EF165">
        <v>450</v>
      </c>
      <c r="EG165">
        <v>30</v>
      </c>
      <c r="EH165" s="75">
        <f ca="1">INDIRECT(ADDRESS(11+(MATCH(RIGHT(Table1820[[#This Row],[spawner_sku]],LEN(Table1820[[#This Row],[spawner_sku]])-FIND("/",Table1820[[#This Row],[spawner_sku]])),Table1[Entity Prefab],0)),10,1,1,"Entities"))</f>
        <v>0</v>
      </c>
      <c r="EI165" s="75">
        <f ca="1">ROUND((Table1820[[#This Row],[XP]]*Table1820[[#This Row],[entity_spawned (AVG)]])*(Table1820[[#This Row],[activating_chance]]/100),0)</f>
        <v>0</v>
      </c>
      <c r="EJ16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65">
        <v>1</v>
      </c>
      <c r="EL165">
        <v>1</v>
      </c>
      <c r="EM165" t="b">
        <v>0</v>
      </c>
      <c r="EZ165" t="s">
        <v>7348</v>
      </c>
      <c r="FA165">
        <v>1.5</v>
      </c>
      <c r="FB165">
        <v>70</v>
      </c>
      <c r="FC165">
        <v>100</v>
      </c>
      <c r="FD165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165" s="75">
        <f ca="1">ROUND((Table18202324[[#This Row],[XP]]*Table18202324[[#This Row],[entity_spawned (AVG)]])*(Table18202324[[#This Row],[activating_chance]]/100),0)</f>
        <v>38</v>
      </c>
      <c r="FF165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65">
        <v>1</v>
      </c>
      <c r="FH165">
        <v>2</v>
      </c>
      <c r="FI165" t="b">
        <v>0</v>
      </c>
    </row>
    <row r="166" spans="2:165" x14ac:dyDescent="0.25">
      <c r="B166" s="73" t="s">
        <v>228</v>
      </c>
      <c r="C166">
        <v>3.5</v>
      </c>
      <c r="D166">
        <v>160</v>
      </c>
      <c r="E166">
        <v>100</v>
      </c>
      <c r="F166" s="75">
        <f ca="1">INDIRECT(ADDRESS(11+(MATCH(RIGHT(Table245[[#This Row],[spawner_sku]],LEN(Table245[[#This Row],[spawner_sku]])-FIND("/",Table245[[#This Row],[spawner_sku]])),Table1[Entity Prefab],0)),10,1,1,"Entities"))</f>
        <v>25</v>
      </c>
      <c r="G166" s="75">
        <f ca="1">ROUND((Table245[[#This Row],[XP]]*Table245[[#This Row],[entity_spawned (AVG)]])*(Table245[[#This Row],[activating_chance]]/100),0)</f>
        <v>88</v>
      </c>
      <c r="H16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6" s="72">
        <v>3</v>
      </c>
      <c r="J166" s="72">
        <v>4</v>
      </c>
      <c r="K166" s="72" t="b">
        <v>0</v>
      </c>
      <c r="M166" t="s">
        <v>394</v>
      </c>
      <c r="N166">
        <v>1</v>
      </c>
      <c r="O166">
        <v>240</v>
      </c>
      <c r="P166">
        <v>100</v>
      </c>
      <c r="Q166" s="75">
        <f ca="1">INDIRECT(ADDRESS(11+(MATCH(RIGHT(Table3[[#This Row],[spawner_sku]],LEN(Table3[[#This Row],[spawner_sku]])-FIND("/",Table3[[#This Row],[spawner_sku]])),Table1[Entity Prefab],0)),10,1,1,"Entities"))</f>
        <v>50</v>
      </c>
      <c r="R166" s="75">
        <f ca="1">ROUND((Table3[[#This Row],[XP]]*Table3[[#This Row],[entity_spawned (AVG)]])*(Table3[[#This Row],[activating_chance]]/100),0)</f>
        <v>50</v>
      </c>
      <c r="S166" t="str">
        <f ca="1">INDIRECT(ADDRESS(11+(MATCH(RIGHT(Table3[[#This Row],[spawner_sku]],LEN(Table3[[#This Row],[spawner_sku]])-FIND("/",Table3[[#This Row],[spawner_sku]])),Table28[Entity Prefab],0)),24,1,1,"Entities"))</f>
        <v>no</v>
      </c>
      <c r="T166">
        <v>1</v>
      </c>
      <c r="U166">
        <v>1</v>
      </c>
      <c r="V166" t="b">
        <v>0</v>
      </c>
      <c r="W166" s="72"/>
      <c r="AI166" t="s">
        <v>231</v>
      </c>
      <c r="AJ166">
        <v>1</v>
      </c>
      <c r="AK166">
        <v>5000</v>
      </c>
      <c r="AL166">
        <v>75</v>
      </c>
      <c r="AM166" s="75">
        <f ca="1">INDIRECT(ADDRESS(11+(MATCH(RIGHT(Table2[[#This Row],[spawner_sku]],LEN(Table2[[#This Row],[spawner_sku]])-FIND("/",Table2[[#This Row],[spawner_sku]])),Table1[Entity Prefab],0)),10,1,1,"Entities"))</f>
        <v>75</v>
      </c>
      <c r="AN166" s="75">
        <f ca="1">ROUND((Table2[[#This Row],[XP]]*Table2[[#This Row],[entity_spawned (AVG)]])*(Table2[[#This Row],[activating_chance]]/100),0)</f>
        <v>56</v>
      </c>
      <c r="AO16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66" s="72">
        <v>1</v>
      </c>
      <c r="AQ166" s="72">
        <v>1</v>
      </c>
      <c r="AR166" s="72" t="b">
        <v>0</v>
      </c>
      <c r="AT166" t="s">
        <v>253</v>
      </c>
      <c r="AU166">
        <v>1</v>
      </c>
      <c r="AV166">
        <v>170</v>
      </c>
      <c r="AW166">
        <v>100</v>
      </c>
      <c r="AX166" s="75">
        <f ca="1">INDIRECT(ADDRESS(11+(MATCH(RIGHT(Table6[[#This Row],[spawner_sku]],LEN(Table6[[#This Row],[spawner_sku]])-FIND("/",Table6[[#This Row],[spawner_sku]])),Table1[Entity Prefab],0)),10,1,1,"Entities"))</f>
        <v>70</v>
      </c>
      <c r="AY166" s="75">
        <f ca="1">ROUND((Table6[[#This Row],[XP]]*Table6[[#This Row],[entity_spawned (AVG)]])*(Table6[[#This Row],[activating_chance]]/100),0)</f>
        <v>70</v>
      </c>
      <c r="AZ166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66">
        <v>1</v>
      </c>
      <c r="BB166">
        <v>1</v>
      </c>
      <c r="BC166" t="b">
        <v>0</v>
      </c>
      <c r="BE166" t="s">
        <v>247</v>
      </c>
      <c r="BF166">
        <v>1</v>
      </c>
      <c r="BG166">
        <v>420</v>
      </c>
      <c r="BH166">
        <v>100</v>
      </c>
      <c r="BI166" s="75">
        <f ca="1">INDIRECT(ADDRESS(11+(MATCH(RIGHT(Table610[[#This Row],[spawner_sku]],LEN(Table610[[#This Row],[spawner_sku]])-FIND("/",Table610[[#This Row],[spawner_sku]])),Table1[Entity Prefab],0)),10,1,1,"Entities"))</f>
        <v>83</v>
      </c>
      <c r="BJ166" s="75">
        <f ca="1">ROUND((Table610[[#This Row],[XP]]*Table610[[#This Row],[entity_spawned (AVG)]])*(Table610[[#This Row],[activating_chance]]/100),0)</f>
        <v>83</v>
      </c>
      <c r="BK166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66">
        <v>1</v>
      </c>
      <c r="BM166">
        <v>1</v>
      </c>
      <c r="BN166" t="b">
        <v>0</v>
      </c>
      <c r="BP166" t="s">
        <v>402</v>
      </c>
      <c r="BQ166">
        <v>1</v>
      </c>
      <c r="BR166">
        <v>340</v>
      </c>
      <c r="BS166">
        <v>100</v>
      </c>
      <c r="BT166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66" s="75">
        <f ca="1">ROUND((Table61011[[#This Row],[XP]]*Table61011[[#This Row],[entity_spawned (AVG)]])*(Table61011[[#This Row],[activating_chance]]/100),0)</f>
        <v>263</v>
      </c>
      <c r="BV16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6" s="72">
        <v>1</v>
      </c>
      <c r="BX166" s="72">
        <v>1</v>
      </c>
      <c r="BY166" s="72" t="b">
        <v>0</v>
      </c>
      <c r="CA166" t="s">
        <v>242</v>
      </c>
      <c r="CB166">
        <v>1</v>
      </c>
      <c r="CC166">
        <v>1500</v>
      </c>
      <c r="CD166">
        <v>100</v>
      </c>
      <c r="CE166" s="75">
        <f ca="1">INDIRECT(ADDRESS(11+(MATCH(RIGHT(Table11[[#This Row],[spawner_sku]],LEN(Table11[[#This Row],[spawner_sku]])-FIND("/",Table11[[#This Row],[spawner_sku]])),Table1[Entity Prefab],0)),10,1,1,"Entities"))</f>
        <v>130</v>
      </c>
      <c r="CF166">
        <f ca="1">ROUND((Table11[[#This Row],[XP]]*Table11[[#This Row],[entity_spawned (AVG)]])*(Table11[[#This Row],[activating_chance]]/100),0)</f>
        <v>130</v>
      </c>
      <c r="CG166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66" s="72">
        <v>1</v>
      </c>
      <c r="CI166" s="72">
        <v>1</v>
      </c>
      <c r="CJ166" s="72" t="b">
        <v>0</v>
      </c>
      <c r="CL166" t="s">
        <v>256</v>
      </c>
      <c r="CM166">
        <v>1</v>
      </c>
      <c r="CN166">
        <v>150</v>
      </c>
      <c r="CO166">
        <v>100</v>
      </c>
      <c r="CP166" s="75">
        <f ca="1">INDIRECT(ADDRESS(11+(MATCH(RIGHT(Table12[[#This Row],[spawner_sku]],LEN(Table12[[#This Row],[spawner_sku]])-FIND("/",Table12[[#This Row],[spawner_sku]])),Table1[Entity Prefab],0)),10,1,1,"Entities"))</f>
        <v>25</v>
      </c>
      <c r="CQ166" s="75">
        <f ca="1">ROUND((Table12[[#This Row],[XP]]*Table12[[#This Row],[entity_spawned (AVG)]])*(Table12[[#This Row],[activating_chance]]/100),0)</f>
        <v>25</v>
      </c>
      <c r="CR166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66" s="72">
        <v>1</v>
      </c>
      <c r="CT166" s="72">
        <v>1</v>
      </c>
      <c r="CU166" s="72" t="b">
        <v>0</v>
      </c>
      <c r="CW166" t="s">
        <v>396</v>
      </c>
      <c r="CX166">
        <v>2.5</v>
      </c>
      <c r="CY166">
        <v>120</v>
      </c>
      <c r="CZ166">
        <v>100</v>
      </c>
      <c r="DA166" s="75">
        <f ca="1">INDIRECT(ADDRESS(11+(MATCH(RIGHT(Table13[[#This Row],[spawner_sku]],LEN(Table13[[#This Row],[spawner_sku]])-FIND("/",Table13[[#This Row],[spawner_sku]])),Table1[Entity Prefab],0)),10,1,1,"Entities"))</f>
        <v>25</v>
      </c>
      <c r="DB166" s="75">
        <f ca="1">ROUND((Table13[[#This Row],[XP]]*Table13[[#This Row],[entity_spawned (AVG)]])*(Table13[[#This Row],[activating_chance]]/100),0)</f>
        <v>63</v>
      </c>
      <c r="DC166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166" s="72">
        <v>2</v>
      </c>
      <c r="DE166" s="72">
        <v>3</v>
      </c>
      <c r="DF166" s="72" t="b">
        <v>0</v>
      </c>
      <c r="DH166" t="s">
        <v>231</v>
      </c>
      <c r="DI166">
        <v>1</v>
      </c>
      <c r="DJ166">
        <v>5000</v>
      </c>
      <c r="DK166">
        <v>75</v>
      </c>
      <c r="DL166" s="75">
        <f ca="1">INDIRECT(ADDRESS(11+(MATCH(RIGHT(Table14[[#This Row],[spawner_sku]],LEN(Table14[[#This Row],[spawner_sku]])-FIND("/",Table14[[#This Row],[spawner_sku]])),Table1[Entity Prefab],0)),10,1,1,"Entities"))</f>
        <v>75</v>
      </c>
      <c r="DM166" s="75">
        <f ca="1">ROUND((Table14[[#This Row],[XP]]*Table14[[#This Row],[entity_spawned (AVG)]])*(Table14[[#This Row],[activating_chance]]/100),0)</f>
        <v>56</v>
      </c>
      <c r="DN16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66" s="72">
        <v>1</v>
      </c>
      <c r="DP166" s="72">
        <v>1</v>
      </c>
      <c r="DQ166" s="72" t="b">
        <v>0</v>
      </c>
      <c r="DS166" t="s">
        <v>389</v>
      </c>
      <c r="DT166">
        <v>1</v>
      </c>
      <c r="DU166">
        <v>350</v>
      </c>
      <c r="DV166">
        <v>100</v>
      </c>
      <c r="DW166" s="75">
        <f ca="1">INDIRECT(ADDRESS(11+(MATCH(RIGHT(Table18[[#This Row],[spawner_sku]],LEN(Table18[[#This Row],[spawner_sku]])-FIND("/",Table18[[#This Row],[spawner_sku]])),Table1[Entity Prefab],0)),10,1,1,"Entities"))</f>
        <v>0</v>
      </c>
      <c r="DX166" s="75">
        <f ca="1">ROUND((Table18[[#This Row],[XP]]*Table18[[#This Row],[entity_spawned (AVG)]])*(Table18[[#This Row],[activating_chance]]/100),0)</f>
        <v>0</v>
      </c>
      <c r="DY16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66">
        <v>1</v>
      </c>
      <c r="EA166">
        <v>1</v>
      </c>
      <c r="EB166" t="b">
        <v>0</v>
      </c>
      <c r="ED166" t="s">
        <v>389</v>
      </c>
      <c r="EE166">
        <v>1</v>
      </c>
      <c r="EF166">
        <v>450</v>
      </c>
      <c r="EG166">
        <v>100</v>
      </c>
      <c r="EH166" s="75">
        <f ca="1">INDIRECT(ADDRESS(11+(MATCH(RIGHT(Table1820[[#This Row],[spawner_sku]],LEN(Table1820[[#This Row],[spawner_sku]])-FIND("/",Table1820[[#This Row],[spawner_sku]])),Table1[Entity Prefab],0)),10,1,1,"Entities"))</f>
        <v>0</v>
      </c>
      <c r="EI166" s="75">
        <f ca="1">ROUND((Table1820[[#This Row],[XP]]*Table1820[[#This Row],[entity_spawned (AVG)]])*(Table1820[[#This Row],[activating_chance]]/100),0)</f>
        <v>0</v>
      </c>
      <c r="EJ16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66">
        <v>1</v>
      </c>
      <c r="EL166">
        <v>1</v>
      </c>
      <c r="EM166" t="b">
        <v>0</v>
      </c>
      <c r="EZ166" t="s">
        <v>7348</v>
      </c>
      <c r="FA166">
        <v>3.5</v>
      </c>
      <c r="FB166">
        <v>80</v>
      </c>
      <c r="FC166">
        <v>100</v>
      </c>
      <c r="FD166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166" s="75">
        <f ca="1">ROUND((Table18202324[[#This Row],[XP]]*Table18202324[[#This Row],[entity_spawned (AVG)]])*(Table18202324[[#This Row],[activating_chance]]/100),0)</f>
        <v>88</v>
      </c>
      <c r="FF166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66">
        <v>3</v>
      </c>
      <c r="FH166">
        <v>4</v>
      </c>
      <c r="FI166" t="b">
        <v>0</v>
      </c>
    </row>
    <row r="167" spans="2:165" x14ac:dyDescent="0.25">
      <c r="B167" s="73" t="s">
        <v>228</v>
      </c>
      <c r="C167">
        <v>1.5</v>
      </c>
      <c r="D167">
        <v>100</v>
      </c>
      <c r="E167">
        <v>100</v>
      </c>
      <c r="F167" s="75">
        <f ca="1">INDIRECT(ADDRESS(11+(MATCH(RIGHT(Table245[[#This Row],[spawner_sku]],LEN(Table245[[#This Row],[spawner_sku]])-FIND("/",Table245[[#This Row],[spawner_sku]])),Table1[Entity Prefab],0)),10,1,1,"Entities"))</f>
        <v>25</v>
      </c>
      <c r="G167" s="75">
        <f ca="1">ROUND((Table245[[#This Row],[XP]]*Table245[[#This Row],[entity_spawned (AVG)]])*(Table245[[#This Row],[activating_chance]]/100),0)</f>
        <v>38</v>
      </c>
      <c r="H16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7" s="72">
        <v>1</v>
      </c>
      <c r="J167" s="72">
        <v>2</v>
      </c>
      <c r="K167" s="72" t="b">
        <v>0</v>
      </c>
      <c r="M167" t="s">
        <v>394</v>
      </c>
      <c r="N167">
        <v>1</v>
      </c>
      <c r="O167">
        <v>240</v>
      </c>
      <c r="P167">
        <v>100</v>
      </c>
      <c r="Q167" s="75">
        <f ca="1">INDIRECT(ADDRESS(11+(MATCH(RIGHT(Table3[[#This Row],[spawner_sku]],LEN(Table3[[#This Row],[spawner_sku]])-FIND("/",Table3[[#This Row],[spawner_sku]])),Table1[Entity Prefab],0)),10,1,1,"Entities"))</f>
        <v>50</v>
      </c>
      <c r="R167" s="75">
        <f ca="1">ROUND((Table3[[#This Row],[XP]]*Table3[[#This Row],[entity_spawned (AVG)]])*(Table3[[#This Row],[activating_chance]]/100),0)</f>
        <v>50</v>
      </c>
      <c r="S167" t="str">
        <f ca="1">INDIRECT(ADDRESS(11+(MATCH(RIGHT(Table3[[#This Row],[spawner_sku]],LEN(Table3[[#This Row],[spawner_sku]])-FIND("/",Table3[[#This Row],[spawner_sku]])),Table28[Entity Prefab],0)),24,1,1,"Entities"))</f>
        <v>no</v>
      </c>
      <c r="T167">
        <v>1</v>
      </c>
      <c r="U167">
        <v>1</v>
      </c>
      <c r="V167" t="b">
        <v>0</v>
      </c>
      <c r="W167" s="72"/>
      <c r="AI167" t="s">
        <v>232</v>
      </c>
      <c r="AJ167">
        <v>1</v>
      </c>
      <c r="AK167">
        <v>250</v>
      </c>
      <c r="AL167">
        <v>100</v>
      </c>
      <c r="AM167" s="75">
        <f ca="1">INDIRECT(ADDRESS(11+(MATCH(RIGHT(Table2[[#This Row],[spawner_sku]],LEN(Table2[[#This Row],[spawner_sku]])-FIND("/",Table2[[#This Row],[spawner_sku]])),Table1[Entity Prefab],0)),10,1,1,"Entities"))</f>
        <v>143</v>
      </c>
      <c r="AN167" s="75">
        <f ca="1">ROUND((Table2[[#This Row],[XP]]*Table2[[#This Row],[entity_spawned (AVG)]])*(Table2[[#This Row],[activating_chance]]/100),0)</f>
        <v>143</v>
      </c>
      <c r="AO16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67" s="72">
        <v>1</v>
      </c>
      <c r="AQ167" s="72">
        <v>1</v>
      </c>
      <c r="AR167" s="72" t="b">
        <v>0</v>
      </c>
      <c r="AT167" t="s">
        <v>253</v>
      </c>
      <c r="AU167">
        <v>1</v>
      </c>
      <c r="AV167">
        <v>170</v>
      </c>
      <c r="AW167">
        <v>100</v>
      </c>
      <c r="AX167" s="75">
        <f ca="1">INDIRECT(ADDRESS(11+(MATCH(RIGHT(Table6[[#This Row],[spawner_sku]],LEN(Table6[[#This Row],[spawner_sku]])-FIND("/",Table6[[#This Row],[spawner_sku]])),Table1[Entity Prefab],0)),10,1,1,"Entities"))</f>
        <v>70</v>
      </c>
      <c r="AY167" s="75">
        <f ca="1">ROUND((Table6[[#This Row],[XP]]*Table6[[#This Row],[entity_spawned (AVG)]])*(Table6[[#This Row],[activating_chance]]/100),0)</f>
        <v>70</v>
      </c>
      <c r="AZ167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67">
        <v>1</v>
      </c>
      <c r="BB167">
        <v>1</v>
      </c>
      <c r="BC167" t="b">
        <v>0</v>
      </c>
      <c r="BE167" t="s">
        <v>247</v>
      </c>
      <c r="BF167">
        <v>1</v>
      </c>
      <c r="BG167">
        <v>420</v>
      </c>
      <c r="BH167">
        <v>100</v>
      </c>
      <c r="BI167" s="75">
        <f ca="1">INDIRECT(ADDRESS(11+(MATCH(RIGHT(Table610[[#This Row],[spawner_sku]],LEN(Table610[[#This Row],[spawner_sku]])-FIND("/",Table610[[#This Row],[spawner_sku]])),Table1[Entity Prefab],0)),10,1,1,"Entities"))</f>
        <v>83</v>
      </c>
      <c r="BJ167" s="75">
        <f ca="1">ROUND((Table610[[#This Row],[XP]]*Table610[[#This Row],[entity_spawned (AVG)]])*(Table610[[#This Row],[activating_chance]]/100),0)</f>
        <v>83</v>
      </c>
      <c r="BK167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67">
        <v>1</v>
      </c>
      <c r="BM167">
        <v>1</v>
      </c>
      <c r="BN167" t="b">
        <v>0</v>
      </c>
      <c r="BP167" t="s">
        <v>402</v>
      </c>
      <c r="BQ167">
        <v>1</v>
      </c>
      <c r="BR167">
        <v>340</v>
      </c>
      <c r="BS167">
        <v>100</v>
      </c>
      <c r="BT167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67" s="75">
        <f ca="1">ROUND((Table61011[[#This Row],[XP]]*Table61011[[#This Row],[entity_spawned (AVG)]])*(Table61011[[#This Row],[activating_chance]]/100),0)</f>
        <v>263</v>
      </c>
      <c r="BV16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7" s="72">
        <v>1</v>
      </c>
      <c r="BX167" s="72">
        <v>1</v>
      </c>
      <c r="BY167" s="72" t="b">
        <v>0</v>
      </c>
      <c r="CA167" t="s">
        <v>242</v>
      </c>
      <c r="CB167">
        <v>1</v>
      </c>
      <c r="CC167">
        <v>1500</v>
      </c>
      <c r="CD167">
        <v>100</v>
      </c>
      <c r="CE167" s="75">
        <f ca="1">INDIRECT(ADDRESS(11+(MATCH(RIGHT(Table11[[#This Row],[spawner_sku]],LEN(Table11[[#This Row],[spawner_sku]])-FIND("/",Table11[[#This Row],[spawner_sku]])),Table1[Entity Prefab],0)),10,1,1,"Entities"))</f>
        <v>130</v>
      </c>
      <c r="CF167">
        <f ca="1">ROUND((Table11[[#This Row],[XP]]*Table11[[#This Row],[entity_spawned (AVG)]])*(Table11[[#This Row],[activating_chance]]/100),0)</f>
        <v>130</v>
      </c>
      <c r="CG167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67" s="72">
        <v>1</v>
      </c>
      <c r="CI167" s="72">
        <v>1</v>
      </c>
      <c r="CJ167" s="72" t="b">
        <v>0</v>
      </c>
      <c r="CL167" t="s">
        <v>256</v>
      </c>
      <c r="CM167">
        <v>1</v>
      </c>
      <c r="CN167">
        <v>150</v>
      </c>
      <c r="CO167">
        <v>100</v>
      </c>
      <c r="CP167" s="75">
        <f ca="1">INDIRECT(ADDRESS(11+(MATCH(RIGHT(Table12[[#This Row],[spawner_sku]],LEN(Table12[[#This Row],[spawner_sku]])-FIND("/",Table12[[#This Row],[spawner_sku]])),Table1[Entity Prefab],0)),10,1,1,"Entities"))</f>
        <v>25</v>
      </c>
      <c r="CQ167" s="75">
        <f ca="1">ROUND((Table12[[#This Row],[XP]]*Table12[[#This Row],[entity_spawned (AVG)]])*(Table12[[#This Row],[activating_chance]]/100),0)</f>
        <v>25</v>
      </c>
      <c r="CR167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67" s="72">
        <v>1</v>
      </c>
      <c r="CT167" s="72">
        <v>1</v>
      </c>
      <c r="CU167" s="72" t="b">
        <v>0</v>
      </c>
      <c r="CW167" t="s">
        <v>396</v>
      </c>
      <c r="CX167">
        <v>2</v>
      </c>
      <c r="CY167">
        <v>100</v>
      </c>
      <c r="CZ167">
        <v>100</v>
      </c>
      <c r="DA167" s="75">
        <f ca="1">INDIRECT(ADDRESS(11+(MATCH(RIGHT(Table13[[#This Row],[spawner_sku]],LEN(Table13[[#This Row],[spawner_sku]])-FIND("/",Table13[[#This Row],[spawner_sku]])),Table1[Entity Prefab],0)),10,1,1,"Entities"))</f>
        <v>25</v>
      </c>
      <c r="DB167" s="75">
        <f ca="1">ROUND((Table13[[#This Row],[XP]]*Table13[[#This Row],[entity_spawned (AVG)]])*(Table13[[#This Row],[activating_chance]]/100),0)</f>
        <v>50</v>
      </c>
      <c r="DC167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167" s="72">
        <v>1</v>
      </c>
      <c r="DE167" s="72">
        <v>3</v>
      </c>
      <c r="DF167" s="72" t="b">
        <v>0</v>
      </c>
      <c r="DH167" t="s">
        <v>231</v>
      </c>
      <c r="DI167">
        <v>1</v>
      </c>
      <c r="DJ167">
        <v>5000</v>
      </c>
      <c r="DK167">
        <v>75</v>
      </c>
      <c r="DL167" s="75">
        <f ca="1">INDIRECT(ADDRESS(11+(MATCH(RIGHT(Table14[[#This Row],[spawner_sku]],LEN(Table14[[#This Row],[spawner_sku]])-FIND("/",Table14[[#This Row],[spawner_sku]])),Table1[Entity Prefab],0)),10,1,1,"Entities"))</f>
        <v>75</v>
      </c>
      <c r="DM167" s="75">
        <f ca="1">ROUND((Table14[[#This Row],[XP]]*Table14[[#This Row],[entity_spawned (AVG)]])*(Table14[[#This Row],[activating_chance]]/100),0)</f>
        <v>56</v>
      </c>
      <c r="DN16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67" s="72">
        <v>1</v>
      </c>
      <c r="DP167" s="72">
        <v>1</v>
      </c>
      <c r="DQ167" s="72" t="b">
        <v>0</v>
      </c>
      <c r="DS167" t="s">
        <v>471</v>
      </c>
      <c r="DT167">
        <v>1</v>
      </c>
      <c r="DU167">
        <v>180</v>
      </c>
      <c r="DV167">
        <v>100</v>
      </c>
      <c r="DW167" s="75">
        <f ca="1">INDIRECT(ADDRESS(11+(MATCH(RIGHT(Table18[[#This Row],[spawner_sku]],LEN(Table18[[#This Row],[spawner_sku]])-FIND("/",Table18[[#This Row],[spawner_sku]])),Table1[Entity Prefab],0)),10,1,1,"Entities"))</f>
        <v>105</v>
      </c>
      <c r="DX167" s="75">
        <f ca="1">ROUND((Table18[[#This Row],[XP]]*Table18[[#This Row],[entity_spawned (AVG)]])*(Table18[[#This Row],[activating_chance]]/100),0)</f>
        <v>105</v>
      </c>
      <c r="DY167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67">
        <v>1</v>
      </c>
      <c r="EA167">
        <v>1</v>
      </c>
      <c r="EB167" t="b">
        <v>0</v>
      </c>
      <c r="ED167" t="s">
        <v>389</v>
      </c>
      <c r="EE167">
        <v>1</v>
      </c>
      <c r="EF167">
        <v>450</v>
      </c>
      <c r="EG167">
        <v>10</v>
      </c>
      <c r="EH167" s="75">
        <f ca="1">INDIRECT(ADDRESS(11+(MATCH(RIGHT(Table1820[[#This Row],[spawner_sku]],LEN(Table1820[[#This Row],[spawner_sku]])-FIND("/",Table1820[[#This Row],[spawner_sku]])),Table1[Entity Prefab],0)),10,1,1,"Entities"))</f>
        <v>0</v>
      </c>
      <c r="EI167" s="75">
        <f ca="1">ROUND((Table1820[[#This Row],[XP]]*Table1820[[#This Row],[entity_spawned (AVG)]])*(Table1820[[#This Row],[activating_chance]]/100),0)</f>
        <v>0</v>
      </c>
      <c r="EJ16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67">
        <v>1</v>
      </c>
      <c r="EL167">
        <v>1</v>
      </c>
      <c r="EM167" t="b">
        <v>0</v>
      </c>
      <c r="EZ167" t="s">
        <v>7348</v>
      </c>
      <c r="FA167">
        <v>2</v>
      </c>
      <c r="FB167">
        <v>80</v>
      </c>
      <c r="FC167">
        <v>100</v>
      </c>
      <c r="FD167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167" s="75">
        <f ca="1">ROUND((Table18202324[[#This Row],[XP]]*Table18202324[[#This Row],[entity_spawned (AVG)]])*(Table18202324[[#This Row],[activating_chance]]/100),0)</f>
        <v>50</v>
      </c>
      <c r="FF167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67">
        <v>1</v>
      </c>
      <c r="FH167">
        <v>3</v>
      </c>
      <c r="FI167" t="b">
        <v>0</v>
      </c>
    </row>
    <row r="168" spans="2:165" x14ac:dyDescent="0.25">
      <c r="B168" s="73" t="s">
        <v>228</v>
      </c>
      <c r="C168">
        <v>1.5</v>
      </c>
      <c r="D168">
        <v>160</v>
      </c>
      <c r="E168">
        <v>70</v>
      </c>
      <c r="F168" s="75">
        <f ca="1">INDIRECT(ADDRESS(11+(MATCH(RIGHT(Table245[[#This Row],[spawner_sku]],LEN(Table245[[#This Row],[spawner_sku]])-FIND("/",Table245[[#This Row],[spawner_sku]])),Table1[Entity Prefab],0)),10,1,1,"Entities"))</f>
        <v>25</v>
      </c>
      <c r="G168" s="75">
        <f ca="1">ROUND((Table245[[#This Row],[XP]]*Table245[[#This Row],[entity_spawned (AVG)]])*(Table245[[#This Row],[activating_chance]]/100),0)</f>
        <v>26</v>
      </c>
      <c r="H16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8" s="72">
        <v>1</v>
      </c>
      <c r="J168" s="72">
        <v>2</v>
      </c>
      <c r="K168" s="72" t="b">
        <v>0</v>
      </c>
      <c r="M168" t="s">
        <v>394</v>
      </c>
      <c r="N168">
        <v>1</v>
      </c>
      <c r="O168">
        <v>220</v>
      </c>
      <c r="P168">
        <v>100</v>
      </c>
      <c r="Q168" s="75">
        <f ca="1">INDIRECT(ADDRESS(11+(MATCH(RIGHT(Table3[[#This Row],[spawner_sku]],LEN(Table3[[#This Row],[spawner_sku]])-FIND("/",Table3[[#This Row],[spawner_sku]])),Table1[Entity Prefab],0)),10,1,1,"Entities"))</f>
        <v>50</v>
      </c>
      <c r="R168" s="75">
        <f ca="1">ROUND((Table3[[#This Row],[XP]]*Table3[[#This Row],[entity_spawned (AVG)]])*(Table3[[#This Row],[activating_chance]]/100),0)</f>
        <v>50</v>
      </c>
      <c r="S168" t="str">
        <f ca="1">INDIRECT(ADDRESS(11+(MATCH(RIGHT(Table3[[#This Row],[spawner_sku]],LEN(Table3[[#This Row],[spawner_sku]])-FIND("/",Table3[[#This Row],[spawner_sku]])),Table28[Entity Prefab],0)),24,1,1,"Entities"))</f>
        <v>no</v>
      </c>
      <c r="T168">
        <v>1</v>
      </c>
      <c r="U168">
        <v>1</v>
      </c>
      <c r="V168" t="b">
        <v>0</v>
      </c>
      <c r="W168" s="72"/>
      <c r="AI168" t="s">
        <v>232</v>
      </c>
      <c r="AJ168">
        <v>1</v>
      </c>
      <c r="AK168">
        <v>250</v>
      </c>
      <c r="AL168">
        <v>100</v>
      </c>
      <c r="AM168" s="75">
        <f ca="1">INDIRECT(ADDRESS(11+(MATCH(RIGHT(Table2[[#This Row],[spawner_sku]],LEN(Table2[[#This Row],[spawner_sku]])-FIND("/",Table2[[#This Row],[spawner_sku]])),Table1[Entity Prefab],0)),10,1,1,"Entities"))</f>
        <v>143</v>
      </c>
      <c r="AN168" s="75">
        <f ca="1">ROUND((Table2[[#This Row],[XP]]*Table2[[#This Row],[entity_spawned (AVG)]])*(Table2[[#This Row],[activating_chance]]/100),0)</f>
        <v>143</v>
      </c>
      <c r="AO16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68" s="72">
        <v>1</v>
      </c>
      <c r="AQ168" s="72">
        <v>1</v>
      </c>
      <c r="AR168" s="72" t="b">
        <v>0</v>
      </c>
      <c r="AT168" t="s">
        <v>253</v>
      </c>
      <c r="AU168">
        <v>1</v>
      </c>
      <c r="AV168">
        <v>170</v>
      </c>
      <c r="AW168">
        <v>100</v>
      </c>
      <c r="AX168" s="75">
        <f ca="1">INDIRECT(ADDRESS(11+(MATCH(RIGHT(Table6[[#This Row],[spawner_sku]],LEN(Table6[[#This Row],[spawner_sku]])-FIND("/",Table6[[#This Row],[spawner_sku]])),Table1[Entity Prefab],0)),10,1,1,"Entities"))</f>
        <v>70</v>
      </c>
      <c r="AY168" s="75">
        <f ca="1">ROUND((Table6[[#This Row],[XP]]*Table6[[#This Row],[entity_spawned (AVG)]])*(Table6[[#This Row],[activating_chance]]/100),0)</f>
        <v>70</v>
      </c>
      <c r="AZ168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68">
        <v>1</v>
      </c>
      <c r="BB168">
        <v>1</v>
      </c>
      <c r="BC168" t="b">
        <v>0</v>
      </c>
      <c r="BE168" t="s">
        <v>396</v>
      </c>
      <c r="BF168">
        <v>1.5</v>
      </c>
      <c r="BG168">
        <v>150</v>
      </c>
      <c r="BH168">
        <v>100</v>
      </c>
      <c r="BI168" s="75">
        <f ca="1">INDIRECT(ADDRESS(11+(MATCH(RIGHT(Table610[[#This Row],[spawner_sku]],LEN(Table610[[#This Row],[spawner_sku]])-FIND("/",Table610[[#This Row],[spawner_sku]])),Table1[Entity Prefab],0)),10,1,1,"Entities"))</f>
        <v>25</v>
      </c>
      <c r="BJ168" s="75">
        <f ca="1">ROUND((Table610[[#This Row],[XP]]*Table610[[#This Row],[entity_spawned (AVG)]])*(Table610[[#This Row],[activating_chance]]/100),0)</f>
        <v>38</v>
      </c>
      <c r="BK168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68">
        <v>1</v>
      </c>
      <c r="BM168">
        <v>2</v>
      </c>
      <c r="BN168" t="b">
        <v>0</v>
      </c>
      <c r="BP168" t="s">
        <v>402</v>
      </c>
      <c r="BQ168">
        <v>1</v>
      </c>
      <c r="BR168">
        <v>340</v>
      </c>
      <c r="BS168">
        <v>100</v>
      </c>
      <c r="BT168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68" s="75">
        <f ca="1">ROUND((Table61011[[#This Row],[XP]]*Table61011[[#This Row],[entity_spawned (AVG)]])*(Table61011[[#This Row],[activating_chance]]/100),0)</f>
        <v>263</v>
      </c>
      <c r="BV16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8" s="72">
        <v>1</v>
      </c>
      <c r="BX168" s="72">
        <v>1</v>
      </c>
      <c r="BY168" s="72" t="b">
        <v>0</v>
      </c>
      <c r="CA168" t="s">
        <v>242</v>
      </c>
      <c r="CB168">
        <v>1</v>
      </c>
      <c r="CC168">
        <v>1500</v>
      </c>
      <c r="CD168">
        <v>80</v>
      </c>
      <c r="CE168" s="75">
        <f ca="1">INDIRECT(ADDRESS(11+(MATCH(RIGHT(Table11[[#This Row],[spawner_sku]],LEN(Table11[[#This Row],[spawner_sku]])-FIND("/",Table11[[#This Row],[spawner_sku]])),Table1[Entity Prefab],0)),10,1,1,"Entities"))</f>
        <v>130</v>
      </c>
      <c r="CF168">
        <f ca="1">ROUND((Table11[[#This Row],[XP]]*Table11[[#This Row],[entity_spawned (AVG)]])*(Table11[[#This Row],[activating_chance]]/100),0)</f>
        <v>104</v>
      </c>
      <c r="CG168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68" s="72">
        <v>1</v>
      </c>
      <c r="CI168" s="72">
        <v>1</v>
      </c>
      <c r="CJ168" s="72" t="b">
        <v>0</v>
      </c>
      <c r="CL168" t="s">
        <v>256</v>
      </c>
      <c r="CM168">
        <v>1</v>
      </c>
      <c r="CN168">
        <v>150</v>
      </c>
      <c r="CO168">
        <v>100</v>
      </c>
      <c r="CP168" s="75">
        <f ca="1">INDIRECT(ADDRESS(11+(MATCH(RIGHT(Table12[[#This Row],[spawner_sku]],LEN(Table12[[#This Row],[spawner_sku]])-FIND("/",Table12[[#This Row],[spawner_sku]])),Table1[Entity Prefab],0)),10,1,1,"Entities"))</f>
        <v>25</v>
      </c>
      <c r="CQ168" s="75">
        <f ca="1">ROUND((Table12[[#This Row],[XP]]*Table12[[#This Row],[entity_spawned (AVG)]])*(Table12[[#This Row],[activating_chance]]/100),0)</f>
        <v>25</v>
      </c>
      <c r="CR168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68" s="72">
        <v>1</v>
      </c>
      <c r="CT168" s="72">
        <v>1</v>
      </c>
      <c r="CU168" s="72" t="b">
        <v>0</v>
      </c>
      <c r="CW168" t="s">
        <v>450</v>
      </c>
      <c r="CX168">
        <v>3.5</v>
      </c>
      <c r="CY168">
        <v>120</v>
      </c>
      <c r="CZ168">
        <v>100</v>
      </c>
      <c r="DA168" s="75">
        <f ca="1">INDIRECT(ADDRESS(11+(MATCH(RIGHT(Table13[[#This Row],[spawner_sku]],LEN(Table13[[#This Row],[spawner_sku]])-FIND("/",Table13[[#This Row],[spawner_sku]])),Table1[Entity Prefab],0)),10,1,1,"Entities"))</f>
        <v>25</v>
      </c>
      <c r="DB168" s="75">
        <f ca="1">ROUND((Table13[[#This Row],[XP]]*Table13[[#This Row],[entity_spawned (AVG)]])*(Table13[[#This Row],[activating_chance]]/100),0)</f>
        <v>88</v>
      </c>
      <c r="DC168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168" s="72">
        <v>3</v>
      </c>
      <c r="DE168" s="72">
        <v>4</v>
      </c>
      <c r="DF168" s="72" t="b">
        <v>0</v>
      </c>
      <c r="DH168" t="s">
        <v>231</v>
      </c>
      <c r="DI168">
        <v>1</v>
      </c>
      <c r="DJ168">
        <v>5000</v>
      </c>
      <c r="DK168">
        <v>75</v>
      </c>
      <c r="DL168" s="75">
        <f ca="1">INDIRECT(ADDRESS(11+(MATCH(RIGHT(Table14[[#This Row],[spawner_sku]],LEN(Table14[[#This Row],[spawner_sku]])-FIND("/",Table14[[#This Row],[spawner_sku]])),Table1[Entity Prefab],0)),10,1,1,"Entities"))</f>
        <v>75</v>
      </c>
      <c r="DM168" s="75">
        <f ca="1">ROUND((Table14[[#This Row],[XP]]*Table14[[#This Row],[entity_spawned (AVG)]])*(Table14[[#This Row],[activating_chance]]/100),0)</f>
        <v>56</v>
      </c>
      <c r="DN16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68" s="72">
        <v>1</v>
      </c>
      <c r="DP168" s="72">
        <v>1</v>
      </c>
      <c r="DQ168" s="72" t="b">
        <v>0</v>
      </c>
      <c r="DS168" t="s">
        <v>472</v>
      </c>
      <c r="DT168">
        <v>1</v>
      </c>
      <c r="DU168">
        <v>280</v>
      </c>
      <c r="DV168">
        <v>100</v>
      </c>
      <c r="DW168" s="75">
        <f ca="1">INDIRECT(ADDRESS(11+(MATCH(RIGHT(Table18[[#This Row],[spawner_sku]],LEN(Table18[[#This Row],[spawner_sku]])-FIND("/",Table18[[#This Row],[spawner_sku]])),Table1[Entity Prefab],0)),10,1,1,"Entities"))</f>
        <v>143</v>
      </c>
      <c r="DX168" s="75">
        <f ca="1">ROUND((Table18[[#This Row],[XP]]*Table18[[#This Row],[entity_spawned (AVG)]])*(Table18[[#This Row],[activating_chance]]/100),0)</f>
        <v>143</v>
      </c>
      <c r="DY168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68">
        <v>1</v>
      </c>
      <c r="EA168">
        <v>1</v>
      </c>
      <c r="EB168" t="b">
        <v>0</v>
      </c>
      <c r="ED168" t="s">
        <v>389</v>
      </c>
      <c r="EE168">
        <v>1</v>
      </c>
      <c r="EF168">
        <v>450</v>
      </c>
      <c r="EG168">
        <v>100</v>
      </c>
      <c r="EH168" s="75">
        <f ca="1">INDIRECT(ADDRESS(11+(MATCH(RIGHT(Table1820[[#This Row],[spawner_sku]],LEN(Table1820[[#This Row],[spawner_sku]])-FIND("/",Table1820[[#This Row],[spawner_sku]])),Table1[Entity Prefab],0)),10,1,1,"Entities"))</f>
        <v>0</v>
      </c>
      <c r="EI168" s="75">
        <f ca="1">ROUND((Table1820[[#This Row],[XP]]*Table1820[[#This Row],[entity_spawned (AVG)]])*(Table1820[[#This Row],[activating_chance]]/100),0)</f>
        <v>0</v>
      </c>
      <c r="EJ16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68">
        <v>1</v>
      </c>
      <c r="EL168">
        <v>1</v>
      </c>
      <c r="EM168" t="b">
        <v>0</v>
      </c>
      <c r="EZ168" t="s">
        <v>7348</v>
      </c>
      <c r="FA168">
        <v>1.5</v>
      </c>
      <c r="FB168">
        <v>70</v>
      </c>
      <c r="FC168">
        <v>100</v>
      </c>
      <c r="FD168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168" s="75">
        <f ca="1">ROUND((Table18202324[[#This Row],[XP]]*Table18202324[[#This Row],[entity_spawned (AVG)]])*(Table18202324[[#This Row],[activating_chance]]/100),0)</f>
        <v>38</v>
      </c>
      <c r="FF168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68">
        <v>1</v>
      </c>
      <c r="FH168">
        <v>2</v>
      </c>
      <c r="FI168" t="b">
        <v>0</v>
      </c>
    </row>
    <row r="169" spans="2:165" x14ac:dyDescent="0.25">
      <c r="B169" s="73" t="s">
        <v>228</v>
      </c>
      <c r="C169">
        <v>1.5</v>
      </c>
      <c r="D169">
        <v>80</v>
      </c>
      <c r="E169">
        <v>40</v>
      </c>
      <c r="F169" s="75">
        <f ca="1">INDIRECT(ADDRESS(11+(MATCH(RIGHT(Table245[[#This Row],[spawner_sku]],LEN(Table245[[#This Row],[spawner_sku]])-FIND("/",Table245[[#This Row],[spawner_sku]])),Table1[Entity Prefab],0)),10,1,1,"Entities"))</f>
        <v>25</v>
      </c>
      <c r="G169" s="75">
        <f ca="1">ROUND((Table245[[#This Row],[XP]]*Table245[[#This Row],[entity_spawned (AVG)]])*(Table245[[#This Row],[activating_chance]]/100),0)</f>
        <v>15</v>
      </c>
      <c r="H16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9" s="72">
        <v>1</v>
      </c>
      <c r="J169" s="72">
        <v>2</v>
      </c>
      <c r="K169" s="72" t="b">
        <v>0</v>
      </c>
      <c r="M169" t="s">
        <v>394</v>
      </c>
      <c r="N169">
        <v>1</v>
      </c>
      <c r="O169">
        <v>260</v>
      </c>
      <c r="P169">
        <v>100</v>
      </c>
      <c r="Q169" s="75">
        <f ca="1">INDIRECT(ADDRESS(11+(MATCH(RIGHT(Table3[[#This Row],[spawner_sku]],LEN(Table3[[#This Row],[spawner_sku]])-FIND("/",Table3[[#This Row],[spawner_sku]])),Table1[Entity Prefab],0)),10,1,1,"Entities"))</f>
        <v>50</v>
      </c>
      <c r="R169" s="75">
        <f ca="1">ROUND((Table3[[#This Row],[XP]]*Table3[[#This Row],[entity_spawned (AVG)]])*(Table3[[#This Row],[activating_chance]]/100),0)</f>
        <v>50</v>
      </c>
      <c r="S169" t="str">
        <f ca="1">INDIRECT(ADDRESS(11+(MATCH(RIGHT(Table3[[#This Row],[spawner_sku]],LEN(Table3[[#This Row],[spawner_sku]])-FIND("/",Table3[[#This Row],[spawner_sku]])),Table28[Entity Prefab],0)),24,1,1,"Entities"))</f>
        <v>no</v>
      </c>
      <c r="T169">
        <v>1</v>
      </c>
      <c r="U169">
        <v>1</v>
      </c>
      <c r="V169" t="b">
        <v>0</v>
      </c>
      <c r="W169" s="72"/>
      <c r="AI169" t="s">
        <v>232</v>
      </c>
      <c r="AJ169">
        <v>1</v>
      </c>
      <c r="AK169">
        <v>250</v>
      </c>
      <c r="AL169">
        <v>100</v>
      </c>
      <c r="AM169" s="75">
        <f ca="1">INDIRECT(ADDRESS(11+(MATCH(RIGHT(Table2[[#This Row],[spawner_sku]],LEN(Table2[[#This Row],[spawner_sku]])-FIND("/",Table2[[#This Row],[spawner_sku]])),Table1[Entity Prefab],0)),10,1,1,"Entities"))</f>
        <v>143</v>
      </c>
      <c r="AN169" s="75">
        <f ca="1">ROUND((Table2[[#This Row],[XP]]*Table2[[#This Row],[entity_spawned (AVG)]])*(Table2[[#This Row],[activating_chance]]/100),0)</f>
        <v>143</v>
      </c>
      <c r="AO16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69" s="72">
        <v>1</v>
      </c>
      <c r="AQ169" s="72">
        <v>1</v>
      </c>
      <c r="AR169" s="72" t="b">
        <v>0</v>
      </c>
      <c r="AT169" t="s">
        <v>253</v>
      </c>
      <c r="AU169">
        <v>1</v>
      </c>
      <c r="AV169">
        <v>170</v>
      </c>
      <c r="AW169">
        <v>100</v>
      </c>
      <c r="AX169" s="75">
        <f ca="1">INDIRECT(ADDRESS(11+(MATCH(RIGHT(Table6[[#This Row],[spawner_sku]],LEN(Table6[[#This Row],[spawner_sku]])-FIND("/",Table6[[#This Row],[spawner_sku]])),Table1[Entity Prefab],0)),10,1,1,"Entities"))</f>
        <v>70</v>
      </c>
      <c r="AY169" s="75">
        <f ca="1">ROUND((Table6[[#This Row],[XP]]*Table6[[#This Row],[entity_spawned (AVG)]])*(Table6[[#This Row],[activating_chance]]/100),0)</f>
        <v>70</v>
      </c>
      <c r="AZ169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69">
        <v>1</v>
      </c>
      <c r="BB169">
        <v>1</v>
      </c>
      <c r="BC169" t="b">
        <v>0</v>
      </c>
      <c r="BE169" t="s">
        <v>396</v>
      </c>
      <c r="BF169">
        <v>1</v>
      </c>
      <c r="BG169">
        <v>150</v>
      </c>
      <c r="BH169">
        <v>100</v>
      </c>
      <c r="BI169" s="75">
        <f ca="1">INDIRECT(ADDRESS(11+(MATCH(RIGHT(Table610[[#This Row],[spawner_sku]],LEN(Table610[[#This Row],[spawner_sku]])-FIND("/",Table610[[#This Row],[spawner_sku]])),Table1[Entity Prefab],0)),10,1,1,"Entities"))</f>
        <v>25</v>
      </c>
      <c r="BJ169" s="75">
        <f ca="1">ROUND((Table610[[#This Row],[XP]]*Table610[[#This Row],[entity_spawned (AVG)]])*(Table610[[#This Row],[activating_chance]]/100),0)</f>
        <v>25</v>
      </c>
      <c r="BK169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69">
        <v>1</v>
      </c>
      <c r="BM169">
        <v>1</v>
      </c>
      <c r="BN169" t="b">
        <v>0</v>
      </c>
      <c r="BP169" t="s">
        <v>402</v>
      </c>
      <c r="BQ169">
        <v>1</v>
      </c>
      <c r="BR169">
        <v>340</v>
      </c>
      <c r="BS169">
        <v>100</v>
      </c>
      <c r="BT169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69" s="75">
        <f ca="1">ROUND((Table61011[[#This Row],[XP]]*Table61011[[#This Row],[entity_spawned (AVG)]])*(Table61011[[#This Row],[activating_chance]]/100),0)</f>
        <v>263</v>
      </c>
      <c r="BV16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9" s="72">
        <v>1</v>
      </c>
      <c r="BX169" s="72">
        <v>1</v>
      </c>
      <c r="BY169" s="72" t="b">
        <v>0</v>
      </c>
      <c r="CA169" t="s">
        <v>242</v>
      </c>
      <c r="CB169">
        <v>1</v>
      </c>
      <c r="CC169">
        <v>1500</v>
      </c>
      <c r="CD169">
        <v>20</v>
      </c>
      <c r="CE169" s="75">
        <f ca="1">INDIRECT(ADDRESS(11+(MATCH(RIGHT(Table11[[#This Row],[spawner_sku]],LEN(Table11[[#This Row],[spawner_sku]])-FIND("/",Table11[[#This Row],[spawner_sku]])),Table1[Entity Prefab],0)),10,1,1,"Entities"))</f>
        <v>130</v>
      </c>
      <c r="CF169">
        <f ca="1">ROUND((Table11[[#This Row],[XP]]*Table11[[#This Row],[entity_spawned (AVG)]])*(Table11[[#This Row],[activating_chance]]/100),0)</f>
        <v>26</v>
      </c>
      <c r="CG169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69" s="72">
        <v>1</v>
      </c>
      <c r="CI169" s="72">
        <v>1</v>
      </c>
      <c r="CJ169" s="72" t="b">
        <v>0</v>
      </c>
      <c r="CL169" t="s">
        <v>256</v>
      </c>
      <c r="CM169">
        <v>1</v>
      </c>
      <c r="CN169">
        <v>150</v>
      </c>
      <c r="CO169">
        <v>100</v>
      </c>
      <c r="CP169" s="75">
        <f ca="1">INDIRECT(ADDRESS(11+(MATCH(RIGHT(Table12[[#This Row],[spawner_sku]],LEN(Table12[[#This Row],[spawner_sku]])-FIND("/",Table12[[#This Row],[spawner_sku]])),Table1[Entity Prefab],0)),10,1,1,"Entities"))</f>
        <v>25</v>
      </c>
      <c r="CQ169" s="75">
        <f ca="1">ROUND((Table12[[#This Row],[XP]]*Table12[[#This Row],[entity_spawned (AVG)]])*(Table12[[#This Row],[activating_chance]]/100),0)</f>
        <v>25</v>
      </c>
      <c r="CR169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69" s="72">
        <v>1</v>
      </c>
      <c r="CT169" s="72">
        <v>1</v>
      </c>
      <c r="CU169" s="72" t="b">
        <v>0</v>
      </c>
      <c r="CW169" t="s">
        <v>253</v>
      </c>
      <c r="CX169">
        <v>1</v>
      </c>
      <c r="CY169">
        <v>170</v>
      </c>
      <c r="CZ169">
        <v>80</v>
      </c>
      <c r="DA169" s="75">
        <f ca="1">INDIRECT(ADDRESS(11+(MATCH(RIGHT(Table13[[#This Row],[spawner_sku]],LEN(Table13[[#This Row],[spawner_sku]])-FIND("/",Table13[[#This Row],[spawner_sku]])),Table1[Entity Prefab],0)),10,1,1,"Entities"))</f>
        <v>70</v>
      </c>
      <c r="DB169" s="75">
        <f ca="1">ROUND((Table13[[#This Row],[XP]]*Table13[[#This Row],[entity_spawned (AVG)]])*(Table13[[#This Row],[activating_chance]]/100),0)</f>
        <v>56</v>
      </c>
      <c r="DC169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69" s="72">
        <v>1</v>
      </c>
      <c r="DE169" s="72">
        <v>1</v>
      </c>
      <c r="DF169" s="72" t="b">
        <v>0</v>
      </c>
      <c r="DH169" t="s">
        <v>231</v>
      </c>
      <c r="DI169">
        <v>1</v>
      </c>
      <c r="DJ169">
        <v>5000</v>
      </c>
      <c r="DK169">
        <v>75</v>
      </c>
      <c r="DL169" s="75">
        <f ca="1">INDIRECT(ADDRESS(11+(MATCH(RIGHT(Table14[[#This Row],[spawner_sku]],LEN(Table14[[#This Row],[spawner_sku]])-FIND("/",Table14[[#This Row],[spawner_sku]])),Table1[Entity Prefab],0)),10,1,1,"Entities"))</f>
        <v>75</v>
      </c>
      <c r="DM169" s="75">
        <f ca="1">ROUND((Table14[[#This Row],[XP]]*Table14[[#This Row],[entity_spawned (AVG)]])*(Table14[[#This Row],[activating_chance]]/100),0)</f>
        <v>56</v>
      </c>
      <c r="DN16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69" s="72">
        <v>1</v>
      </c>
      <c r="DP169" s="72">
        <v>1</v>
      </c>
      <c r="DQ169" s="72" t="b">
        <v>0</v>
      </c>
      <c r="DS169" t="s">
        <v>472</v>
      </c>
      <c r="DT169">
        <v>1</v>
      </c>
      <c r="DU169">
        <v>280</v>
      </c>
      <c r="DV169">
        <v>100</v>
      </c>
      <c r="DW169" s="75">
        <f ca="1">INDIRECT(ADDRESS(11+(MATCH(RIGHT(Table18[[#This Row],[spawner_sku]],LEN(Table18[[#This Row],[spawner_sku]])-FIND("/",Table18[[#This Row],[spawner_sku]])),Table1[Entity Prefab],0)),10,1,1,"Entities"))</f>
        <v>143</v>
      </c>
      <c r="DX169" s="75">
        <f ca="1">ROUND((Table18[[#This Row],[XP]]*Table18[[#This Row],[entity_spawned (AVG)]])*(Table18[[#This Row],[activating_chance]]/100),0)</f>
        <v>143</v>
      </c>
      <c r="DY169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69">
        <v>1</v>
      </c>
      <c r="EA169">
        <v>1</v>
      </c>
      <c r="EB169" t="b">
        <v>0</v>
      </c>
      <c r="ED169" t="s">
        <v>389</v>
      </c>
      <c r="EE169">
        <v>1</v>
      </c>
      <c r="EF169">
        <v>450</v>
      </c>
      <c r="EG169">
        <v>100</v>
      </c>
      <c r="EH169" s="75">
        <f ca="1">INDIRECT(ADDRESS(11+(MATCH(RIGHT(Table1820[[#This Row],[spawner_sku]],LEN(Table1820[[#This Row],[spawner_sku]])-FIND("/",Table1820[[#This Row],[spawner_sku]])),Table1[Entity Prefab],0)),10,1,1,"Entities"))</f>
        <v>0</v>
      </c>
      <c r="EI169" s="75">
        <f ca="1">ROUND((Table1820[[#This Row],[XP]]*Table1820[[#This Row],[entity_spawned (AVG)]])*(Table1820[[#This Row],[activating_chance]]/100),0)</f>
        <v>0</v>
      </c>
      <c r="EJ16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69">
        <v>1</v>
      </c>
      <c r="EL169">
        <v>1</v>
      </c>
      <c r="EM169" t="b">
        <v>0</v>
      </c>
      <c r="EZ169" t="s">
        <v>7348</v>
      </c>
      <c r="FA169">
        <v>3</v>
      </c>
      <c r="FB169">
        <v>70</v>
      </c>
      <c r="FC169">
        <v>100</v>
      </c>
      <c r="FD169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169" s="75">
        <f ca="1">ROUND((Table18202324[[#This Row],[XP]]*Table18202324[[#This Row],[entity_spawned (AVG)]])*(Table18202324[[#This Row],[activating_chance]]/100),0)</f>
        <v>75</v>
      </c>
      <c r="FF169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69">
        <v>2</v>
      </c>
      <c r="FH169">
        <v>4</v>
      </c>
      <c r="FI169" t="b">
        <v>0</v>
      </c>
    </row>
    <row r="170" spans="2:165" x14ac:dyDescent="0.25">
      <c r="B170" s="73" t="s">
        <v>228</v>
      </c>
      <c r="C170">
        <v>1</v>
      </c>
      <c r="D170">
        <v>70</v>
      </c>
      <c r="E170">
        <v>80</v>
      </c>
      <c r="F170" s="75">
        <f ca="1">INDIRECT(ADDRESS(11+(MATCH(RIGHT(Table245[[#This Row],[spawner_sku]],LEN(Table245[[#This Row],[spawner_sku]])-FIND("/",Table245[[#This Row],[spawner_sku]])),Table1[Entity Prefab],0)),10,1,1,"Entities"))</f>
        <v>25</v>
      </c>
      <c r="G170" s="75">
        <f ca="1">ROUND((Table245[[#This Row],[XP]]*Table245[[#This Row],[entity_spawned (AVG)]])*(Table245[[#This Row],[activating_chance]]/100),0)</f>
        <v>20</v>
      </c>
      <c r="H17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0" s="72">
        <v>1</v>
      </c>
      <c r="J170" s="72">
        <v>1</v>
      </c>
      <c r="K170" s="72" t="b">
        <v>0</v>
      </c>
      <c r="M170" t="s">
        <v>511</v>
      </c>
      <c r="N170">
        <v>1</v>
      </c>
      <c r="O170">
        <v>220</v>
      </c>
      <c r="P170">
        <v>100</v>
      </c>
      <c r="Q170" s="75">
        <f ca="1">INDIRECT(ADDRESS(11+(MATCH(RIGHT(Table3[[#This Row],[spawner_sku]],LEN(Table3[[#This Row],[spawner_sku]])-FIND("/",Table3[[#This Row],[spawner_sku]])),Table1[Entity Prefab],0)),10,1,1,"Entities"))</f>
        <v>50</v>
      </c>
      <c r="R170" s="75">
        <f ca="1">ROUND((Table3[[#This Row],[XP]]*Table3[[#This Row],[entity_spawned (AVG)]])*(Table3[[#This Row],[activating_chance]]/100),0)</f>
        <v>50</v>
      </c>
      <c r="S170" t="str">
        <f ca="1">INDIRECT(ADDRESS(11+(MATCH(RIGHT(Table3[[#This Row],[spawner_sku]],LEN(Table3[[#This Row],[spawner_sku]])-FIND("/",Table3[[#This Row],[spawner_sku]])),Table28[Entity Prefab],0)),24,1,1,"Entities"))</f>
        <v>no</v>
      </c>
      <c r="T170">
        <v>1</v>
      </c>
      <c r="U170">
        <v>1</v>
      </c>
      <c r="V170" t="b">
        <v>0</v>
      </c>
      <c r="W170" s="72"/>
      <c r="AI170" t="s">
        <v>232</v>
      </c>
      <c r="AJ170">
        <v>1</v>
      </c>
      <c r="AK170">
        <v>250</v>
      </c>
      <c r="AL170">
        <v>100</v>
      </c>
      <c r="AM170" s="75">
        <f ca="1">INDIRECT(ADDRESS(11+(MATCH(RIGHT(Table2[[#This Row],[spawner_sku]],LEN(Table2[[#This Row],[spawner_sku]])-FIND("/",Table2[[#This Row],[spawner_sku]])),Table1[Entity Prefab],0)),10,1,1,"Entities"))</f>
        <v>143</v>
      </c>
      <c r="AN170" s="75">
        <f ca="1">ROUND((Table2[[#This Row],[XP]]*Table2[[#This Row],[entity_spawned (AVG)]])*(Table2[[#This Row],[activating_chance]]/100),0)</f>
        <v>143</v>
      </c>
      <c r="AO17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70" s="72">
        <v>1</v>
      </c>
      <c r="AQ170" s="72">
        <v>1</v>
      </c>
      <c r="AR170" s="72" t="b">
        <v>0</v>
      </c>
      <c r="AT170" t="s">
        <v>254</v>
      </c>
      <c r="AU170">
        <v>1</v>
      </c>
      <c r="AV170">
        <v>170</v>
      </c>
      <c r="AW170">
        <v>100</v>
      </c>
      <c r="AX170" s="75">
        <f ca="1">INDIRECT(ADDRESS(11+(MATCH(RIGHT(Table6[[#This Row],[spawner_sku]],LEN(Table6[[#This Row],[spawner_sku]])-FIND("/",Table6[[#This Row],[spawner_sku]])),Table1[Entity Prefab],0)),10,1,1,"Entities"))</f>
        <v>70</v>
      </c>
      <c r="AY170" s="75">
        <f ca="1">ROUND((Table6[[#This Row],[XP]]*Table6[[#This Row],[entity_spawned (AVG)]])*(Table6[[#This Row],[activating_chance]]/100),0)</f>
        <v>70</v>
      </c>
      <c r="AZ170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70">
        <v>1</v>
      </c>
      <c r="BB170">
        <v>1</v>
      </c>
      <c r="BC170" t="b">
        <v>0</v>
      </c>
      <c r="BE170" t="s">
        <v>396</v>
      </c>
      <c r="BF170">
        <v>1</v>
      </c>
      <c r="BG170">
        <v>90</v>
      </c>
      <c r="BH170">
        <v>50</v>
      </c>
      <c r="BI170" s="75">
        <f ca="1">INDIRECT(ADDRESS(11+(MATCH(RIGHT(Table610[[#This Row],[spawner_sku]],LEN(Table610[[#This Row],[spawner_sku]])-FIND("/",Table610[[#This Row],[spawner_sku]])),Table1[Entity Prefab],0)),10,1,1,"Entities"))</f>
        <v>25</v>
      </c>
      <c r="BJ170" s="75">
        <f ca="1">ROUND((Table610[[#This Row],[XP]]*Table610[[#This Row],[entity_spawned (AVG)]])*(Table610[[#This Row],[activating_chance]]/100),0)</f>
        <v>13</v>
      </c>
      <c r="BK170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70">
        <v>1</v>
      </c>
      <c r="BM170">
        <v>1</v>
      </c>
      <c r="BN170" t="b">
        <v>0</v>
      </c>
      <c r="BP170" t="s">
        <v>235</v>
      </c>
      <c r="BQ170">
        <v>1</v>
      </c>
      <c r="BR170">
        <v>180</v>
      </c>
      <c r="BS170">
        <v>100</v>
      </c>
      <c r="BT17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70" s="75">
        <f ca="1">ROUND((Table61011[[#This Row],[XP]]*Table61011[[#This Row],[entity_spawned (AVG)]])*(Table61011[[#This Row],[activating_chance]]/100),0)</f>
        <v>25</v>
      </c>
      <c r="BV17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0" s="72">
        <v>1</v>
      </c>
      <c r="BX170" s="72">
        <v>1</v>
      </c>
      <c r="BY170" s="72" t="b">
        <v>0</v>
      </c>
      <c r="CA170" t="s">
        <v>242</v>
      </c>
      <c r="CB170">
        <v>1</v>
      </c>
      <c r="CC170">
        <v>1500</v>
      </c>
      <c r="CD170">
        <v>100</v>
      </c>
      <c r="CE170" s="75">
        <f ca="1">INDIRECT(ADDRESS(11+(MATCH(RIGHT(Table11[[#This Row],[spawner_sku]],LEN(Table11[[#This Row],[spawner_sku]])-FIND("/",Table11[[#This Row],[spawner_sku]])),Table1[Entity Prefab],0)),10,1,1,"Entities"))</f>
        <v>130</v>
      </c>
      <c r="CF170">
        <f ca="1">ROUND((Table11[[#This Row],[XP]]*Table11[[#This Row],[entity_spawned (AVG)]])*(Table11[[#This Row],[activating_chance]]/100),0)</f>
        <v>130</v>
      </c>
      <c r="CG170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70" s="72">
        <v>1</v>
      </c>
      <c r="CI170" s="72">
        <v>1</v>
      </c>
      <c r="CJ170" s="72" t="b">
        <v>0</v>
      </c>
      <c r="CL170" t="s">
        <v>256</v>
      </c>
      <c r="CM170">
        <v>1</v>
      </c>
      <c r="CN170">
        <v>150</v>
      </c>
      <c r="CO170">
        <v>100</v>
      </c>
      <c r="CP170" s="75">
        <f ca="1">INDIRECT(ADDRESS(11+(MATCH(RIGHT(Table12[[#This Row],[spawner_sku]],LEN(Table12[[#This Row],[spawner_sku]])-FIND("/",Table12[[#This Row],[spawner_sku]])),Table1[Entity Prefab],0)),10,1,1,"Entities"))</f>
        <v>25</v>
      </c>
      <c r="CQ170" s="75">
        <f ca="1">ROUND((Table12[[#This Row],[XP]]*Table12[[#This Row],[entity_spawned (AVG)]])*(Table12[[#This Row],[activating_chance]]/100),0)</f>
        <v>25</v>
      </c>
      <c r="CR170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70" s="72">
        <v>1</v>
      </c>
      <c r="CT170" s="72">
        <v>1</v>
      </c>
      <c r="CU170" s="72" t="b">
        <v>0</v>
      </c>
      <c r="CW170" t="s">
        <v>253</v>
      </c>
      <c r="CX170">
        <v>1</v>
      </c>
      <c r="CY170">
        <v>170</v>
      </c>
      <c r="CZ170">
        <v>100</v>
      </c>
      <c r="DA170" s="75">
        <f ca="1">INDIRECT(ADDRESS(11+(MATCH(RIGHT(Table13[[#This Row],[spawner_sku]],LEN(Table13[[#This Row],[spawner_sku]])-FIND("/",Table13[[#This Row],[spawner_sku]])),Table1[Entity Prefab],0)),10,1,1,"Entities"))</f>
        <v>70</v>
      </c>
      <c r="DB170" s="75">
        <f ca="1">ROUND((Table13[[#This Row],[XP]]*Table13[[#This Row],[entity_spawned (AVG)]])*(Table13[[#This Row],[activating_chance]]/100),0)</f>
        <v>70</v>
      </c>
      <c r="DC170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70" s="72">
        <v>1</v>
      </c>
      <c r="DE170" s="72">
        <v>1</v>
      </c>
      <c r="DF170" s="72" t="b">
        <v>0</v>
      </c>
      <c r="DH170" t="s">
        <v>231</v>
      </c>
      <c r="DI170">
        <v>1</v>
      </c>
      <c r="DJ170">
        <v>5000</v>
      </c>
      <c r="DK170">
        <v>75</v>
      </c>
      <c r="DL170" s="75">
        <f ca="1">INDIRECT(ADDRESS(11+(MATCH(RIGHT(Table14[[#This Row],[spawner_sku]],LEN(Table14[[#This Row],[spawner_sku]])-FIND("/",Table14[[#This Row],[spawner_sku]])),Table1[Entity Prefab],0)),10,1,1,"Entities"))</f>
        <v>75</v>
      </c>
      <c r="DM170" s="75">
        <f ca="1">ROUND((Table14[[#This Row],[XP]]*Table14[[#This Row],[entity_spawned (AVG)]])*(Table14[[#This Row],[activating_chance]]/100),0)</f>
        <v>56</v>
      </c>
      <c r="DN17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70" s="72">
        <v>1</v>
      </c>
      <c r="DP170" s="72">
        <v>1</v>
      </c>
      <c r="DQ170" s="72" t="b">
        <v>0</v>
      </c>
      <c r="DS170" t="s">
        <v>473</v>
      </c>
      <c r="DT170">
        <v>1</v>
      </c>
      <c r="DU170">
        <v>300</v>
      </c>
      <c r="DV170">
        <v>100</v>
      </c>
      <c r="DW170" s="75">
        <f ca="1">INDIRECT(ADDRESS(11+(MATCH(RIGHT(Table18[[#This Row],[spawner_sku]],LEN(Table18[[#This Row],[spawner_sku]])-FIND("/",Table18[[#This Row],[spawner_sku]])),Table1[Entity Prefab],0)),10,1,1,"Entities"))</f>
        <v>130</v>
      </c>
      <c r="DX170" s="75">
        <f ca="1">ROUND((Table18[[#This Row],[XP]]*Table18[[#This Row],[entity_spawned (AVG)]])*(Table18[[#This Row],[activating_chance]]/100),0)</f>
        <v>130</v>
      </c>
      <c r="DY170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70">
        <v>1</v>
      </c>
      <c r="EA170">
        <v>1</v>
      </c>
      <c r="EB170" t="b">
        <v>0</v>
      </c>
      <c r="ED170" t="s">
        <v>472</v>
      </c>
      <c r="EE170">
        <v>1</v>
      </c>
      <c r="EF170">
        <v>200</v>
      </c>
      <c r="EG170">
        <v>100</v>
      </c>
      <c r="EH170" s="75">
        <f ca="1">INDIRECT(ADDRESS(11+(MATCH(RIGHT(Table1820[[#This Row],[spawner_sku]],LEN(Table1820[[#This Row],[spawner_sku]])-FIND("/",Table1820[[#This Row],[spawner_sku]])),Table1[Entity Prefab],0)),10,1,1,"Entities"))</f>
        <v>143</v>
      </c>
      <c r="EI170" s="75">
        <f ca="1">ROUND((Table1820[[#This Row],[XP]]*Table1820[[#This Row],[entity_spawned (AVG)]])*(Table1820[[#This Row],[activating_chance]]/100),0)</f>
        <v>143</v>
      </c>
      <c r="EJ170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70">
        <v>1</v>
      </c>
      <c r="EL170">
        <v>1</v>
      </c>
      <c r="EM170" t="b">
        <v>0</v>
      </c>
      <c r="EZ170" t="s">
        <v>7348</v>
      </c>
      <c r="FA170">
        <v>1.5</v>
      </c>
      <c r="FB170">
        <v>80</v>
      </c>
      <c r="FC170">
        <v>100</v>
      </c>
      <c r="FD170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170" s="75">
        <f ca="1">ROUND((Table18202324[[#This Row],[XP]]*Table18202324[[#This Row],[entity_spawned (AVG)]])*(Table18202324[[#This Row],[activating_chance]]/100),0)</f>
        <v>38</v>
      </c>
      <c r="FF170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70">
        <v>1</v>
      </c>
      <c r="FH170">
        <v>2</v>
      </c>
      <c r="FI170" t="b">
        <v>0</v>
      </c>
    </row>
    <row r="171" spans="2:165" x14ac:dyDescent="0.25">
      <c r="B171" s="73" t="s">
        <v>229</v>
      </c>
      <c r="C171">
        <v>1</v>
      </c>
      <c r="D171">
        <v>60</v>
      </c>
      <c r="E171">
        <v>85</v>
      </c>
      <c r="F171" s="75">
        <f ca="1">INDIRECT(ADDRESS(11+(MATCH(RIGHT(Table245[[#This Row],[spawner_sku]],LEN(Table245[[#This Row],[spawner_sku]])-FIND("/",Table245[[#This Row],[spawner_sku]])),Table1[Entity Prefab],0)),10,1,1,"Entities"))</f>
        <v>25</v>
      </c>
      <c r="G171" s="75">
        <f ca="1">ROUND((Table245[[#This Row],[XP]]*Table245[[#This Row],[entity_spawned (AVG)]])*(Table245[[#This Row],[activating_chance]]/100),0)</f>
        <v>21</v>
      </c>
      <c r="H17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1" s="72">
        <v>1</v>
      </c>
      <c r="J171" s="72">
        <v>1</v>
      </c>
      <c r="K171" s="72" t="b">
        <v>0</v>
      </c>
      <c r="M171" t="s">
        <v>511</v>
      </c>
      <c r="N171">
        <v>1</v>
      </c>
      <c r="O171">
        <v>220</v>
      </c>
      <c r="P171">
        <v>100</v>
      </c>
      <c r="Q171" s="75">
        <f ca="1">INDIRECT(ADDRESS(11+(MATCH(RIGHT(Table3[[#This Row],[spawner_sku]],LEN(Table3[[#This Row],[spawner_sku]])-FIND("/",Table3[[#This Row],[spawner_sku]])),Table1[Entity Prefab],0)),10,1,1,"Entities"))</f>
        <v>50</v>
      </c>
      <c r="R171" s="75">
        <f ca="1">ROUND((Table3[[#This Row],[XP]]*Table3[[#This Row],[entity_spawned (AVG)]])*(Table3[[#This Row],[activating_chance]]/100),0)</f>
        <v>50</v>
      </c>
      <c r="S171" t="str">
        <f ca="1">INDIRECT(ADDRESS(11+(MATCH(RIGHT(Table3[[#This Row],[spawner_sku]],LEN(Table3[[#This Row],[spawner_sku]])-FIND("/",Table3[[#This Row],[spawner_sku]])),Table28[Entity Prefab],0)),24,1,1,"Entities"))</f>
        <v>no</v>
      </c>
      <c r="T171">
        <v>1</v>
      </c>
      <c r="U171">
        <v>1</v>
      </c>
      <c r="V171" t="b">
        <v>0</v>
      </c>
      <c r="W171" s="72"/>
      <c r="AI171" t="s">
        <v>232</v>
      </c>
      <c r="AJ171">
        <v>1</v>
      </c>
      <c r="AK171">
        <v>250</v>
      </c>
      <c r="AL171">
        <v>100</v>
      </c>
      <c r="AM171" s="75">
        <f ca="1">INDIRECT(ADDRESS(11+(MATCH(RIGHT(Table2[[#This Row],[spawner_sku]],LEN(Table2[[#This Row],[spawner_sku]])-FIND("/",Table2[[#This Row],[spawner_sku]])),Table1[Entity Prefab],0)),10,1,1,"Entities"))</f>
        <v>143</v>
      </c>
      <c r="AN171" s="75">
        <f ca="1">ROUND((Table2[[#This Row],[XP]]*Table2[[#This Row],[entity_spawned (AVG)]])*(Table2[[#This Row],[activating_chance]]/100),0)</f>
        <v>143</v>
      </c>
      <c r="AO171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71" s="72">
        <v>1</v>
      </c>
      <c r="AQ171" s="72">
        <v>1</v>
      </c>
      <c r="AR171" s="72" t="b">
        <v>0</v>
      </c>
      <c r="AT171" t="s">
        <v>254</v>
      </c>
      <c r="AU171">
        <v>1</v>
      </c>
      <c r="AV171">
        <v>170</v>
      </c>
      <c r="AW171">
        <v>100</v>
      </c>
      <c r="AX171" s="75">
        <f ca="1">INDIRECT(ADDRESS(11+(MATCH(RIGHT(Table6[[#This Row],[spawner_sku]],LEN(Table6[[#This Row],[spawner_sku]])-FIND("/",Table6[[#This Row],[spawner_sku]])),Table1[Entity Prefab],0)),10,1,1,"Entities"))</f>
        <v>70</v>
      </c>
      <c r="AY171" s="75">
        <f ca="1">ROUND((Table6[[#This Row],[XP]]*Table6[[#This Row],[entity_spawned (AVG)]])*(Table6[[#This Row],[activating_chance]]/100),0)</f>
        <v>70</v>
      </c>
      <c r="AZ171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71">
        <v>1</v>
      </c>
      <c r="BB171">
        <v>1</v>
      </c>
      <c r="BC171" t="b">
        <v>0</v>
      </c>
      <c r="BE171" t="s">
        <v>396</v>
      </c>
      <c r="BF171">
        <v>1</v>
      </c>
      <c r="BG171">
        <v>90</v>
      </c>
      <c r="BH171">
        <v>100</v>
      </c>
      <c r="BI171" s="75">
        <f ca="1">INDIRECT(ADDRESS(11+(MATCH(RIGHT(Table610[[#This Row],[spawner_sku]],LEN(Table610[[#This Row],[spawner_sku]])-FIND("/",Table610[[#This Row],[spawner_sku]])),Table1[Entity Prefab],0)),10,1,1,"Entities"))</f>
        <v>25</v>
      </c>
      <c r="BJ171" s="75">
        <f ca="1">ROUND((Table610[[#This Row],[XP]]*Table610[[#This Row],[entity_spawned (AVG)]])*(Table610[[#This Row],[activating_chance]]/100),0)</f>
        <v>25</v>
      </c>
      <c r="BK171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71">
        <v>1</v>
      </c>
      <c r="BM171">
        <v>1</v>
      </c>
      <c r="BN171" t="b">
        <v>0</v>
      </c>
      <c r="BP171" t="s">
        <v>235</v>
      </c>
      <c r="BQ171">
        <v>1</v>
      </c>
      <c r="BR171">
        <v>180</v>
      </c>
      <c r="BS171">
        <v>90</v>
      </c>
      <c r="BT17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71" s="75">
        <f ca="1">ROUND((Table61011[[#This Row],[XP]]*Table61011[[#This Row],[entity_spawned (AVG)]])*(Table61011[[#This Row],[activating_chance]]/100),0)</f>
        <v>23</v>
      </c>
      <c r="BV17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1" s="72">
        <v>1</v>
      </c>
      <c r="BX171" s="72">
        <v>1</v>
      </c>
      <c r="BY171" s="72" t="b">
        <v>0</v>
      </c>
      <c r="CA171" t="s">
        <v>242</v>
      </c>
      <c r="CB171">
        <v>1</v>
      </c>
      <c r="CC171">
        <v>1500</v>
      </c>
      <c r="CD171">
        <v>100</v>
      </c>
      <c r="CE171" s="75">
        <f ca="1">INDIRECT(ADDRESS(11+(MATCH(RIGHT(Table11[[#This Row],[spawner_sku]],LEN(Table11[[#This Row],[spawner_sku]])-FIND("/",Table11[[#This Row],[spawner_sku]])),Table1[Entity Prefab],0)),10,1,1,"Entities"))</f>
        <v>130</v>
      </c>
      <c r="CF171">
        <f ca="1">ROUND((Table11[[#This Row],[XP]]*Table11[[#This Row],[entity_spawned (AVG)]])*(Table11[[#This Row],[activating_chance]]/100),0)</f>
        <v>130</v>
      </c>
      <c r="CG171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71" s="72">
        <v>1</v>
      </c>
      <c r="CI171" s="72">
        <v>1</v>
      </c>
      <c r="CJ171" s="72" t="b">
        <v>0</v>
      </c>
      <c r="CL171" t="s">
        <v>256</v>
      </c>
      <c r="CM171">
        <v>1</v>
      </c>
      <c r="CN171">
        <v>150</v>
      </c>
      <c r="CO171">
        <v>100</v>
      </c>
      <c r="CP171" s="75">
        <f ca="1">INDIRECT(ADDRESS(11+(MATCH(RIGHT(Table12[[#This Row],[spawner_sku]],LEN(Table12[[#This Row],[spawner_sku]])-FIND("/",Table12[[#This Row],[spawner_sku]])),Table1[Entity Prefab],0)),10,1,1,"Entities"))</f>
        <v>25</v>
      </c>
      <c r="CQ171" s="75">
        <f ca="1">ROUND((Table12[[#This Row],[XP]]*Table12[[#This Row],[entity_spawned (AVG)]])*(Table12[[#This Row],[activating_chance]]/100),0)</f>
        <v>25</v>
      </c>
      <c r="CR171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71" s="72">
        <v>1</v>
      </c>
      <c r="CT171" s="72">
        <v>1</v>
      </c>
      <c r="CU171" s="72" t="b">
        <v>0</v>
      </c>
      <c r="CW171" t="s">
        <v>253</v>
      </c>
      <c r="CX171">
        <v>1</v>
      </c>
      <c r="CY171">
        <v>170</v>
      </c>
      <c r="CZ171">
        <v>100</v>
      </c>
      <c r="DA171" s="75">
        <f ca="1">INDIRECT(ADDRESS(11+(MATCH(RIGHT(Table13[[#This Row],[spawner_sku]],LEN(Table13[[#This Row],[spawner_sku]])-FIND("/",Table13[[#This Row],[spawner_sku]])),Table1[Entity Prefab],0)),10,1,1,"Entities"))</f>
        <v>70</v>
      </c>
      <c r="DB171" s="75">
        <f ca="1">ROUND((Table13[[#This Row],[XP]]*Table13[[#This Row],[entity_spawned (AVG)]])*(Table13[[#This Row],[activating_chance]]/100),0)</f>
        <v>70</v>
      </c>
      <c r="DC171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71" s="72">
        <v>1</v>
      </c>
      <c r="DE171" s="72">
        <v>1</v>
      </c>
      <c r="DF171" s="72" t="b">
        <v>0</v>
      </c>
      <c r="DH171" t="s">
        <v>231</v>
      </c>
      <c r="DI171">
        <v>1</v>
      </c>
      <c r="DJ171">
        <v>5000</v>
      </c>
      <c r="DK171">
        <v>75</v>
      </c>
      <c r="DL171" s="75">
        <f ca="1">INDIRECT(ADDRESS(11+(MATCH(RIGHT(Table14[[#This Row],[spawner_sku]],LEN(Table14[[#This Row],[spawner_sku]])-FIND("/",Table14[[#This Row],[spawner_sku]])),Table1[Entity Prefab],0)),10,1,1,"Entities"))</f>
        <v>75</v>
      </c>
      <c r="DM171" s="75">
        <f ca="1">ROUND((Table14[[#This Row],[XP]]*Table14[[#This Row],[entity_spawned (AVG)]])*(Table14[[#This Row],[activating_chance]]/100),0)</f>
        <v>56</v>
      </c>
      <c r="DN17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71" s="72">
        <v>1</v>
      </c>
      <c r="DP171" s="72">
        <v>1</v>
      </c>
      <c r="DQ171" s="72" t="b">
        <v>0</v>
      </c>
      <c r="DS171" t="s">
        <v>445</v>
      </c>
      <c r="DT171">
        <v>1</v>
      </c>
      <c r="DU171">
        <v>160</v>
      </c>
      <c r="DV171">
        <v>100</v>
      </c>
      <c r="DW171" s="75">
        <f ca="1">INDIRECT(ADDRESS(11+(MATCH(RIGHT(Table18[[#This Row],[spawner_sku]],LEN(Table18[[#This Row],[spawner_sku]])-FIND("/",Table18[[#This Row],[spawner_sku]])),Table1[Entity Prefab],0)),10,1,1,"Entities"))</f>
        <v>0</v>
      </c>
      <c r="DX171" s="75">
        <f ca="1">ROUND((Table18[[#This Row],[XP]]*Table18[[#This Row],[entity_spawned (AVG)]])*(Table18[[#This Row],[activating_chance]]/100),0)</f>
        <v>0</v>
      </c>
      <c r="DY171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71">
        <v>1</v>
      </c>
      <c r="EA171">
        <v>1</v>
      </c>
      <c r="EB171" t="b">
        <v>0</v>
      </c>
      <c r="ED171" t="s">
        <v>472</v>
      </c>
      <c r="EE171">
        <v>1</v>
      </c>
      <c r="EF171">
        <v>200</v>
      </c>
      <c r="EG171">
        <v>100</v>
      </c>
      <c r="EH171" s="75">
        <f ca="1">INDIRECT(ADDRESS(11+(MATCH(RIGHT(Table1820[[#This Row],[spawner_sku]],LEN(Table1820[[#This Row],[spawner_sku]])-FIND("/",Table1820[[#This Row],[spawner_sku]])),Table1[Entity Prefab],0)),10,1,1,"Entities"))</f>
        <v>143</v>
      </c>
      <c r="EI171" s="75">
        <f ca="1">ROUND((Table1820[[#This Row],[XP]]*Table1820[[#This Row],[entity_spawned (AVG)]])*(Table1820[[#This Row],[activating_chance]]/100),0)</f>
        <v>143</v>
      </c>
      <c r="EJ171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71">
        <v>1</v>
      </c>
      <c r="EL171">
        <v>1</v>
      </c>
      <c r="EM171" t="b">
        <v>0</v>
      </c>
      <c r="EZ171" t="s">
        <v>7348</v>
      </c>
      <c r="FA171">
        <v>1.5</v>
      </c>
      <c r="FB171">
        <v>70</v>
      </c>
      <c r="FC171">
        <v>100</v>
      </c>
      <c r="FD171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171" s="75">
        <f ca="1">ROUND((Table18202324[[#This Row],[XP]]*Table18202324[[#This Row],[entity_spawned (AVG)]])*(Table18202324[[#This Row],[activating_chance]]/100),0)</f>
        <v>38</v>
      </c>
      <c r="FF171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71">
        <v>1</v>
      </c>
      <c r="FH171">
        <v>2</v>
      </c>
      <c r="FI171" t="b">
        <v>0</v>
      </c>
    </row>
    <row r="172" spans="2:165" x14ac:dyDescent="0.25">
      <c r="B172" s="73" t="s">
        <v>229</v>
      </c>
      <c r="C172">
        <v>1.5</v>
      </c>
      <c r="D172">
        <v>80</v>
      </c>
      <c r="E172">
        <v>100</v>
      </c>
      <c r="F172" s="75">
        <f ca="1">INDIRECT(ADDRESS(11+(MATCH(RIGHT(Table245[[#This Row],[spawner_sku]],LEN(Table245[[#This Row],[spawner_sku]])-FIND("/",Table245[[#This Row],[spawner_sku]])),Table1[Entity Prefab],0)),10,1,1,"Entities"))</f>
        <v>25</v>
      </c>
      <c r="G172" s="75">
        <f ca="1">ROUND((Table245[[#This Row],[XP]]*Table245[[#This Row],[entity_spawned (AVG)]])*(Table245[[#This Row],[activating_chance]]/100),0)</f>
        <v>38</v>
      </c>
      <c r="H17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2" s="72">
        <v>1</v>
      </c>
      <c r="J172" s="72">
        <v>2</v>
      </c>
      <c r="K172" s="72" t="b">
        <v>0</v>
      </c>
      <c r="M172" t="s">
        <v>511</v>
      </c>
      <c r="N172">
        <v>1</v>
      </c>
      <c r="O172">
        <v>220</v>
      </c>
      <c r="P172">
        <v>100</v>
      </c>
      <c r="Q172" s="75">
        <f ca="1">INDIRECT(ADDRESS(11+(MATCH(RIGHT(Table3[[#This Row],[spawner_sku]],LEN(Table3[[#This Row],[spawner_sku]])-FIND("/",Table3[[#This Row],[spawner_sku]])),Table1[Entity Prefab],0)),10,1,1,"Entities"))</f>
        <v>50</v>
      </c>
      <c r="R172" s="75">
        <f ca="1">ROUND((Table3[[#This Row],[XP]]*Table3[[#This Row],[entity_spawned (AVG)]])*(Table3[[#This Row],[activating_chance]]/100),0)</f>
        <v>50</v>
      </c>
      <c r="S172" t="str">
        <f ca="1">INDIRECT(ADDRESS(11+(MATCH(RIGHT(Table3[[#This Row],[spawner_sku]],LEN(Table3[[#This Row],[spawner_sku]])-FIND("/",Table3[[#This Row],[spawner_sku]])),Table28[Entity Prefab],0)),24,1,1,"Entities"))</f>
        <v>no</v>
      </c>
      <c r="T172">
        <v>1</v>
      </c>
      <c r="U172">
        <v>1</v>
      </c>
      <c r="V172" t="b">
        <v>0</v>
      </c>
      <c r="W172" s="72"/>
      <c r="AI172" t="s">
        <v>232</v>
      </c>
      <c r="AJ172">
        <v>1</v>
      </c>
      <c r="AK172">
        <v>250</v>
      </c>
      <c r="AL172">
        <v>100</v>
      </c>
      <c r="AM172" s="75">
        <f ca="1">INDIRECT(ADDRESS(11+(MATCH(RIGHT(Table2[[#This Row],[spawner_sku]],LEN(Table2[[#This Row],[spawner_sku]])-FIND("/",Table2[[#This Row],[spawner_sku]])),Table1[Entity Prefab],0)),10,1,1,"Entities"))</f>
        <v>143</v>
      </c>
      <c r="AN172" s="75">
        <f ca="1">ROUND((Table2[[#This Row],[XP]]*Table2[[#This Row],[entity_spawned (AVG)]])*(Table2[[#This Row],[activating_chance]]/100),0)</f>
        <v>143</v>
      </c>
      <c r="AO172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72" s="72">
        <v>1</v>
      </c>
      <c r="AQ172" s="72">
        <v>1</v>
      </c>
      <c r="AR172" s="72" t="b">
        <v>0</v>
      </c>
      <c r="AT172" t="s">
        <v>256</v>
      </c>
      <c r="AU172">
        <v>1</v>
      </c>
      <c r="AV172">
        <v>150</v>
      </c>
      <c r="AW172">
        <v>100</v>
      </c>
      <c r="AX172" s="75">
        <f ca="1">INDIRECT(ADDRESS(11+(MATCH(RIGHT(Table6[[#This Row],[spawner_sku]],LEN(Table6[[#This Row],[spawner_sku]])-FIND("/",Table6[[#This Row],[spawner_sku]])),Table1[Entity Prefab],0)),10,1,1,"Entities"))</f>
        <v>25</v>
      </c>
      <c r="AY172" s="75">
        <f ca="1">ROUND((Table6[[#This Row],[XP]]*Table6[[#This Row],[entity_spawned (AVG)]])*(Table6[[#This Row],[activating_chance]]/100),0)</f>
        <v>25</v>
      </c>
      <c r="AZ172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72">
        <v>1</v>
      </c>
      <c r="BB172">
        <v>1</v>
      </c>
      <c r="BC172" t="b">
        <v>0</v>
      </c>
      <c r="BE172" t="s">
        <v>396</v>
      </c>
      <c r="BF172">
        <v>7</v>
      </c>
      <c r="BG172">
        <v>150</v>
      </c>
      <c r="BH172">
        <v>100</v>
      </c>
      <c r="BI172" s="75">
        <f ca="1">INDIRECT(ADDRESS(11+(MATCH(RIGHT(Table610[[#This Row],[spawner_sku]],LEN(Table610[[#This Row],[spawner_sku]])-FIND("/",Table610[[#This Row],[spawner_sku]])),Table1[Entity Prefab],0)),10,1,1,"Entities"))</f>
        <v>25</v>
      </c>
      <c r="BJ172" s="75">
        <f ca="1">ROUND((Table610[[#This Row],[XP]]*Table610[[#This Row],[entity_spawned (AVG)]])*(Table610[[#This Row],[activating_chance]]/100),0)</f>
        <v>175</v>
      </c>
      <c r="BK172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72">
        <v>5</v>
      </c>
      <c r="BM172">
        <v>9</v>
      </c>
      <c r="BN172" t="b">
        <v>1</v>
      </c>
      <c r="BP172" t="s">
        <v>235</v>
      </c>
      <c r="BQ172">
        <v>1</v>
      </c>
      <c r="BR172">
        <v>180</v>
      </c>
      <c r="BS172">
        <v>100</v>
      </c>
      <c r="BT17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72" s="75">
        <f ca="1">ROUND((Table61011[[#This Row],[XP]]*Table61011[[#This Row],[entity_spawned (AVG)]])*(Table61011[[#This Row],[activating_chance]]/100),0)</f>
        <v>25</v>
      </c>
      <c r="BV17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2" s="72">
        <v>1</v>
      </c>
      <c r="BX172" s="72">
        <v>1</v>
      </c>
      <c r="BY172" s="72" t="b">
        <v>0</v>
      </c>
      <c r="CA172" t="s">
        <v>242</v>
      </c>
      <c r="CB172">
        <v>1</v>
      </c>
      <c r="CC172">
        <v>1500</v>
      </c>
      <c r="CD172">
        <v>100</v>
      </c>
      <c r="CE172" s="75">
        <f ca="1">INDIRECT(ADDRESS(11+(MATCH(RIGHT(Table11[[#This Row],[spawner_sku]],LEN(Table11[[#This Row],[spawner_sku]])-FIND("/",Table11[[#This Row],[spawner_sku]])),Table1[Entity Prefab],0)),10,1,1,"Entities"))</f>
        <v>130</v>
      </c>
      <c r="CF172">
        <f ca="1">ROUND((Table11[[#This Row],[XP]]*Table11[[#This Row],[entity_spawned (AVG)]])*(Table11[[#This Row],[activating_chance]]/100),0)</f>
        <v>130</v>
      </c>
      <c r="CG172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72" s="72">
        <v>1</v>
      </c>
      <c r="CI172" s="72">
        <v>1</v>
      </c>
      <c r="CJ172" s="72" t="b">
        <v>0</v>
      </c>
      <c r="CL172" t="s">
        <v>256</v>
      </c>
      <c r="CM172">
        <v>1</v>
      </c>
      <c r="CN172">
        <v>150</v>
      </c>
      <c r="CO172">
        <v>30</v>
      </c>
      <c r="CP172" s="75">
        <f ca="1">INDIRECT(ADDRESS(11+(MATCH(RIGHT(Table12[[#This Row],[spawner_sku]],LEN(Table12[[#This Row],[spawner_sku]])-FIND("/",Table12[[#This Row],[spawner_sku]])),Table1[Entity Prefab],0)),10,1,1,"Entities"))</f>
        <v>25</v>
      </c>
      <c r="CQ172" s="75">
        <f ca="1">ROUND((Table12[[#This Row],[XP]]*Table12[[#This Row],[entity_spawned (AVG)]])*(Table12[[#This Row],[activating_chance]]/100),0)</f>
        <v>8</v>
      </c>
      <c r="CR172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72" s="72">
        <v>1</v>
      </c>
      <c r="CT172" s="72">
        <v>1</v>
      </c>
      <c r="CU172" s="72" t="b">
        <v>0</v>
      </c>
      <c r="CW172" t="s">
        <v>253</v>
      </c>
      <c r="CX172">
        <v>1</v>
      </c>
      <c r="CY172">
        <v>170</v>
      </c>
      <c r="CZ172">
        <v>100</v>
      </c>
      <c r="DA172" s="75">
        <f ca="1">INDIRECT(ADDRESS(11+(MATCH(RIGHT(Table13[[#This Row],[spawner_sku]],LEN(Table13[[#This Row],[spawner_sku]])-FIND("/",Table13[[#This Row],[spawner_sku]])),Table1[Entity Prefab],0)),10,1,1,"Entities"))</f>
        <v>70</v>
      </c>
      <c r="DB172" s="75">
        <f ca="1">ROUND((Table13[[#This Row],[XP]]*Table13[[#This Row],[entity_spawned (AVG)]])*(Table13[[#This Row],[activating_chance]]/100),0)</f>
        <v>70</v>
      </c>
      <c r="DC172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72" s="72">
        <v>1</v>
      </c>
      <c r="DE172" s="72">
        <v>1</v>
      </c>
      <c r="DF172" s="72" t="b">
        <v>0</v>
      </c>
      <c r="DH172" t="s">
        <v>402</v>
      </c>
      <c r="DI172">
        <v>1</v>
      </c>
      <c r="DJ172">
        <v>340</v>
      </c>
      <c r="DK172">
        <v>100</v>
      </c>
      <c r="DL172" s="75">
        <f ca="1">INDIRECT(ADDRESS(11+(MATCH(RIGHT(Table14[[#This Row],[spawner_sku]],LEN(Table14[[#This Row],[spawner_sku]])-FIND("/",Table14[[#This Row],[spawner_sku]])),Table1[Entity Prefab],0)),10,1,1,"Entities"))</f>
        <v>263</v>
      </c>
      <c r="DM172" s="75">
        <f ca="1">ROUND((Table14[[#This Row],[XP]]*Table14[[#This Row],[entity_spawned (AVG)]])*(Table14[[#This Row],[activating_chance]]/100),0)</f>
        <v>263</v>
      </c>
      <c r="DN17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172" s="72">
        <v>1</v>
      </c>
      <c r="DP172" s="72">
        <v>1</v>
      </c>
      <c r="DQ172" s="72" t="b">
        <v>0</v>
      </c>
      <c r="DS172" t="s">
        <v>445</v>
      </c>
      <c r="DT172">
        <v>1</v>
      </c>
      <c r="DU172">
        <v>160</v>
      </c>
      <c r="DV172">
        <v>100</v>
      </c>
      <c r="DW172" s="75">
        <f ca="1">INDIRECT(ADDRESS(11+(MATCH(RIGHT(Table18[[#This Row],[spawner_sku]],LEN(Table18[[#This Row],[spawner_sku]])-FIND("/",Table18[[#This Row],[spawner_sku]])),Table1[Entity Prefab],0)),10,1,1,"Entities"))</f>
        <v>0</v>
      </c>
      <c r="DX172" s="75">
        <f ca="1">ROUND((Table18[[#This Row],[XP]]*Table18[[#This Row],[entity_spawned (AVG)]])*(Table18[[#This Row],[activating_chance]]/100),0)</f>
        <v>0</v>
      </c>
      <c r="DY172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72">
        <v>1</v>
      </c>
      <c r="EA172">
        <v>1</v>
      </c>
      <c r="EB172" t="b">
        <v>0</v>
      </c>
      <c r="ED172" t="s">
        <v>473</v>
      </c>
      <c r="EE172">
        <v>1</v>
      </c>
      <c r="EF172">
        <v>230</v>
      </c>
      <c r="EG172">
        <v>100</v>
      </c>
      <c r="EH172" s="75">
        <f ca="1">INDIRECT(ADDRESS(11+(MATCH(RIGHT(Table1820[[#This Row],[spawner_sku]],LEN(Table1820[[#This Row],[spawner_sku]])-FIND("/",Table1820[[#This Row],[spawner_sku]])),Table1[Entity Prefab],0)),10,1,1,"Entities"))</f>
        <v>130</v>
      </c>
      <c r="EI172" s="75">
        <f ca="1">ROUND((Table1820[[#This Row],[XP]]*Table1820[[#This Row],[entity_spawned (AVG)]])*(Table1820[[#This Row],[activating_chance]]/100),0)</f>
        <v>130</v>
      </c>
      <c r="EJ172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72">
        <v>1</v>
      </c>
      <c r="EL172">
        <v>1</v>
      </c>
      <c r="EM172" t="b">
        <v>0</v>
      </c>
      <c r="EZ172" t="s">
        <v>7348</v>
      </c>
      <c r="FA172">
        <v>3.5</v>
      </c>
      <c r="FB172">
        <v>70</v>
      </c>
      <c r="FC172">
        <v>100</v>
      </c>
      <c r="FD172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172" s="75">
        <f ca="1">ROUND((Table18202324[[#This Row],[XP]]*Table18202324[[#This Row],[entity_spawned (AVG)]])*(Table18202324[[#This Row],[activating_chance]]/100),0)</f>
        <v>88</v>
      </c>
      <c r="FF172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72">
        <v>3</v>
      </c>
      <c r="FH172">
        <v>4</v>
      </c>
      <c r="FI172" t="b">
        <v>0</v>
      </c>
    </row>
    <row r="173" spans="2:165" x14ac:dyDescent="0.25">
      <c r="B173" s="73" t="s">
        <v>229</v>
      </c>
      <c r="C173">
        <v>2</v>
      </c>
      <c r="D173">
        <v>130</v>
      </c>
      <c r="E173">
        <v>100</v>
      </c>
      <c r="F173" s="75">
        <f ca="1">INDIRECT(ADDRESS(11+(MATCH(RIGHT(Table245[[#This Row],[spawner_sku]],LEN(Table245[[#This Row],[spawner_sku]])-FIND("/",Table245[[#This Row],[spawner_sku]])),Table1[Entity Prefab],0)),10,1,1,"Entities"))</f>
        <v>25</v>
      </c>
      <c r="G173" s="75">
        <f ca="1">ROUND((Table245[[#This Row],[XP]]*Table245[[#This Row],[entity_spawned (AVG)]])*(Table245[[#This Row],[activating_chance]]/100),0)</f>
        <v>50</v>
      </c>
      <c r="H17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3" s="72">
        <v>1</v>
      </c>
      <c r="J173" s="72">
        <v>3</v>
      </c>
      <c r="K173" s="72" t="b">
        <v>0</v>
      </c>
      <c r="M173" t="s">
        <v>511</v>
      </c>
      <c r="N173">
        <v>1</v>
      </c>
      <c r="O173">
        <v>220</v>
      </c>
      <c r="P173">
        <v>100</v>
      </c>
      <c r="Q173" s="75">
        <f ca="1">INDIRECT(ADDRESS(11+(MATCH(RIGHT(Table3[[#This Row],[spawner_sku]],LEN(Table3[[#This Row],[spawner_sku]])-FIND("/",Table3[[#This Row],[spawner_sku]])),Table1[Entity Prefab],0)),10,1,1,"Entities"))</f>
        <v>50</v>
      </c>
      <c r="R173" s="75">
        <f ca="1">ROUND((Table3[[#This Row],[XP]]*Table3[[#This Row],[entity_spawned (AVG)]])*(Table3[[#This Row],[activating_chance]]/100),0)</f>
        <v>50</v>
      </c>
      <c r="S173" t="str">
        <f ca="1">INDIRECT(ADDRESS(11+(MATCH(RIGHT(Table3[[#This Row],[spawner_sku]],LEN(Table3[[#This Row],[spawner_sku]])-FIND("/",Table3[[#This Row],[spawner_sku]])),Table28[Entity Prefab],0)),24,1,1,"Entities"))</f>
        <v>no</v>
      </c>
      <c r="T173">
        <v>1</v>
      </c>
      <c r="U173">
        <v>1</v>
      </c>
      <c r="V173" t="b">
        <v>0</v>
      </c>
      <c r="AI173" t="s">
        <v>232</v>
      </c>
      <c r="AJ173">
        <v>1</v>
      </c>
      <c r="AK173">
        <v>250</v>
      </c>
      <c r="AL173">
        <v>100</v>
      </c>
      <c r="AM173" s="75">
        <f ca="1">INDIRECT(ADDRESS(11+(MATCH(RIGHT(Table2[[#This Row],[spawner_sku]],LEN(Table2[[#This Row],[spawner_sku]])-FIND("/",Table2[[#This Row],[spawner_sku]])),Table1[Entity Prefab],0)),10,1,1,"Entities"))</f>
        <v>143</v>
      </c>
      <c r="AN173" s="75">
        <f ca="1">ROUND((Table2[[#This Row],[XP]]*Table2[[#This Row],[entity_spawned (AVG)]])*(Table2[[#This Row],[activating_chance]]/100),0)</f>
        <v>143</v>
      </c>
      <c r="AO17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73" s="72">
        <v>1</v>
      </c>
      <c r="AQ173" s="72">
        <v>1</v>
      </c>
      <c r="AR173" s="72" t="b">
        <v>0</v>
      </c>
      <c r="AT173" t="s">
        <v>256</v>
      </c>
      <c r="AU173">
        <v>1</v>
      </c>
      <c r="AV173">
        <v>150</v>
      </c>
      <c r="AW173">
        <v>100</v>
      </c>
      <c r="AX173" s="75">
        <f ca="1">INDIRECT(ADDRESS(11+(MATCH(RIGHT(Table6[[#This Row],[spawner_sku]],LEN(Table6[[#This Row],[spawner_sku]])-FIND("/",Table6[[#This Row],[spawner_sku]])),Table1[Entity Prefab],0)),10,1,1,"Entities"))</f>
        <v>25</v>
      </c>
      <c r="AY173" s="75">
        <f ca="1">ROUND((Table6[[#This Row],[XP]]*Table6[[#This Row],[entity_spawned (AVG)]])*(Table6[[#This Row],[activating_chance]]/100),0)</f>
        <v>25</v>
      </c>
      <c r="AZ173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73">
        <v>1</v>
      </c>
      <c r="BB173">
        <v>1</v>
      </c>
      <c r="BC173" t="b">
        <v>0</v>
      </c>
      <c r="BE173" t="s">
        <v>396</v>
      </c>
      <c r="BF173">
        <v>1</v>
      </c>
      <c r="BG173">
        <v>150</v>
      </c>
      <c r="BH173">
        <v>100</v>
      </c>
      <c r="BI173" s="75">
        <f ca="1">INDIRECT(ADDRESS(11+(MATCH(RIGHT(Table610[[#This Row],[spawner_sku]],LEN(Table610[[#This Row],[spawner_sku]])-FIND("/",Table610[[#This Row],[spawner_sku]])),Table1[Entity Prefab],0)),10,1,1,"Entities"))</f>
        <v>25</v>
      </c>
      <c r="BJ173" s="75">
        <f ca="1">ROUND((Table610[[#This Row],[XP]]*Table610[[#This Row],[entity_spawned (AVG)]])*(Table610[[#This Row],[activating_chance]]/100),0)</f>
        <v>25</v>
      </c>
      <c r="BK173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73">
        <v>1</v>
      </c>
      <c r="BM173">
        <v>1</v>
      </c>
      <c r="BN173" t="b">
        <v>0</v>
      </c>
      <c r="BP173" t="s">
        <v>235</v>
      </c>
      <c r="BQ173">
        <v>1</v>
      </c>
      <c r="BR173">
        <v>180</v>
      </c>
      <c r="BS173">
        <v>100</v>
      </c>
      <c r="BT17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73" s="75">
        <f ca="1">ROUND((Table61011[[#This Row],[XP]]*Table61011[[#This Row],[entity_spawned (AVG)]])*(Table61011[[#This Row],[activating_chance]]/100),0)</f>
        <v>25</v>
      </c>
      <c r="BV17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3" s="72">
        <v>1</v>
      </c>
      <c r="BX173" s="72">
        <v>1</v>
      </c>
      <c r="BY173" s="72" t="b">
        <v>0</v>
      </c>
      <c r="CA173" t="s">
        <v>242</v>
      </c>
      <c r="CB173">
        <v>1</v>
      </c>
      <c r="CC173">
        <v>1500</v>
      </c>
      <c r="CD173">
        <v>100</v>
      </c>
      <c r="CE173" s="75">
        <f ca="1">INDIRECT(ADDRESS(11+(MATCH(RIGHT(Table11[[#This Row],[spawner_sku]],LEN(Table11[[#This Row],[spawner_sku]])-FIND("/",Table11[[#This Row],[spawner_sku]])),Table1[Entity Prefab],0)),10,1,1,"Entities"))</f>
        <v>130</v>
      </c>
      <c r="CF173">
        <f ca="1">ROUND((Table11[[#This Row],[XP]]*Table11[[#This Row],[entity_spawned (AVG)]])*(Table11[[#This Row],[activating_chance]]/100),0)</f>
        <v>130</v>
      </c>
      <c r="CG173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73" s="72">
        <v>1</v>
      </c>
      <c r="CI173" s="72">
        <v>1</v>
      </c>
      <c r="CJ173" s="72" t="b">
        <v>0</v>
      </c>
      <c r="CL173" t="s">
        <v>256</v>
      </c>
      <c r="CM173">
        <v>1</v>
      </c>
      <c r="CN173">
        <v>150</v>
      </c>
      <c r="CO173">
        <v>100</v>
      </c>
      <c r="CP173" s="75">
        <f ca="1">INDIRECT(ADDRESS(11+(MATCH(RIGHT(Table12[[#This Row],[spawner_sku]],LEN(Table12[[#This Row],[spawner_sku]])-FIND("/",Table12[[#This Row],[spawner_sku]])),Table1[Entity Prefab],0)),10,1,1,"Entities"))</f>
        <v>25</v>
      </c>
      <c r="CQ173" s="75">
        <f ca="1">ROUND((Table12[[#This Row],[XP]]*Table12[[#This Row],[entity_spawned (AVG)]])*(Table12[[#This Row],[activating_chance]]/100),0)</f>
        <v>25</v>
      </c>
      <c r="CR173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73" s="72">
        <v>1</v>
      </c>
      <c r="CT173" s="72">
        <v>1</v>
      </c>
      <c r="CU173" s="72" t="b">
        <v>0</v>
      </c>
      <c r="CW173" t="s">
        <v>253</v>
      </c>
      <c r="CX173">
        <v>1</v>
      </c>
      <c r="CY173">
        <v>170</v>
      </c>
      <c r="CZ173">
        <v>30</v>
      </c>
      <c r="DA173" s="75">
        <f ca="1">INDIRECT(ADDRESS(11+(MATCH(RIGHT(Table13[[#This Row],[spawner_sku]],LEN(Table13[[#This Row],[spawner_sku]])-FIND("/",Table13[[#This Row],[spawner_sku]])),Table1[Entity Prefab],0)),10,1,1,"Entities"))</f>
        <v>70</v>
      </c>
      <c r="DB173" s="75">
        <f ca="1">ROUND((Table13[[#This Row],[XP]]*Table13[[#This Row],[entity_spawned (AVG)]])*(Table13[[#This Row],[activating_chance]]/100),0)</f>
        <v>21</v>
      </c>
      <c r="DC173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73" s="72">
        <v>1</v>
      </c>
      <c r="DE173" s="72">
        <v>1</v>
      </c>
      <c r="DF173" s="72" t="b">
        <v>0</v>
      </c>
      <c r="DH173" t="s">
        <v>402</v>
      </c>
      <c r="DI173">
        <v>1</v>
      </c>
      <c r="DJ173">
        <v>340</v>
      </c>
      <c r="DK173">
        <v>100</v>
      </c>
      <c r="DL173" s="75">
        <f ca="1">INDIRECT(ADDRESS(11+(MATCH(RIGHT(Table14[[#This Row],[spawner_sku]],LEN(Table14[[#This Row],[spawner_sku]])-FIND("/",Table14[[#This Row],[spawner_sku]])),Table1[Entity Prefab],0)),10,1,1,"Entities"))</f>
        <v>263</v>
      </c>
      <c r="DM173" s="75">
        <f ca="1">ROUND((Table14[[#This Row],[XP]]*Table14[[#This Row],[entity_spawned (AVG)]])*(Table14[[#This Row],[activating_chance]]/100),0)</f>
        <v>263</v>
      </c>
      <c r="DN17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173" s="72">
        <v>1</v>
      </c>
      <c r="DP173" s="72">
        <v>1</v>
      </c>
      <c r="DQ173" s="72" t="b">
        <v>0</v>
      </c>
      <c r="DS173" t="s">
        <v>445</v>
      </c>
      <c r="DT173">
        <v>1</v>
      </c>
      <c r="DU173">
        <v>160</v>
      </c>
      <c r="DV173">
        <v>100</v>
      </c>
      <c r="DW173" s="75">
        <f ca="1">INDIRECT(ADDRESS(11+(MATCH(RIGHT(Table18[[#This Row],[spawner_sku]],LEN(Table18[[#This Row],[spawner_sku]])-FIND("/",Table18[[#This Row],[spawner_sku]])),Table1[Entity Prefab],0)),10,1,1,"Entities"))</f>
        <v>0</v>
      </c>
      <c r="DX173" s="75">
        <f ca="1">ROUND((Table18[[#This Row],[XP]]*Table18[[#This Row],[entity_spawned (AVG)]])*(Table18[[#This Row],[activating_chance]]/100),0)</f>
        <v>0</v>
      </c>
      <c r="DY173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73">
        <v>1</v>
      </c>
      <c r="EA173">
        <v>1</v>
      </c>
      <c r="EB173" t="b">
        <v>0</v>
      </c>
      <c r="ED173" t="s">
        <v>473</v>
      </c>
      <c r="EE173">
        <v>1</v>
      </c>
      <c r="EF173">
        <v>230</v>
      </c>
      <c r="EG173">
        <v>100</v>
      </c>
      <c r="EH173" s="75">
        <f ca="1">INDIRECT(ADDRESS(11+(MATCH(RIGHT(Table1820[[#This Row],[spawner_sku]],LEN(Table1820[[#This Row],[spawner_sku]])-FIND("/",Table1820[[#This Row],[spawner_sku]])),Table1[Entity Prefab],0)),10,1,1,"Entities"))</f>
        <v>130</v>
      </c>
      <c r="EI173" s="75">
        <f ca="1">ROUND((Table1820[[#This Row],[XP]]*Table1820[[#This Row],[entity_spawned (AVG)]])*(Table1820[[#This Row],[activating_chance]]/100),0)</f>
        <v>130</v>
      </c>
      <c r="EJ173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73">
        <v>1</v>
      </c>
      <c r="EL173">
        <v>1</v>
      </c>
      <c r="EM173" t="b">
        <v>0</v>
      </c>
      <c r="EZ173" t="s">
        <v>7348</v>
      </c>
      <c r="FA173">
        <v>2</v>
      </c>
      <c r="FB173">
        <v>80</v>
      </c>
      <c r="FC173">
        <v>80</v>
      </c>
      <c r="FD173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173" s="75">
        <f ca="1">ROUND((Table18202324[[#This Row],[XP]]*Table18202324[[#This Row],[entity_spawned (AVG)]])*(Table18202324[[#This Row],[activating_chance]]/100),0)</f>
        <v>40</v>
      </c>
      <c r="FF173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73">
        <v>1</v>
      </c>
      <c r="FH173">
        <v>3</v>
      </c>
      <c r="FI173" t="b">
        <v>0</v>
      </c>
    </row>
    <row r="174" spans="2:165" x14ac:dyDescent="0.25">
      <c r="B174" s="73" t="s">
        <v>229</v>
      </c>
      <c r="C174">
        <v>2</v>
      </c>
      <c r="D174">
        <v>130</v>
      </c>
      <c r="E174">
        <v>80</v>
      </c>
      <c r="F174" s="75">
        <f ca="1">INDIRECT(ADDRESS(11+(MATCH(RIGHT(Table245[[#This Row],[spawner_sku]],LEN(Table245[[#This Row],[spawner_sku]])-FIND("/",Table245[[#This Row],[spawner_sku]])),Table1[Entity Prefab],0)),10,1,1,"Entities"))</f>
        <v>25</v>
      </c>
      <c r="G174" s="75">
        <f ca="1">ROUND((Table245[[#This Row],[XP]]*Table245[[#This Row],[entity_spawned (AVG)]])*(Table245[[#This Row],[activating_chance]]/100),0)</f>
        <v>40</v>
      </c>
      <c r="H17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4" s="72">
        <v>1</v>
      </c>
      <c r="J174" s="72">
        <v>3</v>
      </c>
      <c r="K174" s="72" t="b">
        <v>0</v>
      </c>
      <c r="M174" t="s">
        <v>511</v>
      </c>
      <c r="N174">
        <v>1</v>
      </c>
      <c r="O174">
        <v>220</v>
      </c>
      <c r="P174">
        <v>100</v>
      </c>
      <c r="Q174" s="75">
        <f ca="1">INDIRECT(ADDRESS(11+(MATCH(RIGHT(Table3[[#This Row],[spawner_sku]],LEN(Table3[[#This Row],[spawner_sku]])-FIND("/",Table3[[#This Row],[spawner_sku]])),Table1[Entity Prefab],0)),10,1,1,"Entities"))</f>
        <v>50</v>
      </c>
      <c r="R174" s="75">
        <f ca="1">ROUND((Table3[[#This Row],[XP]]*Table3[[#This Row],[entity_spawned (AVG)]])*(Table3[[#This Row],[activating_chance]]/100),0)</f>
        <v>50</v>
      </c>
      <c r="S174" t="str">
        <f ca="1">INDIRECT(ADDRESS(11+(MATCH(RIGHT(Table3[[#This Row],[spawner_sku]],LEN(Table3[[#This Row],[spawner_sku]])-FIND("/",Table3[[#This Row],[spawner_sku]])),Table28[Entity Prefab],0)),24,1,1,"Entities"))</f>
        <v>no</v>
      </c>
      <c r="T174">
        <v>1</v>
      </c>
      <c r="U174">
        <v>1</v>
      </c>
      <c r="V174" t="b">
        <v>0</v>
      </c>
      <c r="AI174" t="s">
        <v>232</v>
      </c>
      <c r="AJ174">
        <v>1</v>
      </c>
      <c r="AK174">
        <v>250</v>
      </c>
      <c r="AL174">
        <v>100</v>
      </c>
      <c r="AM174" s="75">
        <f ca="1">INDIRECT(ADDRESS(11+(MATCH(RIGHT(Table2[[#This Row],[spawner_sku]],LEN(Table2[[#This Row],[spawner_sku]])-FIND("/",Table2[[#This Row],[spawner_sku]])),Table1[Entity Prefab],0)),10,1,1,"Entities"))</f>
        <v>143</v>
      </c>
      <c r="AN174" s="75">
        <f ca="1">ROUND((Table2[[#This Row],[XP]]*Table2[[#This Row],[entity_spawned (AVG)]])*(Table2[[#This Row],[activating_chance]]/100),0)</f>
        <v>143</v>
      </c>
      <c r="AO174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74" s="72">
        <v>1</v>
      </c>
      <c r="AQ174" s="72">
        <v>1</v>
      </c>
      <c r="AR174" s="72" t="b">
        <v>0</v>
      </c>
      <c r="AT174" t="s">
        <v>256</v>
      </c>
      <c r="AU174">
        <v>1</v>
      </c>
      <c r="AV174">
        <v>150</v>
      </c>
      <c r="AW174">
        <v>100</v>
      </c>
      <c r="AX174" s="75">
        <f ca="1">INDIRECT(ADDRESS(11+(MATCH(RIGHT(Table6[[#This Row],[spawner_sku]],LEN(Table6[[#This Row],[spawner_sku]])-FIND("/",Table6[[#This Row],[spawner_sku]])),Table1[Entity Prefab],0)),10,1,1,"Entities"))</f>
        <v>25</v>
      </c>
      <c r="AY174" s="75">
        <f ca="1">ROUND((Table6[[#This Row],[XP]]*Table6[[#This Row],[entity_spawned (AVG)]])*(Table6[[#This Row],[activating_chance]]/100),0)</f>
        <v>25</v>
      </c>
      <c r="AZ174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74">
        <v>1</v>
      </c>
      <c r="BB174">
        <v>1</v>
      </c>
      <c r="BC174" t="b">
        <v>0</v>
      </c>
      <c r="BE174" t="s">
        <v>396</v>
      </c>
      <c r="BF174">
        <v>1</v>
      </c>
      <c r="BG174">
        <v>150</v>
      </c>
      <c r="BH174">
        <v>100</v>
      </c>
      <c r="BI174" s="75">
        <f ca="1">INDIRECT(ADDRESS(11+(MATCH(RIGHT(Table610[[#This Row],[spawner_sku]],LEN(Table610[[#This Row],[spawner_sku]])-FIND("/",Table610[[#This Row],[spawner_sku]])),Table1[Entity Prefab],0)),10,1,1,"Entities"))</f>
        <v>25</v>
      </c>
      <c r="BJ174" s="75">
        <f ca="1">ROUND((Table610[[#This Row],[XP]]*Table610[[#This Row],[entity_spawned (AVG)]])*(Table610[[#This Row],[activating_chance]]/100),0)</f>
        <v>25</v>
      </c>
      <c r="BK174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74">
        <v>1</v>
      </c>
      <c r="BM174">
        <v>1</v>
      </c>
      <c r="BN174" t="b">
        <v>0</v>
      </c>
      <c r="BP174" t="s">
        <v>235</v>
      </c>
      <c r="BQ174">
        <v>1</v>
      </c>
      <c r="BR174">
        <v>180</v>
      </c>
      <c r="BS174">
        <v>80</v>
      </c>
      <c r="BT17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74" s="75">
        <f ca="1">ROUND((Table61011[[#This Row],[XP]]*Table61011[[#This Row],[entity_spawned (AVG)]])*(Table61011[[#This Row],[activating_chance]]/100),0)</f>
        <v>20</v>
      </c>
      <c r="BV17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4" s="72">
        <v>1</v>
      </c>
      <c r="BX174" s="72">
        <v>1</v>
      </c>
      <c r="BY174" s="72" t="b">
        <v>0</v>
      </c>
      <c r="CA174" t="s">
        <v>242</v>
      </c>
      <c r="CB174">
        <v>1</v>
      </c>
      <c r="CC174">
        <v>1500</v>
      </c>
      <c r="CD174">
        <v>100</v>
      </c>
      <c r="CE174" s="75">
        <f ca="1">INDIRECT(ADDRESS(11+(MATCH(RIGHT(Table11[[#This Row],[spawner_sku]],LEN(Table11[[#This Row],[spawner_sku]])-FIND("/",Table11[[#This Row],[spawner_sku]])),Table1[Entity Prefab],0)),10,1,1,"Entities"))</f>
        <v>130</v>
      </c>
      <c r="CF174">
        <f ca="1">ROUND((Table11[[#This Row],[XP]]*Table11[[#This Row],[entity_spawned (AVG)]])*(Table11[[#This Row],[activating_chance]]/100),0)</f>
        <v>130</v>
      </c>
      <c r="CG174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74" s="72">
        <v>1</v>
      </c>
      <c r="CI174" s="72">
        <v>1</v>
      </c>
      <c r="CJ174" s="72" t="b">
        <v>0</v>
      </c>
      <c r="CL174" t="s">
        <v>256</v>
      </c>
      <c r="CM174">
        <v>1</v>
      </c>
      <c r="CN174">
        <v>150</v>
      </c>
      <c r="CO174">
        <v>100</v>
      </c>
      <c r="CP174" s="75">
        <f ca="1">INDIRECT(ADDRESS(11+(MATCH(RIGHT(Table12[[#This Row],[spawner_sku]],LEN(Table12[[#This Row],[spawner_sku]])-FIND("/",Table12[[#This Row],[spawner_sku]])),Table1[Entity Prefab],0)),10,1,1,"Entities"))</f>
        <v>25</v>
      </c>
      <c r="CQ174" s="75">
        <f ca="1">ROUND((Table12[[#This Row],[XP]]*Table12[[#This Row],[entity_spawned (AVG)]])*(Table12[[#This Row],[activating_chance]]/100),0)</f>
        <v>25</v>
      </c>
      <c r="CR174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74" s="72">
        <v>1</v>
      </c>
      <c r="CT174" s="72">
        <v>1</v>
      </c>
      <c r="CU174" s="72" t="b">
        <v>0</v>
      </c>
      <c r="CW174" t="s">
        <v>253</v>
      </c>
      <c r="CX174">
        <v>1</v>
      </c>
      <c r="CY174">
        <v>170</v>
      </c>
      <c r="CZ174">
        <v>100</v>
      </c>
      <c r="DA174" s="75">
        <f ca="1">INDIRECT(ADDRESS(11+(MATCH(RIGHT(Table13[[#This Row],[spawner_sku]],LEN(Table13[[#This Row],[spawner_sku]])-FIND("/",Table13[[#This Row],[spawner_sku]])),Table1[Entity Prefab],0)),10,1,1,"Entities"))</f>
        <v>70</v>
      </c>
      <c r="DB174" s="75">
        <f ca="1">ROUND((Table13[[#This Row],[XP]]*Table13[[#This Row],[entity_spawned (AVG)]])*(Table13[[#This Row],[activating_chance]]/100),0)</f>
        <v>70</v>
      </c>
      <c r="DC174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74" s="72">
        <v>1</v>
      </c>
      <c r="DE174" s="72">
        <v>1</v>
      </c>
      <c r="DF174" s="72" t="b">
        <v>0</v>
      </c>
      <c r="DH174" t="s">
        <v>402</v>
      </c>
      <c r="DI174">
        <v>1</v>
      </c>
      <c r="DJ174">
        <v>340</v>
      </c>
      <c r="DK174">
        <v>100</v>
      </c>
      <c r="DL174" s="75">
        <f ca="1">INDIRECT(ADDRESS(11+(MATCH(RIGHT(Table14[[#This Row],[spawner_sku]],LEN(Table14[[#This Row],[spawner_sku]])-FIND("/",Table14[[#This Row],[spawner_sku]])),Table1[Entity Prefab],0)),10,1,1,"Entities"))</f>
        <v>263</v>
      </c>
      <c r="DM174" s="75">
        <f ca="1">ROUND((Table14[[#This Row],[XP]]*Table14[[#This Row],[entity_spawned (AVG)]])*(Table14[[#This Row],[activating_chance]]/100),0)</f>
        <v>263</v>
      </c>
      <c r="DN17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174" s="72">
        <v>1</v>
      </c>
      <c r="DP174" s="72">
        <v>1</v>
      </c>
      <c r="DQ174" s="72" t="b">
        <v>0</v>
      </c>
      <c r="DS174" t="s">
        <v>445</v>
      </c>
      <c r="DT174">
        <v>1</v>
      </c>
      <c r="DU174">
        <v>160</v>
      </c>
      <c r="DV174">
        <v>100</v>
      </c>
      <c r="DW174" s="75">
        <f ca="1">INDIRECT(ADDRESS(11+(MATCH(RIGHT(Table18[[#This Row],[spawner_sku]],LEN(Table18[[#This Row],[spawner_sku]])-FIND("/",Table18[[#This Row],[spawner_sku]])),Table1[Entity Prefab],0)),10,1,1,"Entities"))</f>
        <v>0</v>
      </c>
      <c r="DX174" s="75">
        <f ca="1">ROUND((Table18[[#This Row],[XP]]*Table18[[#This Row],[entity_spawned (AVG)]])*(Table18[[#This Row],[activating_chance]]/100),0)</f>
        <v>0</v>
      </c>
      <c r="DY174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74">
        <v>1</v>
      </c>
      <c r="EA174">
        <v>1</v>
      </c>
      <c r="EB174" t="b">
        <v>0</v>
      </c>
      <c r="ED174" t="s">
        <v>646</v>
      </c>
      <c r="EE174">
        <v>1</v>
      </c>
      <c r="EF174">
        <v>120</v>
      </c>
      <c r="EG174">
        <v>30</v>
      </c>
      <c r="EH174" s="75">
        <f ca="1">INDIRECT(ADDRESS(11+(MATCH(RIGHT(Table1820[[#This Row],[spawner_sku]],LEN(Table1820[[#This Row],[spawner_sku]])-FIND("/",Table1820[[#This Row],[spawner_sku]])),Table1[Entity Prefab],0)),10,1,1,"Entities"))</f>
        <v>75</v>
      </c>
      <c r="EI174" s="75">
        <f ca="1">ROUND((Table1820[[#This Row],[XP]]*Table1820[[#This Row],[entity_spawned (AVG)]])*(Table1820[[#This Row],[activating_chance]]/100),0)</f>
        <v>23</v>
      </c>
      <c r="EJ17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74">
        <v>1</v>
      </c>
      <c r="EL174">
        <v>1</v>
      </c>
      <c r="EM174" t="b">
        <v>0</v>
      </c>
      <c r="EZ174" t="s">
        <v>7348</v>
      </c>
      <c r="FA174">
        <v>1.5</v>
      </c>
      <c r="FB174">
        <v>80</v>
      </c>
      <c r="FC174">
        <v>100</v>
      </c>
      <c r="FD174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174" s="75">
        <f ca="1">ROUND((Table18202324[[#This Row],[XP]]*Table18202324[[#This Row],[entity_spawned (AVG)]])*(Table18202324[[#This Row],[activating_chance]]/100),0)</f>
        <v>38</v>
      </c>
      <c r="FF174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74">
        <v>1</v>
      </c>
      <c r="FH174">
        <v>2</v>
      </c>
      <c r="FI174" t="b">
        <v>0</v>
      </c>
    </row>
    <row r="175" spans="2:165" x14ac:dyDescent="0.25">
      <c r="B175" s="73" t="s">
        <v>229</v>
      </c>
      <c r="C175">
        <v>1</v>
      </c>
      <c r="D175">
        <v>80</v>
      </c>
      <c r="E175">
        <v>80</v>
      </c>
      <c r="F175" s="75">
        <f ca="1">INDIRECT(ADDRESS(11+(MATCH(RIGHT(Table245[[#This Row],[spawner_sku]],LEN(Table245[[#This Row],[spawner_sku]])-FIND("/",Table245[[#This Row],[spawner_sku]])),Table1[Entity Prefab],0)),10,1,1,"Entities"))</f>
        <v>25</v>
      </c>
      <c r="G175" s="75">
        <f ca="1">ROUND((Table245[[#This Row],[XP]]*Table245[[#This Row],[entity_spawned (AVG)]])*(Table245[[#This Row],[activating_chance]]/100),0)</f>
        <v>20</v>
      </c>
      <c r="H17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5" s="72">
        <v>1</v>
      </c>
      <c r="J175" s="72">
        <v>1</v>
      </c>
      <c r="K175" s="72" t="b">
        <v>0</v>
      </c>
      <c r="M175" t="s">
        <v>384</v>
      </c>
      <c r="N175">
        <v>5</v>
      </c>
      <c r="O175">
        <v>100</v>
      </c>
      <c r="P175">
        <v>100</v>
      </c>
      <c r="Q175" s="75">
        <f ca="1">INDIRECT(ADDRESS(11+(MATCH(RIGHT(Table3[[#This Row],[spawner_sku]],LEN(Table3[[#This Row],[spawner_sku]])-FIND("/",Table3[[#This Row],[spawner_sku]])),Table1[Entity Prefab],0)),10,1,1,"Entities"))</f>
        <v>25</v>
      </c>
      <c r="R175" s="75">
        <f ca="1">ROUND((Table3[[#This Row],[XP]]*Table3[[#This Row],[entity_spawned (AVG)]])*(Table3[[#This Row],[activating_chance]]/100),0)</f>
        <v>125</v>
      </c>
      <c r="S175" t="str">
        <f ca="1">INDIRECT(ADDRESS(11+(MATCH(RIGHT(Table3[[#This Row],[spawner_sku]],LEN(Table3[[#This Row],[spawner_sku]])-FIND("/",Table3[[#This Row],[spawner_sku]])),Table28[Entity Prefab],0)),24,1,1,"Entities"))</f>
        <v>no</v>
      </c>
      <c r="T175">
        <v>5</v>
      </c>
      <c r="U175">
        <v>5</v>
      </c>
      <c r="V175" t="b">
        <v>1</v>
      </c>
      <c r="AI175" t="s">
        <v>232</v>
      </c>
      <c r="AJ175">
        <v>1</v>
      </c>
      <c r="AK175">
        <v>250</v>
      </c>
      <c r="AL175">
        <v>10</v>
      </c>
      <c r="AM175" s="75">
        <f ca="1">INDIRECT(ADDRESS(11+(MATCH(RIGHT(Table2[[#This Row],[spawner_sku]],LEN(Table2[[#This Row],[spawner_sku]])-FIND("/",Table2[[#This Row],[spawner_sku]])),Table1[Entity Prefab],0)),10,1,1,"Entities"))</f>
        <v>143</v>
      </c>
      <c r="AN175" s="75">
        <f ca="1">ROUND((Table2[[#This Row],[XP]]*Table2[[#This Row],[entity_spawned (AVG)]])*(Table2[[#This Row],[activating_chance]]/100),0)</f>
        <v>14</v>
      </c>
      <c r="AO175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75" s="72">
        <v>1</v>
      </c>
      <c r="AQ175" s="72">
        <v>1</v>
      </c>
      <c r="AR175" s="72" t="b">
        <v>0</v>
      </c>
      <c r="AT175" t="s">
        <v>256</v>
      </c>
      <c r="AU175">
        <v>1</v>
      </c>
      <c r="AV175">
        <v>150</v>
      </c>
      <c r="AW175">
        <v>100</v>
      </c>
      <c r="AX175" s="75">
        <f ca="1">INDIRECT(ADDRESS(11+(MATCH(RIGHT(Table6[[#This Row],[spawner_sku]],LEN(Table6[[#This Row],[spawner_sku]])-FIND("/",Table6[[#This Row],[spawner_sku]])),Table1[Entity Prefab],0)),10,1,1,"Entities"))</f>
        <v>25</v>
      </c>
      <c r="AY175" s="75">
        <f ca="1">ROUND((Table6[[#This Row],[XP]]*Table6[[#This Row],[entity_spawned (AVG)]])*(Table6[[#This Row],[activating_chance]]/100),0)</f>
        <v>25</v>
      </c>
      <c r="AZ175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75">
        <v>1</v>
      </c>
      <c r="BB175">
        <v>1</v>
      </c>
      <c r="BC175" t="b">
        <v>0</v>
      </c>
      <c r="BE175" t="s">
        <v>396</v>
      </c>
      <c r="BF175">
        <v>1</v>
      </c>
      <c r="BG175">
        <v>150</v>
      </c>
      <c r="BH175">
        <v>50</v>
      </c>
      <c r="BI175" s="75">
        <f ca="1">INDIRECT(ADDRESS(11+(MATCH(RIGHT(Table610[[#This Row],[spawner_sku]],LEN(Table610[[#This Row],[spawner_sku]])-FIND("/",Table610[[#This Row],[spawner_sku]])),Table1[Entity Prefab],0)),10,1,1,"Entities"))</f>
        <v>25</v>
      </c>
      <c r="BJ175" s="75">
        <f ca="1">ROUND((Table610[[#This Row],[XP]]*Table610[[#This Row],[entity_spawned (AVG)]])*(Table610[[#This Row],[activating_chance]]/100),0)</f>
        <v>13</v>
      </c>
      <c r="BK175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75">
        <v>1</v>
      </c>
      <c r="BM175">
        <v>1</v>
      </c>
      <c r="BN175" t="b">
        <v>0</v>
      </c>
      <c r="BP175" t="s">
        <v>235</v>
      </c>
      <c r="BQ175">
        <v>1</v>
      </c>
      <c r="BR175">
        <v>180</v>
      </c>
      <c r="BS175">
        <v>100</v>
      </c>
      <c r="BT17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75" s="75">
        <f ca="1">ROUND((Table61011[[#This Row],[XP]]*Table61011[[#This Row],[entity_spawned (AVG)]])*(Table61011[[#This Row],[activating_chance]]/100),0)</f>
        <v>25</v>
      </c>
      <c r="BV17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5" s="72">
        <v>1</v>
      </c>
      <c r="BX175" s="72">
        <v>1</v>
      </c>
      <c r="BY175" s="72" t="b">
        <v>0</v>
      </c>
      <c r="CA175" t="s">
        <v>242</v>
      </c>
      <c r="CB175">
        <v>1</v>
      </c>
      <c r="CC175">
        <v>1500</v>
      </c>
      <c r="CD175">
        <v>100</v>
      </c>
      <c r="CE175" s="75">
        <f ca="1">INDIRECT(ADDRESS(11+(MATCH(RIGHT(Table11[[#This Row],[spawner_sku]],LEN(Table11[[#This Row],[spawner_sku]])-FIND("/",Table11[[#This Row],[spawner_sku]])),Table1[Entity Prefab],0)),10,1,1,"Entities"))</f>
        <v>130</v>
      </c>
      <c r="CF175">
        <f ca="1">ROUND((Table11[[#This Row],[XP]]*Table11[[#This Row],[entity_spawned (AVG)]])*(Table11[[#This Row],[activating_chance]]/100),0)</f>
        <v>130</v>
      </c>
      <c r="CG175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75" s="72">
        <v>1</v>
      </c>
      <c r="CI175" s="72">
        <v>1</v>
      </c>
      <c r="CJ175" s="72" t="b">
        <v>0</v>
      </c>
      <c r="CL175" t="s">
        <v>257</v>
      </c>
      <c r="CM175">
        <v>1</v>
      </c>
      <c r="CN175">
        <v>220</v>
      </c>
      <c r="CO175">
        <v>30</v>
      </c>
      <c r="CP175" s="75">
        <f ca="1">INDIRECT(ADDRESS(11+(MATCH(RIGHT(Table12[[#This Row],[spawner_sku]],LEN(Table12[[#This Row],[spawner_sku]])-FIND("/",Table12[[#This Row],[spawner_sku]])),Table1[Entity Prefab],0)),10,1,1,"Entities"))</f>
        <v>50</v>
      </c>
      <c r="CQ175" s="75">
        <f ca="1">ROUND((Table12[[#This Row],[XP]]*Table12[[#This Row],[entity_spawned (AVG)]])*(Table12[[#This Row],[activating_chance]]/100),0)</f>
        <v>15</v>
      </c>
      <c r="CR175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75" s="72">
        <v>1</v>
      </c>
      <c r="CT175" s="72">
        <v>1</v>
      </c>
      <c r="CU175" s="72" t="b">
        <v>0</v>
      </c>
      <c r="CW175" t="s">
        <v>254</v>
      </c>
      <c r="CX175">
        <v>1</v>
      </c>
      <c r="CY175">
        <v>170</v>
      </c>
      <c r="CZ175">
        <v>100</v>
      </c>
      <c r="DA175" s="75">
        <f ca="1">INDIRECT(ADDRESS(11+(MATCH(RIGHT(Table13[[#This Row],[spawner_sku]],LEN(Table13[[#This Row],[spawner_sku]])-FIND("/",Table13[[#This Row],[spawner_sku]])),Table1[Entity Prefab],0)),10,1,1,"Entities"))</f>
        <v>70</v>
      </c>
      <c r="DB175" s="75">
        <f ca="1">ROUND((Table13[[#This Row],[XP]]*Table13[[#This Row],[entity_spawned (AVG)]])*(Table13[[#This Row],[activating_chance]]/100),0)</f>
        <v>70</v>
      </c>
      <c r="DC175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75" s="72">
        <v>1</v>
      </c>
      <c r="DE175" s="72">
        <v>1</v>
      </c>
      <c r="DF175" s="72" t="b">
        <v>0</v>
      </c>
      <c r="DH175" t="s">
        <v>402</v>
      </c>
      <c r="DI175">
        <v>1</v>
      </c>
      <c r="DJ175">
        <v>340</v>
      </c>
      <c r="DK175">
        <v>100</v>
      </c>
      <c r="DL175" s="75">
        <f ca="1">INDIRECT(ADDRESS(11+(MATCH(RIGHT(Table14[[#This Row],[spawner_sku]],LEN(Table14[[#This Row],[spawner_sku]])-FIND("/",Table14[[#This Row],[spawner_sku]])),Table1[Entity Prefab],0)),10,1,1,"Entities"))</f>
        <v>263</v>
      </c>
      <c r="DM175" s="75">
        <f ca="1">ROUND((Table14[[#This Row],[XP]]*Table14[[#This Row],[entity_spawned (AVG)]])*(Table14[[#This Row],[activating_chance]]/100),0)</f>
        <v>263</v>
      </c>
      <c r="DN17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175" s="72">
        <v>1</v>
      </c>
      <c r="DP175" s="72">
        <v>1</v>
      </c>
      <c r="DQ175" s="72" t="b">
        <v>0</v>
      </c>
      <c r="DS175" t="s">
        <v>445</v>
      </c>
      <c r="DT175">
        <v>1</v>
      </c>
      <c r="DU175">
        <v>160</v>
      </c>
      <c r="DV175">
        <v>100</v>
      </c>
      <c r="DW175" s="75">
        <f ca="1">INDIRECT(ADDRESS(11+(MATCH(RIGHT(Table18[[#This Row],[spawner_sku]],LEN(Table18[[#This Row],[spawner_sku]])-FIND("/",Table18[[#This Row],[spawner_sku]])),Table1[Entity Prefab],0)),10,1,1,"Entities"))</f>
        <v>0</v>
      </c>
      <c r="DX175" s="75">
        <f ca="1">ROUND((Table18[[#This Row],[XP]]*Table18[[#This Row],[entity_spawned (AVG)]])*(Table18[[#This Row],[activating_chance]]/100),0)</f>
        <v>0</v>
      </c>
      <c r="DY175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75">
        <v>1</v>
      </c>
      <c r="EA175">
        <v>1</v>
      </c>
      <c r="EB175" t="b">
        <v>0</v>
      </c>
      <c r="ED175" t="s">
        <v>646</v>
      </c>
      <c r="EE175">
        <v>1</v>
      </c>
      <c r="EF175">
        <v>120</v>
      </c>
      <c r="EG175">
        <v>30</v>
      </c>
      <c r="EH175" s="75">
        <f ca="1">INDIRECT(ADDRESS(11+(MATCH(RIGHT(Table1820[[#This Row],[spawner_sku]],LEN(Table1820[[#This Row],[spawner_sku]])-FIND("/",Table1820[[#This Row],[spawner_sku]])),Table1[Entity Prefab],0)),10,1,1,"Entities"))</f>
        <v>75</v>
      </c>
      <c r="EI175" s="75">
        <f ca="1">ROUND((Table1820[[#This Row],[XP]]*Table1820[[#This Row],[entity_spawned (AVG)]])*(Table1820[[#This Row],[activating_chance]]/100),0)</f>
        <v>23</v>
      </c>
      <c r="EJ17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75">
        <v>1</v>
      </c>
      <c r="EL175">
        <v>1</v>
      </c>
      <c r="EM175" t="b">
        <v>0</v>
      </c>
      <c r="EZ175" t="s">
        <v>7348</v>
      </c>
      <c r="FA175">
        <v>2</v>
      </c>
      <c r="FB175">
        <v>70</v>
      </c>
      <c r="FC175">
        <v>100</v>
      </c>
      <c r="FD175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175" s="75">
        <f ca="1">ROUND((Table18202324[[#This Row],[XP]]*Table18202324[[#This Row],[entity_spawned (AVG)]])*(Table18202324[[#This Row],[activating_chance]]/100),0)</f>
        <v>50</v>
      </c>
      <c r="FF175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75">
        <v>1</v>
      </c>
      <c r="FH175">
        <v>3</v>
      </c>
      <c r="FI175" t="b">
        <v>0</v>
      </c>
    </row>
    <row r="176" spans="2:165" x14ac:dyDescent="0.25">
      <c r="B176" s="73" t="s">
        <v>229</v>
      </c>
      <c r="C176">
        <v>1</v>
      </c>
      <c r="D176">
        <v>60</v>
      </c>
      <c r="E176">
        <v>100</v>
      </c>
      <c r="F176" s="75">
        <f ca="1">INDIRECT(ADDRESS(11+(MATCH(RIGHT(Table245[[#This Row],[spawner_sku]],LEN(Table245[[#This Row],[spawner_sku]])-FIND("/",Table245[[#This Row],[spawner_sku]])),Table1[Entity Prefab],0)),10,1,1,"Entities"))</f>
        <v>25</v>
      </c>
      <c r="G176" s="75">
        <f ca="1">ROUND((Table245[[#This Row],[XP]]*Table245[[#This Row],[entity_spawned (AVG)]])*(Table245[[#This Row],[activating_chance]]/100),0)</f>
        <v>25</v>
      </c>
      <c r="H17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6" s="72">
        <v>1</v>
      </c>
      <c r="J176" s="72">
        <v>1</v>
      </c>
      <c r="K176" s="72" t="b">
        <v>0</v>
      </c>
      <c r="M176" t="s">
        <v>384</v>
      </c>
      <c r="N176">
        <v>3</v>
      </c>
      <c r="O176">
        <v>100</v>
      </c>
      <c r="P176">
        <v>100</v>
      </c>
      <c r="Q176" s="75">
        <f ca="1">INDIRECT(ADDRESS(11+(MATCH(RIGHT(Table3[[#This Row],[spawner_sku]],LEN(Table3[[#This Row],[spawner_sku]])-FIND("/",Table3[[#This Row],[spawner_sku]])),Table1[Entity Prefab],0)),10,1,1,"Entities"))</f>
        <v>25</v>
      </c>
      <c r="R176" s="75">
        <f ca="1">ROUND((Table3[[#This Row],[XP]]*Table3[[#This Row],[entity_spawned (AVG)]])*(Table3[[#This Row],[activating_chance]]/100),0)</f>
        <v>75</v>
      </c>
      <c r="S176" t="str">
        <f ca="1">INDIRECT(ADDRESS(11+(MATCH(RIGHT(Table3[[#This Row],[spawner_sku]],LEN(Table3[[#This Row],[spawner_sku]])-FIND("/",Table3[[#This Row],[spawner_sku]])),Table28[Entity Prefab],0)),24,1,1,"Entities"))</f>
        <v>no</v>
      </c>
      <c r="T176">
        <v>3</v>
      </c>
      <c r="U176">
        <v>3</v>
      </c>
      <c r="V176" t="b">
        <v>0</v>
      </c>
      <c r="AI176" t="s">
        <v>232</v>
      </c>
      <c r="AJ176">
        <v>1</v>
      </c>
      <c r="AK176">
        <v>250</v>
      </c>
      <c r="AL176">
        <v>100</v>
      </c>
      <c r="AM176" s="75">
        <f ca="1">INDIRECT(ADDRESS(11+(MATCH(RIGHT(Table2[[#This Row],[spawner_sku]],LEN(Table2[[#This Row],[spawner_sku]])-FIND("/",Table2[[#This Row],[spawner_sku]])),Table1[Entity Prefab],0)),10,1,1,"Entities"))</f>
        <v>143</v>
      </c>
      <c r="AN176" s="75">
        <f ca="1">ROUND((Table2[[#This Row],[XP]]*Table2[[#This Row],[entity_spawned (AVG)]])*(Table2[[#This Row],[activating_chance]]/100),0)</f>
        <v>143</v>
      </c>
      <c r="AO17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76" s="72">
        <v>1</v>
      </c>
      <c r="AQ176" s="72">
        <v>1</v>
      </c>
      <c r="AR176" s="72" t="b">
        <v>0</v>
      </c>
      <c r="AT176" t="s">
        <v>256</v>
      </c>
      <c r="AU176">
        <v>1</v>
      </c>
      <c r="AV176">
        <v>150</v>
      </c>
      <c r="AW176">
        <v>100</v>
      </c>
      <c r="AX176" s="75">
        <f ca="1">INDIRECT(ADDRESS(11+(MATCH(RIGHT(Table6[[#This Row],[spawner_sku]],LEN(Table6[[#This Row],[spawner_sku]])-FIND("/",Table6[[#This Row],[spawner_sku]])),Table1[Entity Prefab],0)),10,1,1,"Entities"))</f>
        <v>25</v>
      </c>
      <c r="AY176" s="75">
        <f ca="1">ROUND((Table6[[#This Row],[XP]]*Table6[[#This Row],[entity_spawned (AVG)]])*(Table6[[#This Row],[activating_chance]]/100),0)</f>
        <v>25</v>
      </c>
      <c r="AZ176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76">
        <v>1</v>
      </c>
      <c r="BB176">
        <v>1</v>
      </c>
      <c r="BC176" t="b">
        <v>0</v>
      </c>
      <c r="BE176" t="s">
        <v>396</v>
      </c>
      <c r="BF176">
        <v>1</v>
      </c>
      <c r="BG176">
        <v>90</v>
      </c>
      <c r="BH176">
        <v>50</v>
      </c>
      <c r="BI176" s="75">
        <f ca="1">INDIRECT(ADDRESS(11+(MATCH(RIGHT(Table610[[#This Row],[spawner_sku]],LEN(Table610[[#This Row],[spawner_sku]])-FIND("/",Table610[[#This Row],[spawner_sku]])),Table1[Entity Prefab],0)),10,1,1,"Entities"))</f>
        <v>25</v>
      </c>
      <c r="BJ176" s="75">
        <f ca="1">ROUND((Table610[[#This Row],[XP]]*Table610[[#This Row],[entity_spawned (AVG)]])*(Table610[[#This Row],[activating_chance]]/100),0)</f>
        <v>13</v>
      </c>
      <c r="BK176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76">
        <v>1</v>
      </c>
      <c r="BM176">
        <v>1</v>
      </c>
      <c r="BN176" t="b">
        <v>0</v>
      </c>
      <c r="BP176" t="s">
        <v>235</v>
      </c>
      <c r="BQ176">
        <v>1</v>
      </c>
      <c r="BR176">
        <v>180</v>
      </c>
      <c r="BS176">
        <v>100</v>
      </c>
      <c r="BT17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76" s="75">
        <f ca="1">ROUND((Table61011[[#This Row],[XP]]*Table61011[[#This Row],[entity_spawned (AVG)]])*(Table61011[[#This Row],[activating_chance]]/100),0)</f>
        <v>25</v>
      </c>
      <c r="BV17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6" s="72">
        <v>1</v>
      </c>
      <c r="BX176" s="72">
        <v>1</v>
      </c>
      <c r="BY176" s="72" t="b">
        <v>0</v>
      </c>
      <c r="CA176" t="s">
        <v>242</v>
      </c>
      <c r="CB176">
        <v>1</v>
      </c>
      <c r="CC176">
        <v>1500</v>
      </c>
      <c r="CD176">
        <v>100</v>
      </c>
      <c r="CE176" s="75">
        <f ca="1">INDIRECT(ADDRESS(11+(MATCH(RIGHT(Table11[[#This Row],[spawner_sku]],LEN(Table11[[#This Row],[spawner_sku]])-FIND("/",Table11[[#This Row],[spawner_sku]])),Table1[Entity Prefab],0)),10,1,1,"Entities"))</f>
        <v>130</v>
      </c>
      <c r="CF176">
        <f ca="1">ROUND((Table11[[#This Row],[XP]]*Table11[[#This Row],[entity_spawned (AVG)]])*(Table11[[#This Row],[activating_chance]]/100),0)</f>
        <v>130</v>
      </c>
      <c r="CG176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76" s="72">
        <v>1</v>
      </c>
      <c r="CI176" s="72">
        <v>1</v>
      </c>
      <c r="CJ176" s="72" t="b">
        <v>0</v>
      </c>
      <c r="CL176" t="s">
        <v>257</v>
      </c>
      <c r="CM176">
        <v>1</v>
      </c>
      <c r="CN176">
        <v>220</v>
      </c>
      <c r="CO176">
        <v>100</v>
      </c>
      <c r="CP176" s="75">
        <f ca="1">INDIRECT(ADDRESS(11+(MATCH(RIGHT(Table12[[#This Row],[spawner_sku]],LEN(Table12[[#This Row],[spawner_sku]])-FIND("/",Table12[[#This Row],[spawner_sku]])),Table1[Entity Prefab],0)),10,1,1,"Entities"))</f>
        <v>50</v>
      </c>
      <c r="CQ176" s="75">
        <f ca="1">ROUND((Table12[[#This Row],[XP]]*Table12[[#This Row],[entity_spawned (AVG)]])*(Table12[[#This Row],[activating_chance]]/100),0)</f>
        <v>50</v>
      </c>
      <c r="CR176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76" s="72">
        <v>1</v>
      </c>
      <c r="CT176" s="72">
        <v>1</v>
      </c>
      <c r="CU176" s="72" t="b">
        <v>0</v>
      </c>
      <c r="CW176" t="s">
        <v>254</v>
      </c>
      <c r="CX176">
        <v>1</v>
      </c>
      <c r="CY176">
        <v>170</v>
      </c>
      <c r="CZ176">
        <v>80</v>
      </c>
      <c r="DA176" s="75">
        <f ca="1">INDIRECT(ADDRESS(11+(MATCH(RIGHT(Table13[[#This Row],[spawner_sku]],LEN(Table13[[#This Row],[spawner_sku]])-FIND("/",Table13[[#This Row],[spawner_sku]])),Table1[Entity Prefab],0)),10,1,1,"Entities"))</f>
        <v>70</v>
      </c>
      <c r="DB176" s="75">
        <f ca="1">ROUND((Table13[[#This Row],[XP]]*Table13[[#This Row],[entity_spawned (AVG)]])*(Table13[[#This Row],[activating_chance]]/100),0)</f>
        <v>56</v>
      </c>
      <c r="DC176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76" s="72">
        <v>1</v>
      </c>
      <c r="DE176" s="72">
        <v>1</v>
      </c>
      <c r="DF176" s="72" t="b">
        <v>0</v>
      </c>
      <c r="DH176" t="s">
        <v>402</v>
      </c>
      <c r="DI176">
        <v>1</v>
      </c>
      <c r="DJ176">
        <v>340</v>
      </c>
      <c r="DK176">
        <v>100</v>
      </c>
      <c r="DL176" s="75">
        <f ca="1">INDIRECT(ADDRESS(11+(MATCH(RIGHT(Table14[[#This Row],[spawner_sku]],LEN(Table14[[#This Row],[spawner_sku]])-FIND("/",Table14[[#This Row],[spawner_sku]])),Table1[Entity Prefab],0)),10,1,1,"Entities"))</f>
        <v>263</v>
      </c>
      <c r="DM176" s="75">
        <f ca="1">ROUND((Table14[[#This Row],[XP]]*Table14[[#This Row],[entity_spawned (AVG)]])*(Table14[[#This Row],[activating_chance]]/100),0)</f>
        <v>263</v>
      </c>
      <c r="DN17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176" s="72">
        <v>1</v>
      </c>
      <c r="DP176" s="72">
        <v>1</v>
      </c>
      <c r="DQ176" s="72" t="b">
        <v>0</v>
      </c>
      <c r="DS176" t="s">
        <v>606</v>
      </c>
      <c r="DT176">
        <v>1</v>
      </c>
      <c r="DU176">
        <v>5000</v>
      </c>
      <c r="DV176">
        <v>75</v>
      </c>
      <c r="DW176" s="75">
        <f ca="1">INDIRECT(ADDRESS(11+(MATCH(RIGHT(Table18[[#This Row],[spawner_sku]],LEN(Table18[[#This Row],[spawner_sku]])-FIND("/",Table18[[#This Row],[spawner_sku]])),Table1[Entity Prefab],0)),10,1,1,"Entities"))</f>
        <v>25</v>
      </c>
      <c r="DX176" s="75">
        <f ca="1">ROUND((Table18[[#This Row],[XP]]*Table18[[#This Row],[entity_spawned (AVG)]])*(Table18[[#This Row],[activating_chance]]/100),0)</f>
        <v>19</v>
      </c>
      <c r="DY17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76">
        <v>1</v>
      </c>
      <c r="EA176">
        <v>1</v>
      </c>
      <c r="EB176" t="b">
        <v>0</v>
      </c>
      <c r="ED176" t="s">
        <v>646</v>
      </c>
      <c r="EE176">
        <v>1</v>
      </c>
      <c r="EF176">
        <v>120</v>
      </c>
      <c r="EG176">
        <v>80</v>
      </c>
      <c r="EH176" s="75">
        <f ca="1">INDIRECT(ADDRESS(11+(MATCH(RIGHT(Table1820[[#This Row],[spawner_sku]],LEN(Table1820[[#This Row],[spawner_sku]])-FIND("/",Table1820[[#This Row],[spawner_sku]])),Table1[Entity Prefab],0)),10,1,1,"Entities"))</f>
        <v>75</v>
      </c>
      <c r="EI176" s="75">
        <f ca="1">ROUND((Table1820[[#This Row],[XP]]*Table1820[[#This Row],[entity_spawned (AVG)]])*(Table1820[[#This Row],[activating_chance]]/100),0)</f>
        <v>60</v>
      </c>
      <c r="EJ17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76">
        <v>1</v>
      </c>
      <c r="EL176">
        <v>1</v>
      </c>
      <c r="EM176" t="b">
        <v>0</v>
      </c>
      <c r="EZ176" t="s">
        <v>7348</v>
      </c>
      <c r="FA176">
        <v>2</v>
      </c>
      <c r="FB176">
        <v>80</v>
      </c>
      <c r="FC176">
        <v>100</v>
      </c>
      <c r="FD176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176" s="75">
        <f ca="1">ROUND((Table18202324[[#This Row],[XP]]*Table18202324[[#This Row],[entity_spawned (AVG)]])*(Table18202324[[#This Row],[activating_chance]]/100),0)</f>
        <v>50</v>
      </c>
      <c r="FF176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76">
        <v>1</v>
      </c>
      <c r="FH176">
        <v>3</v>
      </c>
      <c r="FI176" t="b">
        <v>0</v>
      </c>
    </row>
    <row r="177" spans="2:165" x14ac:dyDescent="0.25">
      <c r="B177" s="73" t="s">
        <v>229</v>
      </c>
      <c r="C177">
        <v>2</v>
      </c>
      <c r="D177">
        <v>120</v>
      </c>
      <c r="E177">
        <v>100</v>
      </c>
      <c r="F177" s="75">
        <f ca="1">INDIRECT(ADDRESS(11+(MATCH(RIGHT(Table245[[#This Row],[spawner_sku]],LEN(Table245[[#This Row],[spawner_sku]])-FIND("/",Table245[[#This Row],[spawner_sku]])),Table1[Entity Prefab],0)),10,1,1,"Entities"))</f>
        <v>25</v>
      </c>
      <c r="G177" s="75">
        <f ca="1">ROUND((Table245[[#This Row],[XP]]*Table245[[#This Row],[entity_spawned (AVG)]])*(Table245[[#This Row],[activating_chance]]/100),0)</f>
        <v>50</v>
      </c>
      <c r="H17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7" s="72">
        <v>1</v>
      </c>
      <c r="J177" s="72">
        <v>3</v>
      </c>
      <c r="K177" s="72" t="b">
        <v>0</v>
      </c>
      <c r="M177" t="s">
        <v>384</v>
      </c>
      <c r="N177">
        <v>2</v>
      </c>
      <c r="O177">
        <v>100</v>
      </c>
      <c r="P177">
        <v>100</v>
      </c>
      <c r="Q177" s="75">
        <f ca="1">INDIRECT(ADDRESS(11+(MATCH(RIGHT(Table3[[#This Row],[spawner_sku]],LEN(Table3[[#This Row],[spawner_sku]])-FIND("/",Table3[[#This Row],[spawner_sku]])),Table1[Entity Prefab],0)),10,1,1,"Entities"))</f>
        <v>25</v>
      </c>
      <c r="R177" s="75">
        <f ca="1">ROUND((Table3[[#This Row],[XP]]*Table3[[#This Row],[entity_spawned (AVG)]])*(Table3[[#This Row],[activating_chance]]/100),0)</f>
        <v>50</v>
      </c>
      <c r="S177" t="str">
        <f ca="1">INDIRECT(ADDRESS(11+(MATCH(RIGHT(Table3[[#This Row],[spawner_sku]],LEN(Table3[[#This Row],[spawner_sku]])-FIND("/",Table3[[#This Row],[spawner_sku]])),Table28[Entity Prefab],0)),24,1,1,"Entities"))</f>
        <v>no</v>
      </c>
      <c r="T177">
        <v>2</v>
      </c>
      <c r="U177">
        <v>2</v>
      </c>
      <c r="V177" t="b">
        <v>0</v>
      </c>
      <c r="AI177" t="s">
        <v>232</v>
      </c>
      <c r="AJ177">
        <v>1</v>
      </c>
      <c r="AK177">
        <v>250</v>
      </c>
      <c r="AL177">
        <v>100</v>
      </c>
      <c r="AM177" s="75">
        <f ca="1">INDIRECT(ADDRESS(11+(MATCH(RIGHT(Table2[[#This Row],[spawner_sku]],LEN(Table2[[#This Row],[spawner_sku]])-FIND("/",Table2[[#This Row],[spawner_sku]])),Table1[Entity Prefab],0)),10,1,1,"Entities"))</f>
        <v>143</v>
      </c>
      <c r="AN177" s="75">
        <f ca="1">ROUND((Table2[[#This Row],[XP]]*Table2[[#This Row],[entity_spawned (AVG)]])*(Table2[[#This Row],[activating_chance]]/100),0)</f>
        <v>143</v>
      </c>
      <c r="AO17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77" s="72">
        <v>1</v>
      </c>
      <c r="AQ177" s="72">
        <v>1</v>
      </c>
      <c r="AR177" s="72" t="b">
        <v>0</v>
      </c>
      <c r="AT177" t="s">
        <v>256</v>
      </c>
      <c r="AU177">
        <v>1</v>
      </c>
      <c r="AV177">
        <v>150</v>
      </c>
      <c r="AW177">
        <v>100</v>
      </c>
      <c r="AX177" s="75">
        <f ca="1">INDIRECT(ADDRESS(11+(MATCH(RIGHT(Table6[[#This Row],[spawner_sku]],LEN(Table6[[#This Row],[spawner_sku]])-FIND("/",Table6[[#This Row],[spawner_sku]])),Table1[Entity Prefab],0)),10,1,1,"Entities"))</f>
        <v>25</v>
      </c>
      <c r="AY177" s="75">
        <f ca="1">ROUND((Table6[[#This Row],[XP]]*Table6[[#This Row],[entity_spawned (AVG)]])*(Table6[[#This Row],[activating_chance]]/100),0)</f>
        <v>25</v>
      </c>
      <c r="AZ177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77">
        <v>1</v>
      </c>
      <c r="BB177">
        <v>1</v>
      </c>
      <c r="BC177" t="b">
        <v>0</v>
      </c>
      <c r="BE177" t="s">
        <v>396</v>
      </c>
      <c r="BF177">
        <v>1</v>
      </c>
      <c r="BG177">
        <v>150</v>
      </c>
      <c r="BH177">
        <v>100</v>
      </c>
      <c r="BI177" s="75">
        <f ca="1">INDIRECT(ADDRESS(11+(MATCH(RIGHT(Table610[[#This Row],[spawner_sku]],LEN(Table610[[#This Row],[spawner_sku]])-FIND("/",Table610[[#This Row],[spawner_sku]])),Table1[Entity Prefab],0)),10,1,1,"Entities"))</f>
        <v>25</v>
      </c>
      <c r="BJ177" s="75">
        <f ca="1">ROUND((Table610[[#This Row],[XP]]*Table610[[#This Row],[entity_spawned (AVG)]])*(Table610[[#This Row],[activating_chance]]/100),0)</f>
        <v>25</v>
      </c>
      <c r="BK177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77">
        <v>1</v>
      </c>
      <c r="BM177">
        <v>1</v>
      </c>
      <c r="BN177" t="b">
        <v>0</v>
      </c>
      <c r="BP177" t="s">
        <v>236</v>
      </c>
      <c r="BQ177">
        <v>1</v>
      </c>
      <c r="BR177">
        <v>200</v>
      </c>
      <c r="BS177">
        <v>100</v>
      </c>
      <c r="BT177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77" s="75">
        <f ca="1">ROUND((Table61011[[#This Row],[XP]]*Table61011[[#This Row],[entity_spawned (AVG)]])*(Table61011[[#This Row],[activating_chance]]/100),0)</f>
        <v>70</v>
      </c>
      <c r="BV17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7" s="72">
        <v>1</v>
      </c>
      <c r="BX177" s="72">
        <v>1</v>
      </c>
      <c r="BY177" s="72" t="b">
        <v>0</v>
      </c>
      <c r="CA177" t="s">
        <v>243</v>
      </c>
      <c r="CB177">
        <v>1.5</v>
      </c>
      <c r="CC177">
        <v>200</v>
      </c>
      <c r="CD177">
        <v>100</v>
      </c>
      <c r="CE177" s="75">
        <f ca="1">INDIRECT(ADDRESS(11+(MATCH(RIGHT(Table11[[#This Row],[spawner_sku]],LEN(Table11[[#This Row],[spawner_sku]])-FIND("/",Table11[[#This Row],[spawner_sku]])),Table1[Entity Prefab],0)),10,1,1,"Entities"))</f>
        <v>28</v>
      </c>
      <c r="CF177">
        <f ca="1">ROUND((Table11[[#This Row],[XP]]*Table11[[#This Row],[entity_spawned (AVG)]])*(Table11[[#This Row],[activating_chance]]/100),0)</f>
        <v>42</v>
      </c>
      <c r="CG177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177" s="72">
        <v>1</v>
      </c>
      <c r="CI177" s="72">
        <v>2</v>
      </c>
      <c r="CJ177" s="72" t="b">
        <v>0</v>
      </c>
      <c r="CL177" t="s">
        <v>257</v>
      </c>
      <c r="CM177">
        <v>1</v>
      </c>
      <c r="CN177">
        <v>220</v>
      </c>
      <c r="CO177">
        <v>100</v>
      </c>
      <c r="CP177" s="75">
        <f ca="1">INDIRECT(ADDRESS(11+(MATCH(RIGHT(Table12[[#This Row],[spawner_sku]],LEN(Table12[[#This Row],[spawner_sku]])-FIND("/",Table12[[#This Row],[spawner_sku]])),Table1[Entity Prefab],0)),10,1,1,"Entities"))</f>
        <v>50</v>
      </c>
      <c r="CQ177" s="75">
        <f ca="1">ROUND((Table12[[#This Row],[XP]]*Table12[[#This Row],[entity_spawned (AVG)]])*(Table12[[#This Row],[activating_chance]]/100),0)</f>
        <v>50</v>
      </c>
      <c r="CR177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77" s="72">
        <v>1</v>
      </c>
      <c r="CT177" s="72">
        <v>1</v>
      </c>
      <c r="CU177" s="72" t="b">
        <v>0</v>
      </c>
      <c r="CW177" t="s">
        <v>254</v>
      </c>
      <c r="CX177">
        <v>1</v>
      </c>
      <c r="CY177">
        <v>170</v>
      </c>
      <c r="CZ177">
        <v>100</v>
      </c>
      <c r="DA177" s="75">
        <f ca="1">INDIRECT(ADDRESS(11+(MATCH(RIGHT(Table13[[#This Row],[spawner_sku]],LEN(Table13[[#This Row],[spawner_sku]])-FIND("/",Table13[[#This Row],[spawner_sku]])),Table1[Entity Prefab],0)),10,1,1,"Entities"))</f>
        <v>70</v>
      </c>
      <c r="DB177" s="75">
        <f ca="1">ROUND((Table13[[#This Row],[XP]]*Table13[[#This Row],[entity_spawned (AVG)]])*(Table13[[#This Row],[activating_chance]]/100),0)</f>
        <v>70</v>
      </c>
      <c r="DC177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77" s="72">
        <v>1</v>
      </c>
      <c r="DE177" s="72">
        <v>1</v>
      </c>
      <c r="DF177" s="72" t="b">
        <v>0</v>
      </c>
      <c r="DH177" t="s">
        <v>236</v>
      </c>
      <c r="DI177">
        <v>1</v>
      </c>
      <c r="DJ177">
        <v>120</v>
      </c>
      <c r="DK177">
        <v>100</v>
      </c>
      <c r="DL177" s="75">
        <f ca="1">INDIRECT(ADDRESS(11+(MATCH(RIGHT(Table14[[#This Row],[spawner_sku]],LEN(Table14[[#This Row],[spawner_sku]])-FIND("/",Table14[[#This Row],[spawner_sku]])),Table1[Entity Prefab],0)),10,1,1,"Entities"))</f>
        <v>70</v>
      </c>
      <c r="DM177" s="75">
        <f ca="1">ROUND((Table14[[#This Row],[XP]]*Table14[[#This Row],[entity_spawned (AVG)]])*(Table14[[#This Row],[activating_chance]]/100),0)</f>
        <v>70</v>
      </c>
      <c r="DN17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77" s="72">
        <v>1</v>
      </c>
      <c r="DP177" s="72">
        <v>1</v>
      </c>
      <c r="DQ177" s="72" t="b">
        <v>0</v>
      </c>
      <c r="DS177" t="s">
        <v>606</v>
      </c>
      <c r="DT177">
        <v>1</v>
      </c>
      <c r="DU177">
        <v>5000</v>
      </c>
      <c r="DV177">
        <v>75</v>
      </c>
      <c r="DW177" s="75">
        <f ca="1">INDIRECT(ADDRESS(11+(MATCH(RIGHT(Table18[[#This Row],[spawner_sku]],LEN(Table18[[#This Row],[spawner_sku]])-FIND("/",Table18[[#This Row],[spawner_sku]])),Table1[Entity Prefab],0)),10,1,1,"Entities"))</f>
        <v>25</v>
      </c>
      <c r="DX177" s="75">
        <f ca="1">ROUND((Table18[[#This Row],[XP]]*Table18[[#This Row],[entity_spawned (AVG)]])*(Table18[[#This Row],[activating_chance]]/100),0)</f>
        <v>19</v>
      </c>
      <c r="DY17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77">
        <v>1</v>
      </c>
      <c r="EA177">
        <v>1</v>
      </c>
      <c r="EB177" t="b">
        <v>0</v>
      </c>
      <c r="ED177" t="s">
        <v>646</v>
      </c>
      <c r="EE177">
        <v>1</v>
      </c>
      <c r="EF177">
        <v>120</v>
      </c>
      <c r="EG177">
        <v>80</v>
      </c>
      <c r="EH177" s="75">
        <f ca="1">INDIRECT(ADDRESS(11+(MATCH(RIGHT(Table1820[[#This Row],[spawner_sku]],LEN(Table1820[[#This Row],[spawner_sku]])-FIND("/",Table1820[[#This Row],[spawner_sku]])),Table1[Entity Prefab],0)),10,1,1,"Entities"))</f>
        <v>75</v>
      </c>
      <c r="EI177" s="75">
        <f ca="1">ROUND((Table1820[[#This Row],[XP]]*Table1820[[#This Row],[entity_spawned (AVG)]])*(Table1820[[#This Row],[activating_chance]]/100),0)</f>
        <v>60</v>
      </c>
      <c r="EJ17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77">
        <v>1</v>
      </c>
      <c r="EL177">
        <v>1</v>
      </c>
      <c r="EM177" t="b">
        <v>0</v>
      </c>
      <c r="EZ177" t="s">
        <v>7348</v>
      </c>
      <c r="FA177">
        <v>1.5</v>
      </c>
      <c r="FB177">
        <v>70</v>
      </c>
      <c r="FC177">
        <v>100</v>
      </c>
      <c r="FD177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177" s="75">
        <f ca="1">ROUND((Table18202324[[#This Row],[XP]]*Table18202324[[#This Row],[entity_spawned (AVG)]])*(Table18202324[[#This Row],[activating_chance]]/100),0)</f>
        <v>38</v>
      </c>
      <c r="FF177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77">
        <v>1</v>
      </c>
      <c r="FH177">
        <v>2</v>
      </c>
      <c r="FI177" t="b">
        <v>0</v>
      </c>
    </row>
    <row r="178" spans="2:165" x14ac:dyDescent="0.25">
      <c r="B178" s="73" t="s">
        <v>229</v>
      </c>
      <c r="C178">
        <v>2</v>
      </c>
      <c r="D178">
        <v>110</v>
      </c>
      <c r="E178">
        <v>100</v>
      </c>
      <c r="F178" s="75">
        <f ca="1">INDIRECT(ADDRESS(11+(MATCH(RIGHT(Table245[[#This Row],[spawner_sku]],LEN(Table245[[#This Row],[spawner_sku]])-FIND("/",Table245[[#This Row],[spawner_sku]])),Table1[Entity Prefab],0)),10,1,1,"Entities"))</f>
        <v>25</v>
      </c>
      <c r="G178" s="75">
        <f ca="1">ROUND((Table245[[#This Row],[XP]]*Table245[[#This Row],[entity_spawned (AVG)]])*(Table245[[#This Row],[activating_chance]]/100),0)</f>
        <v>50</v>
      </c>
      <c r="H17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8" s="72">
        <v>1</v>
      </c>
      <c r="J178" s="72">
        <v>3</v>
      </c>
      <c r="K178" s="72" t="b">
        <v>0</v>
      </c>
      <c r="M178" t="s">
        <v>384</v>
      </c>
      <c r="N178">
        <v>3</v>
      </c>
      <c r="O178">
        <v>100</v>
      </c>
      <c r="P178">
        <v>100</v>
      </c>
      <c r="Q178" s="75">
        <f ca="1">INDIRECT(ADDRESS(11+(MATCH(RIGHT(Table3[[#This Row],[spawner_sku]],LEN(Table3[[#This Row],[spawner_sku]])-FIND("/",Table3[[#This Row],[spawner_sku]])),Table1[Entity Prefab],0)),10,1,1,"Entities"))</f>
        <v>25</v>
      </c>
      <c r="R178" s="75">
        <f ca="1">ROUND((Table3[[#This Row],[XP]]*Table3[[#This Row],[entity_spawned (AVG)]])*(Table3[[#This Row],[activating_chance]]/100),0)</f>
        <v>75</v>
      </c>
      <c r="S178" t="str">
        <f ca="1">INDIRECT(ADDRESS(11+(MATCH(RIGHT(Table3[[#This Row],[spawner_sku]],LEN(Table3[[#This Row],[spawner_sku]])-FIND("/",Table3[[#This Row],[spawner_sku]])),Table28[Entity Prefab],0)),24,1,1,"Entities"))</f>
        <v>no</v>
      </c>
      <c r="T178">
        <v>3</v>
      </c>
      <c r="U178">
        <v>3</v>
      </c>
      <c r="V178" t="b">
        <v>0</v>
      </c>
      <c r="AI178" t="s">
        <v>232</v>
      </c>
      <c r="AJ178">
        <v>1</v>
      </c>
      <c r="AK178">
        <v>250</v>
      </c>
      <c r="AL178">
        <v>20</v>
      </c>
      <c r="AM178" s="75">
        <f ca="1">INDIRECT(ADDRESS(11+(MATCH(RIGHT(Table2[[#This Row],[spawner_sku]],LEN(Table2[[#This Row],[spawner_sku]])-FIND("/",Table2[[#This Row],[spawner_sku]])),Table1[Entity Prefab],0)),10,1,1,"Entities"))</f>
        <v>143</v>
      </c>
      <c r="AN178" s="75">
        <f ca="1">ROUND((Table2[[#This Row],[XP]]*Table2[[#This Row],[entity_spawned (AVG)]])*(Table2[[#This Row],[activating_chance]]/100),0)</f>
        <v>29</v>
      </c>
      <c r="AO17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78" s="72">
        <v>1</v>
      </c>
      <c r="AQ178" s="72">
        <v>1</v>
      </c>
      <c r="AR178" s="72" t="b">
        <v>0</v>
      </c>
      <c r="AT178" t="s">
        <v>256</v>
      </c>
      <c r="AU178">
        <v>1</v>
      </c>
      <c r="AV178">
        <v>150</v>
      </c>
      <c r="AW178">
        <v>100</v>
      </c>
      <c r="AX178" s="75">
        <f ca="1">INDIRECT(ADDRESS(11+(MATCH(RIGHT(Table6[[#This Row],[spawner_sku]],LEN(Table6[[#This Row],[spawner_sku]])-FIND("/",Table6[[#This Row],[spawner_sku]])),Table1[Entity Prefab],0)),10,1,1,"Entities"))</f>
        <v>25</v>
      </c>
      <c r="AY178" s="75">
        <f ca="1">ROUND((Table6[[#This Row],[XP]]*Table6[[#This Row],[entity_spawned (AVG)]])*(Table6[[#This Row],[activating_chance]]/100),0)</f>
        <v>25</v>
      </c>
      <c r="AZ178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78">
        <v>1</v>
      </c>
      <c r="BB178">
        <v>1</v>
      </c>
      <c r="BC178" t="b">
        <v>0</v>
      </c>
      <c r="BE178" t="s">
        <v>396</v>
      </c>
      <c r="BF178">
        <v>2</v>
      </c>
      <c r="BG178">
        <v>150</v>
      </c>
      <c r="BH178">
        <v>100</v>
      </c>
      <c r="BI178" s="75">
        <f ca="1">INDIRECT(ADDRESS(11+(MATCH(RIGHT(Table610[[#This Row],[spawner_sku]],LEN(Table610[[#This Row],[spawner_sku]])-FIND("/",Table610[[#This Row],[spawner_sku]])),Table1[Entity Prefab],0)),10,1,1,"Entities"))</f>
        <v>25</v>
      </c>
      <c r="BJ178" s="75">
        <f ca="1">ROUND((Table610[[#This Row],[XP]]*Table610[[#This Row],[entity_spawned (AVG)]])*(Table610[[#This Row],[activating_chance]]/100),0)</f>
        <v>50</v>
      </c>
      <c r="BK178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78">
        <v>1</v>
      </c>
      <c r="BM178">
        <v>3</v>
      </c>
      <c r="BN178" t="b">
        <v>0</v>
      </c>
      <c r="BP178" t="s">
        <v>236</v>
      </c>
      <c r="BQ178">
        <v>1</v>
      </c>
      <c r="BR178">
        <v>200</v>
      </c>
      <c r="BS178">
        <v>100</v>
      </c>
      <c r="BT178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78" s="75">
        <f ca="1">ROUND((Table61011[[#This Row],[XP]]*Table61011[[#This Row],[entity_spawned (AVG)]])*(Table61011[[#This Row],[activating_chance]]/100),0)</f>
        <v>70</v>
      </c>
      <c r="BV17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8" s="72">
        <v>1</v>
      </c>
      <c r="BX178" s="72">
        <v>1</v>
      </c>
      <c r="BY178" s="72" t="b">
        <v>0</v>
      </c>
      <c r="CA178" t="s">
        <v>243</v>
      </c>
      <c r="CB178">
        <v>1.5</v>
      </c>
      <c r="CC178">
        <v>200</v>
      </c>
      <c r="CD178">
        <v>100</v>
      </c>
      <c r="CE178" s="75">
        <f ca="1">INDIRECT(ADDRESS(11+(MATCH(RIGHT(Table11[[#This Row],[spawner_sku]],LEN(Table11[[#This Row],[spawner_sku]])-FIND("/",Table11[[#This Row],[spawner_sku]])),Table1[Entity Prefab],0)),10,1,1,"Entities"))</f>
        <v>28</v>
      </c>
      <c r="CF178">
        <f ca="1">ROUND((Table11[[#This Row],[XP]]*Table11[[#This Row],[entity_spawned (AVG)]])*(Table11[[#This Row],[activating_chance]]/100),0)</f>
        <v>42</v>
      </c>
      <c r="CG178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178" s="72">
        <v>1</v>
      </c>
      <c r="CI178" s="72">
        <v>2</v>
      </c>
      <c r="CJ178" s="72" t="b">
        <v>0</v>
      </c>
      <c r="CL178" t="s">
        <v>257</v>
      </c>
      <c r="CM178">
        <v>1</v>
      </c>
      <c r="CN178">
        <v>220</v>
      </c>
      <c r="CO178">
        <v>100</v>
      </c>
      <c r="CP178" s="75">
        <f ca="1">INDIRECT(ADDRESS(11+(MATCH(RIGHT(Table12[[#This Row],[spawner_sku]],LEN(Table12[[#This Row],[spawner_sku]])-FIND("/",Table12[[#This Row],[spawner_sku]])),Table1[Entity Prefab],0)),10,1,1,"Entities"))</f>
        <v>50</v>
      </c>
      <c r="CQ178" s="75">
        <f ca="1">ROUND((Table12[[#This Row],[XP]]*Table12[[#This Row],[entity_spawned (AVG)]])*(Table12[[#This Row],[activating_chance]]/100),0)</f>
        <v>50</v>
      </c>
      <c r="CR178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78" s="72">
        <v>1</v>
      </c>
      <c r="CT178" s="72">
        <v>1</v>
      </c>
      <c r="CU178" s="72" t="b">
        <v>0</v>
      </c>
      <c r="CW178" t="s">
        <v>254</v>
      </c>
      <c r="CX178">
        <v>1</v>
      </c>
      <c r="CY178">
        <v>170</v>
      </c>
      <c r="CZ178">
        <v>100</v>
      </c>
      <c r="DA178" s="75">
        <f ca="1">INDIRECT(ADDRESS(11+(MATCH(RIGHT(Table13[[#This Row],[spawner_sku]],LEN(Table13[[#This Row],[spawner_sku]])-FIND("/",Table13[[#This Row],[spawner_sku]])),Table1[Entity Prefab],0)),10,1,1,"Entities"))</f>
        <v>70</v>
      </c>
      <c r="DB178" s="75">
        <f ca="1">ROUND((Table13[[#This Row],[XP]]*Table13[[#This Row],[entity_spawned (AVG)]])*(Table13[[#This Row],[activating_chance]]/100),0)</f>
        <v>70</v>
      </c>
      <c r="DC178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78" s="72">
        <v>1</v>
      </c>
      <c r="DE178" s="72">
        <v>1</v>
      </c>
      <c r="DF178" s="72" t="b">
        <v>0</v>
      </c>
      <c r="DH178" t="s">
        <v>236</v>
      </c>
      <c r="DI178">
        <v>1</v>
      </c>
      <c r="DJ178">
        <v>100</v>
      </c>
      <c r="DK178">
        <v>100</v>
      </c>
      <c r="DL178" s="75">
        <f ca="1">INDIRECT(ADDRESS(11+(MATCH(RIGHT(Table14[[#This Row],[spawner_sku]],LEN(Table14[[#This Row],[spawner_sku]])-FIND("/",Table14[[#This Row],[spawner_sku]])),Table1[Entity Prefab],0)),10,1,1,"Entities"))</f>
        <v>70</v>
      </c>
      <c r="DM178" s="75">
        <f ca="1">ROUND((Table14[[#This Row],[XP]]*Table14[[#This Row],[entity_spawned (AVG)]])*(Table14[[#This Row],[activating_chance]]/100),0)</f>
        <v>70</v>
      </c>
      <c r="DN17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78" s="72">
        <v>1</v>
      </c>
      <c r="DP178" s="72">
        <v>1</v>
      </c>
      <c r="DQ178" s="72" t="b">
        <v>0</v>
      </c>
      <c r="DS178" t="s">
        <v>606</v>
      </c>
      <c r="DT178">
        <v>1</v>
      </c>
      <c r="DU178">
        <v>5000</v>
      </c>
      <c r="DV178">
        <v>75</v>
      </c>
      <c r="DW178" s="75">
        <f ca="1">INDIRECT(ADDRESS(11+(MATCH(RIGHT(Table18[[#This Row],[spawner_sku]],LEN(Table18[[#This Row],[spawner_sku]])-FIND("/",Table18[[#This Row],[spawner_sku]])),Table1[Entity Prefab],0)),10,1,1,"Entities"))</f>
        <v>25</v>
      </c>
      <c r="DX178" s="75">
        <f ca="1">ROUND((Table18[[#This Row],[XP]]*Table18[[#This Row],[entity_spawned (AVG)]])*(Table18[[#This Row],[activating_chance]]/100),0)</f>
        <v>19</v>
      </c>
      <c r="DY17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78">
        <v>1</v>
      </c>
      <c r="EA178">
        <v>1</v>
      </c>
      <c r="EB178" t="b">
        <v>0</v>
      </c>
      <c r="ED178" t="s">
        <v>646</v>
      </c>
      <c r="EE178">
        <v>1</v>
      </c>
      <c r="EF178">
        <v>120</v>
      </c>
      <c r="EG178">
        <v>100</v>
      </c>
      <c r="EH178" s="75">
        <f ca="1">INDIRECT(ADDRESS(11+(MATCH(RIGHT(Table1820[[#This Row],[spawner_sku]],LEN(Table1820[[#This Row],[spawner_sku]])-FIND("/",Table1820[[#This Row],[spawner_sku]])),Table1[Entity Prefab],0)),10,1,1,"Entities"))</f>
        <v>75</v>
      </c>
      <c r="EI178" s="75">
        <f ca="1">ROUND((Table1820[[#This Row],[XP]]*Table1820[[#This Row],[entity_spawned (AVG)]])*(Table1820[[#This Row],[activating_chance]]/100),0)</f>
        <v>75</v>
      </c>
      <c r="EJ17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78">
        <v>1</v>
      </c>
      <c r="EL178">
        <v>1</v>
      </c>
      <c r="EM178" t="b">
        <v>0</v>
      </c>
      <c r="EZ178" t="s">
        <v>7340</v>
      </c>
      <c r="FA178">
        <v>2</v>
      </c>
      <c r="FB178">
        <v>70</v>
      </c>
      <c r="FC178">
        <v>100</v>
      </c>
      <c r="FD178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178" s="75">
        <f ca="1">ROUND((Table18202324[[#This Row],[XP]]*Table18202324[[#This Row],[entity_spawned (AVG)]])*(Table18202324[[#This Row],[activating_chance]]/100),0)</f>
        <v>50</v>
      </c>
      <c r="FF178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78">
        <v>1</v>
      </c>
      <c r="FH178">
        <v>3</v>
      </c>
      <c r="FI178" t="b">
        <v>0</v>
      </c>
    </row>
    <row r="179" spans="2:165" x14ac:dyDescent="0.25">
      <c r="B179" s="73" t="s">
        <v>229</v>
      </c>
      <c r="C179">
        <v>1</v>
      </c>
      <c r="D179">
        <v>80</v>
      </c>
      <c r="E179">
        <v>90</v>
      </c>
      <c r="F179" s="75">
        <f ca="1">INDIRECT(ADDRESS(11+(MATCH(RIGHT(Table245[[#This Row],[spawner_sku]],LEN(Table245[[#This Row],[spawner_sku]])-FIND("/",Table245[[#This Row],[spawner_sku]])),Table1[Entity Prefab],0)),10,1,1,"Entities"))</f>
        <v>25</v>
      </c>
      <c r="G179" s="75">
        <f ca="1">ROUND((Table245[[#This Row],[XP]]*Table245[[#This Row],[entity_spawned (AVG)]])*(Table245[[#This Row],[activating_chance]]/100),0)</f>
        <v>23</v>
      </c>
      <c r="H17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9" s="72">
        <v>1</v>
      </c>
      <c r="J179" s="72">
        <v>1</v>
      </c>
      <c r="K179" s="72" t="b">
        <v>0</v>
      </c>
      <c r="M179" t="s">
        <v>384</v>
      </c>
      <c r="N179">
        <v>3.5</v>
      </c>
      <c r="O179">
        <v>100</v>
      </c>
      <c r="P179">
        <v>100</v>
      </c>
      <c r="Q179" s="75">
        <f ca="1">INDIRECT(ADDRESS(11+(MATCH(RIGHT(Table3[[#This Row],[spawner_sku]],LEN(Table3[[#This Row],[spawner_sku]])-FIND("/",Table3[[#This Row],[spawner_sku]])),Table1[Entity Prefab],0)),10,1,1,"Entities"))</f>
        <v>25</v>
      </c>
      <c r="R179" s="75">
        <f ca="1">ROUND((Table3[[#This Row],[XP]]*Table3[[#This Row],[entity_spawned (AVG)]])*(Table3[[#This Row],[activating_chance]]/100),0)</f>
        <v>88</v>
      </c>
      <c r="S179" t="str">
        <f ca="1">INDIRECT(ADDRESS(11+(MATCH(RIGHT(Table3[[#This Row],[spawner_sku]],LEN(Table3[[#This Row],[spawner_sku]])-FIND("/",Table3[[#This Row],[spawner_sku]])),Table28[Entity Prefab],0)),24,1,1,"Entities"))</f>
        <v>no</v>
      </c>
      <c r="T179">
        <v>3</v>
      </c>
      <c r="U179">
        <v>4</v>
      </c>
      <c r="V179" t="b">
        <v>0</v>
      </c>
      <c r="AI179" t="s">
        <v>232</v>
      </c>
      <c r="AJ179">
        <v>1</v>
      </c>
      <c r="AK179">
        <v>250</v>
      </c>
      <c r="AL179">
        <v>100</v>
      </c>
      <c r="AM179" s="75">
        <f ca="1">INDIRECT(ADDRESS(11+(MATCH(RIGHT(Table2[[#This Row],[spawner_sku]],LEN(Table2[[#This Row],[spawner_sku]])-FIND("/",Table2[[#This Row],[spawner_sku]])),Table1[Entity Prefab],0)),10,1,1,"Entities"))</f>
        <v>143</v>
      </c>
      <c r="AN179" s="75">
        <f ca="1">ROUND((Table2[[#This Row],[XP]]*Table2[[#This Row],[entity_spawned (AVG)]])*(Table2[[#This Row],[activating_chance]]/100),0)</f>
        <v>143</v>
      </c>
      <c r="AO17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79" s="72">
        <v>1</v>
      </c>
      <c r="AQ179" s="72">
        <v>1</v>
      </c>
      <c r="AR179" s="72" t="b">
        <v>0</v>
      </c>
      <c r="AT179" t="s">
        <v>256</v>
      </c>
      <c r="AU179">
        <v>1</v>
      </c>
      <c r="AV179">
        <v>150</v>
      </c>
      <c r="AW179">
        <v>80</v>
      </c>
      <c r="AX179" s="75">
        <f ca="1">INDIRECT(ADDRESS(11+(MATCH(RIGHT(Table6[[#This Row],[spawner_sku]],LEN(Table6[[#This Row],[spawner_sku]])-FIND("/",Table6[[#This Row],[spawner_sku]])),Table1[Entity Prefab],0)),10,1,1,"Entities"))</f>
        <v>25</v>
      </c>
      <c r="AY179" s="75">
        <f ca="1">ROUND((Table6[[#This Row],[XP]]*Table6[[#This Row],[entity_spawned (AVG)]])*(Table6[[#This Row],[activating_chance]]/100),0)</f>
        <v>20</v>
      </c>
      <c r="AZ179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79">
        <v>1</v>
      </c>
      <c r="BB179">
        <v>1</v>
      </c>
      <c r="BC179" t="b">
        <v>0</v>
      </c>
      <c r="BE179" t="s">
        <v>396</v>
      </c>
      <c r="BF179">
        <v>1</v>
      </c>
      <c r="BG179">
        <v>90</v>
      </c>
      <c r="BH179">
        <v>100</v>
      </c>
      <c r="BI179" s="75">
        <f ca="1">INDIRECT(ADDRESS(11+(MATCH(RIGHT(Table610[[#This Row],[spawner_sku]],LEN(Table610[[#This Row],[spawner_sku]])-FIND("/",Table610[[#This Row],[spawner_sku]])),Table1[Entity Prefab],0)),10,1,1,"Entities"))</f>
        <v>25</v>
      </c>
      <c r="BJ179" s="75">
        <f ca="1">ROUND((Table610[[#This Row],[XP]]*Table610[[#This Row],[entity_spawned (AVG)]])*(Table610[[#This Row],[activating_chance]]/100),0)</f>
        <v>25</v>
      </c>
      <c r="BK179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79">
        <v>1</v>
      </c>
      <c r="BM179">
        <v>1</v>
      </c>
      <c r="BN179" t="b">
        <v>0</v>
      </c>
      <c r="BP179" t="s">
        <v>236</v>
      </c>
      <c r="BQ179">
        <v>1</v>
      </c>
      <c r="BR179">
        <v>200</v>
      </c>
      <c r="BS179">
        <v>100</v>
      </c>
      <c r="BT179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79" s="75">
        <f ca="1">ROUND((Table61011[[#This Row],[XP]]*Table61011[[#This Row],[entity_spawned (AVG)]])*(Table61011[[#This Row],[activating_chance]]/100),0)</f>
        <v>70</v>
      </c>
      <c r="BV17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9" s="72">
        <v>1</v>
      </c>
      <c r="BX179" s="72">
        <v>1</v>
      </c>
      <c r="BY179" s="72" t="b">
        <v>0</v>
      </c>
      <c r="CA179" t="s">
        <v>243</v>
      </c>
      <c r="CB179">
        <v>1.5</v>
      </c>
      <c r="CC179">
        <v>200</v>
      </c>
      <c r="CD179">
        <v>100</v>
      </c>
      <c r="CE179" s="75">
        <f ca="1">INDIRECT(ADDRESS(11+(MATCH(RIGHT(Table11[[#This Row],[spawner_sku]],LEN(Table11[[#This Row],[spawner_sku]])-FIND("/",Table11[[#This Row],[spawner_sku]])),Table1[Entity Prefab],0)),10,1,1,"Entities"))</f>
        <v>28</v>
      </c>
      <c r="CF179">
        <f ca="1">ROUND((Table11[[#This Row],[XP]]*Table11[[#This Row],[entity_spawned (AVG)]])*(Table11[[#This Row],[activating_chance]]/100),0)</f>
        <v>42</v>
      </c>
      <c r="CG179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179" s="72">
        <v>1</v>
      </c>
      <c r="CI179" s="72">
        <v>2</v>
      </c>
      <c r="CJ179" s="72" t="b">
        <v>0</v>
      </c>
      <c r="CL179" t="s">
        <v>257</v>
      </c>
      <c r="CM179">
        <v>1</v>
      </c>
      <c r="CN179">
        <v>220</v>
      </c>
      <c r="CO179">
        <v>30</v>
      </c>
      <c r="CP179" s="75">
        <f ca="1">INDIRECT(ADDRESS(11+(MATCH(RIGHT(Table12[[#This Row],[spawner_sku]],LEN(Table12[[#This Row],[spawner_sku]])-FIND("/",Table12[[#This Row],[spawner_sku]])),Table1[Entity Prefab],0)),10,1,1,"Entities"))</f>
        <v>50</v>
      </c>
      <c r="CQ179" s="75">
        <f ca="1">ROUND((Table12[[#This Row],[XP]]*Table12[[#This Row],[entity_spawned (AVG)]])*(Table12[[#This Row],[activating_chance]]/100),0)</f>
        <v>15</v>
      </c>
      <c r="CR179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79" s="72">
        <v>1</v>
      </c>
      <c r="CT179" s="72">
        <v>1</v>
      </c>
      <c r="CU179" s="72" t="b">
        <v>0</v>
      </c>
      <c r="CW179" t="s">
        <v>254</v>
      </c>
      <c r="CX179">
        <v>1</v>
      </c>
      <c r="CY179">
        <v>170</v>
      </c>
      <c r="CZ179">
        <v>100</v>
      </c>
      <c r="DA179" s="75">
        <f ca="1">INDIRECT(ADDRESS(11+(MATCH(RIGHT(Table13[[#This Row],[spawner_sku]],LEN(Table13[[#This Row],[spawner_sku]])-FIND("/",Table13[[#This Row],[spawner_sku]])),Table1[Entity Prefab],0)),10,1,1,"Entities"))</f>
        <v>70</v>
      </c>
      <c r="DB179" s="75">
        <f ca="1">ROUND((Table13[[#This Row],[XP]]*Table13[[#This Row],[entity_spawned (AVG)]])*(Table13[[#This Row],[activating_chance]]/100),0)</f>
        <v>70</v>
      </c>
      <c r="DC179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79" s="72">
        <v>1</v>
      </c>
      <c r="DE179" s="72">
        <v>1</v>
      </c>
      <c r="DF179" s="72" t="b">
        <v>0</v>
      </c>
      <c r="DH179" t="s">
        <v>236</v>
      </c>
      <c r="DI179">
        <v>1</v>
      </c>
      <c r="DJ179">
        <v>130</v>
      </c>
      <c r="DK179">
        <v>100</v>
      </c>
      <c r="DL179" s="75">
        <f ca="1">INDIRECT(ADDRESS(11+(MATCH(RIGHT(Table14[[#This Row],[spawner_sku]],LEN(Table14[[#This Row],[spawner_sku]])-FIND("/",Table14[[#This Row],[spawner_sku]])),Table1[Entity Prefab],0)),10,1,1,"Entities"))</f>
        <v>70</v>
      </c>
      <c r="DM179" s="75">
        <f ca="1">ROUND((Table14[[#This Row],[XP]]*Table14[[#This Row],[entity_spawned (AVG)]])*(Table14[[#This Row],[activating_chance]]/100),0)</f>
        <v>70</v>
      </c>
      <c r="DN17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79" s="72">
        <v>1</v>
      </c>
      <c r="DP179" s="72">
        <v>1</v>
      </c>
      <c r="DQ179" s="72" t="b">
        <v>0</v>
      </c>
      <c r="DS179" t="s">
        <v>246</v>
      </c>
      <c r="DT179">
        <v>1</v>
      </c>
      <c r="DU179">
        <v>500</v>
      </c>
      <c r="DV179">
        <v>75</v>
      </c>
      <c r="DW179" s="75">
        <f ca="1">INDIRECT(ADDRESS(11+(MATCH(RIGHT(Table18[[#This Row],[spawner_sku]],LEN(Table18[[#This Row],[spawner_sku]])-FIND("/",Table18[[#This Row],[spawner_sku]])),Table1[Entity Prefab],0)),10,1,1,"Entities"))</f>
        <v>25</v>
      </c>
      <c r="DX179" s="75">
        <f ca="1">ROUND((Table18[[#This Row],[XP]]*Table18[[#This Row],[entity_spawned (AVG)]])*(Table18[[#This Row],[activating_chance]]/100),0)</f>
        <v>19</v>
      </c>
      <c r="DY17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79">
        <v>1</v>
      </c>
      <c r="EA179">
        <v>1</v>
      </c>
      <c r="EB179" t="b">
        <v>0</v>
      </c>
      <c r="ED179" t="s">
        <v>646</v>
      </c>
      <c r="EE179">
        <v>1</v>
      </c>
      <c r="EF179">
        <v>120</v>
      </c>
      <c r="EG179">
        <v>100</v>
      </c>
      <c r="EH179" s="75">
        <f ca="1">INDIRECT(ADDRESS(11+(MATCH(RIGHT(Table1820[[#This Row],[spawner_sku]],LEN(Table1820[[#This Row],[spawner_sku]])-FIND("/",Table1820[[#This Row],[spawner_sku]])),Table1[Entity Prefab],0)),10,1,1,"Entities"))</f>
        <v>75</v>
      </c>
      <c r="EI179" s="75">
        <f ca="1">ROUND((Table1820[[#This Row],[XP]]*Table1820[[#This Row],[entity_spawned (AVG)]])*(Table1820[[#This Row],[activating_chance]]/100),0)</f>
        <v>75</v>
      </c>
      <c r="EJ17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79">
        <v>1</v>
      </c>
      <c r="EL179">
        <v>1</v>
      </c>
      <c r="EM179" t="b">
        <v>0</v>
      </c>
      <c r="EZ179" t="s">
        <v>7340</v>
      </c>
      <c r="FA179">
        <v>1.5</v>
      </c>
      <c r="FB179">
        <v>70</v>
      </c>
      <c r="FC179">
        <v>100</v>
      </c>
      <c r="FD179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179" s="75">
        <f ca="1">ROUND((Table18202324[[#This Row],[XP]]*Table18202324[[#This Row],[entity_spawned (AVG)]])*(Table18202324[[#This Row],[activating_chance]]/100),0)</f>
        <v>38</v>
      </c>
      <c r="FF179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79">
        <v>1</v>
      </c>
      <c r="FH179">
        <v>2</v>
      </c>
      <c r="FI179" t="b">
        <v>0</v>
      </c>
    </row>
    <row r="180" spans="2:165" x14ac:dyDescent="0.25">
      <c r="B180" s="73" t="s">
        <v>229</v>
      </c>
      <c r="C180">
        <v>3</v>
      </c>
      <c r="D180">
        <v>110</v>
      </c>
      <c r="E180">
        <v>100</v>
      </c>
      <c r="F180" s="75">
        <f ca="1">INDIRECT(ADDRESS(11+(MATCH(RIGHT(Table245[[#This Row],[spawner_sku]],LEN(Table245[[#This Row],[spawner_sku]])-FIND("/",Table245[[#This Row],[spawner_sku]])),Table1[Entity Prefab],0)),10,1,1,"Entities"))</f>
        <v>25</v>
      </c>
      <c r="G180" s="75">
        <f ca="1">ROUND((Table245[[#This Row],[XP]]*Table245[[#This Row],[entity_spawned (AVG)]])*(Table245[[#This Row],[activating_chance]]/100),0)</f>
        <v>75</v>
      </c>
      <c r="H18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0" s="72">
        <v>2</v>
      </c>
      <c r="J180" s="72">
        <v>4</v>
      </c>
      <c r="K180" s="72" t="b">
        <v>0</v>
      </c>
      <c r="M180" t="s">
        <v>384</v>
      </c>
      <c r="N180">
        <v>2</v>
      </c>
      <c r="O180">
        <v>100</v>
      </c>
      <c r="P180">
        <v>100</v>
      </c>
      <c r="Q180" s="75">
        <f ca="1">INDIRECT(ADDRESS(11+(MATCH(RIGHT(Table3[[#This Row],[spawner_sku]],LEN(Table3[[#This Row],[spawner_sku]])-FIND("/",Table3[[#This Row],[spawner_sku]])),Table1[Entity Prefab],0)),10,1,1,"Entities"))</f>
        <v>25</v>
      </c>
      <c r="R180" s="75">
        <f ca="1">ROUND((Table3[[#This Row],[XP]]*Table3[[#This Row],[entity_spawned (AVG)]])*(Table3[[#This Row],[activating_chance]]/100),0)</f>
        <v>50</v>
      </c>
      <c r="S180" t="str">
        <f ca="1">INDIRECT(ADDRESS(11+(MATCH(RIGHT(Table3[[#This Row],[spawner_sku]],LEN(Table3[[#This Row],[spawner_sku]])-FIND("/",Table3[[#This Row],[spawner_sku]])),Table28[Entity Prefab],0)),24,1,1,"Entities"))</f>
        <v>no</v>
      </c>
      <c r="T180">
        <v>2</v>
      </c>
      <c r="U180">
        <v>2</v>
      </c>
      <c r="V180" t="b">
        <v>0</v>
      </c>
      <c r="AI180" t="s">
        <v>233</v>
      </c>
      <c r="AJ180">
        <v>1</v>
      </c>
      <c r="AK180">
        <v>300</v>
      </c>
      <c r="AL180">
        <v>100</v>
      </c>
      <c r="AM180" s="75">
        <f ca="1">INDIRECT(ADDRESS(11+(MATCH(RIGHT(Table2[[#This Row],[spawner_sku]],LEN(Table2[[#This Row],[spawner_sku]])-FIND("/",Table2[[#This Row],[spawner_sku]])),Table1[Entity Prefab],0)),10,1,1,"Entities"))</f>
        <v>195</v>
      </c>
      <c r="AN180" s="75">
        <f ca="1">ROUND((Table2[[#This Row],[XP]]*Table2[[#This Row],[entity_spawned (AVG)]])*(Table2[[#This Row],[activating_chance]]/100),0)</f>
        <v>195</v>
      </c>
      <c r="AO18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80" s="72">
        <v>1</v>
      </c>
      <c r="AQ180" s="72">
        <v>1</v>
      </c>
      <c r="AR180" s="72" t="b">
        <v>0</v>
      </c>
      <c r="AT180" t="s">
        <v>256</v>
      </c>
      <c r="AU180">
        <v>1</v>
      </c>
      <c r="AV180">
        <v>150</v>
      </c>
      <c r="AW180">
        <v>100</v>
      </c>
      <c r="AX180" s="75">
        <f ca="1">INDIRECT(ADDRESS(11+(MATCH(RIGHT(Table6[[#This Row],[spawner_sku]],LEN(Table6[[#This Row],[spawner_sku]])-FIND("/",Table6[[#This Row],[spawner_sku]])),Table1[Entity Prefab],0)),10,1,1,"Entities"))</f>
        <v>25</v>
      </c>
      <c r="AY180" s="75">
        <f ca="1">ROUND((Table6[[#This Row],[XP]]*Table6[[#This Row],[entity_spawned (AVG)]])*(Table6[[#This Row],[activating_chance]]/100),0)</f>
        <v>25</v>
      </c>
      <c r="AZ180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80">
        <v>1</v>
      </c>
      <c r="BB180">
        <v>1</v>
      </c>
      <c r="BC180" t="b">
        <v>0</v>
      </c>
      <c r="BE180" t="s">
        <v>396</v>
      </c>
      <c r="BF180">
        <v>1</v>
      </c>
      <c r="BG180">
        <v>90</v>
      </c>
      <c r="BH180">
        <v>50</v>
      </c>
      <c r="BI180" s="75">
        <f ca="1">INDIRECT(ADDRESS(11+(MATCH(RIGHT(Table610[[#This Row],[spawner_sku]],LEN(Table610[[#This Row],[spawner_sku]])-FIND("/",Table610[[#This Row],[spawner_sku]])),Table1[Entity Prefab],0)),10,1,1,"Entities"))</f>
        <v>25</v>
      </c>
      <c r="BJ180" s="75">
        <f ca="1">ROUND((Table610[[#This Row],[XP]]*Table610[[#This Row],[entity_spawned (AVG)]])*(Table610[[#This Row],[activating_chance]]/100),0)</f>
        <v>13</v>
      </c>
      <c r="BK180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80">
        <v>1</v>
      </c>
      <c r="BM180">
        <v>1</v>
      </c>
      <c r="BN180" t="b">
        <v>0</v>
      </c>
      <c r="BP180" t="s">
        <v>236</v>
      </c>
      <c r="BQ180">
        <v>1</v>
      </c>
      <c r="BR180">
        <v>200</v>
      </c>
      <c r="BS180">
        <v>100</v>
      </c>
      <c r="BT180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80" s="75">
        <f ca="1">ROUND((Table61011[[#This Row],[XP]]*Table61011[[#This Row],[entity_spawned (AVG)]])*(Table61011[[#This Row],[activating_chance]]/100),0)</f>
        <v>70</v>
      </c>
      <c r="BV18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0" s="72">
        <v>1</v>
      </c>
      <c r="BX180" s="72">
        <v>1</v>
      </c>
      <c r="BY180" s="72" t="b">
        <v>0</v>
      </c>
      <c r="CA180" t="s">
        <v>243</v>
      </c>
      <c r="CB180">
        <v>1.5</v>
      </c>
      <c r="CC180">
        <v>200</v>
      </c>
      <c r="CD180">
        <v>100</v>
      </c>
      <c r="CE180" s="75">
        <f ca="1">INDIRECT(ADDRESS(11+(MATCH(RIGHT(Table11[[#This Row],[spawner_sku]],LEN(Table11[[#This Row],[spawner_sku]])-FIND("/",Table11[[#This Row],[spawner_sku]])),Table1[Entity Prefab],0)),10,1,1,"Entities"))</f>
        <v>28</v>
      </c>
      <c r="CF180">
        <f ca="1">ROUND((Table11[[#This Row],[XP]]*Table11[[#This Row],[entity_spawned (AVG)]])*(Table11[[#This Row],[activating_chance]]/100),0)</f>
        <v>42</v>
      </c>
      <c r="CG180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180" s="72">
        <v>1</v>
      </c>
      <c r="CI180" s="72">
        <v>2</v>
      </c>
      <c r="CJ180" s="72" t="b">
        <v>0</v>
      </c>
      <c r="CL180" t="s">
        <v>530</v>
      </c>
      <c r="CM180">
        <v>1</v>
      </c>
      <c r="CN180">
        <v>240</v>
      </c>
      <c r="CO180">
        <v>100</v>
      </c>
      <c r="CP180" s="75">
        <f ca="1">INDIRECT(ADDRESS(11+(MATCH(RIGHT(Table12[[#This Row],[spawner_sku]],LEN(Table12[[#This Row],[spawner_sku]])-FIND("/",Table12[[#This Row],[spawner_sku]])),Table1[Entity Prefab],0)),10,1,1,"Entities"))</f>
        <v>55</v>
      </c>
      <c r="CQ180" s="75">
        <f ca="1">ROUND((Table12[[#This Row],[XP]]*Table12[[#This Row],[entity_spawned (AVG)]])*(Table12[[#This Row],[activating_chance]]/100),0)</f>
        <v>55</v>
      </c>
      <c r="CR180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180" s="72">
        <v>1</v>
      </c>
      <c r="CT180" s="72">
        <v>1</v>
      </c>
      <c r="CU180" s="72" t="b">
        <v>0</v>
      </c>
      <c r="CW180" t="s">
        <v>254</v>
      </c>
      <c r="CX180">
        <v>1</v>
      </c>
      <c r="CY180">
        <v>170</v>
      </c>
      <c r="CZ180">
        <v>100</v>
      </c>
      <c r="DA180" s="75">
        <f ca="1">INDIRECT(ADDRESS(11+(MATCH(RIGHT(Table13[[#This Row],[spawner_sku]],LEN(Table13[[#This Row],[spawner_sku]])-FIND("/",Table13[[#This Row],[spawner_sku]])),Table1[Entity Prefab],0)),10,1,1,"Entities"))</f>
        <v>70</v>
      </c>
      <c r="DB180" s="75">
        <f ca="1">ROUND((Table13[[#This Row],[XP]]*Table13[[#This Row],[entity_spawned (AVG)]])*(Table13[[#This Row],[activating_chance]]/100),0)</f>
        <v>70</v>
      </c>
      <c r="DC180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80" s="72">
        <v>1</v>
      </c>
      <c r="DE180" s="72">
        <v>1</v>
      </c>
      <c r="DF180" s="72" t="b">
        <v>0</v>
      </c>
      <c r="DH180" t="s">
        <v>236</v>
      </c>
      <c r="DI180">
        <v>1</v>
      </c>
      <c r="DJ180">
        <v>120</v>
      </c>
      <c r="DK180">
        <v>100</v>
      </c>
      <c r="DL180" s="75">
        <f ca="1">INDIRECT(ADDRESS(11+(MATCH(RIGHT(Table14[[#This Row],[spawner_sku]],LEN(Table14[[#This Row],[spawner_sku]])-FIND("/",Table14[[#This Row],[spawner_sku]])),Table1[Entity Prefab],0)),10,1,1,"Entities"))</f>
        <v>70</v>
      </c>
      <c r="DM180" s="75">
        <f ca="1">ROUND((Table14[[#This Row],[XP]]*Table14[[#This Row],[entity_spawned (AVG)]])*(Table14[[#This Row],[activating_chance]]/100),0)</f>
        <v>70</v>
      </c>
      <c r="DN18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80" s="72">
        <v>1</v>
      </c>
      <c r="DP180" s="72">
        <v>1</v>
      </c>
      <c r="DQ180" s="72" t="b">
        <v>0</v>
      </c>
      <c r="DS180" t="s">
        <v>246</v>
      </c>
      <c r="DT180">
        <v>1</v>
      </c>
      <c r="DU180">
        <v>500</v>
      </c>
      <c r="DV180">
        <v>100</v>
      </c>
      <c r="DW180" s="75">
        <f ca="1">INDIRECT(ADDRESS(11+(MATCH(RIGHT(Table18[[#This Row],[spawner_sku]],LEN(Table18[[#This Row],[spawner_sku]])-FIND("/",Table18[[#This Row],[spawner_sku]])),Table1[Entity Prefab],0)),10,1,1,"Entities"))</f>
        <v>25</v>
      </c>
      <c r="DX180" s="75">
        <f ca="1">ROUND((Table18[[#This Row],[XP]]*Table18[[#This Row],[entity_spawned (AVG)]])*(Table18[[#This Row],[activating_chance]]/100),0)</f>
        <v>25</v>
      </c>
      <c r="DY18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80">
        <v>1</v>
      </c>
      <c r="EA180">
        <v>1</v>
      </c>
      <c r="EB180" t="b">
        <v>0</v>
      </c>
      <c r="ED180" t="s">
        <v>646</v>
      </c>
      <c r="EE180">
        <v>1</v>
      </c>
      <c r="EF180">
        <v>120</v>
      </c>
      <c r="EG180">
        <v>100</v>
      </c>
      <c r="EH180" s="75">
        <f ca="1">INDIRECT(ADDRESS(11+(MATCH(RIGHT(Table1820[[#This Row],[spawner_sku]],LEN(Table1820[[#This Row],[spawner_sku]])-FIND("/",Table1820[[#This Row],[spawner_sku]])),Table1[Entity Prefab],0)),10,1,1,"Entities"))</f>
        <v>75</v>
      </c>
      <c r="EI180" s="75">
        <f ca="1">ROUND((Table1820[[#This Row],[XP]]*Table1820[[#This Row],[entity_spawned (AVG)]])*(Table1820[[#This Row],[activating_chance]]/100),0)</f>
        <v>75</v>
      </c>
      <c r="EJ18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80">
        <v>1</v>
      </c>
      <c r="EL180">
        <v>1</v>
      </c>
      <c r="EM180" t="b">
        <v>0</v>
      </c>
      <c r="EZ180" t="s">
        <v>7340</v>
      </c>
      <c r="FA180">
        <v>2</v>
      </c>
      <c r="FB180">
        <v>70</v>
      </c>
      <c r="FC180">
        <v>100</v>
      </c>
      <c r="FD180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180" s="75">
        <f ca="1">ROUND((Table18202324[[#This Row],[XP]]*Table18202324[[#This Row],[entity_spawned (AVG)]])*(Table18202324[[#This Row],[activating_chance]]/100),0)</f>
        <v>50</v>
      </c>
      <c r="FF180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80">
        <v>1</v>
      </c>
      <c r="FH180">
        <v>3</v>
      </c>
      <c r="FI180" t="b">
        <v>0</v>
      </c>
    </row>
    <row r="181" spans="2:165" x14ac:dyDescent="0.25">
      <c r="B181" s="73" t="s">
        <v>229</v>
      </c>
      <c r="C181">
        <v>3</v>
      </c>
      <c r="D181">
        <v>130</v>
      </c>
      <c r="E181">
        <v>100</v>
      </c>
      <c r="F181" s="75">
        <f ca="1">INDIRECT(ADDRESS(11+(MATCH(RIGHT(Table245[[#This Row],[spawner_sku]],LEN(Table245[[#This Row],[spawner_sku]])-FIND("/",Table245[[#This Row],[spawner_sku]])),Table1[Entity Prefab],0)),10,1,1,"Entities"))</f>
        <v>25</v>
      </c>
      <c r="G181" s="75">
        <f ca="1">ROUND((Table245[[#This Row],[XP]]*Table245[[#This Row],[entity_spawned (AVG)]])*(Table245[[#This Row],[activating_chance]]/100),0)</f>
        <v>75</v>
      </c>
      <c r="H18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1" s="72">
        <v>2</v>
      </c>
      <c r="J181" s="72">
        <v>4</v>
      </c>
      <c r="K181" s="72" t="b">
        <v>0</v>
      </c>
      <c r="M181" t="s">
        <v>384</v>
      </c>
      <c r="N181">
        <v>2</v>
      </c>
      <c r="O181">
        <v>100</v>
      </c>
      <c r="P181">
        <v>100</v>
      </c>
      <c r="Q181" s="75">
        <f ca="1">INDIRECT(ADDRESS(11+(MATCH(RIGHT(Table3[[#This Row],[spawner_sku]],LEN(Table3[[#This Row],[spawner_sku]])-FIND("/",Table3[[#This Row],[spawner_sku]])),Table1[Entity Prefab],0)),10,1,1,"Entities"))</f>
        <v>25</v>
      </c>
      <c r="R181" s="75">
        <f ca="1">ROUND((Table3[[#This Row],[XP]]*Table3[[#This Row],[entity_spawned (AVG)]])*(Table3[[#This Row],[activating_chance]]/100),0)</f>
        <v>50</v>
      </c>
      <c r="S181" t="str">
        <f ca="1">INDIRECT(ADDRESS(11+(MATCH(RIGHT(Table3[[#This Row],[spawner_sku]],LEN(Table3[[#This Row],[spawner_sku]])-FIND("/",Table3[[#This Row],[spawner_sku]])),Table28[Entity Prefab],0)),24,1,1,"Entities"))</f>
        <v>no</v>
      </c>
      <c r="T181">
        <v>2</v>
      </c>
      <c r="U181">
        <v>2</v>
      </c>
      <c r="V181" t="b">
        <v>0</v>
      </c>
      <c r="AI181" t="s">
        <v>233</v>
      </c>
      <c r="AJ181">
        <v>1</v>
      </c>
      <c r="AK181">
        <v>300</v>
      </c>
      <c r="AL181">
        <v>100</v>
      </c>
      <c r="AM181" s="75">
        <f ca="1">INDIRECT(ADDRESS(11+(MATCH(RIGHT(Table2[[#This Row],[spawner_sku]],LEN(Table2[[#This Row],[spawner_sku]])-FIND("/",Table2[[#This Row],[spawner_sku]])),Table1[Entity Prefab],0)),10,1,1,"Entities"))</f>
        <v>195</v>
      </c>
      <c r="AN181" s="75">
        <f ca="1">ROUND((Table2[[#This Row],[XP]]*Table2[[#This Row],[entity_spawned (AVG)]])*(Table2[[#This Row],[activating_chance]]/100),0)</f>
        <v>195</v>
      </c>
      <c r="AO181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81" s="72">
        <v>1</v>
      </c>
      <c r="AQ181" s="72">
        <v>1</v>
      </c>
      <c r="AR181" s="72" t="b">
        <v>0</v>
      </c>
      <c r="AT181" t="s">
        <v>256</v>
      </c>
      <c r="AU181">
        <v>1</v>
      </c>
      <c r="AV181">
        <v>150</v>
      </c>
      <c r="AW181">
        <v>100</v>
      </c>
      <c r="AX181" s="75">
        <f ca="1">INDIRECT(ADDRESS(11+(MATCH(RIGHT(Table6[[#This Row],[spawner_sku]],LEN(Table6[[#This Row],[spawner_sku]])-FIND("/",Table6[[#This Row],[spawner_sku]])),Table1[Entity Prefab],0)),10,1,1,"Entities"))</f>
        <v>25</v>
      </c>
      <c r="AY181" s="75">
        <f ca="1">ROUND((Table6[[#This Row],[XP]]*Table6[[#This Row],[entity_spawned (AVG)]])*(Table6[[#This Row],[activating_chance]]/100),0)</f>
        <v>25</v>
      </c>
      <c r="AZ181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81">
        <v>1</v>
      </c>
      <c r="BB181">
        <v>1</v>
      </c>
      <c r="BC181" t="b">
        <v>0</v>
      </c>
      <c r="BE181" t="s">
        <v>396</v>
      </c>
      <c r="BF181">
        <v>1</v>
      </c>
      <c r="BG181">
        <v>90</v>
      </c>
      <c r="BH181">
        <v>100</v>
      </c>
      <c r="BI181" s="75">
        <f ca="1">INDIRECT(ADDRESS(11+(MATCH(RIGHT(Table610[[#This Row],[spawner_sku]],LEN(Table610[[#This Row],[spawner_sku]])-FIND("/",Table610[[#This Row],[spawner_sku]])),Table1[Entity Prefab],0)),10,1,1,"Entities"))</f>
        <v>25</v>
      </c>
      <c r="BJ181" s="75">
        <f ca="1">ROUND((Table610[[#This Row],[XP]]*Table610[[#This Row],[entity_spawned (AVG)]])*(Table610[[#This Row],[activating_chance]]/100),0)</f>
        <v>25</v>
      </c>
      <c r="BK181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81">
        <v>1</v>
      </c>
      <c r="BM181">
        <v>1</v>
      </c>
      <c r="BN181" t="b">
        <v>0</v>
      </c>
      <c r="BP181" t="s">
        <v>236</v>
      </c>
      <c r="BQ181">
        <v>1</v>
      </c>
      <c r="BR181">
        <v>200</v>
      </c>
      <c r="BS181">
        <v>100</v>
      </c>
      <c r="BT181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81" s="75">
        <f ca="1">ROUND((Table61011[[#This Row],[XP]]*Table61011[[#This Row],[entity_spawned (AVG)]])*(Table61011[[#This Row],[activating_chance]]/100),0)</f>
        <v>70</v>
      </c>
      <c r="BV18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1" s="72">
        <v>1</v>
      </c>
      <c r="BX181" s="72">
        <v>1</v>
      </c>
      <c r="BY181" s="72" t="b">
        <v>0</v>
      </c>
      <c r="CA181" t="s">
        <v>244</v>
      </c>
      <c r="CB181">
        <v>1</v>
      </c>
      <c r="CC181">
        <v>180</v>
      </c>
      <c r="CD181">
        <v>100</v>
      </c>
      <c r="CE181" s="75">
        <f ca="1">INDIRECT(ADDRESS(11+(MATCH(RIGHT(Table11[[#This Row],[spawner_sku]],LEN(Table11[[#This Row],[spawner_sku]])-FIND("/",Table11[[#This Row],[spawner_sku]])),Table1[Entity Prefab],0)),10,1,1,"Entities"))</f>
        <v>25</v>
      </c>
      <c r="CF181">
        <f ca="1">ROUND((Table11[[#This Row],[XP]]*Table11[[#This Row],[entity_spawned (AVG)]])*(Table11[[#This Row],[activating_chance]]/100),0)</f>
        <v>25</v>
      </c>
      <c r="CG181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181" s="72">
        <v>1</v>
      </c>
      <c r="CI181" s="72">
        <v>1</v>
      </c>
      <c r="CJ181" s="72" t="b">
        <v>0</v>
      </c>
      <c r="CL181" t="s">
        <v>530</v>
      </c>
      <c r="CM181">
        <v>1</v>
      </c>
      <c r="CN181">
        <v>240</v>
      </c>
      <c r="CO181">
        <v>100</v>
      </c>
      <c r="CP181" s="75">
        <f ca="1">INDIRECT(ADDRESS(11+(MATCH(RIGHT(Table12[[#This Row],[spawner_sku]],LEN(Table12[[#This Row],[spawner_sku]])-FIND("/",Table12[[#This Row],[spawner_sku]])),Table1[Entity Prefab],0)),10,1,1,"Entities"))</f>
        <v>55</v>
      </c>
      <c r="CQ181" s="75">
        <f ca="1">ROUND((Table12[[#This Row],[XP]]*Table12[[#This Row],[entity_spawned (AVG)]])*(Table12[[#This Row],[activating_chance]]/100),0)</f>
        <v>55</v>
      </c>
      <c r="CR181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181" s="72">
        <v>1</v>
      </c>
      <c r="CT181" s="72">
        <v>1</v>
      </c>
      <c r="CU181" s="72" t="b">
        <v>0</v>
      </c>
      <c r="CW181" t="s">
        <v>254</v>
      </c>
      <c r="CX181">
        <v>1</v>
      </c>
      <c r="CY181">
        <v>170</v>
      </c>
      <c r="CZ181">
        <v>100</v>
      </c>
      <c r="DA181" s="75">
        <f ca="1">INDIRECT(ADDRESS(11+(MATCH(RIGHT(Table13[[#This Row],[spawner_sku]],LEN(Table13[[#This Row],[spawner_sku]])-FIND("/",Table13[[#This Row],[spawner_sku]])),Table1[Entity Prefab],0)),10,1,1,"Entities"))</f>
        <v>70</v>
      </c>
      <c r="DB181" s="75">
        <f ca="1">ROUND((Table13[[#This Row],[XP]]*Table13[[#This Row],[entity_spawned (AVG)]])*(Table13[[#This Row],[activating_chance]]/100),0)</f>
        <v>70</v>
      </c>
      <c r="DC181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81" s="72">
        <v>1</v>
      </c>
      <c r="DE181" s="72">
        <v>1</v>
      </c>
      <c r="DF181" s="72" t="b">
        <v>0</v>
      </c>
      <c r="DH181" t="s">
        <v>236</v>
      </c>
      <c r="DI181">
        <v>1</v>
      </c>
      <c r="DJ181">
        <v>100</v>
      </c>
      <c r="DK181">
        <v>100</v>
      </c>
      <c r="DL181" s="75">
        <f ca="1">INDIRECT(ADDRESS(11+(MATCH(RIGHT(Table14[[#This Row],[spawner_sku]],LEN(Table14[[#This Row],[spawner_sku]])-FIND("/",Table14[[#This Row],[spawner_sku]])),Table1[Entity Prefab],0)),10,1,1,"Entities"))</f>
        <v>70</v>
      </c>
      <c r="DM181" s="75">
        <f ca="1">ROUND((Table14[[#This Row],[XP]]*Table14[[#This Row],[entity_spawned (AVG)]])*(Table14[[#This Row],[activating_chance]]/100),0)</f>
        <v>70</v>
      </c>
      <c r="DN18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81" s="72">
        <v>1</v>
      </c>
      <c r="DP181" s="72">
        <v>1</v>
      </c>
      <c r="DQ181" s="72" t="b">
        <v>0</v>
      </c>
      <c r="DS181" t="s">
        <v>246</v>
      </c>
      <c r="DT181">
        <v>1</v>
      </c>
      <c r="DU181">
        <v>500</v>
      </c>
      <c r="DV181">
        <v>75</v>
      </c>
      <c r="DW181" s="75">
        <f ca="1">INDIRECT(ADDRESS(11+(MATCH(RIGHT(Table18[[#This Row],[spawner_sku]],LEN(Table18[[#This Row],[spawner_sku]])-FIND("/",Table18[[#This Row],[spawner_sku]])),Table1[Entity Prefab],0)),10,1,1,"Entities"))</f>
        <v>25</v>
      </c>
      <c r="DX181" s="75">
        <f ca="1">ROUND((Table18[[#This Row],[XP]]*Table18[[#This Row],[entity_spawned (AVG)]])*(Table18[[#This Row],[activating_chance]]/100),0)</f>
        <v>19</v>
      </c>
      <c r="DY18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81">
        <v>1</v>
      </c>
      <c r="EA181">
        <v>1</v>
      </c>
      <c r="EB181" t="b">
        <v>0</v>
      </c>
      <c r="ED181" t="s">
        <v>646</v>
      </c>
      <c r="EE181">
        <v>1</v>
      </c>
      <c r="EF181">
        <v>120</v>
      </c>
      <c r="EG181">
        <v>100</v>
      </c>
      <c r="EH181" s="75">
        <f ca="1">INDIRECT(ADDRESS(11+(MATCH(RIGHT(Table1820[[#This Row],[spawner_sku]],LEN(Table1820[[#This Row],[spawner_sku]])-FIND("/",Table1820[[#This Row],[spawner_sku]])),Table1[Entity Prefab],0)),10,1,1,"Entities"))</f>
        <v>75</v>
      </c>
      <c r="EI181" s="75">
        <f ca="1">ROUND((Table1820[[#This Row],[XP]]*Table1820[[#This Row],[entity_spawned (AVG)]])*(Table1820[[#This Row],[activating_chance]]/100),0)</f>
        <v>75</v>
      </c>
      <c r="EJ18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81">
        <v>1</v>
      </c>
      <c r="EL181">
        <v>1</v>
      </c>
      <c r="EM181" t="b">
        <v>0</v>
      </c>
      <c r="EZ181" t="s">
        <v>7340</v>
      </c>
      <c r="FA181">
        <v>1.5</v>
      </c>
      <c r="FB181">
        <v>70</v>
      </c>
      <c r="FC181">
        <v>100</v>
      </c>
      <c r="FD181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181" s="75">
        <f ca="1">ROUND((Table18202324[[#This Row],[XP]]*Table18202324[[#This Row],[entity_spawned (AVG)]])*(Table18202324[[#This Row],[activating_chance]]/100),0)</f>
        <v>38</v>
      </c>
      <c r="FF181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81">
        <v>1</v>
      </c>
      <c r="FH181">
        <v>2</v>
      </c>
      <c r="FI181" t="b">
        <v>0</v>
      </c>
    </row>
    <row r="182" spans="2:165" x14ac:dyDescent="0.25">
      <c r="B182" s="73" t="s">
        <v>229</v>
      </c>
      <c r="C182">
        <v>1.5</v>
      </c>
      <c r="D182">
        <v>100</v>
      </c>
      <c r="E182">
        <v>100</v>
      </c>
      <c r="F182" s="75">
        <f ca="1">INDIRECT(ADDRESS(11+(MATCH(RIGHT(Table245[[#This Row],[spawner_sku]],LEN(Table245[[#This Row],[spawner_sku]])-FIND("/",Table245[[#This Row],[spawner_sku]])),Table1[Entity Prefab],0)),10,1,1,"Entities"))</f>
        <v>25</v>
      </c>
      <c r="G182" s="75">
        <f ca="1">ROUND((Table245[[#This Row],[XP]]*Table245[[#This Row],[entity_spawned (AVG)]])*(Table245[[#This Row],[activating_chance]]/100),0)</f>
        <v>38</v>
      </c>
      <c r="H18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2" s="72">
        <v>1</v>
      </c>
      <c r="J182" s="72">
        <v>2</v>
      </c>
      <c r="K182" s="72" t="b">
        <v>0</v>
      </c>
      <c r="M182" t="s">
        <v>384</v>
      </c>
      <c r="N182">
        <v>5</v>
      </c>
      <c r="O182">
        <v>100</v>
      </c>
      <c r="P182">
        <v>100</v>
      </c>
      <c r="Q182" s="75">
        <f ca="1">INDIRECT(ADDRESS(11+(MATCH(RIGHT(Table3[[#This Row],[spawner_sku]],LEN(Table3[[#This Row],[spawner_sku]])-FIND("/",Table3[[#This Row],[spawner_sku]])),Table1[Entity Prefab],0)),10,1,1,"Entities"))</f>
        <v>25</v>
      </c>
      <c r="R182" s="75">
        <f ca="1">ROUND((Table3[[#This Row],[XP]]*Table3[[#This Row],[entity_spawned (AVG)]])*(Table3[[#This Row],[activating_chance]]/100),0)</f>
        <v>125</v>
      </c>
      <c r="S182" t="str">
        <f ca="1">INDIRECT(ADDRESS(11+(MATCH(RIGHT(Table3[[#This Row],[spawner_sku]],LEN(Table3[[#This Row],[spawner_sku]])-FIND("/",Table3[[#This Row],[spawner_sku]])),Table28[Entity Prefab],0)),24,1,1,"Entities"))</f>
        <v>no</v>
      </c>
      <c r="T182">
        <v>5</v>
      </c>
      <c r="U182">
        <v>5</v>
      </c>
      <c r="V182" t="b">
        <v>1</v>
      </c>
      <c r="AI182" t="s">
        <v>402</v>
      </c>
      <c r="AJ182">
        <v>1</v>
      </c>
      <c r="AK182">
        <v>340</v>
      </c>
      <c r="AL182">
        <v>100</v>
      </c>
      <c r="AM182" s="75">
        <f ca="1">INDIRECT(ADDRESS(11+(MATCH(RIGHT(Table2[[#This Row],[spawner_sku]],LEN(Table2[[#This Row],[spawner_sku]])-FIND("/",Table2[[#This Row],[spawner_sku]])),Table1[Entity Prefab],0)),10,1,1,"Entities"))</f>
        <v>263</v>
      </c>
      <c r="AN182" s="75">
        <f ca="1">ROUND((Table2[[#This Row],[XP]]*Table2[[#This Row],[entity_spawned (AVG)]])*(Table2[[#This Row],[activating_chance]]/100),0)</f>
        <v>263</v>
      </c>
      <c r="AO182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82" s="72">
        <v>1</v>
      </c>
      <c r="AQ182" s="72">
        <v>1</v>
      </c>
      <c r="AR182" s="72" t="b">
        <v>0</v>
      </c>
      <c r="AT182" t="s">
        <v>256</v>
      </c>
      <c r="AU182">
        <v>1</v>
      </c>
      <c r="AV182">
        <v>150</v>
      </c>
      <c r="AW182">
        <v>100</v>
      </c>
      <c r="AX182" s="75">
        <f ca="1">INDIRECT(ADDRESS(11+(MATCH(RIGHT(Table6[[#This Row],[spawner_sku]],LEN(Table6[[#This Row],[spawner_sku]])-FIND("/",Table6[[#This Row],[spawner_sku]])),Table1[Entity Prefab],0)),10,1,1,"Entities"))</f>
        <v>25</v>
      </c>
      <c r="AY182" s="75">
        <f ca="1">ROUND((Table6[[#This Row],[XP]]*Table6[[#This Row],[entity_spawned (AVG)]])*(Table6[[#This Row],[activating_chance]]/100),0)</f>
        <v>25</v>
      </c>
      <c r="AZ182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82">
        <v>1</v>
      </c>
      <c r="BB182">
        <v>1</v>
      </c>
      <c r="BC182" t="b">
        <v>0</v>
      </c>
      <c r="BE182" t="s">
        <v>396</v>
      </c>
      <c r="BF182">
        <v>1</v>
      </c>
      <c r="BG182">
        <v>150</v>
      </c>
      <c r="BH182">
        <v>100</v>
      </c>
      <c r="BI182" s="75">
        <f ca="1">INDIRECT(ADDRESS(11+(MATCH(RIGHT(Table610[[#This Row],[spawner_sku]],LEN(Table610[[#This Row],[spawner_sku]])-FIND("/",Table610[[#This Row],[spawner_sku]])),Table1[Entity Prefab],0)),10,1,1,"Entities"))</f>
        <v>25</v>
      </c>
      <c r="BJ182" s="75">
        <f ca="1">ROUND((Table610[[#This Row],[XP]]*Table610[[#This Row],[entity_spawned (AVG)]])*(Table610[[#This Row],[activating_chance]]/100),0)</f>
        <v>25</v>
      </c>
      <c r="BK182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82">
        <v>1</v>
      </c>
      <c r="BM182">
        <v>1</v>
      </c>
      <c r="BN182" t="b">
        <v>0</v>
      </c>
      <c r="BP182" t="s">
        <v>236</v>
      </c>
      <c r="BQ182">
        <v>1</v>
      </c>
      <c r="BR182">
        <v>220</v>
      </c>
      <c r="BS182">
        <v>100</v>
      </c>
      <c r="BT182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82" s="75">
        <f ca="1">ROUND((Table61011[[#This Row],[XP]]*Table61011[[#This Row],[entity_spawned (AVG)]])*(Table61011[[#This Row],[activating_chance]]/100),0)</f>
        <v>70</v>
      </c>
      <c r="BV18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2" s="72">
        <v>1</v>
      </c>
      <c r="BX182" s="72">
        <v>1</v>
      </c>
      <c r="BY182" s="72" t="b">
        <v>0</v>
      </c>
      <c r="CA182" t="s">
        <v>244</v>
      </c>
      <c r="CB182">
        <v>1</v>
      </c>
      <c r="CC182">
        <v>220</v>
      </c>
      <c r="CD182">
        <v>80</v>
      </c>
      <c r="CE182" s="75">
        <f ca="1">INDIRECT(ADDRESS(11+(MATCH(RIGHT(Table11[[#This Row],[spawner_sku]],LEN(Table11[[#This Row],[spawner_sku]])-FIND("/",Table11[[#This Row],[spawner_sku]])),Table1[Entity Prefab],0)),10,1,1,"Entities"))</f>
        <v>25</v>
      </c>
      <c r="CF182">
        <f ca="1">ROUND((Table11[[#This Row],[XP]]*Table11[[#This Row],[entity_spawned (AVG)]])*(Table11[[#This Row],[activating_chance]]/100),0)</f>
        <v>20</v>
      </c>
      <c r="CG182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182" s="72">
        <v>1</v>
      </c>
      <c r="CI182" s="72">
        <v>1</v>
      </c>
      <c r="CJ182" s="72" t="b">
        <v>0</v>
      </c>
      <c r="CL182" t="s">
        <v>530</v>
      </c>
      <c r="CM182">
        <v>1</v>
      </c>
      <c r="CN182">
        <v>240</v>
      </c>
      <c r="CO182">
        <v>100</v>
      </c>
      <c r="CP182" s="75">
        <f ca="1">INDIRECT(ADDRESS(11+(MATCH(RIGHT(Table12[[#This Row],[spawner_sku]],LEN(Table12[[#This Row],[spawner_sku]])-FIND("/",Table12[[#This Row],[spawner_sku]])),Table1[Entity Prefab],0)),10,1,1,"Entities"))</f>
        <v>55</v>
      </c>
      <c r="CQ182" s="75">
        <f ca="1">ROUND((Table12[[#This Row],[XP]]*Table12[[#This Row],[entity_spawned (AVG)]])*(Table12[[#This Row],[activating_chance]]/100),0)</f>
        <v>55</v>
      </c>
      <c r="CR182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182" s="72">
        <v>1</v>
      </c>
      <c r="CT182" s="72">
        <v>1</v>
      </c>
      <c r="CU182" s="72" t="b">
        <v>0</v>
      </c>
      <c r="CW182" t="s">
        <v>254</v>
      </c>
      <c r="CX182">
        <v>1</v>
      </c>
      <c r="CY182">
        <v>170</v>
      </c>
      <c r="CZ182">
        <v>100</v>
      </c>
      <c r="DA182" s="75">
        <f ca="1">INDIRECT(ADDRESS(11+(MATCH(RIGHT(Table13[[#This Row],[spawner_sku]],LEN(Table13[[#This Row],[spawner_sku]])-FIND("/",Table13[[#This Row],[spawner_sku]])),Table1[Entity Prefab],0)),10,1,1,"Entities"))</f>
        <v>70</v>
      </c>
      <c r="DB182" s="75">
        <f ca="1">ROUND((Table13[[#This Row],[XP]]*Table13[[#This Row],[entity_spawned (AVG)]])*(Table13[[#This Row],[activating_chance]]/100),0)</f>
        <v>70</v>
      </c>
      <c r="DC182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82" s="72">
        <v>1</v>
      </c>
      <c r="DE182" s="72">
        <v>1</v>
      </c>
      <c r="DF182" s="72" t="b">
        <v>0</v>
      </c>
      <c r="DH182" t="s">
        <v>236</v>
      </c>
      <c r="DI182">
        <v>1</v>
      </c>
      <c r="DJ182">
        <v>120</v>
      </c>
      <c r="DK182">
        <v>100</v>
      </c>
      <c r="DL182" s="75">
        <f ca="1">INDIRECT(ADDRESS(11+(MATCH(RIGHT(Table14[[#This Row],[spawner_sku]],LEN(Table14[[#This Row],[spawner_sku]])-FIND("/",Table14[[#This Row],[spawner_sku]])),Table1[Entity Prefab],0)),10,1,1,"Entities"))</f>
        <v>70</v>
      </c>
      <c r="DM182" s="75">
        <f ca="1">ROUND((Table14[[#This Row],[XP]]*Table14[[#This Row],[entity_spawned (AVG)]])*(Table14[[#This Row],[activating_chance]]/100),0)</f>
        <v>70</v>
      </c>
      <c r="DN18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82" s="72">
        <v>1</v>
      </c>
      <c r="DP182" s="72">
        <v>1</v>
      </c>
      <c r="DQ182" s="72" t="b">
        <v>0</v>
      </c>
      <c r="DS182" t="s">
        <v>246</v>
      </c>
      <c r="DT182">
        <v>1</v>
      </c>
      <c r="DU182">
        <v>500</v>
      </c>
      <c r="DV182">
        <v>100</v>
      </c>
      <c r="DW182" s="75">
        <f ca="1">INDIRECT(ADDRESS(11+(MATCH(RIGHT(Table18[[#This Row],[spawner_sku]],LEN(Table18[[#This Row],[spawner_sku]])-FIND("/",Table18[[#This Row],[spawner_sku]])),Table1[Entity Prefab],0)),10,1,1,"Entities"))</f>
        <v>25</v>
      </c>
      <c r="DX182" s="75">
        <f ca="1">ROUND((Table18[[#This Row],[XP]]*Table18[[#This Row],[entity_spawned (AVG)]])*(Table18[[#This Row],[activating_chance]]/100),0)</f>
        <v>25</v>
      </c>
      <c r="DY18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82">
        <v>1</v>
      </c>
      <c r="EA182">
        <v>1</v>
      </c>
      <c r="EB182" t="b">
        <v>0</v>
      </c>
      <c r="ED182" t="s">
        <v>646</v>
      </c>
      <c r="EE182">
        <v>1</v>
      </c>
      <c r="EF182">
        <v>120</v>
      </c>
      <c r="EG182">
        <v>80</v>
      </c>
      <c r="EH182" s="75">
        <f ca="1">INDIRECT(ADDRESS(11+(MATCH(RIGHT(Table1820[[#This Row],[spawner_sku]],LEN(Table1820[[#This Row],[spawner_sku]])-FIND("/",Table1820[[#This Row],[spawner_sku]])),Table1[Entity Prefab],0)),10,1,1,"Entities"))</f>
        <v>75</v>
      </c>
      <c r="EI182" s="75">
        <f ca="1">ROUND((Table1820[[#This Row],[XP]]*Table1820[[#This Row],[entity_spawned (AVG)]])*(Table1820[[#This Row],[activating_chance]]/100),0)</f>
        <v>60</v>
      </c>
      <c r="EJ18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82">
        <v>1</v>
      </c>
      <c r="EL182">
        <v>1</v>
      </c>
      <c r="EM182" t="b">
        <v>0</v>
      </c>
      <c r="EZ182" t="s">
        <v>7340</v>
      </c>
      <c r="FA182">
        <v>2</v>
      </c>
      <c r="FB182">
        <v>80</v>
      </c>
      <c r="FC182">
        <v>100</v>
      </c>
      <c r="FD182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182" s="75">
        <f ca="1">ROUND((Table18202324[[#This Row],[XP]]*Table18202324[[#This Row],[entity_spawned (AVG)]])*(Table18202324[[#This Row],[activating_chance]]/100),0)</f>
        <v>50</v>
      </c>
      <c r="FF182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82">
        <v>1</v>
      </c>
      <c r="FH182">
        <v>3</v>
      </c>
      <c r="FI182" t="b">
        <v>0</v>
      </c>
    </row>
    <row r="183" spans="2:165" x14ac:dyDescent="0.25">
      <c r="B183" s="73" t="s">
        <v>229</v>
      </c>
      <c r="C183">
        <v>6.5</v>
      </c>
      <c r="D183">
        <v>140</v>
      </c>
      <c r="E183">
        <v>30</v>
      </c>
      <c r="F183" s="75">
        <f ca="1">INDIRECT(ADDRESS(11+(MATCH(RIGHT(Table245[[#This Row],[spawner_sku]],LEN(Table245[[#This Row],[spawner_sku]])-FIND("/",Table245[[#This Row],[spawner_sku]])),Table1[Entity Prefab],0)),10,1,1,"Entities"))</f>
        <v>25</v>
      </c>
      <c r="G183" s="75">
        <f ca="1">ROUND((Table245[[#This Row],[XP]]*Table245[[#This Row],[entity_spawned (AVG)]])*(Table245[[#This Row],[activating_chance]]/100),0)</f>
        <v>49</v>
      </c>
      <c r="H18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3" s="72">
        <v>5</v>
      </c>
      <c r="J183" s="72">
        <v>8</v>
      </c>
      <c r="K183" s="72" t="b">
        <v>1</v>
      </c>
      <c r="M183" t="s">
        <v>384</v>
      </c>
      <c r="N183">
        <v>3</v>
      </c>
      <c r="O183">
        <v>100</v>
      </c>
      <c r="P183">
        <v>100</v>
      </c>
      <c r="Q183" s="75">
        <f ca="1">INDIRECT(ADDRESS(11+(MATCH(RIGHT(Table3[[#This Row],[spawner_sku]],LEN(Table3[[#This Row],[spawner_sku]])-FIND("/",Table3[[#This Row],[spawner_sku]])),Table1[Entity Prefab],0)),10,1,1,"Entities"))</f>
        <v>25</v>
      </c>
      <c r="R183" s="75">
        <f ca="1">ROUND((Table3[[#This Row],[XP]]*Table3[[#This Row],[entity_spawned (AVG)]])*(Table3[[#This Row],[activating_chance]]/100),0)</f>
        <v>75</v>
      </c>
      <c r="S183" t="str">
        <f ca="1">INDIRECT(ADDRESS(11+(MATCH(RIGHT(Table3[[#This Row],[spawner_sku]],LEN(Table3[[#This Row],[spawner_sku]])-FIND("/",Table3[[#This Row],[spawner_sku]])),Table28[Entity Prefab],0)),24,1,1,"Entities"))</f>
        <v>no</v>
      </c>
      <c r="T183">
        <v>3</v>
      </c>
      <c r="U183">
        <v>3</v>
      </c>
      <c r="V183" t="b">
        <v>0</v>
      </c>
      <c r="AI183" t="s">
        <v>402</v>
      </c>
      <c r="AJ183">
        <v>1</v>
      </c>
      <c r="AK183">
        <v>340</v>
      </c>
      <c r="AL183">
        <v>100</v>
      </c>
      <c r="AM183" s="75">
        <f ca="1">INDIRECT(ADDRESS(11+(MATCH(RIGHT(Table2[[#This Row],[spawner_sku]],LEN(Table2[[#This Row],[spawner_sku]])-FIND("/",Table2[[#This Row],[spawner_sku]])),Table1[Entity Prefab],0)),10,1,1,"Entities"))</f>
        <v>263</v>
      </c>
      <c r="AN183" s="75">
        <f ca="1">ROUND((Table2[[#This Row],[XP]]*Table2[[#This Row],[entity_spawned (AVG)]])*(Table2[[#This Row],[activating_chance]]/100),0)</f>
        <v>263</v>
      </c>
      <c r="AO18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83" s="72">
        <v>1</v>
      </c>
      <c r="AQ183" s="72">
        <v>1</v>
      </c>
      <c r="AR183" s="72" t="b">
        <v>0</v>
      </c>
      <c r="AT183" t="s">
        <v>256</v>
      </c>
      <c r="AU183">
        <v>1</v>
      </c>
      <c r="AV183">
        <v>150</v>
      </c>
      <c r="AW183">
        <v>100</v>
      </c>
      <c r="AX183" s="75">
        <f ca="1">INDIRECT(ADDRESS(11+(MATCH(RIGHT(Table6[[#This Row],[spawner_sku]],LEN(Table6[[#This Row],[spawner_sku]])-FIND("/",Table6[[#This Row],[spawner_sku]])),Table1[Entity Prefab],0)),10,1,1,"Entities"))</f>
        <v>25</v>
      </c>
      <c r="AY183" s="75">
        <f ca="1">ROUND((Table6[[#This Row],[XP]]*Table6[[#This Row],[entity_spawned (AVG)]])*(Table6[[#This Row],[activating_chance]]/100),0)</f>
        <v>25</v>
      </c>
      <c r="AZ183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83">
        <v>1</v>
      </c>
      <c r="BB183">
        <v>1</v>
      </c>
      <c r="BC183" t="b">
        <v>0</v>
      </c>
      <c r="BE183" t="s">
        <v>396</v>
      </c>
      <c r="BF183">
        <v>1</v>
      </c>
      <c r="BG183">
        <v>90</v>
      </c>
      <c r="BH183">
        <v>100</v>
      </c>
      <c r="BI183" s="75">
        <f ca="1">INDIRECT(ADDRESS(11+(MATCH(RIGHT(Table610[[#This Row],[spawner_sku]],LEN(Table610[[#This Row],[spawner_sku]])-FIND("/",Table610[[#This Row],[spawner_sku]])),Table1[Entity Prefab],0)),10,1,1,"Entities"))</f>
        <v>25</v>
      </c>
      <c r="BJ183" s="75">
        <f ca="1">ROUND((Table610[[#This Row],[XP]]*Table610[[#This Row],[entity_spawned (AVG)]])*(Table610[[#This Row],[activating_chance]]/100),0)</f>
        <v>25</v>
      </c>
      <c r="BK183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83">
        <v>1</v>
      </c>
      <c r="BM183">
        <v>1</v>
      </c>
      <c r="BN183" t="b">
        <v>0</v>
      </c>
      <c r="BP183" t="s">
        <v>236</v>
      </c>
      <c r="BQ183">
        <v>1</v>
      </c>
      <c r="BR183">
        <v>220</v>
      </c>
      <c r="BS183">
        <v>100</v>
      </c>
      <c r="BT183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83" s="75">
        <f ca="1">ROUND((Table61011[[#This Row],[XP]]*Table61011[[#This Row],[entity_spawned (AVG)]])*(Table61011[[#This Row],[activating_chance]]/100),0)</f>
        <v>70</v>
      </c>
      <c r="BV18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3" s="72">
        <v>1</v>
      </c>
      <c r="BX183" s="72">
        <v>1</v>
      </c>
      <c r="BY183" s="72" t="b">
        <v>0</v>
      </c>
      <c r="CA183" t="s">
        <v>244</v>
      </c>
      <c r="CB183">
        <v>1</v>
      </c>
      <c r="CC183">
        <v>180</v>
      </c>
      <c r="CD183">
        <v>100</v>
      </c>
      <c r="CE183" s="75">
        <f ca="1">INDIRECT(ADDRESS(11+(MATCH(RIGHT(Table11[[#This Row],[spawner_sku]],LEN(Table11[[#This Row],[spawner_sku]])-FIND("/",Table11[[#This Row],[spawner_sku]])),Table1[Entity Prefab],0)),10,1,1,"Entities"))</f>
        <v>25</v>
      </c>
      <c r="CF183">
        <f ca="1">ROUND((Table11[[#This Row],[XP]]*Table11[[#This Row],[entity_spawned (AVG)]])*(Table11[[#This Row],[activating_chance]]/100),0)</f>
        <v>25</v>
      </c>
      <c r="CG183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183" s="72">
        <v>1</v>
      </c>
      <c r="CI183" s="72">
        <v>1</v>
      </c>
      <c r="CJ183" s="72" t="b">
        <v>0</v>
      </c>
      <c r="CL183" t="s">
        <v>530</v>
      </c>
      <c r="CM183">
        <v>1</v>
      </c>
      <c r="CN183">
        <v>240</v>
      </c>
      <c r="CO183">
        <v>100</v>
      </c>
      <c r="CP183" s="75">
        <f ca="1">INDIRECT(ADDRESS(11+(MATCH(RIGHT(Table12[[#This Row],[spawner_sku]],LEN(Table12[[#This Row],[spawner_sku]])-FIND("/",Table12[[#This Row],[spawner_sku]])),Table1[Entity Prefab],0)),10,1,1,"Entities"))</f>
        <v>55</v>
      </c>
      <c r="CQ183" s="75">
        <f ca="1">ROUND((Table12[[#This Row],[XP]]*Table12[[#This Row],[entity_spawned (AVG)]])*(Table12[[#This Row],[activating_chance]]/100),0)</f>
        <v>55</v>
      </c>
      <c r="CR183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183" s="72">
        <v>1</v>
      </c>
      <c r="CT183" s="72">
        <v>1</v>
      </c>
      <c r="CU183" s="72" t="b">
        <v>0</v>
      </c>
      <c r="CW183" t="s">
        <v>254</v>
      </c>
      <c r="CX183">
        <v>1</v>
      </c>
      <c r="CY183">
        <v>170</v>
      </c>
      <c r="CZ183">
        <v>100</v>
      </c>
      <c r="DA183" s="75">
        <f ca="1">INDIRECT(ADDRESS(11+(MATCH(RIGHT(Table13[[#This Row],[spawner_sku]],LEN(Table13[[#This Row],[spawner_sku]])-FIND("/",Table13[[#This Row],[spawner_sku]])),Table1[Entity Prefab],0)),10,1,1,"Entities"))</f>
        <v>70</v>
      </c>
      <c r="DB183" s="75">
        <f ca="1">ROUND((Table13[[#This Row],[XP]]*Table13[[#This Row],[entity_spawned (AVG)]])*(Table13[[#This Row],[activating_chance]]/100),0)</f>
        <v>70</v>
      </c>
      <c r="DC183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83" s="72">
        <v>1</v>
      </c>
      <c r="DE183" s="72">
        <v>1</v>
      </c>
      <c r="DF183" s="72" t="b">
        <v>0</v>
      </c>
      <c r="DH183" t="s">
        <v>236</v>
      </c>
      <c r="DI183">
        <v>1</v>
      </c>
      <c r="DJ183">
        <v>120</v>
      </c>
      <c r="DK183">
        <v>100</v>
      </c>
      <c r="DL183" s="75">
        <f ca="1">INDIRECT(ADDRESS(11+(MATCH(RIGHT(Table14[[#This Row],[spawner_sku]],LEN(Table14[[#This Row],[spawner_sku]])-FIND("/",Table14[[#This Row],[spawner_sku]])),Table1[Entity Prefab],0)),10,1,1,"Entities"))</f>
        <v>70</v>
      </c>
      <c r="DM183" s="75">
        <f ca="1">ROUND((Table14[[#This Row],[XP]]*Table14[[#This Row],[entity_spawned (AVG)]])*(Table14[[#This Row],[activating_chance]]/100),0)</f>
        <v>70</v>
      </c>
      <c r="DN18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83" s="72">
        <v>1</v>
      </c>
      <c r="DP183" s="72">
        <v>1</v>
      </c>
      <c r="DQ183" s="72" t="b">
        <v>0</v>
      </c>
      <c r="DS183" t="s">
        <v>246</v>
      </c>
      <c r="DT183">
        <v>1</v>
      </c>
      <c r="DU183">
        <v>500</v>
      </c>
      <c r="DV183">
        <v>100</v>
      </c>
      <c r="DW183" s="75">
        <f ca="1">INDIRECT(ADDRESS(11+(MATCH(RIGHT(Table18[[#This Row],[spawner_sku]],LEN(Table18[[#This Row],[spawner_sku]])-FIND("/",Table18[[#This Row],[spawner_sku]])),Table1[Entity Prefab],0)),10,1,1,"Entities"))</f>
        <v>25</v>
      </c>
      <c r="DX183" s="75">
        <f ca="1">ROUND((Table18[[#This Row],[XP]]*Table18[[#This Row],[entity_spawned (AVG)]])*(Table18[[#This Row],[activating_chance]]/100),0)</f>
        <v>25</v>
      </c>
      <c r="DY18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83">
        <v>1</v>
      </c>
      <c r="EA183">
        <v>1</v>
      </c>
      <c r="EB183" t="b">
        <v>0</v>
      </c>
      <c r="ED183" t="s">
        <v>646</v>
      </c>
      <c r="EE183">
        <v>1</v>
      </c>
      <c r="EF183">
        <v>120</v>
      </c>
      <c r="EG183">
        <v>100</v>
      </c>
      <c r="EH183" s="75">
        <f ca="1">INDIRECT(ADDRESS(11+(MATCH(RIGHT(Table1820[[#This Row],[spawner_sku]],LEN(Table1820[[#This Row],[spawner_sku]])-FIND("/",Table1820[[#This Row],[spawner_sku]])),Table1[Entity Prefab],0)),10,1,1,"Entities"))</f>
        <v>75</v>
      </c>
      <c r="EI183" s="75">
        <f ca="1">ROUND((Table1820[[#This Row],[XP]]*Table1820[[#This Row],[entity_spawned (AVG)]])*(Table1820[[#This Row],[activating_chance]]/100),0)</f>
        <v>75</v>
      </c>
      <c r="EJ18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83">
        <v>1</v>
      </c>
      <c r="EL183">
        <v>1</v>
      </c>
      <c r="EM183" t="b">
        <v>0</v>
      </c>
      <c r="EZ183" t="s">
        <v>7340</v>
      </c>
      <c r="FA183">
        <v>2</v>
      </c>
      <c r="FB183">
        <v>80</v>
      </c>
      <c r="FC183">
        <v>100</v>
      </c>
      <c r="FD183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183" s="75">
        <f ca="1">ROUND((Table18202324[[#This Row],[XP]]*Table18202324[[#This Row],[entity_spawned (AVG)]])*(Table18202324[[#This Row],[activating_chance]]/100),0)</f>
        <v>50</v>
      </c>
      <c r="FF183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83">
        <v>1</v>
      </c>
      <c r="FH183">
        <v>3</v>
      </c>
      <c r="FI183" t="b">
        <v>0</v>
      </c>
    </row>
    <row r="184" spans="2:165" x14ac:dyDescent="0.25">
      <c r="B184" s="73" t="s">
        <v>229</v>
      </c>
      <c r="C184">
        <v>2.5</v>
      </c>
      <c r="D184">
        <v>110</v>
      </c>
      <c r="E184">
        <v>100</v>
      </c>
      <c r="F184" s="75">
        <f ca="1">INDIRECT(ADDRESS(11+(MATCH(RIGHT(Table245[[#This Row],[spawner_sku]],LEN(Table245[[#This Row],[spawner_sku]])-FIND("/",Table245[[#This Row],[spawner_sku]])),Table1[Entity Prefab],0)),10,1,1,"Entities"))</f>
        <v>25</v>
      </c>
      <c r="G184" s="75">
        <f ca="1">ROUND((Table245[[#This Row],[XP]]*Table245[[#This Row],[entity_spawned (AVG)]])*(Table245[[#This Row],[activating_chance]]/100),0)</f>
        <v>63</v>
      </c>
      <c r="H18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4" s="72">
        <v>1</v>
      </c>
      <c r="J184" s="72">
        <v>4</v>
      </c>
      <c r="K184" s="72" t="b">
        <v>0</v>
      </c>
      <c r="M184" t="s">
        <v>384</v>
      </c>
      <c r="N184">
        <v>5</v>
      </c>
      <c r="O184">
        <v>100</v>
      </c>
      <c r="P184">
        <v>100</v>
      </c>
      <c r="Q184" s="75">
        <f ca="1">INDIRECT(ADDRESS(11+(MATCH(RIGHT(Table3[[#This Row],[spawner_sku]],LEN(Table3[[#This Row],[spawner_sku]])-FIND("/",Table3[[#This Row],[spawner_sku]])),Table1[Entity Prefab],0)),10,1,1,"Entities"))</f>
        <v>25</v>
      </c>
      <c r="R184" s="75">
        <f ca="1">ROUND((Table3[[#This Row],[XP]]*Table3[[#This Row],[entity_spawned (AVG)]])*(Table3[[#This Row],[activating_chance]]/100),0)</f>
        <v>125</v>
      </c>
      <c r="S184" t="str">
        <f ca="1">INDIRECT(ADDRESS(11+(MATCH(RIGHT(Table3[[#This Row],[spawner_sku]],LEN(Table3[[#This Row],[spawner_sku]])-FIND("/",Table3[[#This Row],[spawner_sku]])),Table28[Entity Prefab],0)),24,1,1,"Entities"))</f>
        <v>no</v>
      </c>
      <c r="T184">
        <v>5</v>
      </c>
      <c r="U184">
        <v>5</v>
      </c>
      <c r="V184" t="b">
        <v>1</v>
      </c>
      <c r="AI184" t="s">
        <v>402</v>
      </c>
      <c r="AJ184">
        <v>1</v>
      </c>
      <c r="AK184">
        <v>340</v>
      </c>
      <c r="AL184">
        <v>100</v>
      </c>
      <c r="AM184" s="75">
        <f ca="1">INDIRECT(ADDRESS(11+(MATCH(RIGHT(Table2[[#This Row],[spawner_sku]],LEN(Table2[[#This Row],[spawner_sku]])-FIND("/",Table2[[#This Row],[spawner_sku]])),Table1[Entity Prefab],0)),10,1,1,"Entities"))</f>
        <v>263</v>
      </c>
      <c r="AN184" s="75">
        <f ca="1">ROUND((Table2[[#This Row],[XP]]*Table2[[#This Row],[entity_spawned (AVG)]])*(Table2[[#This Row],[activating_chance]]/100),0)</f>
        <v>263</v>
      </c>
      <c r="AO184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84" s="72">
        <v>1</v>
      </c>
      <c r="AQ184" s="72">
        <v>1</v>
      </c>
      <c r="AR184" s="72" t="b">
        <v>0</v>
      </c>
      <c r="AT184" t="s">
        <v>256</v>
      </c>
      <c r="AU184">
        <v>1</v>
      </c>
      <c r="AV184">
        <v>150</v>
      </c>
      <c r="AW184">
        <v>100</v>
      </c>
      <c r="AX184" s="75">
        <f ca="1">INDIRECT(ADDRESS(11+(MATCH(RIGHT(Table6[[#This Row],[spawner_sku]],LEN(Table6[[#This Row],[spawner_sku]])-FIND("/",Table6[[#This Row],[spawner_sku]])),Table1[Entity Prefab],0)),10,1,1,"Entities"))</f>
        <v>25</v>
      </c>
      <c r="AY184" s="75">
        <f ca="1">ROUND((Table6[[#This Row],[XP]]*Table6[[#This Row],[entity_spawned (AVG)]])*(Table6[[#This Row],[activating_chance]]/100),0)</f>
        <v>25</v>
      </c>
      <c r="AZ184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84">
        <v>1</v>
      </c>
      <c r="BB184">
        <v>1</v>
      </c>
      <c r="BC184" t="b">
        <v>0</v>
      </c>
      <c r="BE184" t="s">
        <v>396</v>
      </c>
      <c r="BF184">
        <v>1.5</v>
      </c>
      <c r="BG184">
        <v>90</v>
      </c>
      <c r="BH184">
        <v>100</v>
      </c>
      <c r="BI184" s="75">
        <f ca="1">INDIRECT(ADDRESS(11+(MATCH(RIGHT(Table610[[#This Row],[spawner_sku]],LEN(Table610[[#This Row],[spawner_sku]])-FIND("/",Table610[[#This Row],[spawner_sku]])),Table1[Entity Prefab],0)),10,1,1,"Entities"))</f>
        <v>25</v>
      </c>
      <c r="BJ184" s="75">
        <f ca="1">ROUND((Table610[[#This Row],[XP]]*Table610[[#This Row],[entity_spawned (AVG)]])*(Table610[[#This Row],[activating_chance]]/100),0)</f>
        <v>38</v>
      </c>
      <c r="BK184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84">
        <v>1</v>
      </c>
      <c r="BM184">
        <v>2</v>
      </c>
      <c r="BN184" t="b">
        <v>0</v>
      </c>
      <c r="BP184" t="s">
        <v>236</v>
      </c>
      <c r="BQ184">
        <v>1</v>
      </c>
      <c r="BR184">
        <v>220</v>
      </c>
      <c r="BS184">
        <v>100</v>
      </c>
      <c r="BT184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84" s="75">
        <f ca="1">ROUND((Table61011[[#This Row],[XP]]*Table61011[[#This Row],[entity_spawned (AVG)]])*(Table61011[[#This Row],[activating_chance]]/100),0)</f>
        <v>70</v>
      </c>
      <c r="BV18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4" s="72">
        <v>1</v>
      </c>
      <c r="BX184" s="72">
        <v>1</v>
      </c>
      <c r="BY184" s="72" t="b">
        <v>0</v>
      </c>
      <c r="CA184" t="s">
        <v>244</v>
      </c>
      <c r="CB184">
        <v>1</v>
      </c>
      <c r="CC184">
        <v>220</v>
      </c>
      <c r="CD184">
        <v>100</v>
      </c>
      <c r="CE184" s="75">
        <f ca="1">INDIRECT(ADDRESS(11+(MATCH(RIGHT(Table11[[#This Row],[spawner_sku]],LEN(Table11[[#This Row],[spawner_sku]])-FIND("/",Table11[[#This Row],[spawner_sku]])),Table1[Entity Prefab],0)),10,1,1,"Entities"))</f>
        <v>25</v>
      </c>
      <c r="CF184">
        <f ca="1">ROUND((Table11[[#This Row],[XP]]*Table11[[#This Row],[entity_spawned (AVG)]])*(Table11[[#This Row],[activating_chance]]/100),0)</f>
        <v>25</v>
      </c>
      <c r="CG184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184" s="72">
        <v>1</v>
      </c>
      <c r="CI184" s="72">
        <v>1</v>
      </c>
      <c r="CJ184" s="72" t="b">
        <v>0</v>
      </c>
      <c r="CL184" t="s">
        <v>530</v>
      </c>
      <c r="CM184">
        <v>1</v>
      </c>
      <c r="CN184">
        <v>240</v>
      </c>
      <c r="CO184">
        <v>100</v>
      </c>
      <c r="CP184" s="75">
        <f ca="1">INDIRECT(ADDRESS(11+(MATCH(RIGHT(Table12[[#This Row],[spawner_sku]],LEN(Table12[[#This Row],[spawner_sku]])-FIND("/",Table12[[#This Row],[spawner_sku]])),Table1[Entity Prefab],0)),10,1,1,"Entities"))</f>
        <v>55</v>
      </c>
      <c r="CQ184" s="75">
        <f ca="1">ROUND((Table12[[#This Row],[XP]]*Table12[[#This Row],[entity_spawned (AVG)]])*(Table12[[#This Row],[activating_chance]]/100),0)</f>
        <v>55</v>
      </c>
      <c r="CR184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184" s="72">
        <v>1</v>
      </c>
      <c r="CT184" s="72">
        <v>1</v>
      </c>
      <c r="CU184" s="72" t="b">
        <v>0</v>
      </c>
      <c r="CW184" t="s">
        <v>254</v>
      </c>
      <c r="CX184">
        <v>1</v>
      </c>
      <c r="CY184">
        <v>170</v>
      </c>
      <c r="CZ184">
        <v>100</v>
      </c>
      <c r="DA184" s="75">
        <f ca="1">INDIRECT(ADDRESS(11+(MATCH(RIGHT(Table13[[#This Row],[spawner_sku]],LEN(Table13[[#This Row],[spawner_sku]])-FIND("/",Table13[[#This Row],[spawner_sku]])),Table1[Entity Prefab],0)),10,1,1,"Entities"))</f>
        <v>70</v>
      </c>
      <c r="DB184" s="75">
        <f ca="1">ROUND((Table13[[#This Row],[XP]]*Table13[[#This Row],[entity_spawned (AVG)]])*(Table13[[#This Row],[activating_chance]]/100),0)</f>
        <v>70</v>
      </c>
      <c r="DC184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84" s="72">
        <v>1</v>
      </c>
      <c r="DE184" s="72">
        <v>1</v>
      </c>
      <c r="DF184" s="72" t="b">
        <v>0</v>
      </c>
      <c r="DH184" t="s">
        <v>236</v>
      </c>
      <c r="DI184">
        <v>1</v>
      </c>
      <c r="DJ184">
        <v>130</v>
      </c>
      <c r="DK184">
        <v>100</v>
      </c>
      <c r="DL184" s="75">
        <f ca="1">INDIRECT(ADDRESS(11+(MATCH(RIGHT(Table14[[#This Row],[spawner_sku]],LEN(Table14[[#This Row],[spawner_sku]])-FIND("/",Table14[[#This Row],[spawner_sku]])),Table1[Entity Prefab],0)),10,1,1,"Entities"))</f>
        <v>70</v>
      </c>
      <c r="DM184" s="75">
        <f ca="1">ROUND((Table14[[#This Row],[XP]]*Table14[[#This Row],[entity_spawned (AVG)]])*(Table14[[#This Row],[activating_chance]]/100),0)</f>
        <v>70</v>
      </c>
      <c r="DN18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84" s="72">
        <v>1</v>
      </c>
      <c r="DP184" s="72">
        <v>1</v>
      </c>
      <c r="DQ184" s="72" t="b">
        <v>0</v>
      </c>
      <c r="DS184" t="s">
        <v>246</v>
      </c>
      <c r="DT184">
        <v>1</v>
      </c>
      <c r="DU184">
        <v>500</v>
      </c>
      <c r="DV184">
        <v>75</v>
      </c>
      <c r="DW184" s="75">
        <f ca="1">INDIRECT(ADDRESS(11+(MATCH(RIGHT(Table18[[#This Row],[spawner_sku]],LEN(Table18[[#This Row],[spawner_sku]])-FIND("/",Table18[[#This Row],[spawner_sku]])),Table1[Entity Prefab],0)),10,1,1,"Entities"))</f>
        <v>25</v>
      </c>
      <c r="DX184" s="75">
        <f ca="1">ROUND((Table18[[#This Row],[XP]]*Table18[[#This Row],[entity_spawned (AVG)]])*(Table18[[#This Row],[activating_chance]]/100),0)</f>
        <v>19</v>
      </c>
      <c r="DY18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84">
        <v>1</v>
      </c>
      <c r="EA184">
        <v>1</v>
      </c>
      <c r="EB184" t="b">
        <v>0</v>
      </c>
      <c r="ED184" t="s">
        <v>646</v>
      </c>
      <c r="EE184">
        <v>1</v>
      </c>
      <c r="EF184">
        <v>120</v>
      </c>
      <c r="EG184">
        <v>80</v>
      </c>
      <c r="EH184" s="75">
        <f ca="1">INDIRECT(ADDRESS(11+(MATCH(RIGHT(Table1820[[#This Row],[spawner_sku]],LEN(Table1820[[#This Row],[spawner_sku]])-FIND("/",Table1820[[#This Row],[spawner_sku]])),Table1[Entity Prefab],0)),10,1,1,"Entities"))</f>
        <v>75</v>
      </c>
      <c r="EI184" s="75">
        <f ca="1">ROUND((Table1820[[#This Row],[XP]]*Table1820[[#This Row],[entity_spawned (AVG)]])*(Table1820[[#This Row],[activating_chance]]/100),0)</f>
        <v>60</v>
      </c>
      <c r="EJ18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84">
        <v>1</v>
      </c>
      <c r="EL184">
        <v>1</v>
      </c>
      <c r="EM184" t="b">
        <v>0</v>
      </c>
      <c r="EZ184" t="s">
        <v>7347</v>
      </c>
      <c r="FA184">
        <v>1</v>
      </c>
      <c r="FB184">
        <v>100</v>
      </c>
      <c r="FC184">
        <v>100</v>
      </c>
      <c r="FD184" s="75">
        <f ca="1">INDIRECT(ADDRESS(11+(MATCH(RIGHT(Table18202324[[#This Row],[spawner_sku]],LEN(Table18202324[[#This Row],[spawner_sku]])-FIND("/",Table18202324[[#This Row],[spawner_sku]])),Table1[Entity Prefab],0)),10,1,1,"Entities"))</f>
        <v>55</v>
      </c>
      <c r="FE184" s="75">
        <f ca="1">ROUND((Table18202324[[#This Row],[XP]]*Table18202324[[#This Row],[entity_spawned (AVG)]])*(Table18202324[[#This Row],[activating_chance]]/100),0)</f>
        <v>55</v>
      </c>
      <c r="FF184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184">
        <v>1</v>
      </c>
      <c r="FH184">
        <v>1</v>
      </c>
      <c r="FI184" t="b">
        <v>0</v>
      </c>
    </row>
    <row r="185" spans="2:165" x14ac:dyDescent="0.25">
      <c r="B185" s="73" t="s">
        <v>229</v>
      </c>
      <c r="C185">
        <v>2.5</v>
      </c>
      <c r="D185">
        <v>130</v>
      </c>
      <c r="E185">
        <v>20</v>
      </c>
      <c r="F185" s="75">
        <f ca="1">INDIRECT(ADDRESS(11+(MATCH(RIGHT(Table245[[#This Row],[spawner_sku]],LEN(Table245[[#This Row],[spawner_sku]])-FIND("/",Table245[[#This Row],[spawner_sku]])),Table1[Entity Prefab],0)),10,1,1,"Entities"))</f>
        <v>25</v>
      </c>
      <c r="G185" s="75">
        <f ca="1">ROUND((Table245[[#This Row],[XP]]*Table245[[#This Row],[entity_spawned (AVG)]])*(Table245[[#This Row],[activating_chance]]/100),0)</f>
        <v>13</v>
      </c>
      <c r="H18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5" s="72">
        <v>2</v>
      </c>
      <c r="J185" s="72">
        <v>3</v>
      </c>
      <c r="K185" s="72" t="b">
        <v>0</v>
      </c>
      <c r="M185" t="s">
        <v>384</v>
      </c>
      <c r="N185">
        <v>2</v>
      </c>
      <c r="O185">
        <v>100</v>
      </c>
      <c r="P185">
        <v>100</v>
      </c>
      <c r="Q185" s="75">
        <f ca="1">INDIRECT(ADDRESS(11+(MATCH(RIGHT(Table3[[#This Row],[spawner_sku]],LEN(Table3[[#This Row],[spawner_sku]])-FIND("/",Table3[[#This Row],[spawner_sku]])),Table1[Entity Prefab],0)),10,1,1,"Entities"))</f>
        <v>25</v>
      </c>
      <c r="R185" s="75">
        <f ca="1">ROUND((Table3[[#This Row],[XP]]*Table3[[#This Row],[entity_spawned (AVG)]])*(Table3[[#This Row],[activating_chance]]/100),0)</f>
        <v>50</v>
      </c>
      <c r="S185" t="str">
        <f ca="1">INDIRECT(ADDRESS(11+(MATCH(RIGHT(Table3[[#This Row],[spawner_sku]],LEN(Table3[[#This Row],[spawner_sku]])-FIND("/",Table3[[#This Row],[spawner_sku]])),Table28[Entity Prefab],0)),24,1,1,"Entities"))</f>
        <v>no</v>
      </c>
      <c r="T185">
        <v>2</v>
      </c>
      <c r="U185">
        <v>2</v>
      </c>
      <c r="V185" t="b">
        <v>0</v>
      </c>
      <c r="AI185" t="s">
        <v>402</v>
      </c>
      <c r="AJ185">
        <v>1</v>
      </c>
      <c r="AK185">
        <v>340</v>
      </c>
      <c r="AL185">
        <v>100</v>
      </c>
      <c r="AM185" s="75">
        <f ca="1">INDIRECT(ADDRESS(11+(MATCH(RIGHT(Table2[[#This Row],[spawner_sku]],LEN(Table2[[#This Row],[spawner_sku]])-FIND("/",Table2[[#This Row],[spawner_sku]])),Table1[Entity Prefab],0)),10,1,1,"Entities"))</f>
        <v>263</v>
      </c>
      <c r="AN185" s="75">
        <f ca="1">ROUND((Table2[[#This Row],[XP]]*Table2[[#This Row],[entity_spawned (AVG)]])*(Table2[[#This Row],[activating_chance]]/100),0)</f>
        <v>263</v>
      </c>
      <c r="AO185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85" s="72">
        <v>1</v>
      </c>
      <c r="AQ185" s="72">
        <v>1</v>
      </c>
      <c r="AR185" s="72" t="b">
        <v>0</v>
      </c>
      <c r="AT185" t="s">
        <v>256</v>
      </c>
      <c r="AU185">
        <v>1</v>
      </c>
      <c r="AV185">
        <v>150</v>
      </c>
      <c r="AW185">
        <v>100</v>
      </c>
      <c r="AX185" s="75">
        <f ca="1">INDIRECT(ADDRESS(11+(MATCH(RIGHT(Table6[[#This Row],[spawner_sku]],LEN(Table6[[#This Row],[spawner_sku]])-FIND("/",Table6[[#This Row],[spawner_sku]])),Table1[Entity Prefab],0)),10,1,1,"Entities"))</f>
        <v>25</v>
      </c>
      <c r="AY185" s="75">
        <f ca="1">ROUND((Table6[[#This Row],[XP]]*Table6[[#This Row],[entity_spawned (AVG)]])*(Table6[[#This Row],[activating_chance]]/100),0)</f>
        <v>25</v>
      </c>
      <c r="AZ185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85">
        <v>1</v>
      </c>
      <c r="BB185">
        <v>1</v>
      </c>
      <c r="BC185" t="b">
        <v>0</v>
      </c>
      <c r="BE185" t="s">
        <v>396</v>
      </c>
      <c r="BF185">
        <v>1</v>
      </c>
      <c r="BG185">
        <v>150</v>
      </c>
      <c r="BH185">
        <v>100</v>
      </c>
      <c r="BI185" s="75">
        <f ca="1">INDIRECT(ADDRESS(11+(MATCH(RIGHT(Table610[[#This Row],[spawner_sku]],LEN(Table610[[#This Row],[spawner_sku]])-FIND("/",Table610[[#This Row],[spawner_sku]])),Table1[Entity Prefab],0)),10,1,1,"Entities"))</f>
        <v>25</v>
      </c>
      <c r="BJ185" s="75">
        <f ca="1">ROUND((Table610[[#This Row],[XP]]*Table610[[#This Row],[entity_spawned (AVG)]])*(Table610[[#This Row],[activating_chance]]/100),0)</f>
        <v>25</v>
      </c>
      <c r="BK185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85">
        <v>1</v>
      </c>
      <c r="BM185">
        <v>1</v>
      </c>
      <c r="BN185" t="b">
        <v>0</v>
      </c>
      <c r="BP185" t="s">
        <v>236</v>
      </c>
      <c r="BQ185">
        <v>1</v>
      </c>
      <c r="BR185">
        <v>200</v>
      </c>
      <c r="BS185">
        <v>80</v>
      </c>
      <c r="BT185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85" s="75">
        <f ca="1">ROUND((Table61011[[#This Row],[XP]]*Table61011[[#This Row],[entity_spawned (AVG)]])*(Table61011[[#This Row],[activating_chance]]/100),0)</f>
        <v>56</v>
      </c>
      <c r="BV18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5" s="72">
        <v>1</v>
      </c>
      <c r="BX185" s="72">
        <v>1</v>
      </c>
      <c r="BY185" s="72" t="b">
        <v>0</v>
      </c>
      <c r="CA185" t="s">
        <v>244</v>
      </c>
      <c r="CB185">
        <v>1</v>
      </c>
      <c r="CC185">
        <v>220</v>
      </c>
      <c r="CD185">
        <v>80</v>
      </c>
      <c r="CE185" s="75">
        <f ca="1">INDIRECT(ADDRESS(11+(MATCH(RIGHT(Table11[[#This Row],[spawner_sku]],LEN(Table11[[#This Row],[spawner_sku]])-FIND("/",Table11[[#This Row],[spawner_sku]])),Table1[Entity Prefab],0)),10,1,1,"Entities"))</f>
        <v>25</v>
      </c>
      <c r="CF185">
        <f ca="1">ROUND((Table11[[#This Row],[XP]]*Table11[[#This Row],[entity_spawned (AVG)]])*(Table11[[#This Row],[activating_chance]]/100),0)</f>
        <v>20</v>
      </c>
      <c r="CG185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185" s="72">
        <v>1</v>
      </c>
      <c r="CI185" s="72">
        <v>1</v>
      </c>
      <c r="CJ185" s="72" t="b">
        <v>0</v>
      </c>
      <c r="CL185" t="s">
        <v>530</v>
      </c>
      <c r="CM185">
        <v>1</v>
      </c>
      <c r="CN185">
        <v>240</v>
      </c>
      <c r="CO185">
        <v>100</v>
      </c>
      <c r="CP185" s="75">
        <f ca="1">INDIRECT(ADDRESS(11+(MATCH(RIGHT(Table12[[#This Row],[spawner_sku]],LEN(Table12[[#This Row],[spawner_sku]])-FIND("/",Table12[[#This Row],[spawner_sku]])),Table1[Entity Prefab],0)),10,1,1,"Entities"))</f>
        <v>55</v>
      </c>
      <c r="CQ185" s="75">
        <f ca="1">ROUND((Table12[[#This Row],[XP]]*Table12[[#This Row],[entity_spawned (AVG)]])*(Table12[[#This Row],[activating_chance]]/100),0)</f>
        <v>55</v>
      </c>
      <c r="CR185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185" s="72">
        <v>1</v>
      </c>
      <c r="CT185" s="72">
        <v>1</v>
      </c>
      <c r="CU185" s="72" t="b">
        <v>0</v>
      </c>
      <c r="CW185" t="s">
        <v>254</v>
      </c>
      <c r="CX185">
        <v>1</v>
      </c>
      <c r="CY185">
        <v>170</v>
      </c>
      <c r="CZ185">
        <v>100</v>
      </c>
      <c r="DA185" s="75">
        <f ca="1">INDIRECT(ADDRESS(11+(MATCH(RIGHT(Table13[[#This Row],[spawner_sku]],LEN(Table13[[#This Row],[spawner_sku]])-FIND("/",Table13[[#This Row],[spawner_sku]])),Table1[Entity Prefab],0)),10,1,1,"Entities"))</f>
        <v>70</v>
      </c>
      <c r="DB185" s="75">
        <f ca="1">ROUND((Table13[[#This Row],[XP]]*Table13[[#This Row],[entity_spawned (AVG)]])*(Table13[[#This Row],[activating_chance]]/100),0)</f>
        <v>70</v>
      </c>
      <c r="DC185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85" s="72">
        <v>1</v>
      </c>
      <c r="DE185" s="72">
        <v>1</v>
      </c>
      <c r="DF185" s="72" t="b">
        <v>0</v>
      </c>
      <c r="DH185" t="s">
        <v>236</v>
      </c>
      <c r="DI185">
        <v>1</v>
      </c>
      <c r="DJ185">
        <v>100</v>
      </c>
      <c r="DK185">
        <v>100</v>
      </c>
      <c r="DL185" s="75">
        <f ca="1">INDIRECT(ADDRESS(11+(MATCH(RIGHT(Table14[[#This Row],[spawner_sku]],LEN(Table14[[#This Row],[spawner_sku]])-FIND("/",Table14[[#This Row],[spawner_sku]])),Table1[Entity Prefab],0)),10,1,1,"Entities"))</f>
        <v>70</v>
      </c>
      <c r="DM185" s="75">
        <f ca="1">ROUND((Table14[[#This Row],[XP]]*Table14[[#This Row],[entity_spawned (AVG)]])*(Table14[[#This Row],[activating_chance]]/100),0)</f>
        <v>70</v>
      </c>
      <c r="DN18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85" s="72">
        <v>1</v>
      </c>
      <c r="DP185" s="72">
        <v>1</v>
      </c>
      <c r="DQ185" s="72" t="b">
        <v>0</v>
      </c>
      <c r="DS185" t="s">
        <v>246</v>
      </c>
      <c r="DT185">
        <v>1</v>
      </c>
      <c r="DU185">
        <v>500</v>
      </c>
      <c r="DV185">
        <v>75</v>
      </c>
      <c r="DW185" s="75">
        <f ca="1">INDIRECT(ADDRESS(11+(MATCH(RIGHT(Table18[[#This Row],[spawner_sku]],LEN(Table18[[#This Row],[spawner_sku]])-FIND("/",Table18[[#This Row],[spawner_sku]])),Table1[Entity Prefab],0)),10,1,1,"Entities"))</f>
        <v>25</v>
      </c>
      <c r="DX185" s="75">
        <f ca="1">ROUND((Table18[[#This Row],[XP]]*Table18[[#This Row],[entity_spawned (AVG)]])*(Table18[[#This Row],[activating_chance]]/100),0)</f>
        <v>19</v>
      </c>
      <c r="DY18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85">
        <v>1</v>
      </c>
      <c r="EA185">
        <v>1</v>
      </c>
      <c r="EB185" t="b">
        <v>0</v>
      </c>
      <c r="ED185" t="s">
        <v>646</v>
      </c>
      <c r="EE185">
        <v>1</v>
      </c>
      <c r="EF185">
        <v>120</v>
      </c>
      <c r="EG185">
        <v>100</v>
      </c>
      <c r="EH185" s="75">
        <f ca="1">INDIRECT(ADDRESS(11+(MATCH(RIGHT(Table1820[[#This Row],[spawner_sku]],LEN(Table1820[[#This Row],[spawner_sku]])-FIND("/",Table1820[[#This Row],[spawner_sku]])),Table1[Entity Prefab],0)),10,1,1,"Entities"))</f>
        <v>75</v>
      </c>
      <c r="EI185" s="75">
        <f ca="1">ROUND((Table1820[[#This Row],[XP]]*Table1820[[#This Row],[entity_spawned (AVG)]])*(Table1820[[#This Row],[activating_chance]]/100),0)</f>
        <v>75</v>
      </c>
      <c r="EJ18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85">
        <v>1</v>
      </c>
      <c r="EL185">
        <v>1</v>
      </c>
      <c r="EM185" t="b">
        <v>0</v>
      </c>
      <c r="EZ185" t="s">
        <v>7347</v>
      </c>
      <c r="FA185">
        <v>1</v>
      </c>
      <c r="FB185">
        <v>60</v>
      </c>
      <c r="FC185">
        <v>100</v>
      </c>
      <c r="FD185" s="75">
        <f ca="1">INDIRECT(ADDRESS(11+(MATCH(RIGHT(Table18202324[[#This Row],[spawner_sku]],LEN(Table18202324[[#This Row],[spawner_sku]])-FIND("/",Table18202324[[#This Row],[spawner_sku]])),Table1[Entity Prefab],0)),10,1,1,"Entities"))</f>
        <v>55</v>
      </c>
      <c r="FE185" s="75">
        <f ca="1">ROUND((Table18202324[[#This Row],[XP]]*Table18202324[[#This Row],[entity_spawned (AVG)]])*(Table18202324[[#This Row],[activating_chance]]/100),0)</f>
        <v>55</v>
      </c>
      <c r="FF185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185">
        <v>1</v>
      </c>
      <c r="FH185">
        <v>1</v>
      </c>
      <c r="FI185" t="b">
        <v>0</v>
      </c>
    </row>
    <row r="186" spans="2:165" x14ac:dyDescent="0.25">
      <c r="B186" s="73" t="s">
        <v>229</v>
      </c>
      <c r="C186">
        <v>2</v>
      </c>
      <c r="D186">
        <v>110</v>
      </c>
      <c r="E186">
        <v>100</v>
      </c>
      <c r="F186" s="75">
        <f ca="1">INDIRECT(ADDRESS(11+(MATCH(RIGHT(Table245[[#This Row],[spawner_sku]],LEN(Table245[[#This Row],[spawner_sku]])-FIND("/",Table245[[#This Row],[spawner_sku]])),Table1[Entity Prefab],0)),10,1,1,"Entities"))</f>
        <v>25</v>
      </c>
      <c r="G186" s="75">
        <f ca="1">ROUND((Table245[[#This Row],[XP]]*Table245[[#This Row],[entity_spawned (AVG)]])*(Table245[[#This Row],[activating_chance]]/100),0)</f>
        <v>50</v>
      </c>
      <c r="H18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6" s="72">
        <v>1</v>
      </c>
      <c r="J186" s="72">
        <v>3</v>
      </c>
      <c r="K186" s="72" t="b">
        <v>0</v>
      </c>
      <c r="M186" t="s">
        <v>384</v>
      </c>
      <c r="N186">
        <v>2</v>
      </c>
      <c r="O186">
        <v>100</v>
      </c>
      <c r="P186">
        <v>100</v>
      </c>
      <c r="Q186" s="75">
        <f ca="1">INDIRECT(ADDRESS(11+(MATCH(RIGHT(Table3[[#This Row],[spawner_sku]],LEN(Table3[[#This Row],[spawner_sku]])-FIND("/",Table3[[#This Row],[spawner_sku]])),Table1[Entity Prefab],0)),10,1,1,"Entities"))</f>
        <v>25</v>
      </c>
      <c r="R186" s="75">
        <f ca="1">ROUND((Table3[[#This Row],[XP]]*Table3[[#This Row],[entity_spawned (AVG)]])*(Table3[[#This Row],[activating_chance]]/100),0)</f>
        <v>50</v>
      </c>
      <c r="S186" t="str">
        <f ca="1">INDIRECT(ADDRESS(11+(MATCH(RIGHT(Table3[[#This Row],[spawner_sku]],LEN(Table3[[#This Row],[spawner_sku]])-FIND("/",Table3[[#This Row],[spawner_sku]])),Table28[Entity Prefab],0)),24,1,1,"Entities"))</f>
        <v>no</v>
      </c>
      <c r="T186">
        <v>2</v>
      </c>
      <c r="U186">
        <v>2</v>
      </c>
      <c r="V186" t="b">
        <v>0</v>
      </c>
      <c r="AI186" t="s">
        <v>402</v>
      </c>
      <c r="AJ186">
        <v>1</v>
      </c>
      <c r="AK186">
        <v>340</v>
      </c>
      <c r="AL186">
        <v>100</v>
      </c>
      <c r="AM186" s="75">
        <f ca="1">INDIRECT(ADDRESS(11+(MATCH(RIGHT(Table2[[#This Row],[spawner_sku]],LEN(Table2[[#This Row],[spawner_sku]])-FIND("/",Table2[[#This Row],[spawner_sku]])),Table1[Entity Prefab],0)),10,1,1,"Entities"))</f>
        <v>263</v>
      </c>
      <c r="AN186" s="75">
        <f ca="1">ROUND((Table2[[#This Row],[XP]]*Table2[[#This Row],[entity_spawned (AVG)]])*(Table2[[#This Row],[activating_chance]]/100),0)</f>
        <v>263</v>
      </c>
      <c r="AO18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86" s="72">
        <v>1</v>
      </c>
      <c r="AQ186" s="72">
        <v>1</v>
      </c>
      <c r="AR186" s="72" t="b">
        <v>0</v>
      </c>
      <c r="AT186" t="s">
        <v>256</v>
      </c>
      <c r="AU186">
        <v>1</v>
      </c>
      <c r="AV186">
        <v>150</v>
      </c>
      <c r="AW186">
        <v>100</v>
      </c>
      <c r="AX186" s="75">
        <f ca="1">INDIRECT(ADDRESS(11+(MATCH(RIGHT(Table6[[#This Row],[spawner_sku]],LEN(Table6[[#This Row],[spawner_sku]])-FIND("/",Table6[[#This Row],[spawner_sku]])),Table1[Entity Prefab],0)),10,1,1,"Entities"))</f>
        <v>25</v>
      </c>
      <c r="AY186" s="75">
        <f ca="1">ROUND((Table6[[#This Row],[XP]]*Table6[[#This Row],[entity_spawned (AVG)]])*(Table6[[#This Row],[activating_chance]]/100),0)</f>
        <v>25</v>
      </c>
      <c r="AZ186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86">
        <v>1</v>
      </c>
      <c r="BB186">
        <v>1</v>
      </c>
      <c r="BC186" t="b">
        <v>0</v>
      </c>
      <c r="BE186" t="s">
        <v>396</v>
      </c>
      <c r="BF186">
        <v>1</v>
      </c>
      <c r="BG186">
        <v>150</v>
      </c>
      <c r="BH186">
        <v>100</v>
      </c>
      <c r="BI186" s="75">
        <f ca="1">INDIRECT(ADDRESS(11+(MATCH(RIGHT(Table610[[#This Row],[spawner_sku]],LEN(Table610[[#This Row],[spawner_sku]])-FIND("/",Table610[[#This Row],[spawner_sku]])),Table1[Entity Prefab],0)),10,1,1,"Entities"))</f>
        <v>25</v>
      </c>
      <c r="BJ186" s="75">
        <f ca="1">ROUND((Table610[[#This Row],[XP]]*Table610[[#This Row],[entity_spawned (AVG)]])*(Table610[[#This Row],[activating_chance]]/100),0)</f>
        <v>25</v>
      </c>
      <c r="BK186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86">
        <v>1</v>
      </c>
      <c r="BM186">
        <v>1</v>
      </c>
      <c r="BN186" t="b">
        <v>0</v>
      </c>
      <c r="BP186" t="s">
        <v>236</v>
      </c>
      <c r="BQ186">
        <v>1</v>
      </c>
      <c r="BR186">
        <v>200</v>
      </c>
      <c r="BS186">
        <v>100</v>
      </c>
      <c r="BT186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86" s="75">
        <f ca="1">ROUND((Table61011[[#This Row],[XP]]*Table61011[[#This Row],[entity_spawned (AVG)]])*(Table61011[[#This Row],[activating_chance]]/100),0)</f>
        <v>70</v>
      </c>
      <c r="BV18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6" s="72">
        <v>1</v>
      </c>
      <c r="BX186" s="72">
        <v>1</v>
      </c>
      <c r="BY186" s="72" t="b">
        <v>0</v>
      </c>
      <c r="CA186" t="s">
        <v>244</v>
      </c>
      <c r="CB186">
        <v>1</v>
      </c>
      <c r="CC186">
        <v>220</v>
      </c>
      <c r="CD186">
        <v>100</v>
      </c>
      <c r="CE186" s="75">
        <f ca="1">INDIRECT(ADDRESS(11+(MATCH(RIGHT(Table11[[#This Row],[spawner_sku]],LEN(Table11[[#This Row],[spawner_sku]])-FIND("/",Table11[[#This Row],[spawner_sku]])),Table1[Entity Prefab],0)),10,1,1,"Entities"))</f>
        <v>25</v>
      </c>
      <c r="CF186">
        <f ca="1">ROUND((Table11[[#This Row],[XP]]*Table11[[#This Row],[entity_spawned (AVG)]])*(Table11[[#This Row],[activating_chance]]/100),0)</f>
        <v>25</v>
      </c>
      <c r="CG186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186" s="72">
        <v>1</v>
      </c>
      <c r="CI186" s="72">
        <v>1</v>
      </c>
      <c r="CJ186" s="72" t="b">
        <v>0</v>
      </c>
      <c r="CL186" t="s">
        <v>530</v>
      </c>
      <c r="CM186">
        <v>1</v>
      </c>
      <c r="CN186">
        <v>240</v>
      </c>
      <c r="CO186">
        <v>100</v>
      </c>
      <c r="CP186" s="75">
        <f ca="1">INDIRECT(ADDRESS(11+(MATCH(RIGHT(Table12[[#This Row],[spawner_sku]],LEN(Table12[[#This Row],[spawner_sku]])-FIND("/",Table12[[#This Row],[spawner_sku]])),Table1[Entity Prefab],0)),10,1,1,"Entities"))</f>
        <v>55</v>
      </c>
      <c r="CQ186" s="75">
        <f ca="1">ROUND((Table12[[#This Row],[XP]]*Table12[[#This Row],[entity_spawned (AVG)]])*(Table12[[#This Row],[activating_chance]]/100),0)</f>
        <v>55</v>
      </c>
      <c r="CR186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186" s="72">
        <v>1</v>
      </c>
      <c r="CT186" s="72">
        <v>1</v>
      </c>
      <c r="CU186" s="72" t="b">
        <v>0</v>
      </c>
      <c r="CW186" t="s">
        <v>254</v>
      </c>
      <c r="CX186">
        <v>1</v>
      </c>
      <c r="CY186">
        <v>170</v>
      </c>
      <c r="CZ186">
        <v>100</v>
      </c>
      <c r="DA186" s="75">
        <f ca="1">INDIRECT(ADDRESS(11+(MATCH(RIGHT(Table13[[#This Row],[spawner_sku]],LEN(Table13[[#This Row],[spawner_sku]])-FIND("/",Table13[[#This Row],[spawner_sku]])),Table1[Entity Prefab],0)),10,1,1,"Entities"))</f>
        <v>70</v>
      </c>
      <c r="DB186" s="75">
        <f ca="1">ROUND((Table13[[#This Row],[XP]]*Table13[[#This Row],[entity_spawned (AVG)]])*(Table13[[#This Row],[activating_chance]]/100),0)</f>
        <v>70</v>
      </c>
      <c r="DC186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86" s="72">
        <v>1</v>
      </c>
      <c r="DE186" s="72">
        <v>1</v>
      </c>
      <c r="DF186" s="72" t="b">
        <v>0</v>
      </c>
      <c r="DH186" t="s">
        <v>236</v>
      </c>
      <c r="DI186">
        <v>1</v>
      </c>
      <c r="DJ186">
        <v>120</v>
      </c>
      <c r="DK186">
        <v>100</v>
      </c>
      <c r="DL186" s="75">
        <f ca="1">INDIRECT(ADDRESS(11+(MATCH(RIGHT(Table14[[#This Row],[spawner_sku]],LEN(Table14[[#This Row],[spawner_sku]])-FIND("/",Table14[[#This Row],[spawner_sku]])),Table1[Entity Prefab],0)),10,1,1,"Entities"))</f>
        <v>70</v>
      </c>
      <c r="DM186" s="75">
        <f ca="1">ROUND((Table14[[#This Row],[XP]]*Table14[[#This Row],[entity_spawned (AVG)]])*(Table14[[#This Row],[activating_chance]]/100),0)</f>
        <v>70</v>
      </c>
      <c r="DN18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86" s="72">
        <v>1</v>
      </c>
      <c r="DP186" s="72">
        <v>1</v>
      </c>
      <c r="DQ186" s="72" t="b">
        <v>0</v>
      </c>
      <c r="DS186" t="s">
        <v>246</v>
      </c>
      <c r="DT186">
        <v>1</v>
      </c>
      <c r="DU186">
        <v>500</v>
      </c>
      <c r="DV186">
        <v>75</v>
      </c>
      <c r="DW186" s="75">
        <f ca="1">INDIRECT(ADDRESS(11+(MATCH(RIGHT(Table18[[#This Row],[spawner_sku]],LEN(Table18[[#This Row],[spawner_sku]])-FIND("/",Table18[[#This Row],[spawner_sku]])),Table1[Entity Prefab],0)),10,1,1,"Entities"))</f>
        <v>25</v>
      </c>
      <c r="DX186" s="75">
        <f ca="1">ROUND((Table18[[#This Row],[XP]]*Table18[[#This Row],[entity_spawned (AVG)]])*(Table18[[#This Row],[activating_chance]]/100),0)</f>
        <v>19</v>
      </c>
      <c r="DY18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86">
        <v>1</v>
      </c>
      <c r="EA186">
        <v>1</v>
      </c>
      <c r="EB186" t="b">
        <v>0</v>
      </c>
      <c r="ED186" t="s">
        <v>646</v>
      </c>
      <c r="EE186">
        <v>1</v>
      </c>
      <c r="EF186">
        <v>120</v>
      </c>
      <c r="EG186">
        <v>80</v>
      </c>
      <c r="EH186" s="75">
        <f ca="1">INDIRECT(ADDRESS(11+(MATCH(RIGHT(Table1820[[#This Row],[spawner_sku]],LEN(Table1820[[#This Row],[spawner_sku]])-FIND("/",Table1820[[#This Row],[spawner_sku]])),Table1[Entity Prefab],0)),10,1,1,"Entities"))</f>
        <v>75</v>
      </c>
      <c r="EI186" s="75">
        <f ca="1">ROUND((Table1820[[#This Row],[XP]]*Table1820[[#This Row],[entity_spawned (AVG)]])*(Table1820[[#This Row],[activating_chance]]/100),0)</f>
        <v>60</v>
      </c>
      <c r="EJ18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86">
        <v>1</v>
      </c>
      <c r="EL186">
        <v>1</v>
      </c>
      <c r="EM186" t="b">
        <v>0</v>
      </c>
      <c r="EZ186" t="s">
        <v>7357</v>
      </c>
      <c r="FA186">
        <v>3</v>
      </c>
      <c r="FB186">
        <v>100</v>
      </c>
      <c r="FC186">
        <v>80</v>
      </c>
      <c r="FD186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FE186" s="75">
        <f ca="1">ROUND((Table18202324[[#This Row],[XP]]*Table18202324[[#This Row],[entity_spawned (AVG)]])*(Table18202324[[#This Row],[activating_chance]]/100),0)</f>
        <v>120</v>
      </c>
      <c r="FF186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86">
        <v>2</v>
      </c>
      <c r="FH186">
        <v>4</v>
      </c>
      <c r="FI186" t="b">
        <v>0</v>
      </c>
    </row>
    <row r="187" spans="2:165" x14ac:dyDescent="0.25">
      <c r="B187" s="73" t="s">
        <v>230</v>
      </c>
      <c r="C187">
        <v>3</v>
      </c>
      <c r="D187">
        <v>130</v>
      </c>
      <c r="E187">
        <v>100</v>
      </c>
      <c r="F187" s="75">
        <f ca="1">INDIRECT(ADDRESS(11+(MATCH(RIGHT(Table245[[#This Row],[spawner_sku]],LEN(Table245[[#This Row],[spawner_sku]])-FIND("/",Table245[[#This Row],[spawner_sku]])),Table1[Entity Prefab],0)),10,1,1,"Entities"))</f>
        <v>25</v>
      </c>
      <c r="G187" s="75">
        <f ca="1">ROUND((Table245[[#This Row],[XP]]*Table245[[#This Row],[entity_spawned (AVG)]])*(Table245[[#This Row],[activating_chance]]/100),0)</f>
        <v>75</v>
      </c>
      <c r="H18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7" s="72">
        <v>2</v>
      </c>
      <c r="J187" s="72">
        <v>4</v>
      </c>
      <c r="K187" s="72" t="b">
        <v>0</v>
      </c>
      <c r="M187" t="s">
        <v>384</v>
      </c>
      <c r="N187">
        <v>3</v>
      </c>
      <c r="O187">
        <v>100</v>
      </c>
      <c r="P187">
        <v>100</v>
      </c>
      <c r="Q187" s="75">
        <f ca="1">INDIRECT(ADDRESS(11+(MATCH(RIGHT(Table3[[#This Row],[spawner_sku]],LEN(Table3[[#This Row],[spawner_sku]])-FIND("/",Table3[[#This Row],[spawner_sku]])),Table1[Entity Prefab],0)),10,1,1,"Entities"))</f>
        <v>25</v>
      </c>
      <c r="R187" s="75">
        <f ca="1">ROUND((Table3[[#This Row],[XP]]*Table3[[#This Row],[entity_spawned (AVG)]])*(Table3[[#This Row],[activating_chance]]/100),0)</f>
        <v>75</v>
      </c>
      <c r="S187" t="str">
        <f ca="1">INDIRECT(ADDRESS(11+(MATCH(RIGHT(Table3[[#This Row],[spawner_sku]],LEN(Table3[[#This Row],[spawner_sku]])-FIND("/",Table3[[#This Row],[spawner_sku]])),Table28[Entity Prefab],0)),24,1,1,"Entities"))</f>
        <v>no</v>
      </c>
      <c r="T187">
        <v>3</v>
      </c>
      <c r="U187">
        <v>3</v>
      </c>
      <c r="V187" t="b">
        <v>0</v>
      </c>
      <c r="AI187" t="s">
        <v>235</v>
      </c>
      <c r="AJ187">
        <v>1</v>
      </c>
      <c r="AK187">
        <v>180</v>
      </c>
      <c r="AL187">
        <v>100</v>
      </c>
      <c r="AM187" s="75">
        <f ca="1">INDIRECT(ADDRESS(11+(MATCH(RIGHT(Table2[[#This Row],[spawner_sku]],LEN(Table2[[#This Row],[spawner_sku]])-FIND("/",Table2[[#This Row],[spawner_sku]])),Table1[Entity Prefab],0)),10,1,1,"Entities"))</f>
        <v>25</v>
      </c>
      <c r="AN187" s="75">
        <f ca="1">ROUND((Table2[[#This Row],[XP]]*Table2[[#This Row],[entity_spawned (AVG)]])*(Table2[[#This Row],[activating_chance]]/100),0)</f>
        <v>25</v>
      </c>
      <c r="AO18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87" s="72">
        <v>1</v>
      </c>
      <c r="AQ187" s="72">
        <v>1</v>
      </c>
      <c r="AR187" s="72" t="b">
        <v>0</v>
      </c>
      <c r="AT187" t="s">
        <v>256</v>
      </c>
      <c r="AU187">
        <v>1</v>
      </c>
      <c r="AV187">
        <v>150</v>
      </c>
      <c r="AW187">
        <v>100</v>
      </c>
      <c r="AX187" s="75">
        <f ca="1">INDIRECT(ADDRESS(11+(MATCH(RIGHT(Table6[[#This Row],[spawner_sku]],LEN(Table6[[#This Row],[spawner_sku]])-FIND("/",Table6[[#This Row],[spawner_sku]])),Table1[Entity Prefab],0)),10,1,1,"Entities"))</f>
        <v>25</v>
      </c>
      <c r="AY187" s="75">
        <f ca="1">ROUND((Table6[[#This Row],[XP]]*Table6[[#This Row],[entity_spawned (AVG)]])*(Table6[[#This Row],[activating_chance]]/100),0)</f>
        <v>25</v>
      </c>
      <c r="AZ187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87">
        <v>1</v>
      </c>
      <c r="BB187">
        <v>1</v>
      </c>
      <c r="BC187" t="b">
        <v>0</v>
      </c>
      <c r="BE187" t="s">
        <v>451</v>
      </c>
      <c r="BF187">
        <v>1</v>
      </c>
      <c r="BG187">
        <v>150</v>
      </c>
      <c r="BH187">
        <v>100</v>
      </c>
      <c r="BI187" s="75">
        <f ca="1">INDIRECT(ADDRESS(11+(MATCH(RIGHT(Table610[[#This Row],[spawner_sku]],LEN(Table610[[#This Row],[spawner_sku]])-FIND("/",Table610[[#This Row],[spawner_sku]])),Table1[Entity Prefab],0)),10,1,1,"Entities"))</f>
        <v>25</v>
      </c>
      <c r="BJ187" s="75">
        <f ca="1">ROUND((Table610[[#This Row],[XP]]*Table610[[#This Row],[entity_spawned (AVG)]])*(Table610[[#This Row],[activating_chance]]/100),0)</f>
        <v>25</v>
      </c>
      <c r="BK187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87">
        <v>1</v>
      </c>
      <c r="BM187">
        <v>1</v>
      </c>
      <c r="BN187" t="b">
        <v>0</v>
      </c>
      <c r="BP187" t="s">
        <v>236</v>
      </c>
      <c r="BQ187">
        <v>1</v>
      </c>
      <c r="BR187">
        <v>200</v>
      </c>
      <c r="BS187">
        <v>100</v>
      </c>
      <c r="BT187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87" s="75">
        <f ca="1">ROUND((Table61011[[#This Row],[XP]]*Table61011[[#This Row],[entity_spawned (AVG)]])*(Table61011[[#This Row],[activating_chance]]/100),0)</f>
        <v>70</v>
      </c>
      <c r="BV18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7" s="72">
        <v>1</v>
      </c>
      <c r="BX187" s="72">
        <v>1</v>
      </c>
      <c r="BY187" s="72" t="b">
        <v>0</v>
      </c>
      <c r="CA187" t="s">
        <v>244</v>
      </c>
      <c r="CB187">
        <v>1</v>
      </c>
      <c r="CC187">
        <v>220</v>
      </c>
      <c r="CD187">
        <v>80</v>
      </c>
      <c r="CE187" s="75">
        <f ca="1">INDIRECT(ADDRESS(11+(MATCH(RIGHT(Table11[[#This Row],[spawner_sku]],LEN(Table11[[#This Row],[spawner_sku]])-FIND("/",Table11[[#This Row],[spawner_sku]])),Table1[Entity Prefab],0)),10,1,1,"Entities"))</f>
        <v>25</v>
      </c>
      <c r="CF187">
        <f ca="1">ROUND((Table11[[#This Row],[XP]]*Table11[[#This Row],[entity_spawned (AVG)]])*(Table11[[#This Row],[activating_chance]]/100),0)</f>
        <v>20</v>
      </c>
      <c r="CG187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187" s="72">
        <v>1</v>
      </c>
      <c r="CI187" s="72">
        <v>1</v>
      </c>
      <c r="CJ187" s="72" t="b">
        <v>0</v>
      </c>
      <c r="CL187" t="s">
        <v>531</v>
      </c>
      <c r="CM187">
        <v>1</v>
      </c>
      <c r="CN187">
        <v>240</v>
      </c>
      <c r="CO187">
        <v>100</v>
      </c>
      <c r="CP187" s="75">
        <f ca="1">INDIRECT(ADDRESS(11+(MATCH(RIGHT(Table12[[#This Row],[spawner_sku]],LEN(Table12[[#This Row],[spawner_sku]])-FIND("/",Table12[[#This Row],[spawner_sku]])),Table1[Entity Prefab],0)),10,1,1,"Entities"))</f>
        <v>55</v>
      </c>
      <c r="CQ187" s="75">
        <f ca="1">ROUND((Table12[[#This Row],[XP]]*Table12[[#This Row],[entity_spawned (AVG)]])*(Table12[[#This Row],[activating_chance]]/100),0)</f>
        <v>55</v>
      </c>
      <c r="CR187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87" s="72">
        <v>1</v>
      </c>
      <c r="CT187" s="72">
        <v>1</v>
      </c>
      <c r="CU187" s="72" t="b">
        <v>0</v>
      </c>
      <c r="CW187" t="s">
        <v>254</v>
      </c>
      <c r="CX187">
        <v>1</v>
      </c>
      <c r="CY187">
        <v>170</v>
      </c>
      <c r="CZ187">
        <v>100</v>
      </c>
      <c r="DA187" s="75">
        <f ca="1">INDIRECT(ADDRESS(11+(MATCH(RIGHT(Table13[[#This Row],[spawner_sku]],LEN(Table13[[#This Row],[spawner_sku]])-FIND("/",Table13[[#This Row],[spawner_sku]])),Table1[Entity Prefab],0)),10,1,1,"Entities"))</f>
        <v>70</v>
      </c>
      <c r="DB187" s="75">
        <f ca="1">ROUND((Table13[[#This Row],[XP]]*Table13[[#This Row],[entity_spawned (AVG)]])*(Table13[[#This Row],[activating_chance]]/100),0)</f>
        <v>70</v>
      </c>
      <c r="DC187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87" s="72">
        <v>1</v>
      </c>
      <c r="DE187" s="72">
        <v>1</v>
      </c>
      <c r="DF187" s="72" t="b">
        <v>0</v>
      </c>
      <c r="DH187" t="s">
        <v>236</v>
      </c>
      <c r="DI187">
        <v>1</v>
      </c>
      <c r="DJ187">
        <v>100</v>
      </c>
      <c r="DK187">
        <v>100</v>
      </c>
      <c r="DL187" s="75">
        <f ca="1">INDIRECT(ADDRESS(11+(MATCH(RIGHT(Table14[[#This Row],[spawner_sku]],LEN(Table14[[#This Row],[spawner_sku]])-FIND("/",Table14[[#This Row],[spawner_sku]])),Table1[Entity Prefab],0)),10,1,1,"Entities"))</f>
        <v>70</v>
      </c>
      <c r="DM187" s="75">
        <f ca="1">ROUND((Table14[[#This Row],[XP]]*Table14[[#This Row],[entity_spawned (AVG)]])*(Table14[[#This Row],[activating_chance]]/100),0)</f>
        <v>70</v>
      </c>
      <c r="DN18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87" s="72">
        <v>1</v>
      </c>
      <c r="DP187" s="72">
        <v>1</v>
      </c>
      <c r="DQ187" s="72" t="b">
        <v>0</v>
      </c>
      <c r="DS187" t="s">
        <v>246</v>
      </c>
      <c r="DT187">
        <v>1</v>
      </c>
      <c r="DU187">
        <v>500</v>
      </c>
      <c r="DV187">
        <v>75</v>
      </c>
      <c r="DW187" s="75">
        <f ca="1">INDIRECT(ADDRESS(11+(MATCH(RIGHT(Table18[[#This Row],[spawner_sku]],LEN(Table18[[#This Row],[spawner_sku]])-FIND("/",Table18[[#This Row],[spawner_sku]])),Table1[Entity Prefab],0)),10,1,1,"Entities"))</f>
        <v>25</v>
      </c>
      <c r="DX187" s="75">
        <f ca="1">ROUND((Table18[[#This Row],[XP]]*Table18[[#This Row],[entity_spawned (AVG)]])*(Table18[[#This Row],[activating_chance]]/100),0)</f>
        <v>19</v>
      </c>
      <c r="DY18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87">
        <v>1</v>
      </c>
      <c r="EA187">
        <v>1</v>
      </c>
      <c r="EB187" t="b">
        <v>0</v>
      </c>
      <c r="ED187" t="s">
        <v>646</v>
      </c>
      <c r="EE187">
        <v>1</v>
      </c>
      <c r="EF187">
        <v>120</v>
      </c>
      <c r="EG187">
        <v>10</v>
      </c>
      <c r="EH187" s="75">
        <f ca="1">INDIRECT(ADDRESS(11+(MATCH(RIGHT(Table1820[[#This Row],[spawner_sku]],LEN(Table1820[[#This Row],[spawner_sku]])-FIND("/",Table1820[[#This Row],[spawner_sku]])),Table1[Entity Prefab],0)),10,1,1,"Entities"))</f>
        <v>75</v>
      </c>
      <c r="EI187" s="75">
        <f ca="1">ROUND((Table1820[[#This Row],[XP]]*Table1820[[#This Row],[entity_spawned (AVG)]])*(Table1820[[#This Row],[activating_chance]]/100),0)</f>
        <v>8</v>
      </c>
      <c r="EJ18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87">
        <v>1</v>
      </c>
      <c r="EL187">
        <v>1</v>
      </c>
      <c r="EM187" t="b">
        <v>0</v>
      </c>
      <c r="EZ187" t="s">
        <v>7357</v>
      </c>
      <c r="FA187">
        <v>2.5</v>
      </c>
      <c r="FB187">
        <v>100</v>
      </c>
      <c r="FC187">
        <v>80</v>
      </c>
      <c r="FD187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FE187" s="75">
        <f ca="1">ROUND((Table18202324[[#This Row],[XP]]*Table18202324[[#This Row],[entity_spawned (AVG)]])*(Table18202324[[#This Row],[activating_chance]]/100),0)</f>
        <v>100</v>
      </c>
      <c r="FF187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87">
        <v>2</v>
      </c>
      <c r="FH187">
        <v>3</v>
      </c>
      <c r="FI187" t="b">
        <v>0</v>
      </c>
    </row>
    <row r="188" spans="2:165" x14ac:dyDescent="0.25">
      <c r="B188" s="73" t="s">
        <v>230</v>
      </c>
      <c r="C188">
        <v>1.5</v>
      </c>
      <c r="D188">
        <v>80</v>
      </c>
      <c r="E188">
        <v>100</v>
      </c>
      <c r="F188" s="75">
        <f ca="1">INDIRECT(ADDRESS(11+(MATCH(RIGHT(Table245[[#This Row],[spawner_sku]],LEN(Table245[[#This Row],[spawner_sku]])-FIND("/",Table245[[#This Row],[spawner_sku]])),Table1[Entity Prefab],0)),10,1,1,"Entities"))</f>
        <v>25</v>
      </c>
      <c r="G188" s="75">
        <f ca="1">ROUND((Table245[[#This Row],[XP]]*Table245[[#This Row],[entity_spawned (AVG)]])*(Table245[[#This Row],[activating_chance]]/100),0)</f>
        <v>38</v>
      </c>
      <c r="H18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8" s="72">
        <v>1</v>
      </c>
      <c r="J188" s="72">
        <v>2</v>
      </c>
      <c r="K188" s="72" t="b">
        <v>0</v>
      </c>
      <c r="M188" t="s">
        <v>384</v>
      </c>
      <c r="N188">
        <v>3</v>
      </c>
      <c r="O188">
        <v>100</v>
      </c>
      <c r="P188">
        <v>100</v>
      </c>
      <c r="Q188" s="75">
        <f ca="1">INDIRECT(ADDRESS(11+(MATCH(RIGHT(Table3[[#This Row],[spawner_sku]],LEN(Table3[[#This Row],[spawner_sku]])-FIND("/",Table3[[#This Row],[spawner_sku]])),Table1[Entity Prefab],0)),10,1,1,"Entities"))</f>
        <v>25</v>
      </c>
      <c r="R188" s="75">
        <f ca="1">ROUND((Table3[[#This Row],[XP]]*Table3[[#This Row],[entity_spawned (AVG)]])*(Table3[[#This Row],[activating_chance]]/100),0)</f>
        <v>75</v>
      </c>
      <c r="S188" t="str">
        <f ca="1">INDIRECT(ADDRESS(11+(MATCH(RIGHT(Table3[[#This Row],[spawner_sku]],LEN(Table3[[#This Row],[spawner_sku]])-FIND("/",Table3[[#This Row],[spawner_sku]])),Table28[Entity Prefab],0)),24,1,1,"Entities"))</f>
        <v>no</v>
      </c>
      <c r="T188">
        <v>3</v>
      </c>
      <c r="U188">
        <v>3</v>
      </c>
      <c r="V188" t="b">
        <v>0</v>
      </c>
      <c r="AI188" t="s">
        <v>235</v>
      </c>
      <c r="AJ188">
        <v>1</v>
      </c>
      <c r="AK188">
        <v>160</v>
      </c>
      <c r="AL188">
        <v>100</v>
      </c>
      <c r="AM188" s="75">
        <f ca="1">INDIRECT(ADDRESS(11+(MATCH(RIGHT(Table2[[#This Row],[spawner_sku]],LEN(Table2[[#This Row],[spawner_sku]])-FIND("/",Table2[[#This Row],[spawner_sku]])),Table1[Entity Prefab],0)),10,1,1,"Entities"))</f>
        <v>25</v>
      </c>
      <c r="AN188" s="75">
        <f ca="1">ROUND((Table2[[#This Row],[XP]]*Table2[[#This Row],[entity_spawned (AVG)]])*(Table2[[#This Row],[activating_chance]]/100),0)</f>
        <v>25</v>
      </c>
      <c r="AO18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88" s="72">
        <v>1</v>
      </c>
      <c r="AQ188" s="72">
        <v>1</v>
      </c>
      <c r="AR188" s="72" t="b">
        <v>0</v>
      </c>
      <c r="AT188" t="s">
        <v>256</v>
      </c>
      <c r="AU188">
        <v>1</v>
      </c>
      <c r="AV188">
        <v>150</v>
      </c>
      <c r="AW188">
        <v>100</v>
      </c>
      <c r="AX188" s="75">
        <f ca="1">INDIRECT(ADDRESS(11+(MATCH(RIGHT(Table6[[#This Row],[spawner_sku]],LEN(Table6[[#This Row],[spawner_sku]])-FIND("/",Table6[[#This Row],[spawner_sku]])),Table1[Entity Prefab],0)),10,1,1,"Entities"))</f>
        <v>25</v>
      </c>
      <c r="AY188" s="75">
        <f ca="1">ROUND((Table6[[#This Row],[XP]]*Table6[[#This Row],[entity_spawned (AVG)]])*(Table6[[#This Row],[activating_chance]]/100),0)</f>
        <v>25</v>
      </c>
      <c r="AZ188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88">
        <v>1</v>
      </c>
      <c r="BB188">
        <v>1</v>
      </c>
      <c r="BC188" t="b">
        <v>0</v>
      </c>
      <c r="BE188" t="s">
        <v>451</v>
      </c>
      <c r="BF188">
        <v>1</v>
      </c>
      <c r="BG188">
        <v>100</v>
      </c>
      <c r="BH188">
        <v>100</v>
      </c>
      <c r="BI188" s="75">
        <f ca="1">INDIRECT(ADDRESS(11+(MATCH(RIGHT(Table610[[#This Row],[spawner_sku]],LEN(Table610[[#This Row],[spawner_sku]])-FIND("/",Table610[[#This Row],[spawner_sku]])),Table1[Entity Prefab],0)),10,1,1,"Entities"))</f>
        <v>25</v>
      </c>
      <c r="BJ188" s="75">
        <f ca="1">ROUND((Table610[[#This Row],[XP]]*Table610[[#This Row],[entity_spawned (AVG)]])*(Table610[[#This Row],[activating_chance]]/100),0)</f>
        <v>25</v>
      </c>
      <c r="BK188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88">
        <v>1</v>
      </c>
      <c r="BM188">
        <v>1</v>
      </c>
      <c r="BN188" t="b">
        <v>0</v>
      </c>
      <c r="BP188" t="s">
        <v>236</v>
      </c>
      <c r="BQ188">
        <v>1</v>
      </c>
      <c r="BR188">
        <v>190</v>
      </c>
      <c r="BS188">
        <v>100</v>
      </c>
      <c r="BT188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88" s="75">
        <f ca="1">ROUND((Table61011[[#This Row],[XP]]*Table61011[[#This Row],[entity_spawned (AVG)]])*(Table61011[[#This Row],[activating_chance]]/100),0)</f>
        <v>70</v>
      </c>
      <c r="BV18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8" s="72">
        <v>1</v>
      </c>
      <c r="BX188" s="72">
        <v>1</v>
      </c>
      <c r="BY188" s="72" t="b">
        <v>0</v>
      </c>
      <c r="CA188" t="s">
        <v>244</v>
      </c>
      <c r="CB188">
        <v>1</v>
      </c>
      <c r="CC188">
        <v>220</v>
      </c>
      <c r="CD188">
        <v>80</v>
      </c>
      <c r="CE188" s="75">
        <f ca="1">INDIRECT(ADDRESS(11+(MATCH(RIGHT(Table11[[#This Row],[spawner_sku]],LEN(Table11[[#This Row],[spawner_sku]])-FIND("/",Table11[[#This Row],[spawner_sku]])),Table1[Entity Prefab],0)),10,1,1,"Entities"))</f>
        <v>25</v>
      </c>
      <c r="CF188">
        <f ca="1">ROUND((Table11[[#This Row],[XP]]*Table11[[#This Row],[entity_spawned (AVG)]])*(Table11[[#This Row],[activating_chance]]/100),0)</f>
        <v>20</v>
      </c>
      <c r="CG188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188" s="72">
        <v>1</v>
      </c>
      <c r="CI188" s="72">
        <v>1</v>
      </c>
      <c r="CJ188" s="72" t="b">
        <v>0</v>
      </c>
      <c r="CL188" t="s">
        <v>384</v>
      </c>
      <c r="CM188">
        <v>2</v>
      </c>
      <c r="CN188">
        <v>100</v>
      </c>
      <c r="CO188">
        <v>100</v>
      </c>
      <c r="CP188" s="75">
        <f ca="1">INDIRECT(ADDRESS(11+(MATCH(RIGHT(Table12[[#This Row],[spawner_sku]],LEN(Table12[[#This Row],[spawner_sku]])-FIND("/",Table12[[#This Row],[spawner_sku]])),Table1[Entity Prefab],0)),10,1,1,"Entities"))</f>
        <v>25</v>
      </c>
      <c r="CQ188" s="75">
        <f ca="1">ROUND((Table12[[#This Row],[XP]]*Table12[[#This Row],[entity_spawned (AVG)]])*(Table12[[#This Row],[activating_chance]]/100),0)</f>
        <v>50</v>
      </c>
      <c r="CR188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88" s="72">
        <v>1</v>
      </c>
      <c r="CT188" s="72">
        <v>3</v>
      </c>
      <c r="CU188" s="72" t="b">
        <v>0</v>
      </c>
      <c r="CW188" t="s">
        <v>254</v>
      </c>
      <c r="CX188">
        <v>1</v>
      </c>
      <c r="CY188">
        <v>170</v>
      </c>
      <c r="CZ188">
        <v>100</v>
      </c>
      <c r="DA188" s="75">
        <f ca="1">INDIRECT(ADDRESS(11+(MATCH(RIGHT(Table13[[#This Row],[spawner_sku]],LEN(Table13[[#This Row],[spawner_sku]])-FIND("/",Table13[[#This Row],[spawner_sku]])),Table1[Entity Prefab],0)),10,1,1,"Entities"))</f>
        <v>70</v>
      </c>
      <c r="DB188" s="75">
        <f ca="1">ROUND((Table13[[#This Row],[XP]]*Table13[[#This Row],[entity_spawned (AVG)]])*(Table13[[#This Row],[activating_chance]]/100),0)</f>
        <v>70</v>
      </c>
      <c r="DC188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88" s="72">
        <v>1</v>
      </c>
      <c r="DE188" s="72">
        <v>1</v>
      </c>
      <c r="DF188" s="72" t="b">
        <v>0</v>
      </c>
      <c r="DH188" t="s">
        <v>236</v>
      </c>
      <c r="DI188">
        <v>1</v>
      </c>
      <c r="DJ188">
        <v>120</v>
      </c>
      <c r="DK188">
        <v>100</v>
      </c>
      <c r="DL188" s="75">
        <f ca="1">INDIRECT(ADDRESS(11+(MATCH(RIGHT(Table14[[#This Row],[spawner_sku]],LEN(Table14[[#This Row],[spawner_sku]])-FIND("/",Table14[[#This Row],[spawner_sku]])),Table1[Entity Prefab],0)),10,1,1,"Entities"))</f>
        <v>70</v>
      </c>
      <c r="DM188" s="75">
        <f ca="1">ROUND((Table14[[#This Row],[XP]]*Table14[[#This Row],[entity_spawned (AVG)]])*(Table14[[#This Row],[activating_chance]]/100),0)</f>
        <v>70</v>
      </c>
      <c r="DN18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88" s="72">
        <v>1</v>
      </c>
      <c r="DP188" s="72">
        <v>1</v>
      </c>
      <c r="DQ188" s="72" t="b">
        <v>0</v>
      </c>
      <c r="DS188" t="s">
        <v>490</v>
      </c>
      <c r="DT188">
        <v>1</v>
      </c>
      <c r="DU188">
        <v>110</v>
      </c>
      <c r="DV188">
        <v>100</v>
      </c>
      <c r="DW188" s="75">
        <f ca="1">INDIRECT(ADDRESS(11+(MATCH(RIGHT(Table18[[#This Row],[spawner_sku]],LEN(Table18[[#This Row],[spawner_sku]])-FIND("/",Table18[[#This Row],[spawner_sku]])),Table1[Entity Prefab],0)),10,1,1,"Entities"))</f>
        <v>28</v>
      </c>
      <c r="DX188" s="75">
        <f ca="1">ROUND((Table18[[#This Row],[XP]]*Table18[[#This Row],[entity_spawned (AVG)]])*(Table18[[#This Row],[activating_chance]]/100),0)</f>
        <v>28</v>
      </c>
      <c r="DY18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88">
        <v>1</v>
      </c>
      <c r="EA188">
        <v>1</v>
      </c>
      <c r="EB188" t="b">
        <v>0</v>
      </c>
      <c r="ED188" t="s">
        <v>445</v>
      </c>
      <c r="EE188">
        <v>1</v>
      </c>
      <c r="EF188">
        <v>160</v>
      </c>
      <c r="EG188">
        <v>100</v>
      </c>
      <c r="EH188" s="75">
        <f ca="1">INDIRECT(ADDRESS(11+(MATCH(RIGHT(Table1820[[#This Row],[spawner_sku]],LEN(Table1820[[#This Row],[spawner_sku]])-FIND("/",Table1820[[#This Row],[spawner_sku]])),Table1[Entity Prefab],0)),10,1,1,"Entities"))</f>
        <v>0</v>
      </c>
      <c r="EI188" s="75">
        <f ca="1">ROUND((Table1820[[#This Row],[XP]]*Table1820[[#This Row],[entity_spawned (AVG)]])*(Table1820[[#This Row],[activating_chance]]/100),0)</f>
        <v>0</v>
      </c>
      <c r="EJ188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88">
        <v>1</v>
      </c>
      <c r="EL188">
        <v>1</v>
      </c>
      <c r="EM188" t="b">
        <v>0</v>
      </c>
      <c r="EZ188" t="s">
        <v>7357</v>
      </c>
      <c r="FA188">
        <v>7</v>
      </c>
      <c r="FB188">
        <v>100</v>
      </c>
      <c r="FC188">
        <v>100</v>
      </c>
      <c r="FD188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FE188" s="75">
        <f ca="1">ROUND((Table18202324[[#This Row],[XP]]*Table18202324[[#This Row],[entity_spawned (AVG)]])*(Table18202324[[#This Row],[activating_chance]]/100),0)</f>
        <v>350</v>
      </c>
      <c r="FF188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88">
        <v>5</v>
      </c>
      <c r="FH188">
        <v>9</v>
      </c>
      <c r="FI188" t="b">
        <v>1</v>
      </c>
    </row>
    <row r="189" spans="2:165" x14ac:dyDescent="0.25">
      <c r="B189" s="73" t="s">
        <v>230</v>
      </c>
      <c r="C189">
        <v>3</v>
      </c>
      <c r="D189">
        <v>110</v>
      </c>
      <c r="E189">
        <v>60</v>
      </c>
      <c r="F189" s="75">
        <f ca="1">INDIRECT(ADDRESS(11+(MATCH(RIGHT(Table245[[#This Row],[spawner_sku]],LEN(Table245[[#This Row],[spawner_sku]])-FIND("/",Table245[[#This Row],[spawner_sku]])),Table1[Entity Prefab],0)),10,1,1,"Entities"))</f>
        <v>25</v>
      </c>
      <c r="G189" s="75">
        <f ca="1">ROUND((Table245[[#This Row],[XP]]*Table245[[#This Row],[entity_spawned (AVG)]])*(Table245[[#This Row],[activating_chance]]/100),0)</f>
        <v>45</v>
      </c>
      <c r="H18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9" s="72">
        <v>2</v>
      </c>
      <c r="J189" s="72">
        <v>4</v>
      </c>
      <c r="K189" s="72" t="b">
        <v>0</v>
      </c>
      <c r="M189" t="s">
        <v>384</v>
      </c>
      <c r="N189">
        <v>2</v>
      </c>
      <c r="O189">
        <v>100</v>
      </c>
      <c r="P189">
        <v>100</v>
      </c>
      <c r="Q189" s="75">
        <f ca="1">INDIRECT(ADDRESS(11+(MATCH(RIGHT(Table3[[#This Row],[spawner_sku]],LEN(Table3[[#This Row],[spawner_sku]])-FIND("/",Table3[[#This Row],[spawner_sku]])),Table1[Entity Prefab],0)),10,1,1,"Entities"))</f>
        <v>25</v>
      </c>
      <c r="R189" s="75">
        <f ca="1">ROUND((Table3[[#This Row],[XP]]*Table3[[#This Row],[entity_spawned (AVG)]])*(Table3[[#This Row],[activating_chance]]/100),0)</f>
        <v>50</v>
      </c>
      <c r="S189" t="str">
        <f ca="1">INDIRECT(ADDRESS(11+(MATCH(RIGHT(Table3[[#This Row],[spawner_sku]],LEN(Table3[[#This Row],[spawner_sku]])-FIND("/",Table3[[#This Row],[spawner_sku]])),Table28[Entity Prefab],0)),24,1,1,"Entities"))</f>
        <v>no</v>
      </c>
      <c r="T189">
        <v>2</v>
      </c>
      <c r="U189">
        <v>2</v>
      </c>
      <c r="V189" t="b">
        <v>0</v>
      </c>
      <c r="AI189" t="s">
        <v>235</v>
      </c>
      <c r="AJ189">
        <v>1</v>
      </c>
      <c r="AK189">
        <v>160</v>
      </c>
      <c r="AL189">
        <v>100</v>
      </c>
      <c r="AM189" s="75">
        <f ca="1">INDIRECT(ADDRESS(11+(MATCH(RIGHT(Table2[[#This Row],[spawner_sku]],LEN(Table2[[#This Row],[spawner_sku]])-FIND("/",Table2[[#This Row],[spawner_sku]])),Table1[Entity Prefab],0)),10,1,1,"Entities"))</f>
        <v>25</v>
      </c>
      <c r="AN189" s="75">
        <f ca="1">ROUND((Table2[[#This Row],[XP]]*Table2[[#This Row],[entity_spawned (AVG)]])*(Table2[[#This Row],[activating_chance]]/100),0)</f>
        <v>25</v>
      </c>
      <c r="AO18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89" s="72">
        <v>1</v>
      </c>
      <c r="AQ189" s="72">
        <v>1</v>
      </c>
      <c r="AR189" s="72" t="b">
        <v>0</v>
      </c>
      <c r="AT189" t="s">
        <v>256</v>
      </c>
      <c r="AU189">
        <v>1</v>
      </c>
      <c r="AV189">
        <v>150</v>
      </c>
      <c r="AW189">
        <v>100</v>
      </c>
      <c r="AX189" s="75">
        <f ca="1">INDIRECT(ADDRESS(11+(MATCH(RIGHT(Table6[[#This Row],[spawner_sku]],LEN(Table6[[#This Row],[spawner_sku]])-FIND("/",Table6[[#This Row],[spawner_sku]])),Table1[Entity Prefab],0)),10,1,1,"Entities"))</f>
        <v>25</v>
      </c>
      <c r="AY189" s="75">
        <f ca="1">ROUND((Table6[[#This Row],[XP]]*Table6[[#This Row],[entity_spawned (AVG)]])*(Table6[[#This Row],[activating_chance]]/100),0)</f>
        <v>25</v>
      </c>
      <c r="AZ189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89">
        <v>1</v>
      </c>
      <c r="BB189">
        <v>1</v>
      </c>
      <c r="BC189" t="b">
        <v>0</v>
      </c>
      <c r="BE189" t="s">
        <v>450</v>
      </c>
      <c r="BF189">
        <v>1</v>
      </c>
      <c r="BG189">
        <v>150</v>
      </c>
      <c r="BH189">
        <v>100</v>
      </c>
      <c r="BI189" s="75">
        <f ca="1">INDIRECT(ADDRESS(11+(MATCH(RIGHT(Table610[[#This Row],[spawner_sku]],LEN(Table610[[#This Row],[spawner_sku]])-FIND("/",Table610[[#This Row],[spawner_sku]])),Table1[Entity Prefab],0)),10,1,1,"Entities"))</f>
        <v>25</v>
      </c>
      <c r="BJ189" s="75">
        <f ca="1">ROUND((Table610[[#This Row],[XP]]*Table610[[#This Row],[entity_spawned (AVG)]])*(Table610[[#This Row],[activating_chance]]/100),0)</f>
        <v>25</v>
      </c>
      <c r="BK189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89">
        <v>1</v>
      </c>
      <c r="BM189">
        <v>1</v>
      </c>
      <c r="BN189" t="b">
        <v>0</v>
      </c>
      <c r="BP189" t="s">
        <v>236</v>
      </c>
      <c r="BQ189">
        <v>1</v>
      </c>
      <c r="BR189">
        <v>200</v>
      </c>
      <c r="BS189">
        <v>100</v>
      </c>
      <c r="BT189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89" s="75">
        <f ca="1">ROUND((Table61011[[#This Row],[XP]]*Table61011[[#This Row],[entity_spawned (AVG)]])*(Table61011[[#This Row],[activating_chance]]/100),0)</f>
        <v>70</v>
      </c>
      <c r="BV18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9" s="72">
        <v>1</v>
      </c>
      <c r="BX189" s="72">
        <v>1</v>
      </c>
      <c r="BY189" s="72" t="b">
        <v>0</v>
      </c>
      <c r="CA189" t="s">
        <v>244</v>
      </c>
      <c r="CB189">
        <v>1</v>
      </c>
      <c r="CC189">
        <v>220</v>
      </c>
      <c r="CD189">
        <v>80</v>
      </c>
      <c r="CE189" s="75">
        <f ca="1">INDIRECT(ADDRESS(11+(MATCH(RIGHT(Table11[[#This Row],[spawner_sku]],LEN(Table11[[#This Row],[spawner_sku]])-FIND("/",Table11[[#This Row],[spawner_sku]])),Table1[Entity Prefab],0)),10,1,1,"Entities"))</f>
        <v>25</v>
      </c>
      <c r="CF189">
        <f ca="1">ROUND((Table11[[#This Row],[XP]]*Table11[[#This Row],[entity_spawned (AVG)]])*(Table11[[#This Row],[activating_chance]]/100),0)</f>
        <v>20</v>
      </c>
      <c r="CG189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189" s="72">
        <v>1</v>
      </c>
      <c r="CI189" s="72">
        <v>1</v>
      </c>
      <c r="CJ189" s="72" t="b">
        <v>0</v>
      </c>
      <c r="CL189" t="s">
        <v>384</v>
      </c>
      <c r="CM189">
        <v>1.5</v>
      </c>
      <c r="CN189">
        <v>100</v>
      </c>
      <c r="CO189">
        <v>80</v>
      </c>
      <c r="CP189" s="75">
        <f ca="1">INDIRECT(ADDRESS(11+(MATCH(RIGHT(Table12[[#This Row],[spawner_sku]],LEN(Table12[[#This Row],[spawner_sku]])-FIND("/",Table12[[#This Row],[spawner_sku]])),Table1[Entity Prefab],0)),10,1,1,"Entities"))</f>
        <v>25</v>
      </c>
      <c r="CQ189" s="75">
        <f ca="1">ROUND((Table12[[#This Row],[XP]]*Table12[[#This Row],[entity_spawned (AVG)]])*(Table12[[#This Row],[activating_chance]]/100),0)</f>
        <v>30</v>
      </c>
      <c r="CR189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89" s="72">
        <v>1</v>
      </c>
      <c r="CT189" s="72">
        <v>2</v>
      </c>
      <c r="CU189" s="72" t="b">
        <v>0</v>
      </c>
      <c r="CW189" t="s">
        <v>254</v>
      </c>
      <c r="CX189">
        <v>1</v>
      </c>
      <c r="CY189">
        <v>170</v>
      </c>
      <c r="CZ189">
        <v>100</v>
      </c>
      <c r="DA189" s="75">
        <f ca="1">INDIRECT(ADDRESS(11+(MATCH(RIGHT(Table13[[#This Row],[spawner_sku]],LEN(Table13[[#This Row],[spawner_sku]])-FIND("/",Table13[[#This Row],[spawner_sku]])),Table1[Entity Prefab],0)),10,1,1,"Entities"))</f>
        <v>70</v>
      </c>
      <c r="DB189" s="75">
        <f ca="1">ROUND((Table13[[#This Row],[XP]]*Table13[[#This Row],[entity_spawned (AVG)]])*(Table13[[#This Row],[activating_chance]]/100),0)</f>
        <v>70</v>
      </c>
      <c r="DC189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89" s="72">
        <v>1</v>
      </c>
      <c r="DE189" s="72">
        <v>1</v>
      </c>
      <c r="DF189" s="72" t="b">
        <v>0</v>
      </c>
      <c r="DH189" t="s">
        <v>236</v>
      </c>
      <c r="DI189">
        <v>1</v>
      </c>
      <c r="DJ189">
        <v>100</v>
      </c>
      <c r="DK189">
        <v>100</v>
      </c>
      <c r="DL189" s="75">
        <f ca="1">INDIRECT(ADDRESS(11+(MATCH(RIGHT(Table14[[#This Row],[spawner_sku]],LEN(Table14[[#This Row],[spawner_sku]])-FIND("/",Table14[[#This Row],[spawner_sku]])),Table1[Entity Prefab],0)),10,1,1,"Entities"))</f>
        <v>70</v>
      </c>
      <c r="DM189" s="75">
        <f ca="1">ROUND((Table14[[#This Row],[XP]]*Table14[[#This Row],[entity_spawned (AVG)]])*(Table14[[#This Row],[activating_chance]]/100),0)</f>
        <v>70</v>
      </c>
      <c r="DN18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89" s="72">
        <v>1</v>
      </c>
      <c r="DP189" s="72">
        <v>1</v>
      </c>
      <c r="DQ189" s="72" t="b">
        <v>0</v>
      </c>
      <c r="DS189" t="s">
        <v>490</v>
      </c>
      <c r="DT189">
        <v>1</v>
      </c>
      <c r="DU189">
        <v>110</v>
      </c>
      <c r="DV189">
        <v>100</v>
      </c>
      <c r="DW189" s="75">
        <f ca="1">INDIRECT(ADDRESS(11+(MATCH(RIGHT(Table18[[#This Row],[spawner_sku]],LEN(Table18[[#This Row],[spawner_sku]])-FIND("/",Table18[[#This Row],[spawner_sku]])),Table1[Entity Prefab],0)),10,1,1,"Entities"))</f>
        <v>28</v>
      </c>
      <c r="DX189" s="75">
        <f ca="1">ROUND((Table18[[#This Row],[XP]]*Table18[[#This Row],[entity_spawned (AVG)]])*(Table18[[#This Row],[activating_chance]]/100),0)</f>
        <v>28</v>
      </c>
      <c r="DY18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89">
        <v>1</v>
      </c>
      <c r="EA189">
        <v>1</v>
      </c>
      <c r="EB189" t="b">
        <v>0</v>
      </c>
      <c r="ED189" t="s">
        <v>445</v>
      </c>
      <c r="EE189">
        <v>1</v>
      </c>
      <c r="EF189">
        <v>180</v>
      </c>
      <c r="EG189">
        <v>100</v>
      </c>
      <c r="EH189" s="75">
        <f ca="1">INDIRECT(ADDRESS(11+(MATCH(RIGHT(Table1820[[#This Row],[spawner_sku]],LEN(Table1820[[#This Row],[spawner_sku]])-FIND("/",Table1820[[#This Row],[spawner_sku]])),Table1[Entity Prefab],0)),10,1,1,"Entities"))</f>
        <v>0</v>
      </c>
      <c r="EI189" s="75">
        <f ca="1">ROUND((Table1820[[#This Row],[XP]]*Table1820[[#This Row],[entity_spawned (AVG)]])*(Table1820[[#This Row],[activating_chance]]/100),0)</f>
        <v>0</v>
      </c>
      <c r="EJ189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89">
        <v>1</v>
      </c>
      <c r="EL189">
        <v>1</v>
      </c>
      <c r="EM189" t="b">
        <v>0</v>
      </c>
      <c r="EZ189" t="s">
        <v>7357</v>
      </c>
      <c r="FA189">
        <v>7</v>
      </c>
      <c r="FB189">
        <v>100</v>
      </c>
      <c r="FC189">
        <v>100</v>
      </c>
      <c r="FD189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FE189" s="75">
        <f ca="1">ROUND((Table18202324[[#This Row],[XP]]*Table18202324[[#This Row],[entity_spawned (AVG)]])*(Table18202324[[#This Row],[activating_chance]]/100),0)</f>
        <v>350</v>
      </c>
      <c r="FF189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89">
        <v>5</v>
      </c>
      <c r="FH189">
        <v>9</v>
      </c>
      <c r="FI189" t="b">
        <v>1</v>
      </c>
    </row>
    <row r="190" spans="2:165" x14ac:dyDescent="0.25">
      <c r="B190" s="73" t="s">
        <v>230</v>
      </c>
      <c r="C190">
        <v>3</v>
      </c>
      <c r="D190">
        <v>140</v>
      </c>
      <c r="E190">
        <v>100</v>
      </c>
      <c r="F190" s="75">
        <f ca="1">INDIRECT(ADDRESS(11+(MATCH(RIGHT(Table245[[#This Row],[spawner_sku]],LEN(Table245[[#This Row],[spawner_sku]])-FIND("/",Table245[[#This Row],[spawner_sku]])),Table1[Entity Prefab],0)),10,1,1,"Entities"))</f>
        <v>25</v>
      </c>
      <c r="G190" s="75">
        <f ca="1">ROUND((Table245[[#This Row],[XP]]*Table245[[#This Row],[entity_spawned (AVG)]])*(Table245[[#This Row],[activating_chance]]/100),0)</f>
        <v>75</v>
      </c>
      <c r="H19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0" s="72">
        <v>2</v>
      </c>
      <c r="J190" s="72">
        <v>4</v>
      </c>
      <c r="K190" s="72" t="b">
        <v>0</v>
      </c>
      <c r="M190" t="s">
        <v>384</v>
      </c>
      <c r="N190">
        <v>5</v>
      </c>
      <c r="O190">
        <v>100</v>
      </c>
      <c r="P190">
        <v>100</v>
      </c>
      <c r="Q190" s="75">
        <f ca="1">INDIRECT(ADDRESS(11+(MATCH(RIGHT(Table3[[#This Row],[spawner_sku]],LEN(Table3[[#This Row],[spawner_sku]])-FIND("/",Table3[[#This Row],[spawner_sku]])),Table1[Entity Prefab],0)),10,1,1,"Entities"))</f>
        <v>25</v>
      </c>
      <c r="R190" s="75">
        <f ca="1">ROUND((Table3[[#This Row],[XP]]*Table3[[#This Row],[entity_spawned (AVG)]])*(Table3[[#This Row],[activating_chance]]/100),0)</f>
        <v>125</v>
      </c>
      <c r="S190" t="str">
        <f ca="1">INDIRECT(ADDRESS(11+(MATCH(RIGHT(Table3[[#This Row],[spawner_sku]],LEN(Table3[[#This Row],[spawner_sku]])-FIND("/",Table3[[#This Row],[spawner_sku]])),Table28[Entity Prefab],0)),24,1,1,"Entities"))</f>
        <v>no</v>
      </c>
      <c r="T190">
        <v>5</v>
      </c>
      <c r="U190">
        <v>5</v>
      </c>
      <c r="V190" t="b">
        <v>1</v>
      </c>
      <c r="AI190" t="s">
        <v>235</v>
      </c>
      <c r="AJ190">
        <v>1</v>
      </c>
      <c r="AK190">
        <v>120</v>
      </c>
      <c r="AL190">
        <v>100</v>
      </c>
      <c r="AM190" s="75">
        <f ca="1">INDIRECT(ADDRESS(11+(MATCH(RIGHT(Table2[[#This Row],[spawner_sku]],LEN(Table2[[#This Row],[spawner_sku]])-FIND("/",Table2[[#This Row],[spawner_sku]])),Table1[Entity Prefab],0)),10,1,1,"Entities"))</f>
        <v>25</v>
      </c>
      <c r="AN190" s="75">
        <f ca="1">ROUND((Table2[[#This Row],[XP]]*Table2[[#This Row],[entity_spawned (AVG)]])*(Table2[[#This Row],[activating_chance]]/100),0)</f>
        <v>25</v>
      </c>
      <c r="AO19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90" s="72">
        <v>1</v>
      </c>
      <c r="AQ190" s="72">
        <v>1</v>
      </c>
      <c r="AR190" s="72" t="b">
        <v>0</v>
      </c>
      <c r="AT190" t="s">
        <v>256</v>
      </c>
      <c r="AU190">
        <v>1</v>
      </c>
      <c r="AV190">
        <v>150</v>
      </c>
      <c r="AW190">
        <v>100</v>
      </c>
      <c r="AX190" s="75">
        <f ca="1">INDIRECT(ADDRESS(11+(MATCH(RIGHT(Table6[[#This Row],[spawner_sku]],LEN(Table6[[#This Row],[spawner_sku]])-FIND("/",Table6[[#This Row],[spawner_sku]])),Table1[Entity Prefab],0)),10,1,1,"Entities"))</f>
        <v>25</v>
      </c>
      <c r="AY190" s="75">
        <f ca="1">ROUND((Table6[[#This Row],[XP]]*Table6[[#This Row],[entity_spawned (AVG)]])*(Table6[[#This Row],[activating_chance]]/100),0)</f>
        <v>25</v>
      </c>
      <c r="AZ190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90">
        <v>1</v>
      </c>
      <c r="BB190">
        <v>1</v>
      </c>
      <c r="BC190" t="b">
        <v>0</v>
      </c>
      <c r="BE190" t="s">
        <v>450</v>
      </c>
      <c r="BF190">
        <v>1</v>
      </c>
      <c r="BG190">
        <v>150</v>
      </c>
      <c r="BH190">
        <v>100</v>
      </c>
      <c r="BI190" s="75">
        <f ca="1">INDIRECT(ADDRESS(11+(MATCH(RIGHT(Table610[[#This Row],[spawner_sku]],LEN(Table610[[#This Row],[spawner_sku]])-FIND("/",Table610[[#This Row],[spawner_sku]])),Table1[Entity Prefab],0)),10,1,1,"Entities"))</f>
        <v>25</v>
      </c>
      <c r="BJ190" s="75">
        <f ca="1">ROUND((Table610[[#This Row],[XP]]*Table610[[#This Row],[entity_spawned (AVG)]])*(Table610[[#This Row],[activating_chance]]/100),0)</f>
        <v>25</v>
      </c>
      <c r="BK190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90">
        <v>1</v>
      </c>
      <c r="BM190">
        <v>1</v>
      </c>
      <c r="BN190" t="b">
        <v>0</v>
      </c>
      <c r="BP190" t="s">
        <v>236</v>
      </c>
      <c r="BQ190">
        <v>1</v>
      </c>
      <c r="BR190">
        <v>200</v>
      </c>
      <c r="BS190">
        <v>100</v>
      </c>
      <c r="BT190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90" s="75">
        <f ca="1">ROUND((Table61011[[#This Row],[XP]]*Table61011[[#This Row],[entity_spawned (AVG)]])*(Table61011[[#This Row],[activating_chance]]/100),0)</f>
        <v>70</v>
      </c>
      <c r="BV19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0" s="72">
        <v>1</v>
      </c>
      <c r="BX190" s="72">
        <v>1</v>
      </c>
      <c r="BY190" s="72" t="b">
        <v>0</v>
      </c>
      <c r="CA190" t="s">
        <v>452</v>
      </c>
      <c r="CB190">
        <v>1.5</v>
      </c>
      <c r="CC190">
        <v>280</v>
      </c>
      <c r="CD190">
        <v>100</v>
      </c>
      <c r="CE190" s="75">
        <f ca="1">INDIRECT(ADDRESS(11+(MATCH(RIGHT(Table11[[#This Row],[spawner_sku]],LEN(Table11[[#This Row],[spawner_sku]])-FIND("/",Table11[[#This Row],[spawner_sku]])),Table1[Entity Prefab],0)),10,1,1,"Entities"))</f>
        <v>70</v>
      </c>
      <c r="CF190">
        <f ca="1">ROUND((Table11[[#This Row],[XP]]*Table11[[#This Row],[entity_spawned (AVG)]])*(Table11[[#This Row],[activating_chance]]/100),0)</f>
        <v>105</v>
      </c>
      <c r="CG190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90" s="72">
        <v>1</v>
      </c>
      <c r="CI190" s="72">
        <v>2</v>
      </c>
      <c r="CJ190" s="72" t="b">
        <v>0</v>
      </c>
      <c r="CL190" t="s">
        <v>384</v>
      </c>
      <c r="CM190">
        <v>3</v>
      </c>
      <c r="CN190">
        <v>100</v>
      </c>
      <c r="CO190">
        <v>80</v>
      </c>
      <c r="CP190" s="75">
        <f ca="1">INDIRECT(ADDRESS(11+(MATCH(RIGHT(Table12[[#This Row],[spawner_sku]],LEN(Table12[[#This Row],[spawner_sku]])-FIND("/",Table12[[#This Row],[spawner_sku]])),Table1[Entity Prefab],0)),10,1,1,"Entities"))</f>
        <v>25</v>
      </c>
      <c r="CQ190" s="75">
        <f ca="1">ROUND((Table12[[#This Row],[XP]]*Table12[[#This Row],[entity_spawned (AVG)]])*(Table12[[#This Row],[activating_chance]]/100),0)</f>
        <v>60</v>
      </c>
      <c r="CR190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90" s="72">
        <v>2</v>
      </c>
      <c r="CT190" s="72">
        <v>4</v>
      </c>
      <c r="CU190" s="72" t="b">
        <v>0</v>
      </c>
      <c r="CW190" t="s">
        <v>254</v>
      </c>
      <c r="CX190">
        <v>1</v>
      </c>
      <c r="CY190">
        <v>170</v>
      </c>
      <c r="CZ190">
        <v>100</v>
      </c>
      <c r="DA190" s="75">
        <f ca="1">INDIRECT(ADDRESS(11+(MATCH(RIGHT(Table13[[#This Row],[spawner_sku]],LEN(Table13[[#This Row],[spawner_sku]])-FIND("/",Table13[[#This Row],[spawner_sku]])),Table1[Entity Prefab],0)),10,1,1,"Entities"))</f>
        <v>70</v>
      </c>
      <c r="DB190" s="75">
        <f ca="1">ROUND((Table13[[#This Row],[XP]]*Table13[[#This Row],[entity_spawned (AVG)]])*(Table13[[#This Row],[activating_chance]]/100),0)</f>
        <v>70</v>
      </c>
      <c r="DC190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90" s="72">
        <v>1</v>
      </c>
      <c r="DE190" s="72">
        <v>1</v>
      </c>
      <c r="DF190" s="72" t="b">
        <v>0</v>
      </c>
      <c r="DH190" t="s">
        <v>236</v>
      </c>
      <c r="DI190">
        <v>1</v>
      </c>
      <c r="DJ190">
        <v>100</v>
      </c>
      <c r="DK190">
        <v>100</v>
      </c>
      <c r="DL190" s="75">
        <f ca="1">INDIRECT(ADDRESS(11+(MATCH(RIGHT(Table14[[#This Row],[spawner_sku]],LEN(Table14[[#This Row],[spawner_sku]])-FIND("/",Table14[[#This Row],[spawner_sku]])),Table1[Entity Prefab],0)),10,1,1,"Entities"))</f>
        <v>70</v>
      </c>
      <c r="DM190" s="75">
        <f ca="1">ROUND((Table14[[#This Row],[XP]]*Table14[[#This Row],[entity_spawned (AVG)]])*(Table14[[#This Row],[activating_chance]]/100),0)</f>
        <v>70</v>
      </c>
      <c r="DN19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90" s="72">
        <v>1</v>
      </c>
      <c r="DP190" s="72">
        <v>1</v>
      </c>
      <c r="DQ190" s="72" t="b">
        <v>0</v>
      </c>
      <c r="DS190" t="s">
        <v>490</v>
      </c>
      <c r="DT190">
        <v>1</v>
      </c>
      <c r="DU190">
        <v>110</v>
      </c>
      <c r="DV190">
        <v>100</v>
      </c>
      <c r="DW190" s="75">
        <f ca="1">INDIRECT(ADDRESS(11+(MATCH(RIGHT(Table18[[#This Row],[spawner_sku]],LEN(Table18[[#This Row],[spawner_sku]])-FIND("/",Table18[[#This Row],[spawner_sku]])),Table1[Entity Prefab],0)),10,1,1,"Entities"))</f>
        <v>28</v>
      </c>
      <c r="DX190" s="75">
        <f ca="1">ROUND((Table18[[#This Row],[XP]]*Table18[[#This Row],[entity_spawned (AVG)]])*(Table18[[#This Row],[activating_chance]]/100),0)</f>
        <v>28</v>
      </c>
      <c r="DY19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90">
        <v>1</v>
      </c>
      <c r="EA190">
        <v>1</v>
      </c>
      <c r="EB190" t="b">
        <v>0</v>
      </c>
      <c r="ED190" t="s">
        <v>445</v>
      </c>
      <c r="EE190">
        <v>1</v>
      </c>
      <c r="EF190">
        <v>160</v>
      </c>
      <c r="EG190">
        <v>100</v>
      </c>
      <c r="EH190" s="75">
        <f ca="1">INDIRECT(ADDRESS(11+(MATCH(RIGHT(Table1820[[#This Row],[spawner_sku]],LEN(Table1820[[#This Row],[spawner_sku]])-FIND("/",Table1820[[#This Row],[spawner_sku]])),Table1[Entity Prefab],0)),10,1,1,"Entities"))</f>
        <v>0</v>
      </c>
      <c r="EI190" s="75">
        <f ca="1">ROUND((Table1820[[#This Row],[XP]]*Table1820[[#This Row],[entity_spawned (AVG)]])*(Table1820[[#This Row],[activating_chance]]/100),0)</f>
        <v>0</v>
      </c>
      <c r="EJ190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90">
        <v>1</v>
      </c>
      <c r="EL190">
        <v>1</v>
      </c>
      <c r="EM190" t="b">
        <v>0</v>
      </c>
      <c r="EZ190" t="s">
        <v>7357</v>
      </c>
      <c r="FA190">
        <v>2.5</v>
      </c>
      <c r="FB190">
        <v>80</v>
      </c>
      <c r="FC190">
        <v>80</v>
      </c>
      <c r="FD190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FE190" s="75">
        <f ca="1">ROUND((Table18202324[[#This Row],[XP]]*Table18202324[[#This Row],[entity_spawned (AVG)]])*(Table18202324[[#This Row],[activating_chance]]/100),0)</f>
        <v>100</v>
      </c>
      <c r="FF190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90">
        <v>1</v>
      </c>
      <c r="FH190">
        <v>4</v>
      </c>
      <c r="FI190" t="b">
        <v>0</v>
      </c>
    </row>
    <row r="191" spans="2:165" x14ac:dyDescent="0.25">
      <c r="B191" s="73" t="s">
        <v>230</v>
      </c>
      <c r="C191">
        <v>1.5</v>
      </c>
      <c r="D191">
        <v>110</v>
      </c>
      <c r="E191">
        <v>100</v>
      </c>
      <c r="F191" s="75">
        <f ca="1">INDIRECT(ADDRESS(11+(MATCH(RIGHT(Table245[[#This Row],[spawner_sku]],LEN(Table245[[#This Row],[spawner_sku]])-FIND("/",Table245[[#This Row],[spawner_sku]])),Table1[Entity Prefab],0)),10,1,1,"Entities"))</f>
        <v>25</v>
      </c>
      <c r="G191" s="75">
        <f ca="1">ROUND((Table245[[#This Row],[XP]]*Table245[[#This Row],[entity_spawned (AVG)]])*(Table245[[#This Row],[activating_chance]]/100),0)</f>
        <v>38</v>
      </c>
      <c r="H19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1" s="72">
        <v>1</v>
      </c>
      <c r="J191" s="72">
        <v>2</v>
      </c>
      <c r="K191" s="72" t="b">
        <v>0</v>
      </c>
      <c r="M191" t="s">
        <v>384</v>
      </c>
      <c r="N191">
        <v>3</v>
      </c>
      <c r="O191">
        <v>100</v>
      </c>
      <c r="P191">
        <v>100</v>
      </c>
      <c r="Q191" s="75">
        <f ca="1">INDIRECT(ADDRESS(11+(MATCH(RIGHT(Table3[[#This Row],[spawner_sku]],LEN(Table3[[#This Row],[spawner_sku]])-FIND("/",Table3[[#This Row],[spawner_sku]])),Table1[Entity Prefab],0)),10,1,1,"Entities"))</f>
        <v>25</v>
      </c>
      <c r="R191" s="75">
        <f ca="1">ROUND((Table3[[#This Row],[XP]]*Table3[[#This Row],[entity_spawned (AVG)]])*(Table3[[#This Row],[activating_chance]]/100),0)</f>
        <v>75</v>
      </c>
      <c r="S191" t="str">
        <f ca="1">INDIRECT(ADDRESS(11+(MATCH(RIGHT(Table3[[#This Row],[spawner_sku]],LEN(Table3[[#This Row],[spawner_sku]])-FIND("/",Table3[[#This Row],[spawner_sku]])),Table28[Entity Prefab],0)),24,1,1,"Entities"))</f>
        <v>no</v>
      </c>
      <c r="T191">
        <v>3</v>
      </c>
      <c r="U191">
        <v>3</v>
      </c>
      <c r="V191" t="b">
        <v>0</v>
      </c>
      <c r="AI191" t="s">
        <v>235</v>
      </c>
      <c r="AJ191">
        <v>1</v>
      </c>
      <c r="AK191">
        <v>180</v>
      </c>
      <c r="AL191">
        <v>100</v>
      </c>
      <c r="AM191" s="75">
        <f ca="1">INDIRECT(ADDRESS(11+(MATCH(RIGHT(Table2[[#This Row],[spawner_sku]],LEN(Table2[[#This Row],[spawner_sku]])-FIND("/",Table2[[#This Row],[spawner_sku]])),Table1[Entity Prefab],0)),10,1,1,"Entities"))</f>
        <v>25</v>
      </c>
      <c r="AN191" s="75">
        <f ca="1">ROUND((Table2[[#This Row],[XP]]*Table2[[#This Row],[entity_spawned (AVG)]])*(Table2[[#This Row],[activating_chance]]/100),0)</f>
        <v>25</v>
      </c>
      <c r="AO191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91" s="72">
        <v>1</v>
      </c>
      <c r="AQ191" s="72">
        <v>1</v>
      </c>
      <c r="AR191" s="72" t="b">
        <v>0</v>
      </c>
      <c r="AT191" t="s">
        <v>256</v>
      </c>
      <c r="AU191">
        <v>1</v>
      </c>
      <c r="AV191">
        <v>150</v>
      </c>
      <c r="AW191">
        <v>30</v>
      </c>
      <c r="AX191" s="75">
        <f ca="1">INDIRECT(ADDRESS(11+(MATCH(RIGHT(Table6[[#This Row],[spawner_sku]],LEN(Table6[[#This Row],[spawner_sku]])-FIND("/",Table6[[#This Row],[spawner_sku]])),Table1[Entity Prefab],0)),10,1,1,"Entities"))</f>
        <v>25</v>
      </c>
      <c r="AY191" s="75">
        <f ca="1">ROUND((Table6[[#This Row],[XP]]*Table6[[#This Row],[entity_spawned (AVG)]])*(Table6[[#This Row],[activating_chance]]/100),0)</f>
        <v>8</v>
      </c>
      <c r="AZ191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91">
        <v>1</v>
      </c>
      <c r="BB191">
        <v>1</v>
      </c>
      <c r="BC191" t="b">
        <v>0</v>
      </c>
      <c r="BE191" t="s">
        <v>253</v>
      </c>
      <c r="BF191">
        <v>1</v>
      </c>
      <c r="BG191">
        <v>170</v>
      </c>
      <c r="BH191">
        <v>100</v>
      </c>
      <c r="BI191" s="75">
        <f ca="1">INDIRECT(ADDRESS(11+(MATCH(RIGHT(Table610[[#This Row],[spawner_sku]],LEN(Table610[[#This Row],[spawner_sku]])-FIND("/",Table610[[#This Row],[spawner_sku]])),Table1[Entity Prefab],0)),10,1,1,"Entities"))</f>
        <v>70</v>
      </c>
      <c r="BJ191" s="75">
        <f ca="1">ROUND((Table610[[#This Row],[XP]]*Table610[[#This Row],[entity_spawned (AVG)]])*(Table610[[#This Row],[activating_chance]]/100),0)</f>
        <v>70</v>
      </c>
      <c r="BK191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91">
        <v>1</v>
      </c>
      <c r="BM191">
        <v>1</v>
      </c>
      <c r="BN191" t="b">
        <v>0</v>
      </c>
      <c r="BP191" t="s">
        <v>236</v>
      </c>
      <c r="BQ191">
        <v>1</v>
      </c>
      <c r="BR191">
        <v>220</v>
      </c>
      <c r="BS191">
        <v>100</v>
      </c>
      <c r="BT191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91" s="75">
        <f ca="1">ROUND((Table61011[[#This Row],[XP]]*Table61011[[#This Row],[entity_spawned (AVG)]])*(Table61011[[#This Row],[activating_chance]]/100),0)</f>
        <v>70</v>
      </c>
      <c r="BV19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1" s="72">
        <v>1</v>
      </c>
      <c r="BX191" s="72">
        <v>1</v>
      </c>
      <c r="BY191" s="72" t="b">
        <v>0</v>
      </c>
      <c r="CA191" t="s">
        <v>452</v>
      </c>
      <c r="CB191">
        <v>1</v>
      </c>
      <c r="CC191">
        <v>280</v>
      </c>
      <c r="CD191">
        <v>100</v>
      </c>
      <c r="CE191" s="75">
        <f ca="1">INDIRECT(ADDRESS(11+(MATCH(RIGHT(Table11[[#This Row],[spawner_sku]],LEN(Table11[[#This Row],[spawner_sku]])-FIND("/",Table11[[#This Row],[spawner_sku]])),Table1[Entity Prefab],0)),10,1,1,"Entities"))</f>
        <v>70</v>
      </c>
      <c r="CF191">
        <f ca="1">ROUND((Table11[[#This Row],[XP]]*Table11[[#This Row],[entity_spawned (AVG)]])*(Table11[[#This Row],[activating_chance]]/100),0)</f>
        <v>70</v>
      </c>
      <c r="CG191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91" s="72">
        <v>1</v>
      </c>
      <c r="CI191" s="72">
        <v>1</v>
      </c>
      <c r="CJ191" s="72" t="b">
        <v>0</v>
      </c>
      <c r="CL191" t="s">
        <v>384</v>
      </c>
      <c r="CM191">
        <v>5.5</v>
      </c>
      <c r="CN191">
        <v>100</v>
      </c>
      <c r="CO191">
        <v>100</v>
      </c>
      <c r="CP191" s="75">
        <f ca="1">INDIRECT(ADDRESS(11+(MATCH(RIGHT(Table12[[#This Row],[spawner_sku]],LEN(Table12[[#This Row],[spawner_sku]])-FIND("/",Table12[[#This Row],[spawner_sku]])),Table1[Entity Prefab],0)),10,1,1,"Entities"))</f>
        <v>25</v>
      </c>
      <c r="CQ191" s="75">
        <f ca="1">ROUND((Table12[[#This Row],[XP]]*Table12[[#This Row],[entity_spawned (AVG)]])*(Table12[[#This Row],[activating_chance]]/100),0)</f>
        <v>138</v>
      </c>
      <c r="CR191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91" s="72">
        <v>5</v>
      </c>
      <c r="CT191" s="72">
        <v>6</v>
      </c>
      <c r="CU191" s="72" t="b">
        <v>1</v>
      </c>
      <c r="CW191" t="s">
        <v>254</v>
      </c>
      <c r="CX191">
        <v>1</v>
      </c>
      <c r="CY191">
        <v>170</v>
      </c>
      <c r="CZ191">
        <v>100</v>
      </c>
      <c r="DA191" s="75">
        <f ca="1">INDIRECT(ADDRESS(11+(MATCH(RIGHT(Table13[[#This Row],[spawner_sku]],LEN(Table13[[#This Row],[spawner_sku]])-FIND("/",Table13[[#This Row],[spawner_sku]])),Table1[Entity Prefab],0)),10,1,1,"Entities"))</f>
        <v>70</v>
      </c>
      <c r="DB191" s="75">
        <f ca="1">ROUND((Table13[[#This Row],[XP]]*Table13[[#This Row],[entity_spawned (AVG)]])*(Table13[[#This Row],[activating_chance]]/100),0)</f>
        <v>70</v>
      </c>
      <c r="DC191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91" s="72">
        <v>1</v>
      </c>
      <c r="DE191" s="72">
        <v>1</v>
      </c>
      <c r="DF191" s="72" t="b">
        <v>0</v>
      </c>
      <c r="DH191" t="s">
        <v>236</v>
      </c>
      <c r="DI191">
        <v>1</v>
      </c>
      <c r="DJ191">
        <v>120</v>
      </c>
      <c r="DK191">
        <v>100</v>
      </c>
      <c r="DL191" s="75">
        <f ca="1">INDIRECT(ADDRESS(11+(MATCH(RIGHT(Table14[[#This Row],[spawner_sku]],LEN(Table14[[#This Row],[spawner_sku]])-FIND("/",Table14[[#This Row],[spawner_sku]])),Table1[Entity Prefab],0)),10,1,1,"Entities"))</f>
        <v>70</v>
      </c>
      <c r="DM191" s="75">
        <f ca="1">ROUND((Table14[[#This Row],[XP]]*Table14[[#This Row],[entity_spawned (AVG)]])*(Table14[[#This Row],[activating_chance]]/100),0)</f>
        <v>70</v>
      </c>
      <c r="DN19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91" s="72">
        <v>1</v>
      </c>
      <c r="DP191" s="72">
        <v>1</v>
      </c>
      <c r="DQ191" s="72" t="b">
        <v>0</v>
      </c>
      <c r="DS191" t="s">
        <v>490</v>
      </c>
      <c r="DT191">
        <v>1</v>
      </c>
      <c r="DU191">
        <v>110</v>
      </c>
      <c r="DV191">
        <v>100</v>
      </c>
      <c r="DW191" s="75">
        <f ca="1">INDIRECT(ADDRESS(11+(MATCH(RIGHT(Table18[[#This Row],[spawner_sku]],LEN(Table18[[#This Row],[spawner_sku]])-FIND("/",Table18[[#This Row],[spawner_sku]])),Table1[Entity Prefab],0)),10,1,1,"Entities"))</f>
        <v>28</v>
      </c>
      <c r="DX191" s="75">
        <f ca="1">ROUND((Table18[[#This Row],[XP]]*Table18[[#This Row],[entity_spawned (AVG)]])*(Table18[[#This Row],[activating_chance]]/100),0)</f>
        <v>28</v>
      </c>
      <c r="DY19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91">
        <v>1</v>
      </c>
      <c r="EA191">
        <v>1</v>
      </c>
      <c r="EB191" t="b">
        <v>0</v>
      </c>
      <c r="ED191" t="s">
        <v>445</v>
      </c>
      <c r="EE191">
        <v>1</v>
      </c>
      <c r="EF191">
        <v>160</v>
      </c>
      <c r="EG191">
        <v>100</v>
      </c>
      <c r="EH191" s="75">
        <f ca="1">INDIRECT(ADDRESS(11+(MATCH(RIGHT(Table1820[[#This Row],[spawner_sku]],LEN(Table1820[[#This Row],[spawner_sku]])-FIND("/",Table1820[[#This Row],[spawner_sku]])),Table1[Entity Prefab],0)),10,1,1,"Entities"))</f>
        <v>0</v>
      </c>
      <c r="EI191" s="75">
        <f ca="1">ROUND((Table1820[[#This Row],[XP]]*Table1820[[#This Row],[entity_spawned (AVG)]])*(Table1820[[#This Row],[activating_chance]]/100),0)</f>
        <v>0</v>
      </c>
      <c r="EJ191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91">
        <v>1</v>
      </c>
      <c r="EL191">
        <v>1</v>
      </c>
      <c r="EM191" t="b">
        <v>0</v>
      </c>
      <c r="EZ191" t="s">
        <v>7357</v>
      </c>
      <c r="FA191">
        <v>7</v>
      </c>
      <c r="FB191">
        <v>100</v>
      </c>
      <c r="FC191">
        <v>100</v>
      </c>
      <c r="FD191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FE191" s="75">
        <f ca="1">ROUND((Table18202324[[#This Row],[XP]]*Table18202324[[#This Row],[entity_spawned (AVG)]])*(Table18202324[[#This Row],[activating_chance]]/100),0)</f>
        <v>350</v>
      </c>
      <c r="FF191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91">
        <v>5</v>
      </c>
      <c r="FH191">
        <v>9</v>
      </c>
      <c r="FI191" t="b">
        <v>1</v>
      </c>
    </row>
    <row r="192" spans="2:165" x14ac:dyDescent="0.25">
      <c r="B192" s="73" t="s">
        <v>230</v>
      </c>
      <c r="C192">
        <v>3</v>
      </c>
      <c r="D192">
        <v>120</v>
      </c>
      <c r="E192">
        <v>100</v>
      </c>
      <c r="F192" s="75">
        <f ca="1">INDIRECT(ADDRESS(11+(MATCH(RIGHT(Table245[[#This Row],[spawner_sku]],LEN(Table245[[#This Row],[spawner_sku]])-FIND("/",Table245[[#This Row],[spawner_sku]])),Table1[Entity Prefab],0)),10,1,1,"Entities"))</f>
        <v>25</v>
      </c>
      <c r="G192" s="75">
        <f ca="1">ROUND((Table245[[#This Row],[XP]]*Table245[[#This Row],[entity_spawned (AVG)]])*(Table245[[#This Row],[activating_chance]]/100),0)</f>
        <v>75</v>
      </c>
      <c r="H19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2" s="72">
        <v>2</v>
      </c>
      <c r="J192" s="72">
        <v>4</v>
      </c>
      <c r="K192" s="72" t="b">
        <v>0</v>
      </c>
      <c r="M192" t="s">
        <v>384</v>
      </c>
      <c r="N192">
        <v>1</v>
      </c>
      <c r="O192">
        <v>100</v>
      </c>
      <c r="P192">
        <v>100</v>
      </c>
      <c r="Q192" s="75">
        <f ca="1">INDIRECT(ADDRESS(11+(MATCH(RIGHT(Table3[[#This Row],[spawner_sku]],LEN(Table3[[#This Row],[spawner_sku]])-FIND("/",Table3[[#This Row],[spawner_sku]])),Table1[Entity Prefab],0)),10,1,1,"Entities"))</f>
        <v>25</v>
      </c>
      <c r="R192" s="75">
        <f ca="1">ROUND((Table3[[#This Row],[XP]]*Table3[[#This Row],[entity_spawned (AVG)]])*(Table3[[#This Row],[activating_chance]]/100),0)</f>
        <v>25</v>
      </c>
      <c r="S192" t="str">
        <f ca="1">INDIRECT(ADDRESS(11+(MATCH(RIGHT(Table3[[#This Row],[spawner_sku]],LEN(Table3[[#This Row],[spawner_sku]])-FIND("/",Table3[[#This Row],[spawner_sku]])),Table28[Entity Prefab],0)),24,1,1,"Entities"))</f>
        <v>no</v>
      </c>
      <c r="T192">
        <v>1</v>
      </c>
      <c r="U192">
        <v>1</v>
      </c>
      <c r="V192" t="b">
        <v>0</v>
      </c>
      <c r="AI192" t="s">
        <v>237</v>
      </c>
      <c r="AJ192">
        <v>1</v>
      </c>
      <c r="AK192">
        <v>2500</v>
      </c>
      <c r="AL192">
        <v>100</v>
      </c>
      <c r="AM192" s="75">
        <f ca="1">INDIRECT(ADDRESS(11+(MATCH(RIGHT(Table2[[#This Row],[spawner_sku]],LEN(Table2[[#This Row],[spawner_sku]])-FIND("/",Table2[[#This Row],[spawner_sku]])),Table1[Entity Prefab],0)),10,1,1,"Entities"))</f>
        <v>263</v>
      </c>
      <c r="AN192" s="75">
        <f ca="1">ROUND((Table2[[#This Row],[XP]]*Table2[[#This Row],[entity_spawned (AVG)]])*(Table2[[#This Row],[activating_chance]]/100),0)</f>
        <v>263</v>
      </c>
      <c r="AO192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92" s="72">
        <v>1</v>
      </c>
      <c r="AQ192" s="72">
        <v>1</v>
      </c>
      <c r="AR192" s="72" t="b">
        <v>0</v>
      </c>
      <c r="BE192" t="s">
        <v>254</v>
      </c>
      <c r="BF192">
        <v>1</v>
      </c>
      <c r="BG192">
        <v>200</v>
      </c>
      <c r="BH192">
        <v>100</v>
      </c>
      <c r="BI192" s="75">
        <f ca="1">INDIRECT(ADDRESS(11+(MATCH(RIGHT(Table610[[#This Row],[spawner_sku]],LEN(Table610[[#This Row],[spawner_sku]])-FIND("/",Table610[[#This Row],[spawner_sku]])),Table1[Entity Prefab],0)),10,1,1,"Entities"))</f>
        <v>70</v>
      </c>
      <c r="BJ192" s="75">
        <f ca="1">ROUND((Table610[[#This Row],[XP]]*Table610[[#This Row],[entity_spawned (AVG)]])*(Table610[[#This Row],[activating_chance]]/100),0)</f>
        <v>70</v>
      </c>
      <c r="BK192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92">
        <v>1</v>
      </c>
      <c r="BM192">
        <v>1</v>
      </c>
      <c r="BN192" t="b">
        <v>0</v>
      </c>
      <c r="BP192" t="s">
        <v>236</v>
      </c>
      <c r="BQ192">
        <v>1</v>
      </c>
      <c r="BR192">
        <v>200</v>
      </c>
      <c r="BS192">
        <v>80</v>
      </c>
      <c r="BT192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92" s="75">
        <f ca="1">ROUND((Table61011[[#This Row],[XP]]*Table61011[[#This Row],[entity_spawned (AVG)]])*(Table61011[[#This Row],[activating_chance]]/100),0)</f>
        <v>56</v>
      </c>
      <c r="BV19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2" s="72">
        <v>1</v>
      </c>
      <c r="BX192" s="72">
        <v>1</v>
      </c>
      <c r="BY192" s="72" t="b">
        <v>0</v>
      </c>
      <c r="CA192" t="s">
        <v>452</v>
      </c>
      <c r="CB192">
        <v>1.5</v>
      </c>
      <c r="CC192">
        <v>280</v>
      </c>
      <c r="CD192">
        <v>100</v>
      </c>
      <c r="CE192" s="75">
        <f ca="1">INDIRECT(ADDRESS(11+(MATCH(RIGHT(Table11[[#This Row],[spawner_sku]],LEN(Table11[[#This Row],[spawner_sku]])-FIND("/",Table11[[#This Row],[spawner_sku]])),Table1[Entity Prefab],0)),10,1,1,"Entities"))</f>
        <v>70</v>
      </c>
      <c r="CF192">
        <f ca="1">ROUND((Table11[[#This Row],[XP]]*Table11[[#This Row],[entity_spawned (AVG)]])*(Table11[[#This Row],[activating_chance]]/100),0)</f>
        <v>105</v>
      </c>
      <c r="CG192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92" s="72">
        <v>1</v>
      </c>
      <c r="CI192" s="72">
        <v>2</v>
      </c>
      <c r="CJ192" s="72" t="b">
        <v>0</v>
      </c>
      <c r="CL192" t="s">
        <v>384</v>
      </c>
      <c r="CM192">
        <v>1.5</v>
      </c>
      <c r="CN192">
        <v>100</v>
      </c>
      <c r="CO192">
        <v>100</v>
      </c>
      <c r="CP192" s="75">
        <f ca="1">INDIRECT(ADDRESS(11+(MATCH(RIGHT(Table12[[#This Row],[spawner_sku]],LEN(Table12[[#This Row],[spawner_sku]])-FIND("/",Table12[[#This Row],[spawner_sku]])),Table1[Entity Prefab],0)),10,1,1,"Entities"))</f>
        <v>25</v>
      </c>
      <c r="CQ192" s="75">
        <f ca="1">ROUND((Table12[[#This Row],[XP]]*Table12[[#This Row],[entity_spawned (AVG)]])*(Table12[[#This Row],[activating_chance]]/100),0)</f>
        <v>38</v>
      </c>
      <c r="CR192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92" s="72">
        <v>1</v>
      </c>
      <c r="CT192" s="72">
        <v>2</v>
      </c>
      <c r="CU192" s="72" t="b">
        <v>0</v>
      </c>
      <c r="CW192" t="s">
        <v>255</v>
      </c>
      <c r="CX192">
        <v>1</v>
      </c>
      <c r="CY192">
        <v>150</v>
      </c>
      <c r="CZ192">
        <v>100</v>
      </c>
      <c r="DA192" s="75">
        <f ca="1">INDIRECT(ADDRESS(11+(MATCH(RIGHT(Table13[[#This Row],[spawner_sku]],LEN(Table13[[#This Row],[spawner_sku]])-FIND("/",Table13[[#This Row],[spawner_sku]])),Table1[Entity Prefab],0)),10,1,1,"Entities"))</f>
        <v>25</v>
      </c>
      <c r="DB192" s="75">
        <f ca="1">ROUND((Table13[[#This Row],[XP]]*Table13[[#This Row],[entity_spawned (AVG)]])*(Table13[[#This Row],[activating_chance]]/100),0)</f>
        <v>25</v>
      </c>
      <c r="DC192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192" s="72">
        <v>1</v>
      </c>
      <c r="DE192" s="72">
        <v>1</v>
      </c>
      <c r="DF192" s="72" t="b">
        <v>0</v>
      </c>
      <c r="DH192" t="s">
        <v>236</v>
      </c>
      <c r="DI192">
        <v>1</v>
      </c>
      <c r="DJ192">
        <v>140</v>
      </c>
      <c r="DK192">
        <v>100</v>
      </c>
      <c r="DL192" s="75">
        <f ca="1">INDIRECT(ADDRESS(11+(MATCH(RIGHT(Table14[[#This Row],[spawner_sku]],LEN(Table14[[#This Row],[spawner_sku]])-FIND("/",Table14[[#This Row],[spawner_sku]])),Table1[Entity Prefab],0)),10,1,1,"Entities"))</f>
        <v>70</v>
      </c>
      <c r="DM192" s="75">
        <f ca="1">ROUND((Table14[[#This Row],[XP]]*Table14[[#This Row],[entity_spawned (AVG)]])*(Table14[[#This Row],[activating_chance]]/100),0)</f>
        <v>70</v>
      </c>
      <c r="DN19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92" s="72">
        <v>1</v>
      </c>
      <c r="DP192" s="72">
        <v>1</v>
      </c>
      <c r="DQ192" s="72" t="b">
        <v>0</v>
      </c>
      <c r="DS192" t="s">
        <v>491</v>
      </c>
      <c r="DT192">
        <v>2</v>
      </c>
      <c r="DU192">
        <v>100</v>
      </c>
      <c r="DV192">
        <v>100</v>
      </c>
      <c r="DW192" s="75">
        <f ca="1">INDIRECT(ADDRESS(11+(MATCH(RIGHT(Table18[[#This Row],[spawner_sku]],LEN(Table18[[#This Row],[spawner_sku]])-FIND("/",Table18[[#This Row],[spawner_sku]])),Table1[Entity Prefab],0)),10,1,1,"Entities"))</f>
        <v>25</v>
      </c>
      <c r="DX192" s="75">
        <f ca="1">ROUND((Table18[[#This Row],[XP]]*Table18[[#This Row],[entity_spawned (AVG)]])*(Table18[[#This Row],[activating_chance]]/100),0)</f>
        <v>50</v>
      </c>
      <c r="DY19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92">
        <v>2</v>
      </c>
      <c r="EA192">
        <v>2</v>
      </c>
      <c r="EB192" t="b">
        <v>0</v>
      </c>
      <c r="ED192" t="s">
        <v>445</v>
      </c>
      <c r="EE192">
        <v>1</v>
      </c>
      <c r="EF192">
        <v>180</v>
      </c>
      <c r="EG192">
        <v>100</v>
      </c>
      <c r="EH192" s="75">
        <f ca="1">INDIRECT(ADDRESS(11+(MATCH(RIGHT(Table1820[[#This Row],[spawner_sku]],LEN(Table1820[[#This Row],[spawner_sku]])-FIND("/",Table1820[[#This Row],[spawner_sku]])),Table1[Entity Prefab],0)),10,1,1,"Entities"))</f>
        <v>0</v>
      </c>
      <c r="EI192" s="75">
        <f ca="1">ROUND((Table1820[[#This Row],[XP]]*Table1820[[#This Row],[entity_spawned (AVG)]])*(Table1820[[#This Row],[activating_chance]]/100),0)</f>
        <v>0</v>
      </c>
      <c r="EJ192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92">
        <v>1</v>
      </c>
      <c r="EL192">
        <v>1</v>
      </c>
      <c r="EM192" t="b">
        <v>0</v>
      </c>
      <c r="EZ192" t="s">
        <v>7357</v>
      </c>
      <c r="FA192">
        <v>3.5</v>
      </c>
      <c r="FB192">
        <v>80</v>
      </c>
      <c r="FC192">
        <v>100</v>
      </c>
      <c r="FD192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FE192" s="75">
        <f ca="1">ROUND((Table18202324[[#This Row],[XP]]*Table18202324[[#This Row],[entity_spawned (AVG)]])*(Table18202324[[#This Row],[activating_chance]]/100),0)</f>
        <v>175</v>
      </c>
      <c r="FF192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92">
        <v>3</v>
      </c>
      <c r="FH192">
        <v>4</v>
      </c>
      <c r="FI192" t="b">
        <v>0</v>
      </c>
    </row>
    <row r="193" spans="2:165" x14ac:dyDescent="0.25">
      <c r="B193" s="73" t="s">
        <v>230</v>
      </c>
      <c r="C193">
        <v>7</v>
      </c>
      <c r="D193">
        <v>140</v>
      </c>
      <c r="E193">
        <v>100</v>
      </c>
      <c r="F193" s="75">
        <f ca="1">INDIRECT(ADDRESS(11+(MATCH(RIGHT(Table245[[#This Row],[spawner_sku]],LEN(Table245[[#This Row],[spawner_sku]])-FIND("/",Table245[[#This Row],[spawner_sku]])),Table1[Entity Prefab],0)),10,1,1,"Entities"))</f>
        <v>25</v>
      </c>
      <c r="G193" s="75">
        <f ca="1">ROUND((Table245[[#This Row],[XP]]*Table245[[#This Row],[entity_spawned (AVG)]])*(Table245[[#This Row],[activating_chance]]/100),0)</f>
        <v>175</v>
      </c>
      <c r="H19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3" s="72">
        <v>6</v>
      </c>
      <c r="J193" s="72">
        <v>8</v>
      </c>
      <c r="K193" s="72" t="b">
        <v>1</v>
      </c>
      <c r="M193" t="s">
        <v>384</v>
      </c>
      <c r="N193">
        <v>3.5</v>
      </c>
      <c r="O193">
        <v>100</v>
      </c>
      <c r="P193">
        <v>100</v>
      </c>
      <c r="Q193" s="75">
        <f ca="1">INDIRECT(ADDRESS(11+(MATCH(RIGHT(Table3[[#This Row],[spawner_sku]],LEN(Table3[[#This Row],[spawner_sku]])-FIND("/",Table3[[#This Row],[spawner_sku]])),Table1[Entity Prefab],0)),10,1,1,"Entities"))</f>
        <v>25</v>
      </c>
      <c r="R193" s="75">
        <f ca="1">ROUND((Table3[[#This Row],[XP]]*Table3[[#This Row],[entity_spawned (AVG)]])*(Table3[[#This Row],[activating_chance]]/100),0)</f>
        <v>88</v>
      </c>
      <c r="S193" t="str">
        <f ca="1">INDIRECT(ADDRESS(11+(MATCH(RIGHT(Table3[[#This Row],[spawner_sku]],LEN(Table3[[#This Row],[spawner_sku]])-FIND("/",Table3[[#This Row],[spawner_sku]])),Table28[Entity Prefab],0)),24,1,1,"Entities"))</f>
        <v>no</v>
      </c>
      <c r="T193">
        <v>3</v>
      </c>
      <c r="U193">
        <v>4</v>
      </c>
      <c r="V193" t="b">
        <v>0</v>
      </c>
      <c r="AI193" t="s">
        <v>237</v>
      </c>
      <c r="AJ193">
        <v>1</v>
      </c>
      <c r="AK193">
        <v>2500</v>
      </c>
      <c r="AL193">
        <v>100</v>
      </c>
      <c r="AM193" s="75">
        <f ca="1">INDIRECT(ADDRESS(11+(MATCH(RIGHT(Table2[[#This Row],[spawner_sku]],LEN(Table2[[#This Row],[spawner_sku]])-FIND("/",Table2[[#This Row],[spawner_sku]])),Table1[Entity Prefab],0)),10,1,1,"Entities"))</f>
        <v>263</v>
      </c>
      <c r="AN193" s="75">
        <f ca="1">ROUND((Table2[[#This Row],[XP]]*Table2[[#This Row],[entity_spawned (AVG)]])*(Table2[[#This Row],[activating_chance]]/100),0)</f>
        <v>263</v>
      </c>
      <c r="AO19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93" s="72">
        <v>1</v>
      </c>
      <c r="AQ193" s="72">
        <v>1</v>
      </c>
      <c r="AR193" s="72" t="b">
        <v>0</v>
      </c>
      <c r="BE193" t="s">
        <v>254</v>
      </c>
      <c r="BF193">
        <v>1</v>
      </c>
      <c r="BG193">
        <v>170</v>
      </c>
      <c r="BH193">
        <v>100</v>
      </c>
      <c r="BI193" s="75">
        <f ca="1">INDIRECT(ADDRESS(11+(MATCH(RIGHT(Table610[[#This Row],[spawner_sku]],LEN(Table610[[#This Row],[spawner_sku]])-FIND("/",Table610[[#This Row],[spawner_sku]])),Table1[Entity Prefab],0)),10,1,1,"Entities"))</f>
        <v>70</v>
      </c>
      <c r="BJ193" s="75">
        <f ca="1">ROUND((Table610[[#This Row],[XP]]*Table610[[#This Row],[entity_spawned (AVG)]])*(Table610[[#This Row],[activating_chance]]/100),0)</f>
        <v>70</v>
      </c>
      <c r="BK193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93">
        <v>1</v>
      </c>
      <c r="BM193">
        <v>1</v>
      </c>
      <c r="BN193" t="b">
        <v>0</v>
      </c>
      <c r="BP193" t="s">
        <v>236</v>
      </c>
      <c r="BQ193">
        <v>1</v>
      </c>
      <c r="BR193">
        <v>200</v>
      </c>
      <c r="BS193">
        <v>100</v>
      </c>
      <c r="BT193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93" s="75">
        <f ca="1">ROUND((Table61011[[#This Row],[XP]]*Table61011[[#This Row],[entity_spawned (AVG)]])*(Table61011[[#This Row],[activating_chance]]/100),0)</f>
        <v>70</v>
      </c>
      <c r="BV19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3" s="72">
        <v>1</v>
      </c>
      <c r="BX193" s="72">
        <v>1</v>
      </c>
      <c r="BY193" s="72" t="b">
        <v>0</v>
      </c>
      <c r="CA193" t="s">
        <v>452</v>
      </c>
      <c r="CB193">
        <v>3.5</v>
      </c>
      <c r="CC193">
        <v>280</v>
      </c>
      <c r="CD193">
        <v>100</v>
      </c>
      <c r="CE193" s="75">
        <f ca="1">INDIRECT(ADDRESS(11+(MATCH(RIGHT(Table11[[#This Row],[spawner_sku]],LEN(Table11[[#This Row],[spawner_sku]])-FIND("/",Table11[[#This Row],[spawner_sku]])),Table1[Entity Prefab],0)),10,1,1,"Entities"))</f>
        <v>70</v>
      </c>
      <c r="CF193">
        <f ca="1">ROUND((Table11[[#This Row],[XP]]*Table11[[#This Row],[entity_spawned (AVG)]])*(Table11[[#This Row],[activating_chance]]/100),0)</f>
        <v>245</v>
      </c>
      <c r="CG193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93" s="72">
        <v>3</v>
      </c>
      <c r="CI193" s="72">
        <v>4</v>
      </c>
      <c r="CJ193" s="72" t="b">
        <v>0</v>
      </c>
      <c r="CL193" t="s">
        <v>384</v>
      </c>
      <c r="CM193">
        <v>1.5</v>
      </c>
      <c r="CN193">
        <v>100</v>
      </c>
      <c r="CO193">
        <v>100</v>
      </c>
      <c r="CP193" s="75">
        <f ca="1">INDIRECT(ADDRESS(11+(MATCH(RIGHT(Table12[[#This Row],[spawner_sku]],LEN(Table12[[#This Row],[spawner_sku]])-FIND("/",Table12[[#This Row],[spawner_sku]])),Table1[Entity Prefab],0)),10,1,1,"Entities"))</f>
        <v>25</v>
      </c>
      <c r="CQ193" s="75">
        <f ca="1">ROUND((Table12[[#This Row],[XP]]*Table12[[#This Row],[entity_spawned (AVG)]])*(Table12[[#This Row],[activating_chance]]/100),0)</f>
        <v>38</v>
      </c>
      <c r="CR193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93" s="72">
        <v>1</v>
      </c>
      <c r="CT193" s="72">
        <v>2</v>
      </c>
      <c r="CU193" s="72" t="b">
        <v>0</v>
      </c>
      <c r="CW193" t="s">
        <v>255</v>
      </c>
      <c r="CX193">
        <v>1</v>
      </c>
      <c r="CY193">
        <v>150</v>
      </c>
      <c r="CZ193">
        <v>100</v>
      </c>
      <c r="DA193" s="75">
        <f ca="1">INDIRECT(ADDRESS(11+(MATCH(RIGHT(Table13[[#This Row],[spawner_sku]],LEN(Table13[[#This Row],[spawner_sku]])-FIND("/",Table13[[#This Row],[spawner_sku]])),Table1[Entity Prefab],0)),10,1,1,"Entities"))</f>
        <v>25</v>
      </c>
      <c r="DB193" s="75">
        <f ca="1">ROUND((Table13[[#This Row],[XP]]*Table13[[#This Row],[entity_spawned (AVG)]])*(Table13[[#This Row],[activating_chance]]/100),0)</f>
        <v>25</v>
      </c>
      <c r="DC193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193" s="72">
        <v>1</v>
      </c>
      <c r="DE193" s="72">
        <v>1</v>
      </c>
      <c r="DF193" s="72" t="b">
        <v>0</v>
      </c>
      <c r="DH193" t="s">
        <v>236</v>
      </c>
      <c r="DI193">
        <v>1</v>
      </c>
      <c r="DJ193">
        <v>130</v>
      </c>
      <c r="DK193">
        <v>100</v>
      </c>
      <c r="DL193" s="75">
        <f ca="1">INDIRECT(ADDRESS(11+(MATCH(RIGHT(Table14[[#This Row],[spawner_sku]],LEN(Table14[[#This Row],[spawner_sku]])-FIND("/",Table14[[#This Row],[spawner_sku]])),Table1[Entity Prefab],0)),10,1,1,"Entities"))</f>
        <v>70</v>
      </c>
      <c r="DM193" s="75">
        <f ca="1">ROUND((Table14[[#This Row],[XP]]*Table14[[#This Row],[entity_spawned (AVG)]])*(Table14[[#This Row],[activating_chance]]/100),0)</f>
        <v>70</v>
      </c>
      <c r="DN19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93" s="72">
        <v>1</v>
      </c>
      <c r="DP193" s="72">
        <v>1</v>
      </c>
      <c r="DQ193" s="72" t="b">
        <v>0</v>
      </c>
      <c r="DS193" t="s">
        <v>491</v>
      </c>
      <c r="DT193">
        <v>2</v>
      </c>
      <c r="DU193">
        <v>100</v>
      </c>
      <c r="DV193">
        <v>100</v>
      </c>
      <c r="DW193" s="75">
        <f ca="1">INDIRECT(ADDRESS(11+(MATCH(RIGHT(Table18[[#This Row],[spawner_sku]],LEN(Table18[[#This Row],[spawner_sku]])-FIND("/",Table18[[#This Row],[spawner_sku]])),Table1[Entity Prefab],0)),10,1,1,"Entities"))</f>
        <v>25</v>
      </c>
      <c r="DX193" s="75">
        <f ca="1">ROUND((Table18[[#This Row],[XP]]*Table18[[#This Row],[entity_spawned (AVG)]])*(Table18[[#This Row],[activating_chance]]/100),0)</f>
        <v>50</v>
      </c>
      <c r="DY19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93">
        <v>2</v>
      </c>
      <c r="EA193">
        <v>2</v>
      </c>
      <c r="EB193" t="b">
        <v>0</v>
      </c>
      <c r="ED193" t="s">
        <v>445</v>
      </c>
      <c r="EE193">
        <v>1</v>
      </c>
      <c r="EF193">
        <v>180</v>
      </c>
      <c r="EG193">
        <v>100</v>
      </c>
      <c r="EH193" s="75">
        <f ca="1">INDIRECT(ADDRESS(11+(MATCH(RIGHT(Table1820[[#This Row],[spawner_sku]],LEN(Table1820[[#This Row],[spawner_sku]])-FIND("/",Table1820[[#This Row],[spawner_sku]])),Table1[Entity Prefab],0)),10,1,1,"Entities"))</f>
        <v>0</v>
      </c>
      <c r="EI193" s="75">
        <f ca="1">ROUND((Table1820[[#This Row],[XP]]*Table1820[[#This Row],[entity_spawned (AVG)]])*(Table1820[[#This Row],[activating_chance]]/100),0)</f>
        <v>0</v>
      </c>
      <c r="EJ193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93">
        <v>1</v>
      </c>
      <c r="EL193">
        <v>1</v>
      </c>
      <c r="EM193" t="b">
        <v>0</v>
      </c>
      <c r="EZ193" t="s">
        <v>7357</v>
      </c>
      <c r="FA193">
        <v>3.5</v>
      </c>
      <c r="FB193">
        <v>90</v>
      </c>
      <c r="FC193">
        <v>100</v>
      </c>
      <c r="FD193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FE193" s="75">
        <f ca="1">ROUND((Table18202324[[#This Row],[XP]]*Table18202324[[#This Row],[entity_spawned (AVG)]])*(Table18202324[[#This Row],[activating_chance]]/100),0)</f>
        <v>175</v>
      </c>
      <c r="FF193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93">
        <v>3</v>
      </c>
      <c r="FH193">
        <v>4</v>
      </c>
      <c r="FI193" t="b">
        <v>0</v>
      </c>
    </row>
    <row r="194" spans="2:165" x14ac:dyDescent="0.25">
      <c r="B194" s="73" t="s">
        <v>230</v>
      </c>
      <c r="C194">
        <v>3.5</v>
      </c>
      <c r="D194">
        <v>80</v>
      </c>
      <c r="E194">
        <v>100</v>
      </c>
      <c r="F194" s="75">
        <f ca="1">INDIRECT(ADDRESS(11+(MATCH(RIGHT(Table245[[#This Row],[spawner_sku]],LEN(Table245[[#This Row],[spawner_sku]])-FIND("/",Table245[[#This Row],[spawner_sku]])),Table1[Entity Prefab],0)),10,1,1,"Entities"))</f>
        <v>25</v>
      </c>
      <c r="G194" s="75">
        <f ca="1">ROUND((Table245[[#This Row],[XP]]*Table245[[#This Row],[entity_spawned (AVG)]])*(Table245[[#This Row],[activating_chance]]/100),0)</f>
        <v>88</v>
      </c>
      <c r="H19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4" s="72">
        <v>3</v>
      </c>
      <c r="J194" s="72">
        <v>4</v>
      </c>
      <c r="K194" s="72" t="b">
        <v>0</v>
      </c>
      <c r="M194" t="s">
        <v>384</v>
      </c>
      <c r="N194">
        <v>3</v>
      </c>
      <c r="O194">
        <v>100</v>
      </c>
      <c r="P194">
        <v>100</v>
      </c>
      <c r="Q194" s="75">
        <f ca="1">INDIRECT(ADDRESS(11+(MATCH(RIGHT(Table3[[#This Row],[spawner_sku]],LEN(Table3[[#This Row],[spawner_sku]])-FIND("/",Table3[[#This Row],[spawner_sku]])),Table1[Entity Prefab],0)),10,1,1,"Entities"))</f>
        <v>25</v>
      </c>
      <c r="R194" s="75">
        <f ca="1">ROUND((Table3[[#This Row],[XP]]*Table3[[#This Row],[entity_spawned (AVG)]])*(Table3[[#This Row],[activating_chance]]/100),0)</f>
        <v>75</v>
      </c>
      <c r="S194" t="str">
        <f ca="1">INDIRECT(ADDRESS(11+(MATCH(RIGHT(Table3[[#This Row],[spawner_sku]],LEN(Table3[[#This Row],[spawner_sku]])-FIND("/",Table3[[#This Row],[spawner_sku]])),Table28[Entity Prefab],0)),24,1,1,"Entities"))</f>
        <v>no</v>
      </c>
      <c r="T194">
        <v>3</v>
      </c>
      <c r="U194">
        <v>3</v>
      </c>
      <c r="V194" t="b">
        <v>0</v>
      </c>
      <c r="AI194" t="s">
        <v>237</v>
      </c>
      <c r="AJ194">
        <v>1</v>
      </c>
      <c r="AK194">
        <v>2500</v>
      </c>
      <c r="AL194">
        <v>100</v>
      </c>
      <c r="AM194" s="75">
        <f ca="1">INDIRECT(ADDRESS(11+(MATCH(RIGHT(Table2[[#This Row],[spawner_sku]],LEN(Table2[[#This Row],[spawner_sku]])-FIND("/",Table2[[#This Row],[spawner_sku]])),Table1[Entity Prefab],0)),10,1,1,"Entities"))</f>
        <v>263</v>
      </c>
      <c r="AN194" s="75">
        <f ca="1">ROUND((Table2[[#This Row],[XP]]*Table2[[#This Row],[entity_spawned (AVG)]])*(Table2[[#This Row],[activating_chance]]/100),0)</f>
        <v>263</v>
      </c>
      <c r="AO194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94" s="72">
        <v>1</v>
      </c>
      <c r="AQ194" s="72">
        <v>1</v>
      </c>
      <c r="AR194" s="72" t="b">
        <v>0</v>
      </c>
      <c r="BE194" t="s">
        <v>254</v>
      </c>
      <c r="BF194">
        <v>1</v>
      </c>
      <c r="BG194">
        <v>170</v>
      </c>
      <c r="BH194">
        <v>100</v>
      </c>
      <c r="BI194" s="75">
        <f ca="1">INDIRECT(ADDRESS(11+(MATCH(RIGHT(Table610[[#This Row],[spawner_sku]],LEN(Table610[[#This Row],[spawner_sku]])-FIND("/",Table610[[#This Row],[spawner_sku]])),Table1[Entity Prefab],0)),10,1,1,"Entities"))</f>
        <v>70</v>
      </c>
      <c r="BJ194" s="75">
        <f ca="1">ROUND((Table610[[#This Row],[XP]]*Table610[[#This Row],[entity_spawned (AVG)]])*(Table610[[#This Row],[activating_chance]]/100),0)</f>
        <v>70</v>
      </c>
      <c r="BK194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94">
        <v>1</v>
      </c>
      <c r="BM194">
        <v>1</v>
      </c>
      <c r="BN194" t="b">
        <v>0</v>
      </c>
      <c r="BP194" t="s">
        <v>236</v>
      </c>
      <c r="BQ194">
        <v>1</v>
      </c>
      <c r="BR194">
        <v>200</v>
      </c>
      <c r="BS194">
        <v>100</v>
      </c>
      <c r="BT194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94" s="75">
        <f ca="1">ROUND((Table61011[[#This Row],[XP]]*Table61011[[#This Row],[entity_spawned (AVG)]])*(Table61011[[#This Row],[activating_chance]]/100),0)</f>
        <v>70</v>
      </c>
      <c r="BV19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4" s="72">
        <v>1</v>
      </c>
      <c r="BX194" s="72">
        <v>1</v>
      </c>
      <c r="BY194" s="72" t="b">
        <v>0</v>
      </c>
      <c r="CA194" t="s">
        <v>452</v>
      </c>
      <c r="CB194">
        <v>3.5</v>
      </c>
      <c r="CC194">
        <v>280</v>
      </c>
      <c r="CD194">
        <v>100</v>
      </c>
      <c r="CE194" s="75">
        <f ca="1">INDIRECT(ADDRESS(11+(MATCH(RIGHT(Table11[[#This Row],[spawner_sku]],LEN(Table11[[#This Row],[spawner_sku]])-FIND("/",Table11[[#This Row],[spawner_sku]])),Table1[Entity Prefab],0)),10,1,1,"Entities"))</f>
        <v>70</v>
      </c>
      <c r="CF194">
        <f ca="1">ROUND((Table11[[#This Row],[XP]]*Table11[[#This Row],[entity_spawned (AVG)]])*(Table11[[#This Row],[activating_chance]]/100),0)</f>
        <v>245</v>
      </c>
      <c r="CG194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94" s="72">
        <v>3</v>
      </c>
      <c r="CI194" s="72">
        <v>4</v>
      </c>
      <c r="CJ194" s="72" t="b">
        <v>0</v>
      </c>
      <c r="CL194" t="s">
        <v>384</v>
      </c>
      <c r="CM194">
        <v>1.5</v>
      </c>
      <c r="CN194">
        <v>100</v>
      </c>
      <c r="CO194">
        <v>30</v>
      </c>
      <c r="CP194" s="75">
        <f ca="1">INDIRECT(ADDRESS(11+(MATCH(RIGHT(Table12[[#This Row],[spawner_sku]],LEN(Table12[[#This Row],[spawner_sku]])-FIND("/",Table12[[#This Row],[spawner_sku]])),Table1[Entity Prefab],0)),10,1,1,"Entities"))</f>
        <v>25</v>
      </c>
      <c r="CQ194" s="75">
        <f ca="1">ROUND((Table12[[#This Row],[XP]]*Table12[[#This Row],[entity_spawned (AVG)]])*(Table12[[#This Row],[activating_chance]]/100),0)</f>
        <v>11</v>
      </c>
      <c r="CR194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94" s="72">
        <v>1</v>
      </c>
      <c r="CT194" s="72">
        <v>2</v>
      </c>
      <c r="CU194" s="72" t="b">
        <v>0</v>
      </c>
      <c r="CW194" t="s">
        <v>255</v>
      </c>
      <c r="CX194">
        <v>1</v>
      </c>
      <c r="CY194">
        <v>150</v>
      </c>
      <c r="CZ194">
        <v>80</v>
      </c>
      <c r="DA194" s="75">
        <f ca="1">INDIRECT(ADDRESS(11+(MATCH(RIGHT(Table13[[#This Row],[spawner_sku]],LEN(Table13[[#This Row],[spawner_sku]])-FIND("/",Table13[[#This Row],[spawner_sku]])),Table1[Entity Prefab],0)),10,1,1,"Entities"))</f>
        <v>25</v>
      </c>
      <c r="DB194" s="75">
        <f ca="1">ROUND((Table13[[#This Row],[XP]]*Table13[[#This Row],[entity_spawned (AVG)]])*(Table13[[#This Row],[activating_chance]]/100),0)</f>
        <v>20</v>
      </c>
      <c r="DC194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194" s="72">
        <v>1</v>
      </c>
      <c r="DE194" s="72">
        <v>1</v>
      </c>
      <c r="DF194" s="72" t="b">
        <v>0</v>
      </c>
      <c r="DH194" t="s">
        <v>236</v>
      </c>
      <c r="DI194">
        <v>1</v>
      </c>
      <c r="DJ194">
        <v>170</v>
      </c>
      <c r="DK194">
        <v>100</v>
      </c>
      <c r="DL194" s="75">
        <f ca="1">INDIRECT(ADDRESS(11+(MATCH(RIGHT(Table14[[#This Row],[spawner_sku]],LEN(Table14[[#This Row],[spawner_sku]])-FIND("/",Table14[[#This Row],[spawner_sku]])),Table1[Entity Prefab],0)),10,1,1,"Entities"))</f>
        <v>70</v>
      </c>
      <c r="DM194" s="75">
        <f ca="1">ROUND((Table14[[#This Row],[XP]]*Table14[[#This Row],[entity_spawned (AVG)]])*(Table14[[#This Row],[activating_chance]]/100),0)</f>
        <v>70</v>
      </c>
      <c r="DN19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94" s="72">
        <v>1</v>
      </c>
      <c r="DP194" s="72">
        <v>1</v>
      </c>
      <c r="DQ194" s="72" t="b">
        <v>0</v>
      </c>
      <c r="DS194" t="s">
        <v>491</v>
      </c>
      <c r="DT194">
        <v>1</v>
      </c>
      <c r="DU194">
        <v>100</v>
      </c>
      <c r="DV194">
        <v>100</v>
      </c>
      <c r="DW194" s="75">
        <f ca="1">INDIRECT(ADDRESS(11+(MATCH(RIGHT(Table18[[#This Row],[spawner_sku]],LEN(Table18[[#This Row],[spawner_sku]])-FIND("/",Table18[[#This Row],[spawner_sku]])),Table1[Entity Prefab],0)),10,1,1,"Entities"))</f>
        <v>25</v>
      </c>
      <c r="DX194" s="75">
        <f ca="1">ROUND((Table18[[#This Row],[XP]]*Table18[[#This Row],[entity_spawned (AVG)]])*(Table18[[#This Row],[activating_chance]]/100),0)</f>
        <v>25</v>
      </c>
      <c r="DY19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94">
        <v>1</v>
      </c>
      <c r="EA194">
        <v>1</v>
      </c>
      <c r="EB194" t="b">
        <v>0</v>
      </c>
      <c r="ED194" t="s">
        <v>606</v>
      </c>
      <c r="EE194">
        <v>1</v>
      </c>
      <c r="EF194">
        <v>5000</v>
      </c>
      <c r="EG194">
        <v>75</v>
      </c>
      <c r="EH194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194" s="75">
        <f ca="1">ROUND((Table1820[[#This Row],[XP]]*Table1820[[#This Row],[entity_spawned (AVG)]])*(Table1820[[#This Row],[activating_chance]]/100),0)</f>
        <v>19</v>
      </c>
      <c r="EJ19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94">
        <v>1</v>
      </c>
      <c r="EL194">
        <v>1</v>
      </c>
      <c r="EM194" t="b">
        <v>0</v>
      </c>
      <c r="EZ194" t="s">
        <v>7357</v>
      </c>
      <c r="FA194">
        <v>3.5</v>
      </c>
      <c r="FB194">
        <v>90</v>
      </c>
      <c r="FC194">
        <v>100</v>
      </c>
      <c r="FD194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FE194" s="75">
        <f ca="1">ROUND((Table18202324[[#This Row],[XP]]*Table18202324[[#This Row],[entity_spawned (AVG)]])*(Table18202324[[#This Row],[activating_chance]]/100),0)</f>
        <v>175</v>
      </c>
      <c r="FF194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94">
        <v>3</v>
      </c>
      <c r="FH194">
        <v>4</v>
      </c>
      <c r="FI194" t="b">
        <v>0</v>
      </c>
    </row>
    <row r="195" spans="2:165" x14ac:dyDescent="0.25">
      <c r="B195" s="73" t="s">
        <v>230</v>
      </c>
      <c r="C195">
        <v>2</v>
      </c>
      <c r="D195">
        <v>110</v>
      </c>
      <c r="E195">
        <v>100</v>
      </c>
      <c r="F195" s="75">
        <f ca="1">INDIRECT(ADDRESS(11+(MATCH(RIGHT(Table245[[#This Row],[spawner_sku]],LEN(Table245[[#This Row],[spawner_sku]])-FIND("/",Table245[[#This Row],[spawner_sku]])),Table1[Entity Prefab],0)),10,1,1,"Entities"))</f>
        <v>25</v>
      </c>
      <c r="G195" s="75">
        <f ca="1">ROUND((Table245[[#This Row],[XP]]*Table245[[#This Row],[entity_spawned (AVG)]])*(Table245[[#This Row],[activating_chance]]/100),0)</f>
        <v>50</v>
      </c>
      <c r="H19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5" s="72">
        <v>2</v>
      </c>
      <c r="J195" s="72">
        <v>2</v>
      </c>
      <c r="K195" s="72" t="b">
        <v>0</v>
      </c>
      <c r="M195" t="s">
        <v>384</v>
      </c>
      <c r="N195">
        <v>3</v>
      </c>
      <c r="O195">
        <v>100</v>
      </c>
      <c r="P195">
        <v>100</v>
      </c>
      <c r="Q195" s="75">
        <f ca="1">INDIRECT(ADDRESS(11+(MATCH(RIGHT(Table3[[#This Row],[spawner_sku]],LEN(Table3[[#This Row],[spawner_sku]])-FIND("/",Table3[[#This Row],[spawner_sku]])),Table1[Entity Prefab],0)),10,1,1,"Entities"))</f>
        <v>25</v>
      </c>
      <c r="R195" s="75">
        <f ca="1">ROUND((Table3[[#This Row],[XP]]*Table3[[#This Row],[entity_spawned (AVG)]])*(Table3[[#This Row],[activating_chance]]/100),0)</f>
        <v>75</v>
      </c>
      <c r="S195" t="str">
        <f ca="1">INDIRECT(ADDRESS(11+(MATCH(RIGHT(Table3[[#This Row],[spawner_sku]],LEN(Table3[[#This Row],[spawner_sku]])-FIND("/",Table3[[#This Row],[spawner_sku]])),Table28[Entity Prefab],0)),24,1,1,"Entities"))</f>
        <v>no</v>
      </c>
      <c r="T195">
        <v>3</v>
      </c>
      <c r="U195">
        <v>3</v>
      </c>
      <c r="V195" t="b">
        <v>0</v>
      </c>
      <c r="AI195" t="s">
        <v>237</v>
      </c>
      <c r="AJ195">
        <v>1</v>
      </c>
      <c r="AK195">
        <v>2500</v>
      </c>
      <c r="AL195">
        <v>100</v>
      </c>
      <c r="AM195" s="75">
        <f ca="1">INDIRECT(ADDRESS(11+(MATCH(RIGHT(Table2[[#This Row],[spawner_sku]],LEN(Table2[[#This Row],[spawner_sku]])-FIND("/",Table2[[#This Row],[spawner_sku]])),Table1[Entity Prefab],0)),10,1,1,"Entities"))</f>
        <v>263</v>
      </c>
      <c r="AN195" s="75">
        <f ca="1">ROUND((Table2[[#This Row],[XP]]*Table2[[#This Row],[entity_spawned (AVG)]])*(Table2[[#This Row],[activating_chance]]/100),0)</f>
        <v>263</v>
      </c>
      <c r="AO195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95" s="72">
        <v>1</v>
      </c>
      <c r="AQ195" s="72">
        <v>1</v>
      </c>
      <c r="AR195" s="72" t="b">
        <v>0</v>
      </c>
      <c r="BE195" t="s">
        <v>254</v>
      </c>
      <c r="BF195">
        <v>1</v>
      </c>
      <c r="BG195">
        <v>200</v>
      </c>
      <c r="BH195">
        <v>100</v>
      </c>
      <c r="BI195" s="75">
        <f ca="1">INDIRECT(ADDRESS(11+(MATCH(RIGHT(Table610[[#This Row],[spawner_sku]],LEN(Table610[[#This Row],[spawner_sku]])-FIND("/",Table610[[#This Row],[spawner_sku]])),Table1[Entity Prefab],0)),10,1,1,"Entities"))</f>
        <v>70</v>
      </c>
      <c r="BJ195" s="75">
        <f ca="1">ROUND((Table610[[#This Row],[XP]]*Table610[[#This Row],[entity_spawned (AVG)]])*(Table610[[#This Row],[activating_chance]]/100),0)</f>
        <v>70</v>
      </c>
      <c r="BK195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95">
        <v>1</v>
      </c>
      <c r="BM195">
        <v>1</v>
      </c>
      <c r="BN195" t="b">
        <v>0</v>
      </c>
      <c r="BP195" t="s">
        <v>236</v>
      </c>
      <c r="BQ195">
        <v>1</v>
      </c>
      <c r="BR195">
        <v>220</v>
      </c>
      <c r="BS195">
        <v>100</v>
      </c>
      <c r="BT195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95" s="75">
        <f ca="1">ROUND((Table61011[[#This Row],[XP]]*Table61011[[#This Row],[entity_spawned (AVG)]])*(Table61011[[#This Row],[activating_chance]]/100),0)</f>
        <v>70</v>
      </c>
      <c r="BV19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5" s="72">
        <v>1</v>
      </c>
      <c r="BX195" s="72">
        <v>1</v>
      </c>
      <c r="BY195" s="72" t="b">
        <v>0</v>
      </c>
      <c r="CA195" t="s">
        <v>629</v>
      </c>
      <c r="CB195">
        <v>1</v>
      </c>
      <c r="CC195">
        <v>120</v>
      </c>
      <c r="CD195">
        <v>100</v>
      </c>
      <c r="CE195" s="75">
        <f ca="1">INDIRECT(ADDRESS(11+(MATCH(RIGHT(Table11[[#This Row],[spawner_sku]],LEN(Table11[[#This Row],[spawner_sku]])-FIND("/",Table11[[#This Row],[spawner_sku]])),Table1[Entity Prefab],0)),10,1,1,"Entities"))</f>
        <v>50</v>
      </c>
      <c r="CF195">
        <f ca="1">ROUND((Table11[[#This Row],[XP]]*Table11[[#This Row],[entity_spawned (AVG)]])*(Table11[[#This Row],[activating_chance]]/100),0)</f>
        <v>50</v>
      </c>
      <c r="CG195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195" s="72">
        <v>1</v>
      </c>
      <c r="CI195" s="72">
        <v>1</v>
      </c>
      <c r="CJ195" s="72" t="b">
        <v>0</v>
      </c>
      <c r="CL195" t="s">
        <v>384</v>
      </c>
      <c r="CM195">
        <v>3</v>
      </c>
      <c r="CN195">
        <v>100</v>
      </c>
      <c r="CO195">
        <v>100</v>
      </c>
      <c r="CP195" s="75">
        <f ca="1">INDIRECT(ADDRESS(11+(MATCH(RIGHT(Table12[[#This Row],[spawner_sku]],LEN(Table12[[#This Row],[spawner_sku]])-FIND("/",Table12[[#This Row],[spawner_sku]])),Table1[Entity Prefab],0)),10,1,1,"Entities"))</f>
        <v>25</v>
      </c>
      <c r="CQ195" s="75">
        <f ca="1">ROUND((Table12[[#This Row],[XP]]*Table12[[#This Row],[entity_spawned (AVG)]])*(Table12[[#This Row],[activating_chance]]/100),0)</f>
        <v>75</v>
      </c>
      <c r="CR195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95" s="72">
        <v>2</v>
      </c>
      <c r="CT195" s="72">
        <v>4</v>
      </c>
      <c r="CU195" s="72" t="b">
        <v>0</v>
      </c>
      <c r="CW195" t="s">
        <v>255</v>
      </c>
      <c r="CX195">
        <v>1</v>
      </c>
      <c r="CY195">
        <v>150</v>
      </c>
      <c r="CZ195">
        <v>100</v>
      </c>
      <c r="DA195" s="75">
        <f ca="1">INDIRECT(ADDRESS(11+(MATCH(RIGHT(Table13[[#This Row],[spawner_sku]],LEN(Table13[[#This Row],[spawner_sku]])-FIND("/",Table13[[#This Row],[spawner_sku]])),Table1[Entity Prefab],0)),10,1,1,"Entities"))</f>
        <v>25</v>
      </c>
      <c r="DB195" s="75">
        <f ca="1">ROUND((Table13[[#This Row],[XP]]*Table13[[#This Row],[entity_spawned (AVG)]])*(Table13[[#This Row],[activating_chance]]/100),0)</f>
        <v>25</v>
      </c>
      <c r="DC195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195" s="72">
        <v>1</v>
      </c>
      <c r="DE195" s="72">
        <v>1</v>
      </c>
      <c r="DF195" s="72" t="b">
        <v>0</v>
      </c>
      <c r="DH195" t="s">
        <v>236</v>
      </c>
      <c r="DI195">
        <v>1</v>
      </c>
      <c r="DJ195">
        <v>120</v>
      </c>
      <c r="DK195">
        <v>100</v>
      </c>
      <c r="DL195" s="75">
        <f ca="1">INDIRECT(ADDRESS(11+(MATCH(RIGHT(Table14[[#This Row],[spawner_sku]],LEN(Table14[[#This Row],[spawner_sku]])-FIND("/",Table14[[#This Row],[spawner_sku]])),Table1[Entity Prefab],0)),10,1,1,"Entities"))</f>
        <v>70</v>
      </c>
      <c r="DM195" s="75">
        <f ca="1">ROUND((Table14[[#This Row],[XP]]*Table14[[#This Row],[entity_spawned (AVG)]])*(Table14[[#This Row],[activating_chance]]/100),0)</f>
        <v>70</v>
      </c>
      <c r="DN19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95" s="72">
        <v>1</v>
      </c>
      <c r="DP195" s="72">
        <v>1</v>
      </c>
      <c r="DQ195" s="72" t="b">
        <v>0</v>
      </c>
      <c r="DS195" t="s">
        <v>491</v>
      </c>
      <c r="DT195">
        <v>1</v>
      </c>
      <c r="DU195">
        <v>100</v>
      </c>
      <c r="DV195">
        <v>100</v>
      </c>
      <c r="DW195" s="75">
        <f ca="1">INDIRECT(ADDRESS(11+(MATCH(RIGHT(Table18[[#This Row],[spawner_sku]],LEN(Table18[[#This Row],[spawner_sku]])-FIND("/",Table18[[#This Row],[spawner_sku]])),Table1[Entity Prefab],0)),10,1,1,"Entities"))</f>
        <v>25</v>
      </c>
      <c r="DX195" s="75">
        <f ca="1">ROUND((Table18[[#This Row],[XP]]*Table18[[#This Row],[entity_spawned (AVG)]])*(Table18[[#This Row],[activating_chance]]/100),0)</f>
        <v>25</v>
      </c>
      <c r="DY19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95">
        <v>1</v>
      </c>
      <c r="EA195">
        <v>1</v>
      </c>
      <c r="EB195" t="b">
        <v>0</v>
      </c>
      <c r="ED195" t="s">
        <v>606</v>
      </c>
      <c r="EE195">
        <v>1</v>
      </c>
      <c r="EF195">
        <v>5000</v>
      </c>
      <c r="EG195">
        <v>75</v>
      </c>
      <c r="EH195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195" s="75">
        <f ca="1">ROUND((Table1820[[#This Row],[XP]]*Table1820[[#This Row],[entity_spawned (AVG)]])*(Table1820[[#This Row],[activating_chance]]/100),0)</f>
        <v>19</v>
      </c>
      <c r="EJ19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95">
        <v>1</v>
      </c>
      <c r="EL195">
        <v>1</v>
      </c>
      <c r="EM195" t="b">
        <v>0</v>
      </c>
      <c r="EZ195" t="s">
        <v>7357</v>
      </c>
      <c r="FA195">
        <v>7.5</v>
      </c>
      <c r="FB195">
        <v>90</v>
      </c>
      <c r="FC195">
        <v>80</v>
      </c>
      <c r="FD195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FE195" s="75">
        <f ca="1">ROUND((Table18202324[[#This Row],[XP]]*Table18202324[[#This Row],[entity_spawned (AVG)]])*(Table18202324[[#This Row],[activating_chance]]/100),0)</f>
        <v>300</v>
      </c>
      <c r="FF195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95">
        <v>5</v>
      </c>
      <c r="FH195">
        <v>10</v>
      </c>
      <c r="FI195" t="b">
        <v>1</v>
      </c>
    </row>
    <row r="196" spans="2:165" x14ac:dyDescent="0.25">
      <c r="B196" s="73" t="s">
        <v>230</v>
      </c>
      <c r="C196">
        <v>3</v>
      </c>
      <c r="D196">
        <v>120</v>
      </c>
      <c r="E196">
        <v>80</v>
      </c>
      <c r="F196" s="75">
        <f ca="1">INDIRECT(ADDRESS(11+(MATCH(RIGHT(Table245[[#This Row],[spawner_sku]],LEN(Table245[[#This Row],[spawner_sku]])-FIND("/",Table245[[#This Row],[spawner_sku]])),Table1[Entity Prefab],0)),10,1,1,"Entities"))</f>
        <v>25</v>
      </c>
      <c r="G196" s="75">
        <f ca="1">ROUND((Table245[[#This Row],[XP]]*Table245[[#This Row],[entity_spawned (AVG)]])*(Table245[[#This Row],[activating_chance]]/100),0)</f>
        <v>60</v>
      </c>
      <c r="H19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6" s="72">
        <v>3</v>
      </c>
      <c r="J196" s="72">
        <v>3</v>
      </c>
      <c r="K196" s="72" t="b">
        <v>0</v>
      </c>
      <c r="M196" t="s">
        <v>384</v>
      </c>
      <c r="N196">
        <v>2</v>
      </c>
      <c r="O196">
        <v>100</v>
      </c>
      <c r="P196">
        <v>100</v>
      </c>
      <c r="Q196" s="75">
        <f ca="1">INDIRECT(ADDRESS(11+(MATCH(RIGHT(Table3[[#This Row],[spawner_sku]],LEN(Table3[[#This Row],[spawner_sku]])-FIND("/",Table3[[#This Row],[spawner_sku]])),Table1[Entity Prefab],0)),10,1,1,"Entities"))</f>
        <v>25</v>
      </c>
      <c r="R196" s="75">
        <f ca="1">ROUND((Table3[[#This Row],[XP]]*Table3[[#This Row],[entity_spawned (AVG)]])*(Table3[[#This Row],[activating_chance]]/100),0)</f>
        <v>50</v>
      </c>
      <c r="S196" t="str">
        <f ca="1">INDIRECT(ADDRESS(11+(MATCH(RIGHT(Table3[[#This Row],[spawner_sku]],LEN(Table3[[#This Row],[spawner_sku]])-FIND("/",Table3[[#This Row],[spawner_sku]])),Table28[Entity Prefab],0)),24,1,1,"Entities"))</f>
        <v>no</v>
      </c>
      <c r="T196">
        <v>2</v>
      </c>
      <c r="U196">
        <v>2</v>
      </c>
      <c r="V196" t="b">
        <v>0</v>
      </c>
      <c r="AI196" t="s">
        <v>237</v>
      </c>
      <c r="AJ196">
        <v>1</v>
      </c>
      <c r="AK196">
        <v>2500</v>
      </c>
      <c r="AL196">
        <v>100</v>
      </c>
      <c r="AM196" s="75">
        <f ca="1">INDIRECT(ADDRESS(11+(MATCH(RIGHT(Table2[[#This Row],[spawner_sku]],LEN(Table2[[#This Row],[spawner_sku]])-FIND("/",Table2[[#This Row],[spawner_sku]])),Table1[Entity Prefab],0)),10,1,1,"Entities"))</f>
        <v>263</v>
      </c>
      <c r="AN196" s="75">
        <f ca="1">ROUND((Table2[[#This Row],[XP]]*Table2[[#This Row],[entity_spawned (AVG)]])*(Table2[[#This Row],[activating_chance]]/100),0)</f>
        <v>263</v>
      </c>
      <c r="AO19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96" s="72">
        <v>1</v>
      </c>
      <c r="AQ196" s="72">
        <v>1</v>
      </c>
      <c r="AR196" s="72" t="b">
        <v>0</v>
      </c>
      <c r="BE196" t="s">
        <v>254</v>
      </c>
      <c r="BF196">
        <v>1</v>
      </c>
      <c r="BG196">
        <v>170</v>
      </c>
      <c r="BH196">
        <v>100</v>
      </c>
      <c r="BI196" s="75">
        <f ca="1">INDIRECT(ADDRESS(11+(MATCH(RIGHT(Table610[[#This Row],[spawner_sku]],LEN(Table610[[#This Row],[spawner_sku]])-FIND("/",Table610[[#This Row],[spawner_sku]])),Table1[Entity Prefab],0)),10,1,1,"Entities"))</f>
        <v>70</v>
      </c>
      <c r="BJ196" s="75">
        <f ca="1">ROUND((Table610[[#This Row],[XP]]*Table610[[#This Row],[entity_spawned (AVG)]])*(Table610[[#This Row],[activating_chance]]/100),0)</f>
        <v>70</v>
      </c>
      <c r="BK196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96">
        <v>1</v>
      </c>
      <c r="BM196">
        <v>1</v>
      </c>
      <c r="BN196" t="b">
        <v>0</v>
      </c>
      <c r="BP196" t="s">
        <v>236</v>
      </c>
      <c r="BQ196">
        <v>1</v>
      </c>
      <c r="BR196">
        <v>200</v>
      </c>
      <c r="BS196">
        <v>100</v>
      </c>
      <c r="BT196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96" s="75">
        <f ca="1">ROUND((Table61011[[#This Row],[XP]]*Table61011[[#This Row],[entity_spawned (AVG)]])*(Table61011[[#This Row],[activating_chance]]/100),0)</f>
        <v>70</v>
      </c>
      <c r="BV19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6" s="72">
        <v>1</v>
      </c>
      <c r="BX196" s="72">
        <v>1</v>
      </c>
      <c r="BY196" s="72" t="b">
        <v>0</v>
      </c>
      <c r="CA196" t="s">
        <v>629</v>
      </c>
      <c r="CB196">
        <v>2</v>
      </c>
      <c r="CC196">
        <v>120</v>
      </c>
      <c r="CD196">
        <v>20</v>
      </c>
      <c r="CE196" s="75">
        <f ca="1">INDIRECT(ADDRESS(11+(MATCH(RIGHT(Table11[[#This Row],[spawner_sku]],LEN(Table11[[#This Row],[spawner_sku]])-FIND("/",Table11[[#This Row],[spawner_sku]])),Table1[Entity Prefab],0)),10,1,1,"Entities"))</f>
        <v>50</v>
      </c>
      <c r="CF196">
        <f ca="1">ROUND((Table11[[#This Row],[XP]]*Table11[[#This Row],[entity_spawned (AVG)]])*(Table11[[#This Row],[activating_chance]]/100),0)</f>
        <v>20</v>
      </c>
      <c r="CG196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196" s="72">
        <v>2</v>
      </c>
      <c r="CI196" s="72">
        <v>2</v>
      </c>
      <c r="CJ196" s="72" t="b">
        <v>0</v>
      </c>
      <c r="CL196" t="s">
        <v>384</v>
      </c>
      <c r="CM196">
        <v>3</v>
      </c>
      <c r="CN196">
        <v>100</v>
      </c>
      <c r="CO196">
        <v>100</v>
      </c>
      <c r="CP196" s="75">
        <f ca="1">INDIRECT(ADDRESS(11+(MATCH(RIGHT(Table12[[#This Row],[spawner_sku]],LEN(Table12[[#This Row],[spawner_sku]])-FIND("/",Table12[[#This Row],[spawner_sku]])),Table1[Entity Prefab],0)),10,1,1,"Entities"))</f>
        <v>25</v>
      </c>
      <c r="CQ196" s="75">
        <f ca="1">ROUND((Table12[[#This Row],[XP]]*Table12[[#This Row],[entity_spawned (AVG)]])*(Table12[[#This Row],[activating_chance]]/100),0)</f>
        <v>75</v>
      </c>
      <c r="CR196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96" s="72">
        <v>2</v>
      </c>
      <c r="CT196" s="72">
        <v>4</v>
      </c>
      <c r="CU196" s="72" t="b">
        <v>0</v>
      </c>
      <c r="CW196" t="s">
        <v>255</v>
      </c>
      <c r="CX196">
        <v>1</v>
      </c>
      <c r="CY196">
        <v>150</v>
      </c>
      <c r="CZ196">
        <v>100</v>
      </c>
      <c r="DA196" s="75">
        <f ca="1">INDIRECT(ADDRESS(11+(MATCH(RIGHT(Table13[[#This Row],[spawner_sku]],LEN(Table13[[#This Row],[spawner_sku]])-FIND("/",Table13[[#This Row],[spawner_sku]])),Table1[Entity Prefab],0)),10,1,1,"Entities"))</f>
        <v>25</v>
      </c>
      <c r="DB196" s="75">
        <f ca="1">ROUND((Table13[[#This Row],[XP]]*Table13[[#This Row],[entity_spawned (AVG)]])*(Table13[[#This Row],[activating_chance]]/100),0)</f>
        <v>25</v>
      </c>
      <c r="DC196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196" s="72">
        <v>1</v>
      </c>
      <c r="DE196" s="72">
        <v>1</v>
      </c>
      <c r="DF196" s="72" t="b">
        <v>0</v>
      </c>
      <c r="DH196" t="s">
        <v>236</v>
      </c>
      <c r="DI196">
        <v>1</v>
      </c>
      <c r="DJ196">
        <v>100</v>
      </c>
      <c r="DK196">
        <v>100</v>
      </c>
      <c r="DL196" s="75">
        <f ca="1">INDIRECT(ADDRESS(11+(MATCH(RIGHT(Table14[[#This Row],[spawner_sku]],LEN(Table14[[#This Row],[spawner_sku]])-FIND("/",Table14[[#This Row],[spawner_sku]])),Table1[Entity Prefab],0)),10,1,1,"Entities"))</f>
        <v>70</v>
      </c>
      <c r="DM196" s="75">
        <f ca="1">ROUND((Table14[[#This Row],[XP]]*Table14[[#This Row],[entity_spawned (AVG)]])*(Table14[[#This Row],[activating_chance]]/100),0)</f>
        <v>70</v>
      </c>
      <c r="DN19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96" s="72">
        <v>1</v>
      </c>
      <c r="DP196" s="72">
        <v>1</v>
      </c>
      <c r="DQ196" s="72" t="b">
        <v>0</v>
      </c>
      <c r="DS196" t="s">
        <v>491</v>
      </c>
      <c r="DT196">
        <v>1</v>
      </c>
      <c r="DU196">
        <v>100</v>
      </c>
      <c r="DV196">
        <v>100</v>
      </c>
      <c r="DW196" s="75">
        <f ca="1">INDIRECT(ADDRESS(11+(MATCH(RIGHT(Table18[[#This Row],[spawner_sku]],LEN(Table18[[#This Row],[spawner_sku]])-FIND("/",Table18[[#This Row],[spawner_sku]])),Table1[Entity Prefab],0)),10,1,1,"Entities"))</f>
        <v>25</v>
      </c>
      <c r="DX196" s="75">
        <f ca="1">ROUND((Table18[[#This Row],[XP]]*Table18[[#This Row],[entity_spawned (AVG)]])*(Table18[[#This Row],[activating_chance]]/100),0)</f>
        <v>25</v>
      </c>
      <c r="DY19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96">
        <v>1</v>
      </c>
      <c r="EA196">
        <v>1</v>
      </c>
      <c r="EB196" t="b">
        <v>0</v>
      </c>
      <c r="ED196" t="s">
        <v>246</v>
      </c>
      <c r="EE196">
        <v>1</v>
      </c>
      <c r="EF196">
        <v>500</v>
      </c>
      <c r="EG196">
        <v>100</v>
      </c>
      <c r="EH196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196" s="75">
        <f ca="1">ROUND((Table1820[[#This Row],[XP]]*Table1820[[#This Row],[entity_spawned (AVG)]])*(Table1820[[#This Row],[activating_chance]]/100),0)</f>
        <v>25</v>
      </c>
      <c r="EJ19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96">
        <v>1</v>
      </c>
      <c r="EL196">
        <v>1</v>
      </c>
      <c r="EM196" t="b">
        <v>0</v>
      </c>
      <c r="EZ196" t="s">
        <v>7357</v>
      </c>
      <c r="FA196">
        <v>3.5</v>
      </c>
      <c r="FB196">
        <v>80</v>
      </c>
      <c r="FC196">
        <v>100</v>
      </c>
      <c r="FD196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FE196" s="75">
        <f ca="1">ROUND((Table18202324[[#This Row],[XP]]*Table18202324[[#This Row],[entity_spawned (AVG)]])*(Table18202324[[#This Row],[activating_chance]]/100),0)</f>
        <v>175</v>
      </c>
      <c r="FF196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96">
        <v>3</v>
      </c>
      <c r="FH196">
        <v>4</v>
      </c>
      <c r="FI196" t="b">
        <v>0</v>
      </c>
    </row>
    <row r="197" spans="2:165" x14ac:dyDescent="0.25">
      <c r="B197" s="73" t="s">
        <v>230</v>
      </c>
      <c r="C197">
        <v>1</v>
      </c>
      <c r="D197">
        <v>100</v>
      </c>
      <c r="E197">
        <v>100</v>
      </c>
      <c r="F197" s="75">
        <f ca="1">INDIRECT(ADDRESS(11+(MATCH(RIGHT(Table245[[#This Row],[spawner_sku]],LEN(Table245[[#This Row],[spawner_sku]])-FIND("/",Table245[[#This Row],[spawner_sku]])),Table1[Entity Prefab],0)),10,1,1,"Entities"))</f>
        <v>25</v>
      </c>
      <c r="G197" s="75">
        <f ca="1">ROUND((Table245[[#This Row],[XP]]*Table245[[#This Row],[entity_spawned (AVG)]])*(Table245[[#This Row],[activating_chance]]/100),0)</f>
        <v>25</v>
      </c>
      <c r="H19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7" s="72">
        <v>1</v>
      </c>
      <c r="J197" s="72">
        <v>1</v>
      </c>
      <c r="K197" s="72" t="b">
        <v>0</v>
      </c>
      <c r="M197" t="s">
        <v>384</v>
      </c>
      <c r="N197">
        <v>3</v>
      </c>
      <c r="O197">
        <v>100</v>
      </c>
      <c r="P197">
        <v>100</v>
      </c>
      <c r="Q197" s="75">
        <f ca="1">INDIRECT(ADDRESS(11+(MATCH(RIGHT(Table3[[#This Row],[spawner_sku]],LEN(Table3[[#This Row],[spawner_sku]])-FIND("/",Table3[[#This Row],[spawner_sku]])),Table1[Entity Prefab],0)),10,1,1,"Entities"))</f>
        <v>25</v>
      </c>
      <c r="R197" s="75">
        <f ca="1">ROUND((Table3[[#This Row],[XP]]*Table3[[#This Row],[entity_spawned (AVG)]])*(Table3[[#This Row],[activating_chance]]/100),0)</f>
        <v>75</v>
      </c>
      <c r="S197" t="str">
        <f ca="1">INDIRECT(ADDRESS(11+(MATCH(RIGHT(Table3[[#This Row],[spawner_sku]],LEN(Table3[[#This Row],[spawner_sku]])-FIND("/",Table3[[#This Row],[spawner_sku]])),Table28[Entity Prefab],0)),24,1,1,"Entities"))</f>
        <v>no</v>
      </c>
      <c r="T197">
        <v>3</v>
      </c>
      <c r="U197">
        <v>3</v>
      </c>
      <c r="V197" t="b">
        <v>0</v>
      </c>
      <c r="AI197" t="s">
        <v>237</v>
      </c>
      <c r="AJ197">
        <v>1</v>
      </c>
      <c r="AK197">
        <v>2500</v>
      </c>
      <c r="AL197">
        <v>100</v>
      </c>
      <c r="AM197" s="75">
        <f ca="1">INDIRECT(ADDRESS(11+(MATCH(RIGHT(Table2[[#This Row],[spawner_sku]],LEN(Table2[[#This Row],[spawner_sku]])-FIND("/",Table2[[#This Row],[spawner_sku]])),Table1[Entity Prefab],0)),10,1,1,"Entities"))</f>
        <v>263</v>
      </c>
      <c r="AN197" s="75">
        <f ca="1">ROUND((Table2[[#This Row],[XP]]*Table2[[#This Row],[entity_spawned (AVG)]])*(Table2[[#This Row],[activating_chance]]/100),0)</f>
        <v>263</v>
      </c>
      <c r="AO19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97" s="72">
        <v>1</v>
      </c>
      <c r="AQ197" s="72">
        <v>1</v>
      </c>
      <c r="AR197" s="72" t="b">
        <v>0</v>
      </c>
      <c r="BE197" t="s">
        <v>254</v>
      </c>
      <c r="BF197">
        <v>1</v>
      </c>
      <c r="BG197">
        <v>200</v>
      </c>
      <c r="BH197">
        <v>100</v>
      </c>
      <c r="BI197" s="75">
        <f ca="1">INDIRECT(ADDRESS(11+(MATCH(RIGHT(Table610[[#This Row],[spawner_sku]],LEN(Table610[[#This Row],[spawner_sku]])-FIND("/",Table610[[#This Row],[spawner_sku]])),Table1[Entity Prefab],0)),10,1,1,"Entities"))</f>
        <v>70</v>
      </c>
      <c r="BJ197" s="75">
        <f ca="1">ROUND((Table610[[#This Row],[XP]]*Table610[[#This Row],[entity_spawned (AVG)]])*(Table610[[#This Row],[activating_chance]]/100),0)</f>
        <v>70</v>
      </c>
      <c r="BK197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97">
        <v>1</v>
      </c>
      <c r="BM197">
        <v>1</v>
      </c>
      <c r="BN197" t="b">
        <v>0</v>
      </c>
      <c r="BP197" t="s">
        <v>236</v>
      </c>
      <c r="BQ197">
        <v>1</v>
      </c>
      <c r="BR197">
        <v>200</v>
      </c>
      <c r="BS197">
        <v>100</v>
      </c>
      <c r="BT197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97" s="75">
        <f ca="1">ROUND((Table61011[[#This Row],[XP]]*Table61011[[#This Row],[entity_spawned (AVG)]])*(Table61011[[#This Row],[activating_chance]]/100),0)</f>
        <v>70</v>
      </c>
      <c r="BV19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7" s="72">
        <v>1</v>
      </c>
      <c r="BX197" s="72">
        <v>1</v>
      </c>
      <c r="BY197" s="72" t="b">
        <v>0</v>
      </c>
      <c r="CA197" t="s">
        <v>629</v>
      </c>
      <c r="CB197">
        <v>1</v>
      </c>
      <c r="CC197">
        <v>120</v>
      </c>
      <c r="CD197">
        <v>100</v>
      </c>
      <c r="CE197" s="75">
        <f ca="1">INDIRECT(ADDRESS(11+(MATCH(RIGHT(Table11[[#This Row],[spawner_sku]],LEN(Table11[[#This Row],[spawner_sku]])-FIND("/",Table11[[#This Row],[spawner_sku]])),Table1[Entity Prefab],0)),10,1,1,"Entities"))</f>
        <v>50</v>
      </c>
      <c r="CF197">
        <f ca="1">ROUND((Table11[[#This Row],[XP]]*Table11[[#This Row],[entity_spawned (AVG)]])*(Table11[[#This Row],[activating_chance]]/100),0)</f>
        <v>50</v>
      </c>
      <c r="CG197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197" s="72">
        <v>1</v>
      </c>
      <c r="CI197" s="72">
        <v>1</v>
      </c>
      <c r="CJ197" s="72" t="b">
        <v>0</v>
      </c>
      <c r="CL197" t="s">
        <v>384</v>
      </c>
      <c r="CM197">
        <v>5.5</v>
      </c>
      <c r="CN197">
        <v>100</v>
      </c>
      <c r="CO197">
        <v>30</v>
      </c>
      <c r="CP197" s="75">
        <f ca="1">INDIRECT(ADDRESS(11+(MATCH(RIGHT(Table12[[#This Row],[spawner_sku]],LEN(Table12[[#This Row],[spawner_sku]])-FIND("/",Table12[[#This Row],[spawner_sku]])),Table1[Entity Prefab],0)),10,1,1,"Entities"))</f>
        <v>25</v>
      </c>
      <c r="CQ197" s="75">
        <f ca="1">ROUND((Table12[[#This Row],[XP]]*Table12[[#This Row],[entity_spawned (AVG)]])*(Table12[[#This Row],[activating_chance]]/100),0)</f>
        <v>41</v>
      </c>
      <c r="CR197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97" s="72">
        <v>5</v>
      </c>
      <c r="CT197" s="72">
        <v>6</v>
      </c>
      <c r="CU197" s="72" t="b">
        <v>1</v>
      </c>
      <c r="CW197" t="s">
        <v>255</v>
      </c>
      <c r="CX197">
        <v>1</v>
      </c>
      <c r="CY197">
        <v>150</v>
      </c>
      <c r="CZ197">
        <v>30</v>
      </c>
      <c r="DA197" s="75">
        <f ca="1">INDIRECT(ADDRESS(11+(MATCH(RIGHT(Table13[[#This Row],[spawner_sku]],LEN(Table13[[#This Row],[spawner_sku]])-FIND("/",Table13[[#This Row],[spawner_sku]])),Table1[Entity Prefab],0)),10,1,1,"Entities"))</f>
        <v>25</v>
      </c>
      <c r="DB197" s="75">
        <f ca="1">ROUND((Table13[[#This Row],[XP]]*Table13[[#This Row],[entity_spawned (AVG)]])*(Table13[[#This Row],[activating_chance]]/100),0)</f>
        <v>8</v>
      </c>
      <c r="DC197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197" s="72">
        <v>1</v>
      </c>
      <c r="DE197" s="72">
        <v>1</v>
      </c>
      <c r="DF197" s="72" t="b">
        <v>0</v>
      </c>
      <c r="DH197" t="s">
        <v>236</v>
      </c>
      <c r="DI197">
        <v>1</v>
      </c>
      <c r="DJ197">
        <v>100</v>
      </c>
      <c r="DK197">
        <v>100</v>
      </c>
      <c r="DL197" s="75">
        <f ca="1">INDIRECT(ADDRESS(11+(MATCH(RIGHT(Table14[[#This Row],[spawner_sku]],LEN(Table14[[#This Row],[spawner_sku]])-FIND("/",Table14[[#This Row],[spawner_sku]])),Table1[Entity Prefab],0)),10,1,1,"Entities"))</f>
        <v>70</v>
      </c>
      <c r="DM197" s="75">
        <f ca="1">ROUND((Table14[[#This Row],[XP]]*Table14[[#This Row],[entity_spawned (AVG)]])*(Table14[[#This Row],[activating_chance]]/100),0)</f>
        <v>70</v>
      </c>
      <c r="DN19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97" s="72">
        <v>1</v>
      </c>
      <c r="DP197" s="72">
        <v>1</v>
      </c>
      <c r="DQ197" s="72" t="b">
        <v>0</v>
      </c>
      <c r="DS197" t="s">
        <v>491</v>
      </c>
      <c r="DT197">
        <v>2</v>
      </c>
      <c r="DU197">
        <v>100</v>
      </c>
      <c r="DV197">
        <v>100</v>
      </c>
      <c r="DW197" s="75">
        <f ca="1">INDIRECT(ADDRESS(11+(MATCH(RIGHT(Table18[[#This Row],[spawner_sku]],LEN(Table18[[#This Row],[spawner_sku]])-FIND("/",Table18[[#This Row],[spawner_sku]])),Table1[Entity Prefab],0)),10,1,1,"Entities"))</f>
        <v>25</v>
      </c>
      <c r="DX197" s="75">
        <f ca="1">ROUND((Table18[[#This Row],[XP]]*Table18[[#This Row],[entity_spawned (AVG)]])*(Table18[[#This Row],[activating_chance]]/100),0)</f>
        <v>50</v>
      </c>
      <c r="DY19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97">
        <v>2</v>
      </c>
      <c r="EA197">
        <v>2</v>
      </c>
      <c r="EB197" t="b">
        <v>0</v>
      </c>
      <c r="ED197" t="s">
        <v>246</v>
      </c>
      <c r="EE197">
        <v>1</v>
      </c>
      <c r="EF197">
        <v>500</v>
      </c>
      <c r="EG197">
        <v>100</v>
      </c>
      <c r="EH197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197" s="75">
        <f ca="1">ROUND((Table1820[[#This Row],[XP]]*Table1820[[#This Row],[entity_spawned (AVG)]])*(Table1820[[#This Row],[activating_chance]]/100),0)</f>
        <v>25</v>
      </c>
      <c r="EJ19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97">
        <v>1</v>
      </c>
      <c r="EL197">
        <v>1</v>
      </c>
      <c r="EM197" t="b">
        <v>0</v>
      </c>
      <c r="EZ197" t="s">
        <v>7357</v>
      </c>
      <c r="FA197">
        <v>2.5</v>
      </c>
      <c r="FB197">
        <v>80</v>
      </c>
      <c r="FC197">
        <v>80</v>
      </c>
      <c r="FD197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FE197" s="75">
        <f ca="1">ROUND((Table18202324[[#This Row],[XP]]*Table18202324[[#This Row],[entity_spawned (AVG)]])*(Table18202324[[#This Row],[activating_chance]]/100),0)</f>
        <v>100</v>
      </c>
      <c r="FF197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97">
        <v>1</v>
      </c>
      <c r="FH197">
        <v>4</v>
      </c>
      <c r="FI197" t="b">
        <v>0</v>
      </c>
    </row>
    <row r="198" spans="2:165" x14ac:dyDescent="0.25">
      <c r="B198" s="73" t="s">
        <v>230</v>
      </c>
      <c r="C198">
        <v>3</v>
      </c>
      <c r="D198">
        <v>140</v>
      </c>
      <c r="E198">
        <v>60</v>
      </c>
      <c r="F198" s="75">
        <f ca="1">INDIRECT(ADDRESS(11+(MATCH(RIGHT(Table245[[#This Row],[spawner_sku]],LEN(Table245[[#This Row],[spawner_sku]])-FIND("/",Table245[[#This Row],[spawner_sku]])),Table1[Entity Prefab],0)),10,1,1,"Entities"))</f>
        <v>25</v>
      </c>
      <c r="G198" s="75">
        <f ca="1">ROUND((Table245[[#This Row],[XP]]*Table245[[#This Row],[entity_spawned (AVG)]])*(Table245[[#This Row],[activating_chance]]/100),0)</f>
        <v>45</v>
      </c>
      <c r="H19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8" s="72">
        <v>2</v>
      </c>
      <c r="J198" s="72">
        <v>4</v>
      </c>
      <c r="K198" s="72" t="b">
        <v>0</v>
      </c>
      <c r="M198" t="s">
        <v>384</v>
      </c>
      <c r="N198">
        <v>2</v>
      </c>
      <c r="O198">
        <v>100</v>
      </c>
      <c r="P198">
        <v>100</v>
      </c>
      <c r="Q198" s="75">
        <f ca="1">INDIRECT(ADDRESS(11+(MATCH(RIGHT(Table3[[#This Row],[spawner_sku]],LEN(Table3[[#This Row],[spawner_sku]])-FIND("/",Table3[[#This Row],[spawner_sku]])),Table1[Entity Prefab],0)),10,1,1,"Entities"))</f>
        <v>25</v>
      </c>
      <c r="R198" s="75">
        <f ca="1">ROUND((Table3[[#This Row],[XP]]*Table3[[#This Row],[entity_spawned (AVG)]])*(Table3[[#This Row],[activating_chance]]/100),0)</f>
        <v>50</v>
      </c>
      <c r="S198" t="str">
        <f ca="1">INDIRECT(ADDRESS(11+(MATCH(RIGHT(Table3[[#This Row],[spawner_sku]],LEN(Table3[[#This Row],[spawner_sku]])-FIND("/",Table3[[#This Row],[spawner_sku]])),Table28[Entity Prefab],0)),24,1,1,"Entities"))</f>
        <v>no</v>
      </c>
      <c r="T198">
        <v>2</v>
      </c>
      <c r="U198">
        <v>2</v>
      </c>
      <c r="V198" t="b">
        <v>0</v>
      </c>
      <c r="AI198" t="s">
        <v>237</v>
      </c>
      <c r="AJ198">
        <v>1</v>
      </c>
      <c r="AK198">
        <v>2500</v>
      </c>
      <c r="AL198">
        <v>100</v>
      </c>
      <c r="AM198" s="75">
        <f ca="1">INDIRECT(ADDRESS(11+(MATCH(RIGHT(Table2[[#This Row],[spawner_sku]],LEN(Table2[[#This Row],[spawner_sku]])-FIND("/",Table2[[#This Row],[spawner_sku]])),Table1[Entity Prefab],0)),10,1,1,"Entities"))</f>
        <v>263</v>
      </c>
      <c r="AN198" s="75">
        <f ca="1">ROUND((Table2[[#This Row],[XP]]*Table2[[#This Row],[entity_spawned (AVG)]])*(Table2[[#This Row],[activating_chance]]/100),0)</f>
        <v>263</v>
      </c>
      <c r="AO19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98" s="72">
        <v>1</v>
      </c>
      <c r="AQ198" s="72">
        <v>1</v>
      </c>
      <c r="AR198" s="72" t="b">
        <v>0</v>
      </c>
      <c r="BE198" t="s">
        <v>254</v>
      </c>
      <c r="BF198">
        <v>1</v>
      </c>
      <c r="BG198">
        <v>170</v>
      </c>
      <c r="BH198">
        <v>100</v>
      </c>
      <c r="BI198" s="75">
        <f ca="1">INDIRECT(ADDRESS(11+(MATCH(RIGHT(Table610[[#This Row],[spawner_sku]],LEN(Table610[[#This Row],[spawner_sku]])-FIND("/",Table610[[#This Row],[spawner_sku]])),Table1[Entity Prefab],0)),10,1,1,"Entities"))</f>
        <v>70</v>
      </c>
      <c r="BJ198" s="75">
        <f ca="1">ROUND((Table610[[#This Row],[XP]]*Table610[[#This Row],[entity_spawned (AVG)]])*(Table610[[#This Row],[activating_chance]]/100),0)</f>
        <v>70</v>
      </c>
      <c r="BK198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98">
        <v>1</v>
      </c>
      <c r="BM198">
        <v>1</v>
      </c>
      <c r="BN198" t="b">
        <v>0</v>
      </c>
      <c r="BP198" t="s">
        <v>236</v>
      </c>
      <c r="BQ198">
        <v>1</v>
      </c>
      <c r="BR198">
        <v>220</v>
      </c>
      <c r="BS198">
        <v>100</v>
      </c>
      <c r="BT198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98" s="75">
        <f ca="1">ROUND((Table61011[[#This Row],[XP]]*Table61011[[#This Row],[entity_spawned (AVG)]])*(Table61011[[#This Row],[activating_chance]]/100),0)</f>
        <v>70</v>
      </c>
      <c r="BV19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8" s="72">
        <v>1</v>
      </c>
      <c r="BX198" s="72">
        <v>1</v>
      </c>
      <c r="BY198" s="72" t="b">
        <v>0</v>
      </c>
      <c r="CA198" t="s">
        <v>629</v>
      </c>
      <c r="CB198">
        <v>1</v>
      </c>
      <c r="CC198">
        <v>120</v>
      </c>
      <c r="CD198">
        <v>100</v>
      </c>
      <c r="CE198" s="75">
        <f ca="1">INDIRECT(ADDRESS(11+(MATCH(RIGHT(Table11[[#This Row],[spawner_sku]],LEN(Table11[[#This Row],[spawner_sku]])-FIND("/",Table11[[#This Row],[spawner_sku]])),Table1[Entity Prefab],0)),10,1,1,"Entities"))</f>
        <v>50</v>
      </c>
      <c r="CF198">
        <f ca="1">ROUND((Table11[[#This Row],[XP]]*Table11[[#This Row],[entity_spawned (AVG)]])*(Table11[[#This Row],[activating_chance]]/100),0)</f>
        <v>50</v>
      </c>
      <c r="CG198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198" s="72">
        <v>1</v>
      </c>
      <c r="CI198" s="72">
        <v>1</v>
      </c>
      <c r="CJ198" s="72" t="b">
        <v>0</v>
      </c>
      <c r="CL198" t="s">
        <v>384</v>
      </c>
      <c r="CM198">
        <v>5.5</v>
      </c>
      <c r="CN198">
        <v>100</v>
      </c>
      <c r="CO198">
        <v>30</v>
      </c>
      <c r="CP198" s="75">
        <f ca="1">INDIRECT(ADDRESS(11+(MATCH(RIGHT(Table12[[#This Row],[spawner_sku]],LEN(Table12[[#This Row],[spawner_sku]])-FIND("/",Table12[[#This Row],[spawner_sku]])),Table1[Entity Prefab],0)),10,1,1,"Entities"))</f>
        <v>25</v>
      </c>
      <c r="CQ198" s="75">
        <f ca="1">ROUND((Table12[[#This Row],[XP]]*Table12[[#This Row],[entity_spawned (AVG)]])*(Table12[[#This Row],[activating_chance]]/100),0)</f>
        <v>41</v>
      </c>
      <c r="CR198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98" s="72">
        <v>5</v>
      </c>
      <c r="CT198" s="72">
        <v>6</v>
      </c>
      <c r="CU198" s="72" t="b">
        <v>1</v>
      </c>
      <c r="CW198" t="s">
        <v>255</v>
      </c>
      <c r="CX198">
        <v>1</v>
      </c>
      <c r="CY198">
        <v>150</v>
      </c>
      <c r="CZ198">
        <v>100</v>
      </c>
      <c r="DA198" s="75">
        <f ca="1">INDIRECT(ADDRESS(11+(MATCH(RIGHT(Table13[[#This Row],[spawner_sku]],LEN(Table13[[#This Row],[spawner_sku]])-FIND("/",Table13[[#This Row],[spawner_sku]])),Table1[Entity Prefab],0)),10,1,1,"Entities"))</f>
        <v>25</v>
      </c>
      <c r="DB198" s="75">
        <f ca="1">ROUND((Table13[[#This Row],[XP]]*Table13[[#This Row],[entity_spawned (AVG)]])*(Table13[[#This Row],[activating_chance]]/100),0)</f>
        <v>25</v>
      </c>
      <c r="DC198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198" s="72">
        <v>1</v>
      </c>
      <c r="DE198" s="72">
        <v>1</v>
      </c>
      <c r="DF198" s="72" t="b">
        <v>0</v>
      </c>
      <c r="DH198" t="s">
        <v>236</v>
      </c>
      <c r="DI198">
        <v>1</v>
      </c>
      <c r="DJ198">
        <v>150</v>
      </c>
      <c r="DK198">
        <v>100</v>
      </c>
      <c r="DL198" s="75">
        <f ca="1">INDIRECT(ADDRESS(11+(MATCH(RIGHT(Table14[[#This Row],[spawner_sku]],LEN(Table14[[#This Row],[spawner_sku]])-FIND("/",Table14[[#This Row],[spawner_sku]])),Table1[Entity Prefab],0)),10,1,1,"Entities"))</f>
        <v>70</v>
      </c>
      <c r="DM198" s="75">
        <f ca="1">ROUND((Table14[[#This Row],[XP]]*Table14[[#This Row],[entity_spawned (AVG)]])*(Table14[[#This Row],[activating_chance]]/100),0)</f>
        <v>70</v>
      </c>
      <c r="DN19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98" s="72">
        <v>1</v>
      </c>
      <c r="DP198" s="72">
        <v>1</v>
      </c>
      <c r="DQ198" s="72" t="b">
        <v>0</v>
      </c>
      <c r="DS198" t="s">
        <v>491</v>
      </c>
      <c r="DT198">
        <v>1</v>
      </c>
      <c r="DU198">
        <v>100</v>
      </c>
      <c r="DV198">
        <v>100</v>
      </c>
      <c r="DW198" s="75">
        <f ca="1">INDIRECT(ADDRESS(11+(MATCH(RIGHT(Table18[[#This Row],[spawner_sku]],LEN(Table18[[#This Row],[spawner_sku]])-FIND("/",Table18[[#This Row],[spawner_sku]])),Table1[Entity Prefab],0)),10,1,1,"Entities"))</f>
        <v>25</v>
      </c>
      <c r="DX198" s="75">
        <f ca="1">ROUND((Table18[[#This Row],[XP]]*Table18[[#This Row],[entity_spawned (AVG)]])*(Table18[[#This Row],[activating_chance]]/100),0)</f>
        <v>25</v>
      </c>
      <c r="DY19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98">
        <v>1</v>
      </c>
      <c r="EA198">
        <v>1</v>
      </c>
      <c r="EB198" t="b">
        <v>0</v>
      </c>
      <c r="ED198" t="s">
        <v>246</v>
      </c>
      <c r="EE198">
        <v>1</v>
      </c>
      <c r="EF198">
        <v>500</v>
      </c>
      <c r="EG198">
        <v>100</v>
      </c>
      <c r="EH198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198" s="75">
        <f ca="1">ROUND((Table1820[[#This Row],[XP]]*Table1820[[#This Row],[entity_spawned (AVG)]])*(Table1820[[#This Row],[activating_chance]]/100),0)</f>
        <v>25</v>
      </c>
      <c r="EJ19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98">
        <v>1</v>
      </c>
      <c r="EL198">
        <v>1</v>
      </c>
      <c r="EM198" t="b">
        <v>0</v>
      </c>
      <c r="EZ198" t="s">
        <v>7357</v>
      </c>
      <c r="FA198">
        <v>3.5</v>
      </c>
      <c r="FB198">
        <v>90</v>
      </c>
      <c r="FC198">
        <v>80</v>
      </c>
      <c r="FD198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FE198" s="75">
        <f ca="1">ROUND((Table18202324[[#This Row],[XP]]*Table18202324[[#This Row],[entity_spawned (AVG)]])*(Table18202324[[#This Row],[activating_chance]]/100),0)</f>
        <v>140</v>
      </c>
      <c r="FF198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98">
        <v>3</v>
      </c>
      <c r="FH198">
        <v>4</v>
      </c>
      <c r="FI198" t="b">
        <v>0</v>
      </c>
    </row>
    <row r="199" spans="2:165" x14ac:dyDescent="0.25">
      <c r="B199" s="73" t="s">
        <v>230</v>
      </c>
      <c r="C199">
        <v>3</v>
      </c>
      <c r="D199">
        <v>120</v>
      </c>
      <c r="E199">
        <v>100</v>
      </c>
      <c r="F199" s="75">
        <f ca="1">INDIRECT(ADDRESS(11+(MATCH(RIGHT(Table245[[#This Row],[spawner_sku]],LEN(Table245[[#This Row],[spawner_sku]])-FIND("/",Table245[[#This Row],[spawner_sku]])),Table1[Entity Prefab],0)),10,1,1,"Entities"))</f>
        <v>25</v>
      </c>
      <c r="G199" s="75">
        <f ca="1">ROUND((Table245[[#This Row],[XP]]*Table245[[#This Row],[entity_spawned (AVG)]])*(Table245[[#This Row],[activating_chance]]/100),0)</f>
        <v>75</v>
      </c>
      <c r="H19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9" s="72">
        <v>2</v>
      </c>
      <c r="J199" s="72">
        <v>4</v>
      </c>
      <c r="K199" s="72" t="b">
        <v>0</v>
      </c>
      <c r="M199" t="s">
        <v>384</v>
      </c>
      <c r="N199">
        <v>3</v>
      </c>
      <c r="O199">
        <v>100</v>
      </c>
      <c r="P199">
        <v>100</v>
      </c>
      <c r="Q199" s="75">
        <f ca="1">INDIRECT(ADDRESS(11+(MATCH(RIGHT(Table3[[#This Row],[spawner_sku]],LEN(Table3[[#This Row],[spawner_sku]])-FIND("/",Table3[[#This Row],[spawner_sku]])),Table1[Entity Prefab],0)),10,1,1,"Entities"))</f>
        <v>25</v>
      </c>
      <c r="R199" s="75">
        <f ca="1">ROUND((Table3[[#This Row],[XP]]*Table3[[#This Row],[entity_spawned (AVG)]])*(Table3[[#This Row],[activating_chance]]/100),0)</f>
        <v>75</v>
      </c>
      <c r="S199" t="str">
        <f ca="1">INDIRECT(ADDRESS(11+(MATCH(RIGHT(Table3[[#This Row],[spawner_sku]],LEN(Table3[[#This Row],[spawner_sku]])-FIND("/",Table3[[#This Row],[spawner_sku]])),Table28[Entity Prefab],0)),24,1,1,"Entities"))</f>
        <v>no</v>
      </c>
      <c r="T199">
        <v>3</v>
      </c>
      <c r="U199">
        <v>3</v>
      </c>
      <c r="V199" t="b">
        <v>0</v>
      </c>
      <c r="AI199" t="s">
        <v>239</v>
      </c>
      <c r="AJ199">
        <v>1</v>
      </c>
      <c r="AK199">
        <v>2000</v>
      </c>
      <c r="AL199">
        <v>100</v>
      </c>
      <c r="AM199" s="75">
        <f ca="1">INDIRECT(ADDRESS(11+(MATCH(RIGHT(Table2[[#This Row],[spawner_sku]],LEN(Table2[[#This Row],[spawner_sku]])-FIND("/",Table2[[#This Row],[spawner_sku]])),Table1[Entity Prefab],0)),10,1,1,"Entities"))</f>
        <v>175</v>
      </c>
      <c r="AN199" s="75">
        <f ca="1">ROUND((Table2[[#This Row],[XP]]*Table2[[#This Row],[entity_spawned (AVG)]])*(Table2[[#This Row],[activating_chance]]/100),0)</f>
        <v>175</v>
      </c>
      <c r="AO19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99" s="72">
        <v>1</v>
      </c>
      <c r="AQ199" s="72">
        <v>1</v>
      </c>
      <c r="AR199" s="72" t="b">
        <v>0</v>
      </c>
      <c r="BE199" t="s">
        <v>254</v>
      </c>
      <c r="BF199">
        <v>1</v>
      </c>
      <c r="BG199">
        <v>170</v>
      </c>
      <c r="BH199">
        <v>100</v>
      </c>
      <c r="BI199" s="75">
        <f ca="1">INDIRECT(ADDRESS(11+(MATCH(RIGHT(Table610[[#This Row],[spawner_sku]],LEN(Table610[[#This Row],[spawner_sku]])-FIND("/",Table610[[#This Row],[spawner_sku]])),Table1[Entity Prefab],0)),10,1,1,"Entities"))</f>
        <v>70</v>
      </c>
      <c r="BJ199" s="75">
        <f ca="1">ROUND((Table610[[#This Row],[XP]]*Table610[[#This Row],[entity_spawned (AVG)]])*(Table610[[#This Row],[activating_chance]]/100),0)</f>
        <v>70</v>
      </c>
      <c r="BK199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99">
        <v>1</v>
      </c>
      <c r="BM199">
        <v>1</v>
      </c>
      <c r="BN199" t="b">
        <v>0</v>
      </c>
      <c r="BP199" t="s">
        <v>236</v>
      </c>
      <c r="BQ199">
        <v>1</v>
      </c>
      <c r="BR199">
        <v>200</v>
      </c>
      <c r="BS199">
        <v>100</v>
      </c>
      <c r="BT199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99" s="75">
        <f ca="1">ROUND((Table61011[[#This Row],[XP]]*Table61011[[#This Row],[entity_spawned (AVG)]])*(Table61011[[#This Row],[activating_chance]]/100),0)</f>
        <v>70</v>
      </c>
      <c r="BV19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9" s="72">
        <v>1</v>
      </c>
      <c r="BX199" s="72">
        <v>1</v>
      </c>
      <c r="BY199" s="72" t="b">
        <v>0</v>
      </c>
      <c r="CA199" t="s">
        <v>629</v>
      </c>
      <c r="CB199">
        <v>1</v>
      </c>
      <c r="CC199">
        <v>120</v>
      </c>
      <c r="CD199">
        <v>100</v>
      </c>
      <c r="CE199" s="75">
        <f ca="1">INDIRECT(ADDRESS(11+(MATCH(RIGHT(Table11[[#This Row],[spawner_sku]],LEN(Table11[[#This Row],[spawner_sku]])-FIND("/",Table11[[#This Row],[spawner_sku]])),Table1[Entity Prefab],0)),10,1,1,"Entities"))</f>
        <v>50</v>
      </c>
      <c r="CF199">
        <f ca="1">ROUND((Table11[[#This Row],[XP]]*Table11[[#This Row],[entity_spawned (AVG)]])*(Table11[[#This Row],[activating_chance]]/100),0)</f>
        <v>50</v>
      </c>
      <c r="CG199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199" s="72">
        <v>1</v>
      </c>
      <c r="CI199" s="72">
        <v>1</v>
      </c>
      <c r="CJ199" s="72" t="b">
        <v>0</v>
      </c>
      <c r="CL199" t="s">
        <v>384</v>
      </c>
      <c r="CM199">
        <v>5.5</v>
      </c>
      <c r="CN199">
        <v>100</v>
      </c>
      <c r="CO199">
        <v>100</v>
      </c>
      <c r="CP199" s="75">
        <f ca="1">INDIRECT(ADDRESS(11+(MATCH(RIGHT(Table12[[#This Row],[spawner_sku]],LEN(Table12[[#This Row],[spawner_sku]])-FIND("/",Table12[[#This Row],[spawner_sku]])),Table1[Entity Prefab],0)),10,1,1,"Entities"))</f>
        <v>25</v>
      </c>
      <c r="CQ199" s="75">
        <f ca="1">ROUND((Table12[[#This Row],[XP]]*Table12[[#This Row],[entity_spawned (AVG)]])*(Table12[[#This Row],[activating_chance]]/100),0)</f>
        <v>138</v>
      </c>
      <c r="CR199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99" s="72">
        <v>5</v>
      </c>
      <c r="CT199" s="72">
        <v>6</v>
      </c>
      <c r="CU199" s="72" t="b">
        <v>1</v>
      </c>
      <c r="CW199" t="s">
        <v>255</v>
      </c>
      <c r="CX199">
        <v>1</v>
      </c>
      <c r="CY199">
        <v>150</v>
      </c>
      <c r="CZ199">
        <v>100</v>
      </c>
      <c r="DA199" s="75">
        <f ca="1">INDIRECT(ADDRESS(11+(MATCH(RIGHT(Table13[[#This Row],[spawner_sku]],LEN(Table13[[#This Row],[spawner_sku]])-FIND("/",Table13[[#This Row],[spawner_sku]])),Table1[Entity Prefab],0)),10,1,1,"Entities"))</f>
        <v>25</v>
      </c>
      <c r="DB199" s="75">
        <f ca="1">ROUND((Table13[[#This Row],[XP]]*Table13[[#This Row],[entity_spawned (AVG)]])*(Table13[[#This Row],[activating_chance]]/100),0)</f>
        <v>25</v>
      </c>
      <c r="DC199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199" s="72">
        <v>1</v>
      </c>
      <c r="DE199" s="72">
        <v>1</v>
      </c>
      <c r="DF199" s="72" t="b">
        <v>0</v>
      </c>
      <c r="DH199" t="s">
        <v>236</v>
      </c>
      <c r="DI199">
        <v>1</v>
      </c>
      <c r="DJ199">
        <v>120</v>
      </c>
      <c r="DK199">
        <v>100</v>
      </c>
      <c r="DL199" s="75">
        <f ca="1">INDIRECT(ADDRESS(11+(MATCH(RIGHT(Table14[[#This Row],[spawner_sku]],LEN(Table14[[#This Row],[spawner_sku]])-FIND("/",Table14[[#This Row],[spawner_sku]])),Table1[Entity Prefab],0)),10,1,1,"Entities"))</f>
        <v>70</v>
      </c>
      <c r="DM199" s="75">
        <f ca="1">ROUND((Table14[[#This Row],[XP]]*Table14[[#This Row],[entity_spawned (AVG)]])*(Table14[[#This Row],[activating_chance]]/100),0)</f>
        <v>70</v>
      </c>
      <c r="DN19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99" s="72">
        <v>1</v>
      </c>
      <c r="DP199" s="72">
        <v>1</v>
      </c>
      <c r="DQ199" s="72" t="b">
        <v>0</v>
      </c>
      <c r="DS199" t="s">
        <v>630</v>
      </c>
      <c r="DT199">
        <v>1</v>
      </c>
      <c r="DU199">
        <v>120</v>
      </c>
      <c r="DV199">
        <v>80</v>
      </c>
      <c r="DW199" s="75">
        <f ca="1">INDIRECT(ADDRESS(11+(MATCH(RIGHT(Table18[[#This Row],[spawner_sku]],LEN(Table18[[#This Row],[spawner_sku]])-FIND("/",Table18[[#This Row],[spawner_sku]])),Table1[Entity Prefab],0)),10,1,1,"Entities"))</f>
        <v>35</v>
      </c>
      <c r="DX199" s="75">
        <f ca="1">ROUND((Table18[[#This Row],[XP]]*Table18[[#This Row],[entity_spawned (AVG)]])*(Table18[[#This Row],[activating_chance]]/100),0)</f>
        <v>28</v>
      </c>
      <c r="DY19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99">
        <v>1</v>
      </c>
      <c r="EA199">
        <v>1</v>
      </c>
      <c r="EB199" t="b">
        <v>0</v>
      </c>
      <c r="ED199" t="s">
        <v>246</v>
      </c>
      <c r="EE199">
        <v>1</v>
      </c>
      <c r="EF199">
        <v>500</v>
      </c>
      <c r="EG199">
        <v>100</v>
      </c>
      <c r="EH19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199" s="75">
        <f ca="1">ROUND((Table1820[[#This Row],[XP]]*Table1820[[#This Row],[entity_spawned (AVG)]])*(Table1820[[#This Row],[activating_chance]]/100),0)</f>
        <v>25</v>
      </c>
      <c r="EJ19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99">
        <v>1</v>
      </c>
      <c r="EL199">
        <v>1</v>
      </c>
      <c r="EM199" t="b">
        <v>0</v>
      </c>
      <c r="EZ199" t="s">
        <v>7358</v>
      </c>
      <c r="FA199">
        <v>2</v>
      </c>
      <c r="FB199">
        <v>80</v>
      </c>
      <c r="FC199">
        <v>80</v>
      </c>
      <c r="FD199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FE199" s="75">
        <f ca="1">ROUND((Table18202324[[#This Row],[XP]]*Table18202324[[#This Row],[entity_spawned (AVG)]])*(Table18202324[[#This Row],[activating_chance]]/100),0)</f>
        <v>80</v>
      </c>
      <c r="FF199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99">
        <v>1</v>
      </c>
      <c r="FH199">
        <v>3</v>
      </c>
      <c r="FI199" t="b">
        <v>0</v>
      </c>
    </row>
    <row r="200" spans="2:165" x14ac:dyDescent="0.25">
      <c r="B200" s="73" t="s">
        <v>230</v>
      </c>
      <c r="C200">
        <v>3</v>
      </c>
      <c r="D200">
        <v>110</v>
      </c>
      <c r="E200">
        <v>100</v>
      </c>
      <c r="F200" s="75">
        <f ca="1">INDIRECT(ADDRESS(11+(MATCH(RIGHT(Table245[[#This Row],[spawner_sku]],LEN(Table245[[#This Row],[spawner_sku]])-FIND("/",Table245[[#This Row],[spawner_sku]])),Table1[Entity Prefab],0)),10,1,1,"Entities"))</f>
        <v>25</v>
      </c>
      <c r="G200" s="75">
        <f ca="1">ROUND((Table245[[#This Row],[XP]]*Table245[[#This Row],[entity_spawned (AVG)]])*(Table245[[#This Row],[activating_chance]]/100),0)</f>
        <v>75</v>
      </c>
      <c r="H20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0" s="72">
        <v>2</v>
      </c>
      <c r="J200" s="72">
        <v>4</v>
      </c>
      <c r="K200" s="72" t="b">
        <v>0</v>
      </c>
      <c r="M200" t="s">
        <v>384</v>
      </c>
      <c r="N200">
        <v>5</v>
      </c>
      <c r="O200">
        <v>100</v>
      </c>
      <c r="P200">
        <v>100</v>
      </c>
      <c r="Q200" s="75">
        <f ca="1">INDIRECT(ADDRESS(11+(MATCH(RIGHT(Table3[[#This Row],[spawner_sku]],LEN(Table3[[#This Row],[spawner_sku]])-FIND("/",Table3[[#This Row],[spawner_sku]])),Table1[Entity Prefab],0)),10,1,1,"Entities"))</f>
        <v>25</v>
      </c>
      <c r="R200" s="75">
        <f ca="1">ROUND((Table3[[#This Row],[XP]]*Table3[[#This Row],[entity_spawned (AVG)]])*(Table3[[#This Row],[activating_chance]]/100),0)</f>
        <v>125</v>
      </c>
      <c r="S200" t="str">
        <f ca="1">INDIRECT(ADDRESS(11+(MATCH(RIGHT(Table3[[#This Row],[spawner_sku]],LEN(Table3[[#This Row],[spawner_sku]])-FIND("/",Table3[[#This Row],[spawner_sku]])),Table28[Entity Prefab],0)),24,1,1,"Entities"))</f>
        <v>no</v>
      </c>
      <c r="T200">
        <v>5</v>
      </c>
      <c r="U200">
        <v>5</v>
      </c>
      <c r="V200" t="b">
        <v>1</v>
      </c>
      <c r="AI200" t="s">
        <v>239</v>
      </c>
      <c r="AJ200">
        <v>1</v>
      </c>
      <c r="AK200">
        <v>1500</v>
      </c>
      <c r="AL200">
        <v>100</v>
      </c>
      <c r="AM200" s="75">
        <f ca="1">INDIRECT(ADDRESS(11+(MATCH(RIGHT(Table2[[#This Row],[spawner_sku]],LEN(Table2[[#This Row],[spawner_sku]])-FIND("/",Table2[[#This Row],[spawner_sku]])),Table1[Entity Prefab],0)),10,1,1,"Entities"))</f>
        <v>175</v>
      </c>
      <c r="AN200" s="75">
        <f ca="1">ROUND((Table2[[#This Row],[XP]]*Table2[[#This Row],[entity_spawned (AVG)]])*(Table2[[#This Row],[activating_chance]]/100),0)</f>
        <v>175</v>
      </c>
      <c r="AO20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00" s="72">
        <v>1</v>
      </c>
      <c r="AQ200" s="72">
        <v>1</v>
      </c>
      <c r="AR200" s="72" t="b">
        <v>0</v>
      </c>
      <c r="BE200" t="s">
        <v>254</v>
      </c>
      <c r="BF200">
        <v>1</v>
      </c>
      <c r="BG200">
        <v>170</v>
      </c>
      <c r="BH200">
        <v>100</v>
      </c>
      <c r="BI200" s="75">
        <f ca="1">INDIRECT(ADDRESS(11+(MATCH(RIGHT(Table610[[#This Row],[spawner_sku]],LEN(Table610[[#This Row],[spawner_sku]])-FIND("/",Table610[[#This Row],[spawner_sku]])),Table1[Entity Prefab],0)),10,1,1,"Entities"))</f>
        <v>70</v>
      </c>
      <c r="BJ200" s="75">
        <f ca="1">ROUND((Table610[[#This Row],[XP]]*Table610[[#This Row],[entity_spawned (AVG)]])*(Table610[[#This Row],[activating_chance]]/100),0)</f>
        <v>70</v>
      </c>
      <c r="BK200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200">
        <v>1</v>
      </c>
      <c r="BM200">
        <v>1</v>
      </c>
      <c r="BN200" t="b">
        <v>0</v>
      </c>
      <c r="BP200" t="s">
        <v>236</v>
      </c>
      <c r="BQ200">
        <v>1</v>
      </c>
      <c r="BR200">
        <v>200</v>
      </c>
      <c r="BS200">
        <v>100</v>
      </c>
      <c r="BT200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200" s="75">
        <f ca="1">ROUND((Table61011[[#This Row],[XP]]*Table61011[[#This Row],[entity_spawned (AVG)]])*(Table61011[[#This Row],[activating_chance]]/100),0)</f>
        <v>70</v>
      </c>
      <c r="BV20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00" s="72">
        <v>1</v>
      </c>
      <c r="BX200" s="72">
        <v>1</v>
      </c>
      <c r="BY200" s="72" t="b">
        <v>0</v>
      </c>
      <c r="CA200" t="s">
        <v>629</v>
      </c>
      <c r="CB200">
        <v>1</v>
      </c>
      <c r="CC200">
        <v>120</v>
      </c>
      <c r="CD200">
        <v>100</v>
      </c>
      <c r="CE200" s="75">
        <f ca="1">INDIRECT(ADDRESS(11+(MATCH(RIGHT(Table11[[#This Row],[spawner_sku]],LEN(Table11[[#This Row],[spawner_sku]])-FIND("/",Table11[[#This Row],[spawner_sku]])),Table1[Entity Prefab],0)),10,1,1,"Entities"))</f>
        <v>50</v>
      </c>
      <c r="CF200">
        <f ca="1">ROUND((Table11[[#This Row],[XP]]*Table11[[#This Row],[entity_spawned (AVG)]])*(Table11[[#This Row],[activating_chance]]/100),0)</f>
        <v>50</v>
      </c>
      <c r="CG200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200" s="72">
        <v>1</v>
      </c>
      <c r="CI200" s="72">
        <v>1</v>
      </c>
      <c r="CJ200" s="72" t="b">
        <v>0</v>
      </c>
      <c r="CL200" t="s">
        <v>384</v>
      </c>
      <c r="CM200">
        <v>2.5</v>
      </c>
      <c r="CN200">
        <v>100</v>
      </c>
      <c r="CO200">
        <v>80</v>
      </c>
      <c r="CP200" s="75">
        <f ca="1">INDIRECT(ADDRESS(11+(MATCH(RIGHT(Table12[[#This Row],[spawner_sku]],LEN(Table12[[#This Row],[spawner_sku]])-FIND("/",Table12[[#This Row],[spawner_sku]])),Table1[Entity Prefab],0)),10,1,1,"Entities"))</f>
        <v>25</v>
      </c>
      <c r="CQ200" s="75">
        <f ca="1">ROUND((Table12[[#This Row],[XP]]*Table12[[#This Row],[entity_spawned (AVG)]])*(Table12[[#This Row],[activating_chance]]/100),0)</f>
        <v>50</v>
      </c>
      <c r="CR200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200" s="72">
        <v>2</v>
      </c>
      <c r="CT200" s="72">
        <v>3</v>
      </c>
      <c r="CU200" s="72" t="b">
        <v>0</v>
      </c>
      <c r="CW200" t="s">
        <v>255</v>
      </c>
      <c r="CX200">
        <v>1</v>
      </c>
      <c r="CY200">
        <v>150</v>
      </c>
      <c r="CZ200">
        <v>100</v>
      </c>
      <c r="DA200" s="75">
        <f ca="1">INDIRECT(ADDRESS(11+(MATCH(RIGHT(Table13[[#This Row],[spawner_sku]],LEN(Table13[[#This Row],[spawner_sku]])-FIND("/",Table13[[#This Row],[spawner_sku]])),Table1[Entity Prefab],0)),10,1,1,"Entities"))</f>
        <v>25</v>
      </c>
      <c r="DB200" s="75">
        <f ca="1">ROUND((Table13[[#This Row],[XP]]*Table13[[#This Row],[entity_spawned (AVG)]])*(Table13[[#This Row],[activating_chance]]/100),0)</f>
        <v>25</v>
      </c>
      <c r="DC200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00" s="72">
        <v>1</v>
      </c>
      <c r="DE200" s="72">
        <v>1</v>
      </c>
      <c r="DF200" s="72" t="b">
        <v>0</v>
      </c>
      <c r="DH200" t="s">
        <v>236</v>
      </c>
      <c r="DI200">
        <v>1</v>
      </c>
      <c r="DJ200">
        <v>100</v>
      </c>
      <c r="DK200">
        <v>100</v>
      </c>
      <c r="DL200" s="75">
        <f ca="1">INDIRECT(ADDRESS(11+(MATCH(RIGHT(Table14[[#This Row],[spawner_sku]],LEN(Table14[[#This Row],[spawner_sku]])-FIND("/",Table14[[#This Row],[spawner_sku]])),Table1[Entity Prefab],0)),10,1,1,"Entities"))</f>
        <v>70</v>
      </c>
      <c r="DM200" s="75">
        <f ca="1">ROUND((Table14[[#This Row],[XP]]*Table14[[#This Row],[entity_spawned (AVG)]])*(Table14[[#This Row],[activating_chance]]/100),0)</f>
        <v>70</v>
      </c>
      <c r="DN20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200" s="72">
        <v>1</v>
      </c>
      <c r="DP200" s="72">
        <v>1</v>
      </c>
      <c r="DQ200" s="72" t="b">
        <v>0</v>
      </c>
      <c r="DS200" t="s">
        <v>630</v>
      </c>
      <c r="DT200">
        <v>1</v>
      </c>
      <c r="DU200">
        <v>120</v>
      </c>
      <c r="DV200">
        <v>80</v>
      </c>
      <c r="DW200" s="75">
        <f ca="1">INDIRECT(ADDRESS(11+(MATCH(RIGHT(Table18[[#This Row],[spawner_sku]],LEN(Table18[[#This Row],[spawner_sku]])-FIND("/",Table18[[#This Row],[spawner_sku]])),Table1[Entity Prefab],0)),10,1,1,"Entities"))</f>
        <v>35</v>
      </c>
      <c r="DX200" s="75">
        <f ca="1">ROUND((Table18[[#This Row],[XP]]*Table18[[#This Row],[entity_spawned (AVG)]])*(Table18[[#This Row],[activating_chance]]/100),0)</f>
        <v>28</v>
      </c>
      <c r="DY20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00">
        <v>1</v>
      </c>
      <c r="EA200">
        <v>1</v>
      </c>
      <c r="EB200" t="b">
        <v>0</v>
      </c>
      <c r="ED200" t="s">
        <v>246</v>
      </c>
      <c r="EE200">
        <v>1</v>
      </c>
      <c r="EF200">
        <v>500</v>
      </c>
      <c r="EG200">
        <v>100</v>
      </c>
      <c r="EH200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00" s="75">
        <f ca="1">ROUND((Table1820[[#This Row],[XP]]*Table1820[[#This Row],[entity_spawned (AVG)]])*(Table1820[[#This Row],[activating_chance]]/100),0)</f>
        <v>25</v>
      </c>
      <c r="EJ20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00">
        <v>1</v>
      </c>
      <c r="EL200">
        <v>1</v>
      </c>
      <c r="EM200" t="b">
        <v>0</v>
      </c>
      <c r="EZ200" t="s">
        <v>7358</v>
      </c>
      <c r="FA200">
        <v>7.5</v>
      </c>
      <c r="FB200">
        <v>80</v>
      </c>
      <c r="FC200">
        <v>100</v>
      </c>
      <c r="FD200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FE200" s="75">
        <f ca="1">ROUND((Table18202324[[#This Row],[XP]]*Table18202324[[#This Row],[entity_spawned (AVG)]])*(Table18202324[[#This Row],[activating_chance]]/100),0)</f>
        <v>375</v>
      </c>
      <c r="FF200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200">
        <v>5</v>
      </c>
      <c r="FH200">
        <v>10</v>
      </c>
      <c r="FI200" t="b">
        <v>1</v>
      </c>
    </row>
    <row r="201" spans="2:165" x14ac:dyDescent="0.25">
      <c r="B201" s="73" t="s">
        <v>230</v>
      </c>
      <c r="C201">
        <v>2.5</v>
      </c>
      <c r="D201">
        <v>100</v>
      </c>
      <c r="E201">
        <v>100</v>
      </c>
      <c r="F201" s="75">
        <f ca="1">INDIRECT(ADDRESS(11+(MATCH(RIGHT(Table245[[#This Row],[spawner_sku]],LEN(Table245[[#This Row],[spawner_sku]])-FIND("/",Table245[[#This Row],[spawner_sku]])),Table1[Entity Prefab],0)),10,1,1,"Entities"))</f>
        <v>25</v>
      </c>
      <c r="G201" s="75">
        <f ca="1">ROUND((Table245[[#This Row],[XP]]*Table245[[#This Row],[entity_spawned (AVG)]])*(Table245[[#This Row],[activating_chance]]/100),0)</f>
        <v>63</v>
      </c>
      <c r="H20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1" s="72">
        <v>2</v>
      </c>
      <c r="J201" s="72">
        <v>3</v>
      </c>
      <c r="K201" s="72" t="b">
        <v>0</v>
      </c>
      <c r="M201" t="s">
        <v>384</v>
      </c>
      <c r="N201">
        <v>5</v>
      </c>
      <c r="O201">
        <v>100</v>
      </c>
      <c r="P201">
        <v>100</v>
      </c>
      <c r="Q201" s="75">
        <f ca="1">INDIRECT(ADDRESS(11+(MATCH(RIGHT(Table3[[#This Row],[spawner_sku]],LEN(Table3[[#This Row],[spawner_sku]])-FIND("/",Table3[[#This Row],[spawner_sku]])),Table1[Entity Prefab],0)),10,1,1,"Entities"))</f>
        <v>25</v>
      </c>
      <c r="R201" s="75">
        <f ca="1">ROUND((Table3[[#This Row],[XP]]*Table3[[#This Row],[entity_spawned (AVG)]])*(Table3[[#This Row],[activating_chance]]/100),0)</f>
        <v>125</v>
      </c>
      <c r="S201" t="str">
        <f ca="1">INDIRECT(ADDRESS(11+(MATCH(RIGHT(Table3[[#This Row],[spawner_sku]],LEN(Table3[[#This Row],[spawner_sku]])-FIND("/",Table3[[#This Row],[spawner_sku]])),Table28[Entity Prefab],0)),24,1,1,"Entities"))</f>
        <v>no</v>
      </c>
      <c r="T201">
        <v>5</v>
      </c>
      <c r="U201">
        <v>5</v>
      </c>
      <c r="V201" t="b">
        <v>1</v>
      </c>
      <c r="AI201" t="s">
        <v>239</v>
      </c>
      <c r="AJ201">
        <v>1</v>
      </c>
      <c r="AK201">
        <v>1500</v>
      </c>
      <c r="AL201">
        <v>100</v>
      </c>
      <c r="AM201" s="75">
        <f ca="1">INDIRECT(ADDRESS(11+(MATCH(RIGHT(Table2[[#This Row],[spawner_sku]],LEN(Table2[[#This Row],[spawner_sku]])-FIND("/",Table2[[#This Row],[spawner_sku]])),Table1[Entity Prefab],0)),10,1,1,"Entities"))</f>
        <v>175</v>
      </c>
      <c r="AN201" s="75">
        <f ca="1">ROUND((Table2[[#This Row],[XP]]*Table2[[#This Row],[entity_spawned (AVG)]])*(Table2[[#This Row],[activating_chance]]/100),0)</f>
        <v>175</v>
      </c>
      <c r="AO201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01" s="72">
        <v>1</v>
      </c>
      <c r="AQ201" s="72">
        <v>1</v>
      </c>
      <c r="AR201" s="72" t="b">
        <v>0</v>
      </c>
      <c r="BE201" t="s">
        <v>255</v>
      </c>
      <c r="BF201">
        <v>1</v>
      </c>
      <c r="BG201">
        <v>200</v>
      </c>
      <c r="BH201">
        <v>40</v>
      </c>
      <c r="BI201" s="75">
        <f ca="1">INDIRECT(ADDRESS(11+(MATCH(RIGHT(Table610[[#This Row],[spawner_sku]],LEN(Table610[[#This Row],[spawner_sku]])-FIND("/",Table610[[#This Row],[spawner_sku]])),Table1[Entity Prefab],0)),10,1,1,"Entities"))</f>
        <v>25</v>
      </c>
      <c r="BJ201" s="75">
        <f ca="1">ROUND((Table610[[#This Row],[XP]]*Table610[[#This Row],[entity_spawned (AVG)]])*(Table610[[#This Row],[activating_chance]]/100),0)</f>
        <v>10</v>
      </c>
      <c r="BK201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01">
        <v>1</v>
      </c>
      <c r="BM201">
        <v>1</v>
      </c>
      <c r="BN201" t="b">
        <v>0</v>
      </c>
      <c r="BP201" t="s">
        <v>236</v>
      </c>
      <c r="BQ201">
        <v>1</v>
      </c>
      <c r="BR201">
        <v>200</v>
      </c>
      <c r="BS201">
        <v>100</v>
      </c>
      <c r="BT201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201" s="75">
        <f ca="1">ROUND((Table61011[[#This Row],[XP]]*Table61011[[#This Row],[entity_spawned (AVG)]])*(Table61011[[#This Row],[activating_chance]]/100),0)</f>
        <v>70</v>
      </c>
      <c r="BV20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01" s="72">
        <v>1</v>
      </c>
      <c r="BX201" s="72">
        <v>1</v>
      </c>
      <c r="BY201" s="72" t="b">
        <v>0</v>
      </c>
      <c r="CA201" t="s">
        <v>629</v>
      </c>
      <c r="CB201">
        <v>2</v>
      </c>
      <c r="CC201">
        <v>120</v>
      </c>
      <c r="CD201">
        <v>60</v>
      </c>
      <c r="CE201" s="75">
        <f ca="1">INDIRECT(ADDRESS(11+(MATCH(RIGHT(Table11[[#This Row],[spawner_sku]],LEN(Table11[[#This Row],[spawner_sku]])-FIND("/",Table11[[#This Row],[spawner_sku]])),Table1[Entity Prefab],0)),10,1,1,"Entities"))</f>
        <v>50</v>
      </c>
      <c r="CF201">
        <f ca="1">ROUND((Table11[[#This Row],[XP]]*Table11[[#This Row],[entity_spawned (AVG)]])*(Table11[[#This Row],[activating_chance]]/100),0)</f>
        <v>60</v>
      </c>
      <c r="CG201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201" s="72">
        <v>2</v>
      </c>
      <c r="CI201" s="72">
        <v>2</v>
      </c>
      <c r="CJ201" s="72" t="b">
        <v>0</v>
      </c>
      <c r="CL201" t="s">
        <v>384</v>
      </c>
      <c r="CM201">
        <v>9</v>
      </c>
      <c r="CN201">
        <v>100</v>
      </c>
      <c r="CO201">
        <v>80</v>
      </c>
      <c r="CP201" s="75">
        <f ca="1">INDIRECT(ADDRESS(11+(MATCH(RIGHT(Table12[[#This Row],[spawner_sku]],LEN(Table12[[#This Row],[spawner_sku]])-FIND("/",Table12[[#This Row],[spawner_sku]])),Table1[Entity Prefab],0)),10,1,1,"Entities"))</f>
        <v>25</v>
      </c>
      <c r="CQ201" s="75">
        <f ca="1">ROUND((Table12[[#This Row],[XP]]*Table12[[#This Row],[entity_spawned (AVG)]])*(Table12[[#This Row],[activating_chance]]/100),0)</f>
        <v>180</v>
      </c>
      <c r="CR201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201" s="72">
        <v>8</v>
      </c>
      <c r="CT201" s="72">
        <v>10</v>
      </c>
      <c r="CU201" s="72" t="b">
        <v>1</v>
      </c>
      <c r="CW201" t="s">
        <v>255</v>
      </c>
      <c r="CX201">
        <v>1</v>
      </c>
      <c r="CY201">
        <v>150</v>
      </c>
      <c r="CZ201">
        <v>80</v>
      </c>
      <c r="DA201" s="75">
        <f ca="1">INDIRECT(ADDRESS(11+(MATCH(RIGHT(Table13[[#This Row],[spawner_sku]],LEN(Table13[[#This Row],[spawner_sku]])-FIND("/",Table13[[#This Row],[spawner_sku]])),Table1[Entity Prefab],0)),10,1,1,"Entities"))</f>
        <v>25</v>
      </c>
      <c r="DB201" s="75">
        <f ca="1">ROUND((Table13[[#This Row],[XP]]*Table13[[#This Row],[entity_spawned (AVG)]])*(Table13[[#This Row],[activating_chance]]/100),0)</f>
        <v>20</v>
      </c>
      <c r="DC201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01" s="72">
        <v>1</v>
      </c>
      <c r="DE201" s="72">
        <v>1</v>
      </c>
      <c r="DF201" s="72" t="b">
        <v>0</v>
      </c>
      <c r="DH201" t="s">
        <v>236</v>
      </c>
      <c r="DI201">
        <v>1</v>
      </c>
      <c r="DJ201">
        <v>120</v>
      </c>
      <c r="DK201">
        <v>100</v>
      </c>
      <c r="DL201" s="75">
        <f ca="1">INDIRECT(ADDRESS(11+(MATCH(RIGHT(Table14[[#This Row],[spawner_sku]],LEN(Table14[[#This Row],[spawner_sku]])-FIND("/",Table14[[#This Row],[spawner_sku]])),Table1[Entity Prefab],0)),10,1,1,"Entities"))</f>
        <v>70</v>
      </c>
      <c r="DM201" s="75">
        <f ca="1">ROUND((Table14[[#This Row],[XP]]*Table14[[#This Row],[entity_spawned (AVG)]])*(Table14[[#This Row],[activating_chance]]/100),0)</f>
        <v>70</v>
      </c>
      <c r="DN20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201" s="72">
        <v>1</v>
      </c>
      <c r="DP201" s="72">
        <v>1</v>
      </c>
      <c r="DQ201" s="72" t="b">
        <v>0</v>
      </c>
      <c r="DS201" t="s">
        <v>630</v>
      </c>
      <c r="DT201">
        <v>1</v>
      </c>
      <c r="DU201">
        <v>120</v>
      </c>
      <c r="DV201">
        <v>90</v>
      </c>
      <c r="DW201" s="75">
        <f ca="1">INDIRECT(ADDRESS(11+(MATCH(RIGHT(Table18[[#This Row],[spawner_sku]],LEN(Table18[[#This Row],[spawner_sku]])-FIND("/",Table18[[#This Row],[spawner_sku]])),Table1[Entity Prefab],0)),10,1,1,"Entities"))</f>
        <v>35</v>
      </c>
      <c r="DX201" s="75">
        <f ca="1">ROUND((Table18[[#This Row],[XP]]*Table18[[#This Row],[entity_spawned (AVG)]])*(Table18[[#This Row],[activating_chance]]/100),0)</f>
        <v>32</v>
      </c>
      <c r="DY20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01">
        <v>1</v>
      </c>
      <c r="EA201">
        <v>1</v>
      </c>
      <c r="EB201" t="b">
        <v>0</v>
      </c>
      <c r="ED201" t="s">
        <v>246</v>
      </c>
      <c r="EE201">
        <v>1</v>
      </c>
      <c r="EF201">
        <v>500</v>
      </c>
      <c r="EG201">
        <v>100</v>
      </c>
      <c r="EH201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01" s="75">
        <f ca="1">ROUND((Table1820[[#This Row],[XP]]*Table1820[[#This Row],[entity_spawned (AVG)]])*(Table1820[[#This Row],[activating_chance]]/100),0)</f>
        <v>25</v>
      </c>
      <c r="EJ20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01">
        <v>1</v>
      </c>
      <c r="EL201">
        <v>1</v>
      </c>
      <c r="EM201" t="b">
        <v>0</v>
      </c>
      <c r="EZ201" t="s">
        <v>7358</v>
      </c>
      <c r="FA201">
        <v>3</v>
      </c>
      <c r="FB201">
        <v>90</v>
      </c>
      <c r="FC201">
        <v>100</v>
      </c>
      <c r="FD201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FE201" s="75">
        <f ca="1">ROUND((Table18202324[[#This Row],[XP]]*Table18202324[[#This Row],[entity_spawned (AVG)]])*(Table18202324[[#This Row],[activating_chance]]/100),0)</f>
        <v>150</v>
      </c>
      <c r="FF201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201">
        <v>2</v>
      </c>
      <c r="FH201">
        <v>4</v>
      </c>
      <c r="FI201" t="b">
        <v>0</v>
      </c>
    </row>
    <row r="202" spans="2:165" x14ac:dyDescent="0.25">
      <c r="B202" s="73" t="s">
        <v>391</v>
      </c>
      <c r="C202">
        <v>1</v>
      </c>
      <c r="D202">
        <v>100</v>
      </c>
      <c r="E202">
        <v>100</v>
      </c>
      <c r="F202" s="75">
        <f ca="1">INDIRECT(ADDRESS(11+(MATCH(RIGHT(Table245[[#This Row],[spawner_sku]],LEN(Table245[[#This Row],[spawner_sku]])-FIND("/",Table245[[#This Row],[spawner_sku]])),Table1[Entity Prefab],0)),10,1,1,"Entities"))</f>
        <v>25</v>
      </c>
      <c r="G202" s="75">
        <f ca="1">ROUND((Table245[[#This Row],[XP]]*Table245[[#This Row],[entity_spawned (AVG)]])*(Table245[[#This Row],[activating_chance]]/100),0)</f>
        <v>25</v>
      </c>
      <c r="H20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2" s="72">
        <v>1</v>
      </c>
      <c r="J202" s="72">
        <v>1</v>
      </c>
      <c r="K202" s="72" t="b">
        <v>0</v>
      </c>
      <c r="M202" t="s">
        <v>384</v>
      </c>
      <c r="N202">
        <v>2</v>
      </c>
      <c r="O202">
        <v>100</v>
      </c>
      <c r="P202">
        <v>100</v>
      </c>
      <c r="Q202" s="75">
        <f ca="1">INDIRECT(ADDRESS(11+(MATCH(RIGHT(Table3[[#This Row],[spawner_sku]],LEN(Table3[[#This Row],[spawner_sku]])-FIND("/",Table3[[#This Row],[spawner_sku]])),Table1[Entity Prefab],0)),10,1,1,"Entities"))</f>
        <v>25</v>
      </c>
      <c r="R202" s="75">
        <f ca="1">ROUND((Table3[[#This Row],[XP]]*Table3[[#This Row],[entity_spawned (AVG)]])*(Table3[[#This Row],[activating_chance]]/100),0)</f>
        <v>50</v>
      </c>
      <c r="S202" t="str">
        <f ca="1">INDIRECT(ADDRESS(11+(MATCH(RIGHT(Table3[[#This Row],[spawner_sku]],LEN(Table3[[#This Row],[spawner_sku]])-FIND("/",Table3[[#This Row],[spawner_sku]])),Table28[Entity Prefab],0)),24,1,1,"Entities"))</f>
        <v>no</v>
      </c>
      <c r="T202">
        <v>2</v>
      </c>
      <c r="U202">
        <v>2</v>
      </c>
      <c r="V202" t="b">
        <v>0</v>
      </c>
      <c r="AI202" t="s">
        <v>239</v>
      </c>
      <c r="AJ202">
        <v>1</v>
      </c>
      <c r="AK202">
        <v>2000</v>
      </c>
      <c r="AL202">
        <v>100</v>
      </c>
      <c r="AM202" s="75">
        <f ca="1">INDIRECT(ADDRESS(11+(MATCH(RIGHT(Table2[[#This Row],[spawner_sku]],LEN(Table2[[#This Row],[spawner_sku]])-FIND("/",Table2[[#This Row],[spawner_sku]])),Table1[Entity Prefab],0)),10,1,1,"Entities"))</f>
        <v>175</v>
      </c>
      <c r="AN202" s="75">
        <f ca="1">ROUND((Table2[[#This Row],[XP]]*Table2[[#This Row],[entity_spawned (AVG)]])*(Table2[[#This Row],[activating_chance]]/100),0)</f>
        <v>175</v>
      </c>
      <c r="AO202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02" s="72">
        <v>1</v>
      </c>
      <c r="AQ202" s="72">
        <v>1</v>
      </c>
      <c r="AR202" s="72" t="b">
        <v>0</v>
      </c>
      <c r="BE202" t="s">
        <v>255</v>
      </c>
      <c r="BF202">
        <v>1</v>
      </c>
      <c r="BG202">
        <v>200</v>
      </c>
      <c r="BH202">
        <v>80</v>
      </c>
      <c r="BI202" s="75">
        <f ca="1">INDIRECT(ADDRESS(11+(MATCH(RIGHT(Table610[[#This Row],[spawner_sku]],LEN(Table610[[#This Row],[spawner_sku]])-FIND("/",Table610[[#This Row],[spawner_sku]])),Table1[Entity Prefab],0)),10,1,1,"Entities"))</f>
        <v>25</v>
      </c>
      <c r="BJ202" s="75">
        <f ca="1">ROUND((Table610[[#This Row],[XP]]*Table610[[#This Row],[entity_spawned (AVG)]])*(Table610[[#This Row],[activating_chance]]/100),0)</f>
        <v>20</v>
      </c>
      <c r="BK202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02">
        <v>1</v>
      </c>
      <c r="BM202">
        <v>1</v>
      </c>
      <c r="BN202" t="b">
        <v>0</v>
      </c>
      <c r="BP202" t="s">
        <v>236</v>
      </c>
      <c r="BQ202">
        <v>1</v>
      </c>
      <c r="BR202">
        <v>220</v>
      </c>
      <c r="BS202">
        <v>100</v>
      </c>
      <c r="BT202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202" s="75">
        <f ca="1">ROUND((Table61011[[#This Row],[XP]]*Table61011[[#This Row],[entity_spawned (AVG)]])*(Table61011[[#This Row],[activating_chance]]/100),0)</f>
        <v>70</v>
      </c>
      <c r="BV20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02" s="72">
        <v>1</v>
      </c>
      <c r="BX202" s="72">
        <v>1</v>
      </c>
      <c r="BY202" s="72" t="b">
        <v>0</v>
      </c>
      <c r="CA202" t="s">
        <v>629</v>
      </c>
      <c r="CB202">
        <v>1</v>
      </c>
      <c r="CC202">
        <v>120</v>
      </c>
      <c r="CD202">
        <v>100</v>
      </c>
      <c r="CE202" s="75">
        <f ca="1">INDIRECT(ADDRESS(11+(MATCH(RIGHT(Table11[[#This Row],[spawner_sku]],LEN(Table11[[#This Row],[spawner_sku]])-FIND("/",Table11[[#This Row],[spawner_sku]])),Table1[Entity Prefab],0)),10,1,1,"Entities"))</f>
        <v>50</v>
      </c>
      <c r="CF202">
        <f ca="1">ROUND((Table11[[#This Row],[XP]]*Table11[[#This Row],[entity_spawned (AVG)]])*(Table11[[#This Row],[activating_chance]]/100),0)</f>
        <v>50</v>
      </c>
      <c r="CG202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202" s="72">
        <v>1</v>
      </c>
      <c r="CI202" s="72">
        <v>1</v>
      </c>
      <c r="CJ202" s="72" t="b">
        <v>0</v>
      </c>
      <c r="CL202" t="s">
        <v>384</v>
      </c>
      <c r="CM202">
        <v>1.5</v>
      </c>
      <c r="CN202">
        <v>100</v>
      </c>
      <c r="CO202">
        <v>80</v>
      </c>
      <c r="CP202" s="75">
        <f ca="1">INDIRECT(ADDRESS(11+(MATCH(RIGHT(Table12[[#This Row],[spawner_sku]],LEN(Table12[[#This Row],[spawner_sku]])-FIND("/",Table12[[#This Row],[spawner_sku]])),Table1[Entity Prefab],0)),10,1,1,"Entities"))</f>
        <v>25</v>
      </c>
      <c r="CQ202" s="75">
        <f ca="1">ROUND((Table12[[#This Row],[XP]]*Table12[[#This Row],[entity_spawned (AVG)]])*(Table12[[#This Row],[activating_chance]]/100),0)</f>
        <v>30</v>
      </c>
      <c r="CR202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202" s="72">
        <v>1</v>
      </c>
      <c r="CT202" s="72">
        <v>2</v>
      </c>
      <c r="CU202" s="72" t="b">
        <v>0</v>
      </c>
      <c r="CW202" t="s">
        <v>255</v>
      </c>
      <c r="CX202">
        <v>1</v>
      </c>
      <c r="CY202">
        <v>150</v>
      </c>
      <c r="CZ202">
        <v>80</v>
      </c>
      <c r="DA202" s="75">
        <f ca="1">INDIRECT(ADDRESS(11+(MATCH(RIGHT(Table13[[#This Row],[spawner_sku]],LEN(Table13[[#This Row],[spawner_sku]])-FIND("/",Table13[[#This Row],[spawner_sku]])),Table1[Entity Prefab],0)),10,1,1,"Entities"))</f>
        <v>25</v>
      </c>
      <c r="DB202" s="75">
        <f ca="1">ROUND((Table13[[#This Row],[XP]]*Table13[[#This Row],[entity_spawned (AVG)]])*(Table13[[#This Row],[activating_chance]]/100),0)</f>
        <v>20</v>
      </c>
      <c r="DC202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02" s="72">
        <v>1</v>
      </c>
      <c r="DE202" s="72">
        <v>1</v>
      </c>
      <c r="DF202" s="72" t="b">
        <v>0</v>
      </c>
      <c r="DH202" t="s">
        <v>236</v>
      </c>
      <c r="DI202">
        <v>1</v>
      </c>
      <c r="DJ202">
        <v>100</v>
      </c>
      <c r="DK202">
        <v>100</v>
      </c>
      <c r="DL202" s="75">
        <f ca="1">INDIRECT(ADDRESS(11+(MATCH(RIGHT(Table14[[#This Row],[spawner_sku]],LEN(Table14[[#This Row],[spawner_sku]])-FIND("/",Table14[[#This Row],[spawner_sku]])),Table1[Entity Prefab],0)),10,1,1,"Entities"))</f>
        <v>70</v>
      </c>
      <c r="DM202" s="75">
        <f ca="1">ROUND((Table14[[#This Row],[XP]]*Table14[[#This Row],[entity_spawned (AVG)]])*(Table14[[#This Row],[activating_chance]]/100),0)</f>
        <v>70</v>
      </c>
      <c r="DN20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202" s="72">
        <v>1</v>
      </c>
      <c r="DP202" s="72">
        <v>1</v>
      </c>
      <c r="DQ202" s="72" t="b">
        <v>0</v>
      </c>
      <c r="DS202" t="s">
        <v>630</v>
      </c>
      <c r="DT202">
        <v>1</v>
      </c>
      <c r="DU202">
        <v>120</v>
      </c>
      <c r="DV202">
        <v>100</v>
      </c>
      <c r="DW202" s="75">
        <f ca="1">INDIRECT(ADDRESS(11+(MATCH(RIGHT(Table18[[#This Row],[spawner_sku]],LEN(Table18[[#This Row],[spawner_sku]])-FIND("/",Table18[[#This Row],[spawner_sku]])),Table1[Entity Prefab],0)),10,1,1,"Entities"))</f>
        <v>35</v>
      </c>
      <c r="DX202" s="75">
        <f ca="1">ROUND((Table18[[#This Row],[XP]]*Table18[[#This Row],[entity_spawned (AVG)]])*(Table18[[#This Row],[activating_chance]]/100),0)</f>
        <v>35</v>
      </c>
      <c r="DY20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02">
        <v>1</v>
      </c>
      <c r="EA202">
        <v>1</v>
      </c>
      <c r="EB202" t="b">
        <v>0</v>
      </c>
      <c r="ED202" t="s">
        <v>246</v>
      </c>
      <c r="EE202">
        <v>1</v>
      </c>
      <c r="EF202">
        <v>500</v>
      </c>
      <c r="EG202">
        <v>100</v>
      </c>
      <c r="EH20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02" s="75">
        <f ca="1">ROUND((Table1820[[#This Row],[XP]]*Table1820[[#This Row],[entity_spawned (AVG)]])*(Table1820[[#This Row],[activating_chance]]/100),0)</f>
        <v>25</v>
      </c>
      <c r="EJ20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02">
        <v>1</v>
      </c>
      <c r="EL202">
        <v>1</v>
      </c>
      <c r="EM202" t="b">
        <v>0</v>
      </c>
      <c r="EZ202" t="s">
        <v>7358</v>
      </c>
      <c r="FA202">
        <v>3</v>
      </c>
      <c r="FB202">
        <v>75</v>
      </c>
      <c r="FC202">
        <v>100</v>
      </c>
      <c r="FD202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FE202" s="75">
        <f ca="1">ROUND((Table18202324[[#This Row],[XP]]*Table18202324[[#This Row],[entity_spawned (AVG)]])*(Table18202324[[#This Row],[activating_chance]]/100),0)</f>
        <v>150</v>
      </c>
      <c r="FF202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202">
        <v>2</v>
      </c>
      <c r="FH202">
        <v>4</v>
      </c>
      <c r="FI202" t="b">
        <v>0</v>
      </c>
    </row>
    <row r="203" spans="2:165" x14ac:dyDescent="0.25">
      <c r="B203" s="73" t="s">
        <v>231</v>
      </c>
      <c r="C203">
        <v>1</v>
      </c>
      <c r="D203">
        <v>5000</v>
      </c>
      <c r="E203">
        <v>75</v>
      </c>
      <c r="F203" s="75">
        <f ca="1">INDIRECT(ADDRESS(11+(MATCH(RIGHT(Table245[[#This Row],[spawner_sku]],LEN(Table245[[#This Row],[spawner_sku]])-FIND("/",Table245[[#This Row],[spawner_sku]])),Table1[Entity Prefab],0)),10,1,1,"Entities"))</f>
        <v>75</v>
      </c>
      <c r="G203" s="75">
        <f ca="1">ROUND((Table245[[#This Row],[XP]]*Table245[[#This Row],[entity_spawned (AVG)]])*(Table245[[#This Row],[activating_chance]]/100),0)</f>
        <v>56</v>
      </c>
      <c r="H20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3" s="72">
        <v>1</v>
      </c>
      <c r="J203" s="72">
        <v>1</v>
      </c>
      <c r="K203" s="72" t="b">
        <v>0</v>
      </c>
      <c r="M203" t="s">
        <v>383</v>
      </c>
      <c r="N203">
        <v>1</v>
      </c>
      <c r="O203">
        <v>240</v>
      </c>
      <c r="P203">
        <v>100</v>
      </c>
      <c r="Q203" s="75">
        <f ca="1">INDIRECT(ADDRESS(11+(MATCH(RIGHT(Table3[[#This Row],[spawner_sku]],LEN(Table3[[#This Row],[spawner_sku]])-FIND("/",Table3[[#This Row],[spawner_sku]])),Table1[Entity Prefab],0)),10,1,1,"Entities"))</f>
        <v>28</v>
      </c>
      <c r="R203" s="75">
        <f ca="1">ROUND((Table3[[#This Row],[XP]]*Table3[[#This Row],[entity_spawned (AVG)]])*(Table3[[#This Row],[activating_chance]]/100),0)</f>
        <v>28</v>
      </c>
      <c r="S203" t="str">
        <f ca="1">INDIRECT(ADDRESS(11+(MATCH(RIGHT(Table3[[#This Row],[spawner_sku]],LEN(Table3[[#This Row],[spawner_sku]])-FIND("/",Table3[[#This Row],[spawner_sku]])),Table28[Entity Prefab],0)),24,1,1,"Entities"))</f>
        <v>yes</v>
      </c>
      <c r="T203">
        <v>1</v>
      </c>
      <c r="U203">
        <v>1</v>
      </c>
      <c r="V203" t="b">
        <v>0</v>
      </c>
      <c r="AI203" t="s">
        <v>240</v>
      </c>
      <c r="AJ203">
        <v>1</v>
      </c>
      <c r="AK203">
        <v>2000</v>
      </c>
      <c r="AL203">
        <v>100</v>
      </c>
      <c r="AM203" s="75">
        <f ca="1">INDIRECT(ADDRESS(11+(MATCH(RIGHT(Table2[[#This Row],[spawner_sku]],LEN(Table2[[#This Row],[spawner_sku]])-FIND("/",Table2[[#This Row],[spawner_sku]])),Table1[Entity Prefab],0)),10,1,1,"Entities"))</f>
        <v>175</v>
      </c>
      <c r="AN203" s="75">
        <f ca="1">ROUND((Table2[[#This Row],[XP]]*Table2[[#This Row],[entity_spawned (AVG)]])*(Table2[[#This Row],[activating_chance]]/100),0)</f>
        <v>175</v>
      </c>
      <c r="AO20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03" s="72">
        <v>1</v>
      </c>
      <c r="AQ203" s="72">
        <v>1</v>
      </c>
      <c r="AR203" s="72" t="b">
        <v>0</v>
      </c>
      <c r="BE203" t="s">
        <v>255</v>
      </c>
      <c r="BF203">
        <v>1</v>
      </c>
      <c r="BG203">
        <v>200</v>
      </c>
      <c r="BH203">
        <v>40</v>
      </c>
      <c r="BI203" s="75">
        <f ca="1">INDIRECT(ADDRESS(11+(MATCH(RIGHT(Table610[[#This Row],[spawner_sku]],LEN(Table610[[#This Row],[spawner_sku]])-FIND("/",Table610[[#This Row],[spawner_sku]])),Table1[Entity Prefab],0)),10,1,1,"Entities"))</f>
        <v>25</v>
      </c>
      <c r="BJ203" s="75">
        <f ca="1">ROUND((Table610[[#This Row],[XP]]*Table610[[#This Row],[entity_spawned (AVG)]])*(Table610[[#This Row],[activating_chance]]/100),0)</f>
        <v>10</v>
      </c>
      <c r="BK203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03">
        <v>1</v>
      </c>
      <c r="BM203">
        <v>1</v>
      </c>
      <c r="BN203" t="b">
        <v>0</v>
      </c>
      <c r="BP203" t="s">
        <v>236</v>
      </c>
      <c r="BQ203">
        <v>1</v>
      </c>
      <c r="BR203">
        <v>200</v>
      </c>
      <c r="BS203">
        <v>100</v>
      </c>
      <c r="BT203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203" s="75">
        <f ca="1">ROUND((Table61011[[#This Row],[XP]]*Table61011[[#This Row],[entity_spawned (AVG)]])*(Table61011[[#This Row],[activating_chance]]/100),0)</f>
        <v>70</v>
      </c>
      <c r="BV20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03" s="72">
        <v>1</v>
      </c>
      <c r="BX203" s="72">
        <v>1</v>
      </c>
      <c r="BY203" s="72" t="b">
        <v>0</v>
      </c>
      <c r="CA203" t="s">
        <v>629</v>
      </c>
      <c r="CB203">
        <v>2</v>
      </c>
      <c r="CC203">
        <v>120</v>
      </c>
      <c r="CD203">
        <v>100</v>
      </c>
      <c r="CE203" s="75">
        <f ca="1">INDIRECT(ADDRESS(11+(MATCH(RIGHT(Table11[[#This Row],[spawner_sku]],LEN(Table11[[#This Row],[spawner_sku]])-FIND("/",Table11[[#This Row],[spawner_sku]])),Table1[Entity Prefab],0)),10,1,1,"Entities"))</f>
        <v>50</v>
      </c>
      <c r="CF203">
        <f ca="1">ROUND((Table11[[#This Row],[XP]]*Table11[[#This Row],[entity_spawned (AVG)]])*(Table11[[#This Row],[activating_chance]]/100),0)</f>
        <v>100</v>
      </c>
      <c r="CG203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203" s="72">
        <v>2</v>
      </c>
      <c r="CI203" s="72">
        <v>2</v>
      </c>
      <c r="CJ203" s="72" t="b">
        <v>0</v>
      </c>
      <c r="CL203" t="s">
        <v>384</v>
      </c>
      <c r="CM203">
        <v>1.5</v>
      </c>
      <c r="CN203">
        <v>100</v>
      </c>
      <c r="CO203">
        <v>30</v>
      </c>
      <c r="CP203" s="75">
        <f ca="1">INDIRECT(ADDRESS(11+(MATCH(RIGHT(Table12[[#This Row],[spawner_sku]],LEN(Table12[[#This Row],[spawner_sku]])-FIND("/",Table12[[#This Row],[spawner_sku]])),Table1[Entity Prefab],0)),10,1,1,"Entities"))</f>
        <v>25</v>
      </c>
      <c r="CQ203" s="75">
        <f ca="1">ROUND((Table12[[#This Row],[XP]]*Table12[[#This Row],[entity_spawned (AVG)]])*(Table12[[#This Row],[activating_chance]]/100),0)</f>
        <v>11</v>
      </c>
      <c r="CR203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203" s="72">
        <v>1</v>
      </c>
      <c r="CT203" s="72">
        <v>2</v>
      </c>
      <c r="CU203" s="72" t="b">
        <v>0</v>
      </c>
      <c r="CW203" t="s">
        <v>255</v>
      </c>
      <c r="CX203">
        <v>1</v>
      </c>
      <c r="CY203">
        <v>150</v>
      </c>
      <c r="CZ203">
        <v>100</v>
      </c>
      <c r="DA203" s="75">
        <f ca="1">INDIRECT(ADDRESS(11+(MATCH(RIGHT(Table13[[#This Row],[spawner_sku]],LEN(Table13[[#This Row],[spawner_sku]])-FIND("/",Table13[[#This Row],[spawner_sku]])),Table1[Entity Prefab],0)),10,1,1,"Entities"))</f>
        <v>25</v>
      </c>
      <c r="DB203" s="75">
        <f ca="1">ROUND((Table13[[#This Row],[XP]]*Table13[[#This Row],[entity_spawned (AVG)]])*(Table13[[#This Row],[activating_chance]]/100),0)</f>
        <v>25</v>
      </c>
      <c r="DC203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03" s="72">
        <v>1</v>
      </c>
      <c r="DE203" s="72">
        <v>1</v>
      </c>
      <c r="DF203" s="72" t="b">
        <v>0</v>
      </c>
      <c r="DH203" t="s">
        <v>236</v>
      </c>
      <c r="DI203">
        <v>1</v>
      </c>
      <c r="DJ203">
        <v>120</v>
      </c>
      <c r="DK203">
        <v>100</v>
      </c>
      <c r="DL203" s="75">
        <f ca="1">INDIRECT(ADDRESS(11+(MATCH(RIGHT(Table14[[#This Row],[spawner_sku]],LEN(Table14[[#This Row],[spawner_sku]])-FIND("/",Table14[[#This Row],[spawner_sku]])),Table1[Entity Prefab],0)),10,1,1,"Entities"))</f>
        <v>70</v>
      </c>
      <c r="DM203" s="75">
        <f ca="1">ROUND((Table14[[#This Row],[XP]]*Table14[[#This Row],[entity_spawned (AVG)]])*(Table14[[#This Row],[activating_chance]]/100),0)</f>
        <v>70</v>
      </c>
      <c r="DN20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203" s="72">
        <v>1</v>
      </c>
      <c r="DP203" s="72">
        <v>1</v>
      </c>
      <c r="DQ203" s="72" t="b">
        <v>0</v>
      </c>
      <c r="DS203" t="s">
        <v>630</v>
      </c>
      <c r="DT203">
        <v>1</v>
      </c>
      <c r="DU203">
        <v>120</v>
      </c>
      <c r="DV203">
        <v>80</v>
      </c>
      <c r="DW203" s="75">
        <f ca="1">INDIRECT(ADDRESS(11+(MATCH(RIGHT(Table18[[#This Row],[spawner_sku]],LEN(Table18[[#This Row],[spawner_sku]])-FIND("/",Table18[[#This Row],[spawner_sku]])),Table1[Entity Prefab],0)),10,1,1,"Entities"))</f>
        <v>35</v>
      </c>
      <c r="DX203" s="75">
        <f ca="1">ROUND((Table18[[#This Row],[XP]]*Table18[[#This Row],[entity_spawned (AVG)]])*(Table18[[#This Row],[activating_chance]]/100),0)</f>
        <v>28</v>
      </c>
      <c r="DY20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03">
        <v>1</v>
      </c>
      <c r="EA203">
        <v>1</v>
      </c>
      <c r="EB203" t="b">
        <v>0</v>
      </c>
      <c r="ED203" t="s">
        <v>246</v>
      </c>
      <c r="EE203">
        <v>1</v>
      </c>
      <c r="EF203">
        <v>500</v>
      </c>
      <c r="EG203">
        <v>100</v>
      </c>
      <c r="EH203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03" s="75">
        <f ca="1">ROUND((Table1820[[#This Row],[XP]]*Table1820[[#This Row],[entity_spawned (AVG)]])*(Table1820[[#This Row],[activating_chance]]/100),0)</f>
        <v>25</v>
      </c>
      <c r="EJ20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03">
        <v>1</v>
      </c>
      <c r="EL203">
        <v>1</v>
      </c>
      <c r="EM203" t="b">
        <v>0</v>
      </c>
      <c r="EZ203" t="s">
        <v>7355</v>
      </c>
      <c r="FA203">
        <v>7.5</v>
      </c>
      <c r="FB203">
        <v>240</v>
      </c>
      <c r="FC203">
        <v>100</v>
      </c>
      <c r="FD203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FE203" s="75">
        <f ca="1">ROUND((Table18202324[[#This Row],[XP]]*Table18202324[[#This Row],[entity_spawned (AVG)]])*(Table18202324[[#This Row],[activating_chance]]/100),0)</f>
        <v>375</v>
      </c>
      <c r="FF203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203">
        <v>5</v>
      </c>
      <c r="FH203">
        <v>10</v>
      </c>
      <c r="FI203" t="b">
        <v>1</v>
      </c>
    </row>
    <row r="204" spans="2:165" x14ac:dyDescent="0.25">
      <c r="B204" s="73" t="s">
        <v>231</v>
      </c>
      <c r="C204">
        <v>1</v>
      </c>
      <c r="D204">
        <v>5000</v>
      </c>
      <c r="E204">
        <v>75</v>
      </c>
      <c r="F204" s="75">
        <f ca="1">INDIRECT(ADDRESS(11+(MATCH(RIGHT(Table245[[#This Row],[spawner_sku]],LEN(Table245[[#This Row],[spawner_sku]])-FIND("/",Table245[[#This Row],[spawner_sku]])),Table1[Entity Prefab],0)),10,1,1,"Entities"))</f>
        <v>75</v>
      </c>
      <c r="G204" s="75">
        <f ca="1">ROUND((Table245[[#This Row],[XP]]*Table245[[#This Row],[entity_spawned (AVG)]])*(Table245[[#This Row],[activating_chance]]/100),0)</f>
        <v>56</v>
      </c>
      <c r="H20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4" s="72">
        <v>1</v>
      </c>
      <c r="J204" s="72">
        <v>1</v>
      </c>
      <c r="K204" s="72" t="b">
        <v>0</v>
      </c>
      <c r="M204" t="s">
        <v>383</v>
      </c>
      <c r="N204">
        <v>1</v>
      </c>
      <c r="O204">
        <v>275</v>
      </c>
      <c r="P204">
        <v>100</v>
      </c>
      <c r="Q204" s="75">
        <f ca="1">INDIRECT(ADDRESS(11+(MATCH(RIGHT(Table3[[#This Row],[spawner_sku]],LEN(Table3[[#This Row],[spawner_sku]])-FIND("/",Table3[[#This Row],[spawner_sku]])),Table1[Entity Prefab],0)),10,1,1,"Entities"))</f>
        <v>28</v>
      </c>
      <c r="R204" s="75">
        <f ca="1">ROUND((Table3[[#This Row],[XP]]*Table3[[#This Row],[entity_spawned (AVG)]])*(Table3[[#This Row],[activating_chance]]/100),0)</f>
        <v>28</v>
      </c>
      <c r="S204" t="str">
        <f ca="1">INDIRECT(ADDRESS(11+(MATCH(RIGHT(Table3[[#This Row],[spawner_sku]],LEN(Table3[[#This Row],[spawner_sku]])-FIND("/",Table3[[#This Row],[spawner_sku]])),Table28[Entity Prefab],0)),24,1,1,"Entities"))</f>
        <v>yes</v>
      </c>
      <c r="T204">
        <v>1</v>
      </c>
      <c r="U204">
        <v>1</v>
      </c>
      <c r="V204" t="b">
        <v>0</v>
      </c>
      <c r="AI204" t="s">
        <v>240</v>
      </c>
      <c r="AJ204">
        <v>1</v>
      </c>
      <c r="AK204">
        <v>2000</v>
      </c>
      <c r="AL204">
        <v>100</v>
      </c>
      <c r="AM204" s="75">
        <f ca="1">INDIRECT(ADDRESS(11+(MATCH(RIGHT(Table2[[#This Row],[spawner_sku]],LEN(Table2[[#This Row],[spawner_sku]])-FIND("/",Table2[[#This Row],[spawner_sku]])),Table1[Entity Prefab],0)),10,1,1,"Entities"))</f>
        <v>175</v>
      </c>
      <c r="AN204" s="75">
        <f ca="1">ROUND((Table2[[#This Row],[XP]]*Table2[[#This Row],[entity_spawned (AVG)]])*(Table2[[#This Row],[activating_chance]]/100),0)</f>
        <v>175</v>
      </c>
      <c r="AO204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04" s="72">
        <v>1</v>
      </c>
      <c r="AQ204" s="72">
        <v>1</v>
      </c>
      <c r="AR204" s="72" t="b">
        <v>0</v>
      </c>
      <c r="BE204" t="s">
        <v>255</v>
      </c>
      <c r="BF204">
        <v>1</v>
      </c>
      <c r="BG204">
        <v>200</v>
      </c>
      <c r="BH204">
        <v>80</v>
      </c>
      <c r="BI204" s="75">
        <f ca="1">INDIRECT(ADDRESS(11+(MATCH(RIGHT(Table610[[#This Row],[spawner_sku]],LEN(Table610[[#This Row],[spawner_sku]])-FIND("/",Table610[[#This Row],[spawner_sku]])),Table1[Entity Prefab],0)),10,1,1,"Entities"))</f>
        <v>25</v>
      </c>
      <c r="BJ204" s="75">
        <f ca="1">ROUND((Table610[[#This Row],[XP]]*Table610[[#This Row],[entity_spawned (AVG)]])*(Table610[[#This Row],[activating_chance]]/100),0)</f>
        <v>20</v>
      </c>
      <c r="BK204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04">
        <v>1</v>
      </c>
      <c r="BM204">
        <v>1</v>
      </c>
      <c r="BN204" t="b">
        <v>0</v>
      </c>
      <c r="BP204" t="s">
        <v>236</v>
      </c>
      <c r="BQ204">
        <v>1</v>
      </c>
      <c r="BR204">
        <v>220</v>
      </c>
      <c r="BS204">
        <v>100</v>
      </c>
      <c r="BT204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204" s="75">
        <f ca="1">ROUND((Table61011[[#This Row],[XP]]*Table61011[[#This Row],[entity_spawned (AVG)]])*(Table61011[[#This Row],[activating_chance]]/100),0)</f>
        <v>70</v>
      </c>
      <c r="BV20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04" s="72">
        <v>1</v>
      </c>
      <c r="BX204" s="72">
        <v>1</v>
      </c>
      <c r="BY204" s="72" t="b">
        <v>0</v>
      </c>
      <c r="CA204" t="s">
        <v>629</v>
      </c>
      <c r="CB204">
        <v>2.5</v>
      </c>
      <c r="CC204">
        <v>120</v>
      </c>
      <c r="CD204">
        <v>90</v>
      </c>
      <c r="CE204" s="75">
        <f ca="1">INDIRECT(ADDRESS(11+(MATCH(RIGHT(Table11[[#This Row],[spawner_sku]],LEN(Table11[[#This Row],[spawner_sku]])-FIND("/",Table11[[#This Row],[spawner_sku]])),Table1[Entity Prefab],0)),10,1,1,"Entities"))</f>
        <v>50</v>
      </c>
      <c r="CF204">
        <f ca="1">ROUND((Table11[[#This Row],[XP]]*Table11[[#This Row],[entity_spawned (AVG)]])*(Table11[[#This Row],[activating_chance]]/100),0)</f>
        <v>113</v>
      </c>
      <c r="CG204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204" s="72">
        <v>2</v>
      </c>
      <c r="CI204" s="72">
        <v>3</v>
      </c>
      <c r="CJ204" s="72" t="b">
        <v>0</v>
      </c>
      <c r="CL204" t="s">
        <v>384</v>
      </c>
      <c r="CM204">
        <v>1.5</v>
      </c>
      <c r="CN204">
        <v>100</v>
      </c>
      <c r="CO204">
        <v>30</v>
      </c>
      <c r="CP204" s="75">
        <f ca="1">INDIRECT(ADDRESS(11+(MATCH(RIGHT(Table12[[#This Row],[spawner_sku]],LEN(Table12[[#This Row],[spawner_sku]])-FIND("/",Table12[[#This Row],[spawner_sku]])),Table1[Entity Prefab],0)),10,1,1,"Entities"))</f>
        <v>25</v>
      </c>
      <c r="CQ204" s="75">
        <f ca="1">ROUND((Table12[[#This Row],[XP]]*Table12[[#This Row],[entity_spawned (AVG)]])*(Table12[[#This Row],[activating_chance]]/100),0)</f>
        <v>11</v>
      </c>
      <c r="CR204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204" s="72">
        <v>1</v>
      </c>
      <c r="CT204" s="72">
        <v>2</v>
      </c>
      <c r="CU204" s="72" t="b">
        <v>0</v>
      </c>
      <c r="CW204" t="s">
        <v>255</v>
      </c>
      <c r="CX204">
        <v>1</v>
      </c>
      <c r="CY204">
        <v>150</v>
      </c>
      <c r="CZ204">
        <v>100</v>
      </c>
      <c r="DA204" s="75">
        <f ca="1">INDIRECT(ADDRESS(11+(MATCH(RIGHT(Table13[[#This Row],[spawner_sku]],LEN(Table13[[#This Row],[spawner_sku]])-FIND("/",Table13[[#This Row],[spawner_sku]])),Table1[Entity Prefab],0)),10,1,1,"Entities"))</f>
        <v>25</v>
      </c>
      <c r="DB204" s="75">
        <f ca="1">ROUND((Table13[[#This Row],[XP]]*Table13[[#This Row],[entity_spawned (AVG)]])*(Table13[[#This Row],[activating_chance]]/100),0)</f>
        <v>25</v>
      </c>
      <c r="DC204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04" s="72">
        <v>1</v>
      </c>
      <c r="DE204" s="72">
        <v>1</v>
      </c>
      <c r="DF204" s="72" t="b">
        <v>0</v>
      </c>
      <c r="DH204" t="s">
        <v>236</v>
      </c>
      <c r="DI204">
        <v>1</v>
      </c>
      <c r="DJ204">
        <v>140</v>
      </c>
      <c r="DK204">
        <v>100</v>
      </c>
      <c r="DL204" s="75">
        <f ca="1">INDIRECT(ADDRESS(11+(MATCH(RIGHT(Table14[[#This Row],[spawner_sku]],LEN(Table14[[#This Row],[spawner_sku]])-FIND("/",Table14[[#This Row],[spawner_sku]])),Table1[Entity Prefab],0)),10,1,1,"Entities"))</f>
        <v>70</v>
      </c>
      <c r="DM204" s="75">
        <f ca="1">ROUND((Table14[[#This Row],[XP]]*Table14[[#This Row],[entity_spawned (AVG)]])*(Table14[[#This Row],[activating_chance]]/100),0)</f>
        <v>70</v>
      </c>
      <c r="DN20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204" s="72">
        <v>1</v>
      </c>
      <c r="DP204" s="72">
        <v>1</v>
      </c>
      <c r="DQ204" s="72" t="b">
        <v>0</v>
      </c>
      <c r="DS204" t="s">
        <v>630</v>
      </c>
      <c r="DT204">
        <v>1</v>
      </c>
      <c r="DU204">
        <v>120</v>
      </c>
      <c r="DV204">
        <v>100</v>
      </c>
      <c r="DW204" s="75">
        <f ca="1">INDIRECT(ADDRESS(11+(MATCH(RIGHT(Table18[[#This Row],[spawner_sku]],LEN(Table18[[#This Row],[spawner_sku]])-FIND("/",Table18[[#This Row],[spawner_sku]])),Table1[Entity Prefab],0)),10,1,1,"Entities"))</f>
        <v>35</v>
      </c>
      <c r="DX204" s="75">
        <f ca="1">ROUND((Table18[[#This Row],[XP]]*Table18[[#This Row],[entity_spawned (AVG)]])*(Table18[[#This Row],[activating_chance]]/100),0)</f>
        <v>35</v>
      </c>
      <c r="DY20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04">
        <v>1</v>
      </c>
      <c r="EA204">
        <v>1</v>
      </c>
      <c r="EB204" t="b">
        <v>0</v>
      </c>
      <c r="ED204" t="s">
        <v>490</v>
      </c>
      <c r="EE204">
        <v>1</v>
      </c>
      <c r="EF204">
        <v>120</v>
      </c>
      <c r="EG204">
        <v>100</v>
      </c>
      <c r="EH204" s="75">
        <f ca="1">INDIRECT(ADDRESS(11+(MATCH(RIGHT(Table1820[[#This Row],[spawner_sku]],LEN(Table1820[[#This Row],[spawner_sku]])-FIND("/",Table1820[[#This Row],[spawner_sku]])),Table1[Entity Prefab],0)),10,1,1,"Entities"))</f>
        <v>28</v>
      </c>
      <c r="EI204" s="75">
        <f ca="1">ROUND((Table1820[[#This Row],[XP]]*Table1820[[#This Row],[entity_spawned (AVG)]])*(Table1820[[#This Row],[activating_chance]]/100),0)</f>
        <v>28</v>
      </c>
      <c r="EJ20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04">
        <v>1</v>
      </c>
      <c r="EL204">
        <v>1</v>
      </c>
      <c r="EM204" t="b">
        <v>0</v>
      </c>
      <c r="EZ204" t="s">
        <v>7355</v>
      </c>
      <c r="FA204">
        <v>7.5</v>
      </c>
      <c r="FB204">
        <v>240</v>
      </c>
      <c r="FC204">
        <v>100</v>
      </c>
      <c r="FD204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FE204" s="75">
        <f ca="1">ROUND((Table18202324[[#This Row],[XP]]*Table18202324[[#This Row],[entity_spawned (AVG)]])*(Table18202324[[#This Row],[activating_chance]]/100),0)</f>
        <v>375</v>
      </c>
      <c r="FF204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204">
        <v>5</v>
      </c>
      <c r="FH204">
        <v>10</v>
      </c>
      <c r="FI204" t="b">
        <v>1</v>
      </c>
    </row>
    <row r="205" spans="2:165" x14ac:dyDescent="0.25">
      <c r="B205" s="73" t="s">
        <v>231</v>
      </c>
      <c r="C205">
        <v>1</v>
      </c>
      <c r="D205">
        <v>5000</v>
      </c>
      <c r="E205">
        <v>75</v>
      </c>
      <c r="F205" s="75">
        <f ca="1">INDIRECT(ADDRESS(11+(MATCH(RIGHT(Table245[[#This Row],[spawner_sku]],LEN(Table245[[#This Row],[spawner_sku]])-FIND("/",Table245[[#This Row],[spawner_sku]])),Table1[Entity Prefab],0)),10,1,1,"Entities"))</f>
        <v>75</v>
      </c>
      <c r="G205" s="75">
        <f ca="1">ROUND((Table245[[#This Row],[XP]]*Table245[[#This Row],[entity_spawned (AVG)]])*(Table245[[#This Row],[activating_chance]]/100),0)</f>
        <v>56</v>
      </c>
      <c r="H20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5" s="72">
        <v>1</v>
      </c>
      <c r="J205" s="72">
        <v>1</v>
      </c>
      <c r="K205" s="72" t="b">
        <v>0</v>
      </c>
      <c r="M205" t="s">
        <v>383</v>
      </c>
      <c r="N205">
        <v>1</v>
      </c>
      <c r="O205">
        <v>275</v>
      </c>
      <c r="P205">
        <v>100</v>
      </c>
      <c r="Q205" s="75">
        <f ca="1">INDIRECT(ADDRESS(11+(MATCH(RIGHT(Table3[[#This Row],[spawner_sku]],LEN(Table3[[#This Row],[spawner_sku]])-FIND("/",Table3[[#This Row],[spawner_sku]])),Table1[Entity Prefab],0)),10,1,1,"Entities"))</f>
        <v>28</v>
      </c>
      <c r="R205" s="75">
        <f ca="1">ROUND((Table3[[#This Row],[XP]]*Table3[[#This Row],[entity_spawned (AVG)]])*(Table3[[#This Row],[activating_chance]]/100),0)</f>
        <v>28</v>
      </c>
      <c r="S205" t="str">
        <f ca="1">INDIRECT(ADDRESS(11+(MATCH(RIGHT(Table3[[#This Row],[spawner_sku]],LEN(Table3[[#This Row],[spawner_sku]])-FIND("/",Table3[[#This Row],[spawner_sku]])),Table28[Entity Prefab],0)),24,1,1,"Entities"))</f>
        <v>yes</v>
      </c>
      <c r="T205">
        <v>1</v>
      </c>
      <c r="U205">
        <v>1</v>
      </c>
      <c r="V205" t="b">
        <v>0</v>
      </c>
      <c r="AI205" t="s">
        <v>240</v>
      </c>
      <c r="AJ205">
        <v>1</v>
      </c>
      <c r="AK205">
        <v>2000</v>
      </c>
      <c r="AL205">
        <v>100</v>
      </c>
      <c r="AM205" s="75">
        <f ca="1">INDIRECT(ADDRESS(11+(MATCH(RIGHT(Table2[[#This Row],[spawner_sku]],LEN(Table2[[#This Row],[spawner_sku]])-FIND("/",Table2[[#This Row],[spawner_sku]])),Table1[Entity Prefab],0)),10,1,1,"Entities"))</f>
        <v>175</v>
      </c>
      <c r="AN205" s="75">
        <f ca="1">ROUND((Table2[[#This Row],[XP]]*Table2[[#This Row],[entity_spawned (AVG)]])*(Table2[[#This Row],[activating_chance]]/100),0)</f>
        <v>175</v>
      </c>
      <c r="AO205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05" s="72">
        <v>1</v>
      </c>
      <c r="AQ205" s="72">
        <v>1</v>
      </c>
      <c r="AR205" s="72" t="b">
        <v>0</v>
      </c>
      <c r="BE205" t="s">
        <v>255</v>
      </c>
      <c r="BF205">
        <v>1</v>
      </c>
      <c r="BG205">
        <v>170</v>
      </c>
      <c r="BH205">
        <v>100</v>
      </c>
      <c r="BI205" s="75">
        <f ca="1">INDIRECT(ADDRESS(11+(MATCH(RIGHT(Table610[[#This Row],[spawner_sku]],LEN(Table610[[#This Row],[spawner_sku]])-FIND("/",Table610[[#This Row],[spawner_sku]])),Table1[Entity Prefab],0)),10,1,1,"Entities"))</f>
        <v>25</v>
      </c>
      <c r="BJ205" s="75">
        <f ca="1">ROUND((Table610[[#This Row],[XP]]*Table610[[#This Row],[entity_spawned (AVG)]])*(Table610[[#This Row],[activating_chance]]/100),0)</f>
        <v>25</v>
      </c>
      <c r="BK205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05">
        <v>1</v>
      </c>
      <c r="BM205">
        <v>1</v>
      </c>
      <c r="BN205" t="b">
        <v>0</v>
      </c>
      <c r="BP205" t="s">
        <v>236</v>
      </c>
      <c r="BQ205">
        <v>1</v>
      </c>
      <c r="BR205">
        <v>200</v>
      </c>
      <c r="BS205">
        <v>100</v>
      </c>
      <c r="BT205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205" s="75">
        <f ca="1">ROUND((Table61011[[#This Row],[XP]]*Table61011[[#This Row],[entity_spawned (AVG)]])*(Table61011[[#This Row],[activating_chance]]/100),0)</f>
        <v>70</v>
      </c>
      <c r="BV20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05" s="72">
        <v>1</v>
      </c>
      <c r="BX205" s="72">
        <v>1</v>
      </c>
      <c r="BY205" s="72" t="b">
        <v>0</v>
      </c>
      <c r="CA205" t="s">
        <v>629</v>
      </c>
      <c r="CB205">
        <v>1</v>
      </c>
      <c r="CC205">
        <v>120</v>
      </c>
      <c r="CD205">
        <v>100</v>
      </c>
      <c r="CE205" s="75">
        <f ca="1">INDIRECT(ADDRESS(11+(MATCH(RIGHT(Table11[[#This Row],[spawner_sku]],LEN(Table11[[#This Row],[spawner_sku]])-FIND("/",Table11[[#This Row],[spawner_sku]])),Table1[Entity Prefab],0)),10,1,1,"Entities"))</f>
        <v>50</v>
      </c>
      <c r="CF205">
        <f ca="1">ROUND((Table11[[#This Row],[XP]]*Table11[[#This Row],[entity_spawned (AVG)]])*(Table11[[#This Row],[activating_chance]]/100),0)</f>
        <v>50</v>
      </c>
      <c r="CG205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205" s="72">
        <v>1</v>
      </c>
      <c r="CI205" s="72">
        <v>1</v>
      </c>
      <c r="CJ205" s="72" t="b">
        <v>0</v>
      </c>
      <c r="CL205" t="s">
        <v>384</v>
      </c>
      <c r="CM205">
        <v>9</v>
      </c>
      <c r="CN205">
        <v>100</v>
      </c>
      <c r="CO205">
        <v>100</v>
      </c>
      <c r="CP205" s="75">
        <f ca="1">INDIRECT(ADDRESS(11+(MATCH(RIGHT(Table12[[#This Row],[spawner_sku]],LEN(Table12[[#This Row],[spawner_sku]])-FIND("/",Table12[[#This Row],[spawner_sku]])),Table1[Entity Prefab],0)),10,1,1,"Entities"))</f>
        <v>25</v>
      </c>
      <c r="CQ205" s="75">
        <f ca="1">ROUND((Table12[[#This Row],[XP]]*Table12[[#This Row],[entity_spawned (AVG)]])*(Table12[[#This Row],[activating_chance]]/100),0)</f>
        <v>225</v>
      </c>
      <c r="CR205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205" s="72">
        <v>8</v>
      </c>
      <c r="CT205" s="72">
        <v>10</v>
      </c>
      <c r="CU205" s="72" t="b">
        <v>1</v>
      </c>
      <c r="CW205" t="s">
        <v>255</v>
      </c>
      <c r="CX205">
        <v>1</v>
      </c>
      <c r="CY205">
        <v>150</v>
      </c>
      <c r="CZ205">
        <v>100</v>
      </c>
      <c r="DA205" s="75">
        <f ca="1">INDIRECT(ADDRESS(11+(MATCH(RIGHT(Table13[[#This Row],[spawner_sku]],LEN(Table13[[#This Row],[spawner_sku]])-FIND("/",Table13[[#This Row],[spawner_sku]])),Table1[Entity Prefab],0)),10,1,1,"Entities"))</f>
        <v>25</v>
      </c>
      <c r="DB205" s="75">
        <f ca="1">ROUND((Table13[[#This Row],[XP]]*Table13[[#This Row],[entity_spawned (AVG)]])*(Table13[[#This Row],[activating_chance]]/100),0)</f>
        <v>25</v>
      </c>
      <c r="DC205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05" s="72">
        <v>1</v>
      </c>
      <c r="DE205" s="72">
        <v>1</v>
      </c>
      <c r="DF205" s="72" t="b">
        <v>0</v>
      </c>
      <c r="DH205" t="s">
        <v>236</v>
      </c>
      <c r="DI205">
        <v>1</v>
      </c>
      <c r="DJ205">
        <v>100</v>
      </c>
      <c r="DK205">
        <v>100</v>
      </c>
      <c r="DL205" s="75">
        <f ca="1">INDIRECT(ADDRESS(11+(MATCH(RIGHT(Table14[[#This Row],[spawner_sku]],LEN(Table14[[#This Row],[spawner_sku]])-FIND("/",Table14[[#This Row],[spawner_sku]])),Table1[Entity Prefab],0)),10,1,1,"Entities"))</f>
        <v>70</v>
      </c>
      <c r="DM205" s="75">
        <f ca="1">ROUND((Table14[[#This Row],[XP]]*Table14[[#This Row],[entity_spawned (AVG)]])*(Table14[[#This Row],[activating_chance]]/100),0)</f>
        <v>70</v>
      </c>
      <c r="DN20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205" s="72">
        <v>1</v>
      </c>
      <c r="DP205" s="72">
        <v>1</v>
      </c>
      <c r="DQ205" s="72" t="b">
        <v>0</v>
      </c>
      <c r="DS205" t="s">
        <v>630</v>
      </c>
      <c r="DT205">
        <v>1</v>
      </c>
      <c r="DU205">
        <v>120</v>
      </c>
      <c r="DV205">
        <v>100</v>
      </c>
      <c r="DW205" s="75">
        <f ca="1">INDIRECT(ADDRESS(11+(MATCH(RIGHT(Table18[[#This Row],[spawner_sku]],LEN(Table18[[#This Row],[spawner_sku]])-FIND("/",Table18[[#This Row],[spawner_sku]])),Table1[Entity Prefab],0)),10,1,1,"Entities"))</f>
        <v>35</v>
      </c>
      <c r="DX205" s="75">
        <f ca="1">ROUND((Table18[[#This Row],[XP]]*Table18[[#This Row],[entity_spawned (AVG)]])*(Table18[[#This Row],[activating_chance]]/100),0)</f>
        <v>35</v>
      </c>
      <c r="DY20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05">
        <v>1</v>
      </c>
      <c r="EA205">
        <v>1</v>
      </c>
      <c r="EB205" t="b">
        <v>0</v>
      </c>
      <c r="ED205" t="s">
        <v>490</v>
      </c>
      <c r="EE205">
        <v>1</v>
      </c>
      <c r="EF205">
        <v>120</v>
      </c>
      <c r="EG205">
        <v>80</v>
      </c>
      <c r="EH205" s="75">
        <f ca="1">INDIRECT(ADDRESS(11+(MATCH(RIGHT(Table1820[[#This Row],[spawner_sku]],LEN(Table1820[[#This Row],[spawner_sku]])-FIND("/",Table1820[[#This Row],[spawner_sku]])),Table1[Entity Prefab],0)),10,1,1,"Entities"))</f>
        <v>28</v>
      </c>
      <c r="EI205" s="75">
        <f ca="1">ROUND((Table1820[[#This Row],[XP]]*Table1820[[#This Row],[entity_spawned (AVG)]])*(Table1820[[#This Row],[activating_chance]]/100),0)</f>
        <v>22</v>
      </c>
      <c r="EJ20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05">
        <v>1</v>
      </c>
      <c r="EL205">
        <v>1</v>
      </c>
      <c r="EM205" t="b">
        <v>0</v>
      </c>
      <c r="EZ205" t="s">
        <v>7355</v>
      </c>
      <c r="FA205">
        <v>7.5</v>
      </c>
      <c r="FB205">
        <v>90</v>
      </c>
      <c r="FC205">
        <v>100</v>
      </c>
      <c r="FD205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FE205" s="75">
        <f ca="1">ROUND((Table18202324[[#This Row],[XP]]*Table18202324[[#This Row],[entity_spawned (AVG)]])*(Table18202324[[#This Row],[activating_chance]]/100),0)</f>
        <v>375</v>
      </c>
      <c r="FF205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205">
        <v>5</v>
      </c>
      <c r="FH205">
        <v>10</v>
      </c>
      <c r="FI205" t="b">
        <v>1</v>
      </c>
    </row>
    <row r="206" spans="2:165" x14ac:dyDescent="0.25">
      <c r="B206" s="73" t="s">
        <v>231</v>
      </c>
      <c r="C206">
        <v>1</v>
      </c>
      <c r="D206">
        <v>5000</v>
      </c>
      <c r="E206">
        <v>75</v>
      </c>
      <c r="F206" s="75">
        <f ca="1">INDIRECT(ADDRESS(11+(MATCH(RIGHT(Table245[[#This Row],[spawner_sku]],LEN(Table245[[#This Row],[spawner_sku]])-FIND("/",Table245[[#This Row],[spawner_sku]])),Table1[Entity Prefab],0)),10,1,1,"Entities"))</f>
        <v>75</v>
      </c>
      <c r="G206" s="75">
        <f ca="1">ROUND((Table245[[#This Row],[XP]]*Table245[[#This Row],[entity_spawned (AVG)]])*(Table245[[#This Row],[activating_chance]]/100),0)</f>
        <v>56</v>
      </c>
      <c r="H20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6" s="72">
        <v>1</v>
      </c>
      <c r="J206" s="72">
        <v>1</v>
      </c>
      <c r="K206" s="72" t="b">
        <v>0</v>
      </c>
      <c r="M206" t="s">
        <v>383</v>
      </c>
      <c r="N206">
        <v>5</v>
      </c>
      <c r="O206">
        <v>220</v>
      </c>
      <c r="P206">
        <v>100</v>
      </c>
      <c r="Q206" s="75">
        <f ca="1">INDIRECT(ADDRESS(11+(MATCH(RIGHT(Table3[[#This Row],[spawner_sku]],LEN(Table3[[#This Row],[spawner_sku]])-FIND("/",Table3[[#This Row],[spawner_sku]])),Table1[Entity Prefab],0)),10,1,1,"Entities"))</f>
        <v>28</v>
      </c>
      <c r="R206" s="75">
        <f ca="1">ROUND((Table3[[#This Row],[XP]]*Table3[[#This Row],[entity_spawned (AVG)]])*(Table3[[#This Row],[activating_chance]]/100),0)</f>
        <v>140</v>
      </c>
      <c r="S206" t="str">
        <f ca="1">INDIRECT(ADDRESS(11+(MATCH(RIGHT(Table3[[#This Row],[spawner_sku]],LEN(Table3[[#This Row],[spawner_sku]])-FIND("/",Table3[[#This Row],[spawner_sku]])),Table28[Entity Prefab],0)),24,1,1,"Entities"))</f>
        <v>yes</v>
      </c>
      <c r="T206">
        <v>5</v>
      </c>
      <c r="U206">
        <v>5</v>
      </c>
      <c r="V206" t="b">
        <v>1</v>
      </c>
      <c r="AI206" t="s">
        <v>240</v>
      </c>
      <c r="AJ206">
        <v>1</v>
      </c>
      <c r="AK206">
        <v>2000</v>
      </c>
      <c r="AL206">
        <v>100</v>
      </c>
      <c r="AM206" s="75">
        <f ca="1">INDIRECT(ADDRESS(11+(MATCH(RIGHT(Table2[[#This Row],[spawner_sku]],LEN(Table2[[#This Row],[spawner_sku]])-FIND("/",Table2[[#This Row],[spawner_sku]])),Table1[Entity Prefab],0)),10,1,1,"Entities"))</f>
        <v>175</v>
      </c>
      <c r="AN206" s="75">
        <f ca="1">ROUND((Table2[[#This Row],[XP]]*Table2[[#This Row],[entity_spawned (AVG)]])*(Table2[[#This Row],[activating_chance]]/100),0)</f>
        <v>175</v>
      </c>
      <c r="AO20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06" s="72">
        <v>1</v>
      </c>
      <c r="AQ206" s="72">
        <v>1</v>
      </c>
      <c r="AR206" s="72" t="b">
        <v>0</v>
      </c>
      <c r="BE206" t="s">
        <v>255</v>
      </c>
      <c r="BF206">
        <v>1</v>
      </c>
      <c r="BG206">
        <v>200</v>
      </c>
      <c r="BH206">
        <v>40</v>
      </c>
      <c r="BI206" s="75">
        <f ca="1">INDIRECT(ADDRESS(11+(MATCH(RIGHT(Table610[[#This Row],[spawner_sku]],LEN(Table610[[#This Row],[spawner_sku]])-FIND("/",Table610[[#This Row],[spawner_sku]])),Table1[Entity Prefab],0)),10,1,1,"Entities"))</f>
        <v>25</v>
      </c>
      <c r="BJ206" s="75">
        <f ca="1">ROUND((Table610[[#This Row],[XP]]*Table610[[#This Row],[entity_spawned (AVG)]])*(Table610[[#This Row],[activating_chance]]/100),0)</f>
        <v>10</v>
      </c>
      <c r="BK206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06">
        <v>1</v>
      </c>
      <c r="BM206">
        <v>1</v>
      </c>
      <c r="BN206" t="b">
        <v>0</v>
      </c>
      <c r="BP206" t="s">
        <v>236</v>
      </c>
      <c r="BQ206">
        <v>1</v>
      </c>
      <c r="BR206">
        <v>200</v>
      </c>
      <c r="BS206">
        <v>100</v>
      </c>
      <c r="BT206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206" s="75">
        <f ca="1">ROUND((Table61011[[#This Row],[XP]]*Table61011[[#This Row],[entity_spawned (AVG)]])*(Table61011[[#This Row],[activating_chance]]/100),0)</f>
        <v>70</v>
      </c>
      <c r="BV20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06" s="72">
        <v>1</v>
      </c>
      <c r="BX206" s="72">
        <v>1</v>
      </c>
      <c r="BY206" s="72" t="b">
        <v>0</v>
      </c>
      <c r="CA206" t="s">
        <v>629</v>
      </c>
      <c r="CB206">
        <v>1</v>
      </c>
      <c r="CC206">
        <v>120</v>
      </c>
      <c r="CD206">
        <v>100</v>
      </c>
      <c r="CE206" s="75">
        <f ca="1">INDIRECT(ADDRESS(11+(MATCH(RIGHT(Table11[[#This Row],[spawner_sku]],LEN(Table11[[#This Row],[spawner_sku]])-FIND("/",Table11[[#This Row],[spawner_sku]])),Table1[Entity Prefab],0)),10,1,1,"Entities"))</f>
        <v>50</v>
      </c>
      <c r="CF206">
        <f ca="1">ROUND((Table11[[#This Row],[XP]]*Table11[[#This Row],[entity_spawned (AVG)]])*(Table11[[#This Row],[activating_chance]]/100),0)</f>
        <v>50</v>
      </c>
      <c r="CG206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206" s="72">
        <v>1</v>
      </c>
      <c r="CI206" s="72">
        <v>1</v>
      </c>
      <c r="CJ206" s="72" t="b">
        <v>0</v>
      </c>
      <c r="CL206" t="s">
        <v>384</v>
      </c>
      <c r="CM206">
        <v>2.5</v>
      </c>
      <c r="CN206">
        <v>100</v>
      </c>
      <c r="CO206">
        <v>80</v>
      </c>
      <c r="CP206" s="75">
        <f ca="1">INDIRECT(ADDRESS(11+(MATCH(RIGHT(Table12[[#This Row],[spawner_sku]],LEN(Table12[[#This Row],[spawner_sku]])-FIND("/",Table12[[#This Row],[spawner_sku]])),Table1[Entity Prefab],0)),10,1,1,"Entities"))</f>
        <v>25</v>
      </c>
      <c r="CQ206" s="75">
        <f ca="1">ROUND((Table12[[#This Row],[XP]]*Table12[[#This Row],[entity_spawned (AVG)]])*(Table12[[#This Row],[activating_chance]]/100),0)</f>
        <v>50</v>
      </c>
      <c r="CR206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206" s="72">
        <v>2</v>
      </c>
      <c r="CT206" s="72">
        <v>3</v>
      </c>
      <c r="CU206" s="72" t="b">
        <v>0</v>
      </c>
      <c r="CW206" t="s">
        <v>255</v>
      </c>
      <c r="CX206">
        <v>1</v>
      </c>
      <c r="CY206">
        <v>150</v>
      </c>
      <c r="CZ206">
        <v>100</v>
      </c>
      <c r="DA206" s="75">
        <f ca="1">INDIRECT(ADDRESS(11+(MATCH(RIGHT(Table13[[#This Row],[spawner_sku]],LEN(Table13[[#This Row],[spawner_sku]])-FIND("/",Table13[[#This Row],[spawner_sku]])),Table1[Entity Prefab],0)),10,1,1,"Entities"))</f>
        <v>25</v>
      </c>
      <c r="DB206" s="75">
        <f ca="1">ROUND((Table13[[#This Row],[XP]]*Table13[[#This Row],[entity_spawned (AVG)]])*(Table13[[#This Row],[activating_chance]]/100),0)</f>
        <v>25</v>
      </c>
      <c r="DC206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06" s="72">
        <v>1</v>
      </c>
      <c r="DE206" s="72">
        <v>1</v>
      </c>
      <c r="DF206" s="72" t="b">
        <v>0</v>
      </c>
      <c r="DH206" t="s">
        <v>236</v>
      </c>
      <c r="DI206">
        <v>1</v>
      </c>
      <c r="DJ206">
        <v>100</v>
      </c>
      <c r="DK206">
        <v>100</v>
      </c>
      <c r="DL206" s="75">
        <f ca="1">INDIRECT(ADDRESS(11+(MATCH(RIGHT(Table14[[#This Row],[spawner_sku]],LEN(Table14[[#This Row],[spawner_sku]])-FIND("/",Table14[[#This Row],[spawner_sku]])),Table1[Entity Prefab],0)),10,1,1,"Entities"))</f>
        <v>70</v>
      </c>
      <c r="DM206" s="75">
        <f ca="1">ROUND((Table14[[#This Row],[XP]]*Table14[[#This Row],[entity_spawned (AVG)]])*(Table14[[#This Row],[activating_chance]]/100),0)</f>
        <v>70</v>
      </c>
      <c r="DN20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206" s="72">
        <v>1</v>
      </c>
      <c r="DP206" s="72">
        <v>1</v>
      </c>
      <c r="DQ206" s="72" t="b">
        <v>0</v>
      </c>
      <c r="DS206" t="s">
        <v>630</v>
      </c>
      <c r="DT206">
        <v>1</v>
      </c>
      <c r="DU206">
        <v>120</v>
      </c>
      <c r="DV206">
        <v>100</v>
      </c>
      <c r="DW206" s="75">
        <f ca="1">INDIRECT(ADDRESS(11+(MATCH(RIGHT(Table18[[#This Row],[spawner_sku]],LEN(Table18[[#This Row],[spawner_sku]])-FIND("/",Table18[[#This Row],[spawner_sku]])),Table1[Entity Prefab],0)),10,1,1,"Entities"))</f>
        <v>35</v>
      </c>
      <c r="DX206" s="75">
        <f ca="1">ROUND((Table18[[#This Row],[XP]]*Table18[[#This Row],[entity_spawned (AVG)]])*(Table18[[#This Row],[activating_chance]]/100),0)</f>
        <v>35</v>
      </c>
      <c r="DY20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06">
        <v>1</v>
      </c>
      <c r="EA206">
        <v>1</v>
      </c>
      <c r="EB206" t="b">
        <v>0</v>
      </c>
      <c r="ED206" t="s">
        <v>491</v>
      </c>
      <c r="EE206">
        <v>1</v>
      </c>
      <c r="EF206">
        <v>100</v>
      </c>
      <c r="EG206">
        <v>100</v>
      </c>
      <c r="EH206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06" s="75">
        <f ca="1">ROUND((Table1820[[#This Row],[XP]]*Table1820[[#This Row],[entity_spawned (AVG)]])*(Table1820[[#This Row],[activating_chance]]/100),0)</f>
        <v>25</v>
      </c>
      <c r="EJ20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06">
        <v>1</v>
      </c>
      <c r="EL206">
        <v>1</v>
      </c>
      <c r="EM206" t="b">
        <v>0</v>
      </c>
      <c r="EZ206" t="s">
        <v>7355</v>
      </c>
      <c r="FA206">
        <v>7.5</v>
      </c>
      <c r="FB206">
        <v>240</v>
      </c>
      <c r="FC206">
        <v>100</v>
      </c>
      <c r="FD206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FE206" s="75">
        <f ca="1">ROUND((Table18202324[[#This Row],[XP]]*Table18202324[[#This Row],[entity_spawned (AVG)]])*(Table18202324[[#This Row],[activating_chance]]/100),0)</f>
        <v>375</v>
      </c>
      <c r="FF206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206">
        <v>5</v>
      </c>
      <c r="FH206">
        <v>10</v>
      </c>
      <c r="FI206" t="b">
        <v>1</v>
      </c>
    </row>
    <row r="207" spans="2:165" x14ac:dyDescent="0.25">
      <c r="B207" s="73" t="s">
        <v>231</v>
      </c>
      <c r="C207">
        <v>1</v>
      </c>
      <c r="D207">
        <v>5000</v>
      </c>
      <c r="E207">
        <v>75</v>
      </c>
      <c r="F207" s="75">
        <f ca="1">INDIRECT(ADDRESS(11+(MATCH(RIGHT(Table245[[#This Row],[spawner_sku]],LEN(Table245[[#This Row],[spawner_sku]])-FIND("/",Table245[[#This Row],[spawner_sku]])),Table1[Entity Prefab],0)),10,1,1,"Entities"))</f>
        <v>75</v>
      </c>
      <c r="G207" s="75">
        <f ca="1">ROUND((Table245[[#This Row],[XP]]*Table245[[#This Row],[entity_spawned (AVG)]])*(Table245[[#This Row],[activating_chance]]/100),0)</f>
        <v>56</v>
      </c>
      <c r="H20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7" s="72">
        <v>1</v>
      </c>
      <c r="J207" s="72">
        <v>1</v>
      </c>
      <c r="K207" s="72" t="b">
        <v>0</v>
      </c>
      <c r="M207" t="s">
        <v>383</v>
      </c>
      <c r="N207">
        <v>1</v>
      </c>
      <c r="O207">
        <v>275</v>
      </c>
      <c r="P207">
        <v>100</v>
      </c>
      <c r="Q207" s="75">
        <f ca="1">INDIRECT(ADDRESS(11+(MATCH(RIGHT(Table3[[#This Row],[spawner_sku]],LEN(Table3[[#This Row],[spawner_sku]])-FIND("/",Table3[[#This Row],[spawner_sku]])),Table1[Entity Prefab],0)),10,1,1,"Entities"))</f>
        <v>28</v>
      </c>
      <c r="R207" s="75">
        <f ca="1">ROUND((Table3[[#This Row],[XP]]*Table3[[#This Row],[entity_spawned (AVG)]])*(Table3[[#This Row],[activating_chance]]/100),0)</f>
        <v>28</v>
      </c>
      <c r="S207" t="str">
        <f ca="1">INDIRECT(ADDRESS(11+(MATCH(RIGHT(Table3[[#This Row],[spawner_sku]],LEN(Table3[[#This Row],[spawner_sku]])-FIND("/",Table3[[#This Row],[spawner_sku]])),Table28[Entity Prefab],0)),24,1,1,"Entities"))</f>
        <v>yes</v>
      </c>
      <c r="T207">
        <v>1</v>
      </c>
      <c r="U207">
        <v>1</v>
      </c>
      <c r="V207" t="b">
        <v>0</v>
      </c>
      <c r="AI207" t="s">
        <v>241</v>
      </c>
      <c r="AJ207">
        <v>1</v>
      </c>
      <c r="AK207">
        <v>1500</v>
      </c>
      <c r="AL207">
        <v>100</v>
      </c>
      <c r="AM207" s="75">
        <f ca="1">INDIRECT(ADDRESS(11+(MATCH(RIGHT(Table2[[#This Row],[spawner_sku]],LEN(Table2[[#This Row],[spawner_sku]])-FIND("/",Table2[[#This Row],[spawner_sku]])),Table1[Entity Prefab],0)),10,1,1,"Entities"))</f>
        <v>130</v>
      </c>
      <c r="AN207" s="75">
        <f ca="1">ROUND((Table2[[#This Row],[XP]]*Table2[[#This Row],[entity_spawned (AVG)]])*(Table2[[#This Row],[activating_chance]]/100),0)</f>
        <v>130</v>
      </c>
      <c r="AO20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07" s="72">
        <v>1</v>
      </c>
      <c r="AQ207" s="72">
        <v>1</v>
      </c>
      <c r="AR207" s="72" t="b">
        <v>0</v>
      </c>
      <c r="BE207" t="s">
        <v>255</v>
      </c>
      <c r="BF207">
        <v>1</v>
      </c>
      <c r="BG207">
        <v>170</v>
      </c>
      <c r="BH207">
        <v>40</v>
      </c>
      <c r="BI207" s="75">
        <f ca="1">INDIRECT(ADDRESS(11+(MATCH(RIGHT(Table610[[#This Row],[spawner_sku]],LEN(Table610[[#This Row],[spawner_sku]])-FIND("/",Table610[[#This Row],[spawner_sku]])),Table1[Entity Prefab],0)),10,1,1,"Entities"))</f>
        <v>25</v>
      </c>
      <c r="BJ207" s="75">
        <f ca="1">ROUND((Table610[[#This Row],[XP]]*Table610[[#This Row],[entity_spawned (AVG)]])*(Table610[[#This Row],[activating_chance]]/100),0)</f>
        <v>10</v>
      </c>
      <c r="BK207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07">
        <v>1</v>
      </c>
      <c r="BM207">
        <v>1</v>
      </c>
      <c r="BN207" t="b">
        <v>0</v>
      </c>
      <c r="BP207" t="s">
        <v>237</v>
      </c>
      <c r="BQ207">
        <v>1</v>
      </c>
      <c r="BR207">
        <v>2500</v>
      </c>
      <c r="BS207">
        <v>80</v>
      </c>
      <c r="BT207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207" s="75">
        <f ca="1">ROUND((Table61011[[#This Row],[XP]]*Table61011[[#This Row],[entity_spawned (AVG)]])*(Table61011[[#This Row],[activating_chance]]/100),0)</f>
        <v>210</v>
      </c>
      <c r="BV20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07" s="72">
        <v>1</v>
      </c>
      <c r="BX207" s="72">
        <v>1</v>
      </c>
      <c r="BY207" s="72" t="b">
        <v>0</v>
      </c>
      <c r="CA207" t="s">
        <v>629</v>
      </c>
      <c r="CB207">
        <v>2.5</v>
      </c>
      <c r="CC207">
        <v>120</v>
      </c>
      <c r="CD207">
        <v>30</v>
      </c>
      <c r="CE207" s="75">
        <f ca="1">INDIRECT(ADDRESS(11+(MATCH(RIGHT(Table11[[#This Row],[spawner_sku]],LEN(Table11[[#This Row],[spawner_sku]])-FIND("/",Table11[[#This Row],[spawner_sku]])),Table1[Entity Prefab],0)),10,1,1,"Entities"))</f>
        <v>50</v>
      </c>
      <c r="CF207">
        <f ca="1">ROUND((Table11[[#This Row],[XP]]*Table11[[#This Row],[entity_spawned (AVG)]])*(Table11[[#This Row],[activating_chance]]/100),0)</f>
        <v>38</v>
      </c>
      <c r="CG207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207" s="72">
        <v>2</v>
      </c>
      <c r="CI207" s="72">
        <v>3</v>
      </c>
      <c r="CJ207" s="72" t="b">
        <v>0</v>
      </c>
      <c r="CL207" t="s">
        <v>384</v>
      </c>
      <c r="CM207">
        <v>5.5</v>
      </c>
      <c r="CN207">
        <v>100</v>
      </c>
      <c r="CO207">
        <v>30</v>
      </c>
      <c r="CP207" s="75">
        <f ca="1">INDIRECT(ADDRESS(11+(MATCH(RIGHT(Table12[[#This Row],[spawner_sku]],LEN(Table12[[#This Row],[spawner_sku]])-FIND("/",Table12[[#This Row],[spawner_sku]])),Table1[Entity Prefab],0)),10,1,1,"Entities"))</f>
        <v>25</v>
      </c>
      <c r="CQ207" s="75">
        <f ca="1">ROUND((Table12[[#This Row],[XP]]*Table12[[#This Row],[entity_spawned (AVG)]])*(Table12[[#This Row],[activating_chance]]/100),0)</f>
        <v>41</v>
      </c>
      <c r="CR207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207" s="72">
        <v>5</v>
      </c>
      <c r="CT207" s="72">
        <v>6</v>
      </c>
      <c r="CU207" s="72" t="b">
        <v>1</v>
      </c>
      <c r="CW207" t="s">
        <v>255</v>
      </c>
      <c r="CX207">
        <v>1</v>
      </c>
      <c r="CY207">
        <v>150</v>
      </c>
      <c r="CZ207">
        <v>100</v>
      </c>
      <c r="DA207" s="75">
        <f ca="1">INDIRECT(ADDRESS(11+(MATCH(RIGHT(Table13[[#This Row],[spawner_sku]],LEN(Table13[[#This Row],[spawner_sku]])-FIND("/",Table13[[#This Row],[spawner_sku]])),Table1[Entity Prefab],0)),10,1,1,"Entities"))</f>
        <v>25</v>
      </c>
      <c r="DB207" s="75">
        <f ca="1">ROUND((Table13[[#This Row],[XP]]*Table13[[#This Row],[entity_spawned (AVG)]])*(Table13[[#This Row],[activating_chance]]/100),0)</f>
        <v>25</v>
      </c>
      <c r="DC207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07" s="72">
        <v>1</v>
      </c>
      <c r="DE207" s="72">
        <v>1</v>
      </c>
      <c r="DF207" s="72" t="b">
        <v>0</v>
      </c>
      <c r="DH207" t="s">
        <v>236</v>
      </c>
      <c r="DI207">
        <v>1</v>
      </c>
      <c r="DJ207">
        <v>100</v>
      </c>
      <c r="DK207">
        <v>100</v>
      </c>
      <c r="DL207" s="75">
        <f ca="1">INDIRECT(ADDRESS(11+(MATCH(RIGHT(Table14[[#This Row],[spawner_sku]],LEN(Table14[[#This Row],[spawner_sku]])-FIND("/",Table14[[#This Row],[spawner_sku]])),Table1[Entity Prefab],0)),10,1,1,"Entities"))</f>
        <v>70</v>
      </c>
      <c r="DM207" s="75">
        <f ca="1">ROUND((Table14[[#This Row],[XP]]*Table14[[#This Row],[entity_spawned (AVG)]])*(Table14[[#This Row],[activating_chance]]/100),0)</f>
        <v>70</v>
      </c>
      <c r="DN20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207" s="72">
        <v>1</v>
      </c>
      <c r="DP207" s="72">
        <v>1</v>
      </c>
      <c r="DQ207" s="72" t="b">
        <v>0</v>
      </c>
      <c r="DS207" t="s">
        <v>630</v>
      </c>
      <c r="DT207">
        <v>1</v>
      </c>
      <c r="DU207">
        <v>120</v>
      </c>
      <c r="DV207">
        <v>100</v>
      </c>
      <c r="DW207" s="75">
        <f ca="1">INDIRECT(ADDRESS(11+(MATCH(RIGHT(Table18[[#This Row],[spawner_sku]],LEN(Table18[[#This Row],[spawner_sku]])-FIND("/",Table18[[#This Row],[spawner_sku]])),Table1[Entity Prefab],0)),10,1,1,"Entities"))</f>
        <v>35</v>
      </c>
      <c r="DX207" s="75">
        <f ca="1">ROUND((Table18[[#This Row],[XP]]*Table18[[#This Row],[entity_spawned (AVG)]])*(Table18[[#This Row],[activating_chance]]/100),0)</f>
        <v>35</v>
      </c>
      <c r="DY20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07">
        <v>1</v>
      </c>
      <c r="EA207">
        <v>1</v>
      </c>
      <c r="EB207" t="b">
        <v>0</v>
      </c>
      <c r="ED207" t="s">
        <v>491</v>
      </c>
      <c r="EE207">
        <v>1</v>
      </c>
      <c r="EF207">
        <v>100</v>
      </c>
      <c r="EG207">
        <v>100</v>
      </c>
      <c r="EH207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07" s="75">
        <f ca="1">ROUND((Table1820[[#This Row],[XP]]*Table1820[[#This Row],[entity_spawned (AVG)]])*(Table1820[[#This Row],[activating_chance]]/100),0)</f>
        <v>25</v>
      </c>
      <c r="EJ20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07">
        <v>1</v>
      </c>
      <c r="EL207">
        <v>1</v>
      </c>
      <c r="EM207" t="b">
        <v>0</v>
      </c>
      <c r="EZ207" t="s">
        <v>7355</v>
      </c>
      <c r="FA207">
        <v>7.5</v>
      </c>
      <c r="FB207">
        <v>240</v>
      </c>
      <c r="FC207">
        <v>100</v>
      </c>
      <c r="FD207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FE207" s="75">
        <f ca="1">ROUND((Table18202324[[#This Row],[XP]]*Table18202324[[#This Row],[entity_spawned (AVG)]])*(Table18202324[[#This Row],[activating_chance]]/100),0)</f>
        <v>375</v>
      </c>
      <c r="FF207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207">
        <v>5</v>
      </c>
      <c r="FH207">
        <v>10</v>
      </c>
      <c r="FI207" t="b">
        <v>1</v>
      </c>
    </row>
    <row r="208" spans="2:165" x14ac:dyDescent="0.25">
      <c r="B208" s="73" t="s">
        <v>231</v>
      </c>
      <c r="C208">
        <v>1</v>
      </c>
      <c r="D208">
        <v>5000</v>
      </c>
      <c r="E208">
        <v>75</v>
      </c>
      <c r="F208" s="75">
        <f ca="1">INDIRECT(ADDRESS(11+(MATCH(RIGHT(Table245[[#This Row],[spawner_sku]],LEN(Table245[[#This Row],[spawner_sku]])-FIND("/",Table245[[#This Row],[spawner_sku]])),Table1[Entity Prefab],0)),10,1,1,"Entities"))</f>
        <v>75</v>
      </c>
      <c r="G208" s="75">
        <f ca="1">ROUND((Table245[[#This Row],[XP]]*Table245[[#This Row],[entity_spawned (AVG)]])*(Table245[[#This Row],[activating_chance]]/100),0)</f>
        <v>56</v>
      </c>
      <c r="H20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8" s="72">
        <v>1</v>
      </c>
      <c r="J208" s="72">
        <v>1</v>
      </c>
      <c r="K208" s="72" t="b">
        <v>0</v>
      </c>
      <c r="M208" t="s">
        <v>383</v>
      </c>
      <c r="N208">
        <v>5</v>
      </c>
      <c r="O208">
        <v>220</v>
      </c>
      <c r="P208">
        <v>100</v>
      </c>
      <c r="Q208" s="75">
        <f ca="1">INDIRECT(ADDRESS(11+(MATCH(RIGHT(Table3[[#This Row],[spawner_sku]],LEN(Table3[[#This Row],[spawner_sku]])-FIND("/",Table3[[#This Row],[spawner_sku]])),Table1[Entity Prefab],0)),10,1,1,"Entities"))</f>
        <v>28</v>
      </c>
      <c r="R208" s="75">
        <f ca="1">ROUND((Table3[[#This Row],[XP]]*Table3[[#This Row],[entity_spawned (AVG)]])*(Table3[[#This Row],[activating_chance]]/100),0)</f>
        <v>140</v>
      </c>
      <c r="S208" t="str">
        <f ca="1">INDIRECT(ADDRESS(11+(MATCH(RIGHT(Table3[[#This Row],[spawner_sku]],LEN(Table3[[#This Row],[spawner_sku]])-FIND("/",Table3[[#This Row],[spawner_sku]])),Table28[Entity Prefab],0)),24,1,1,"Entities"))</f>
        <v>yes</v>
      </c>
      <c r="T208">
        <v>5</v>
      </c>
      <c r="U208">
        <v>5</v>
      </c>
      <c r="V208" t="b">
        <v>1</v>
      </c>
      <c r="AI208" t="s">
        <v>241</v>
      </c>
      <c r="AJ208">
        <v>1</v>
      </c>
      <c r="AK208">
        <v>1500</v>
      </c>
      <c r="AL208">
        <v>100</v>
      </c>
      <c r="AM208" s="75">
        <f ca="1">INDIRECT(ADDRESS(11+(MATCH(RIGHT(Table2[[#This Row],[spawner_sku]],LEN(Table2[[#This Row],[spawner_sku]])-FIND("/",Table2[[#This Row],[spawner_sku]])),Table1[Entity Prefab],0)),10,1,1,"Entities"))</f>
        <v>130</v>
      </c>
      <c r="AN208" s="75">
        <f ca="1">ROUND((Table2[[#This Row],[XP]]*Table2[[#This Row],[entity_spawned (AVG)]])*(Table2[[#This Row],[activating_chance]]/100),0)</f>
        <v>130</v>
      </c>
      <c r="AO20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08" s="72">
        <v>1</v>
      </c>
      <c r="AQ208" s="72">
        <v>1</v>
      </c>
      <c r="AR208" s="72" t="b">
        <v>0</v>
      </c>
      <c r="BE208" t="s">
        <v>255</v>
      </c>
      <c r="BF208">
        <v>1</v>
      </c>
      <c r="BG208">
        <v>170</v>
      </c>
      <c r="BH208">
        <v>40</v>
      </c>
      <c r="BI208" s="75">
        <f ca="1">INDIRECT(ADDRESS(11+(MATCH(RIGHT(Table610[[#This Row],[spawner_sku]],LEN(Table610[[#This Row],[spawner_sku]])-FIND("/",Table610[[#This Row],[spawner_sku]])),Table1[Entity Prefab],0)),10,1,1,"Entities"))</f>
        <v>25</v>
      </c>
      <c r="BJ208" s="75">
        <f ca="1">ROUND((Table610[[#This Row],[XP]]*Table610[[#This Row],[entity_spawned (AVG)]])*(Table610[[#This Row],[activating_chance]]/100),0)</f>
        <v>10</v>
      </c>
      <c r="BK208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08">
        <v>1</v>
      </c>
      <c r="BM208">
        <v>1</v>
      </c>
      <c r="BN208" t="b">
        <v>0</v>
      </c>
      <c r="BP208" t="s">
        <v>245</v>
      </c>
      <c r="BQ208">
        <v>1.5</v>
      </c>
      <c r="BR208">
        <v>110</v>
      </c>
      <c r="BS208">
        <v>100</v>
      </c>
      <c r="BT20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08" s="75">
        <f ca="1">ROUND((Table61011[[#This Row],[XP]]*Table61011[[#This Row],[entity_spawned (AVG)]])*(Table61011[[#This Row],[activating_chance]]/100),0)</f>
        <v>38</v>
      </c>
      <c r="BV20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08" s="72">
        <v>1</v>
      </c>
      <c r="BX208" s="72">
        <v>2</v>
      </c>
      <c r="BY208" s="72" t="b">
        <v>0</v>
      </c>
      <c r="CA208" t="s">
        <v>629</v>
      </c>
      <c r="CB208">
        <v>1</v>
      </c>
      <c r="CC208">
        <v>120</v>
      </c>
      <c r="CD208">
        <v>100</v>
      </c>
      <c r="CE208" s="75">
        <f ca="1">INDIRECT(ADDRESS(11+(MATCH(RIGHT(Table11[[#This Row],[spawner_sku]],LEN(Table11[[#This Row],[spawner_sku]])-FIND("/",Table11[[#This Row],[spawner_sku]])),Table1[Entity Prefab],0)),10,1,1,"Entities"))</f>
        <v>50</v>
      </c>
      <c r="CF208">
        <f ca="1">ROUND((Table11[[#This Row],[XP]]*Table11[[#This Row],[entity_spawned (AVG)]])*(Table11[[#This Row],[activating_chance]]/100),0)</f>
        <v>50</v>
      </c>
      <c r="CG208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208" s="72">
        <v>1</v>
      </c>
      <c r="CI208" s="72">
        <v>1</v>
      </c>
      <c r="CJ208" s="72" t="b">
        <v>0</v>
      </c>
      <c r="CL208" t="s">
        <v>384</v>
      </c>
      <c r="CM208">
        <v>1.5</v>
      </c>
      <c r="CN208">
        <v>100</v>
      </c>
      <c r="CO208">
        <v>80</v>
      </c>
      <c r="CP208" s="75">
        <f ca="1">INDIRECT(ADDRESS(11+(MATCH(RIGHT(Table12[[#This Row],[spawner_sku]],LEN(Table12[[#This Row],[spawner_sku]])-FIND("/",Table12[[#This Row],[spawner_sku]])),Table1[Entity Prefab],0)),10,1,1,"Entities"))</f>
        <v>25</v>
      </c>
      <c r="CQ208" s="75">
        <f ca="1">ROUND((Table12[[#This Row],[XP]]*Table12[[#This Row],[entity_spawned (AVG)]])*(Table12[[#This Row],[activating_chance]]/100),0)</f>
        <v>30</v>
      </c>
      <c r="CR208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208" s="72">
        <v>1</v>
      </c>
      <c r="CT208" s="72">
        <v>2</v>
      </c>
      <c r="CU208" s="72" t="b">
        <v>0</v>
      </c>
      <c r="CW208" t="s">
        <v>255</v>
      </c>
      <c r="CX208">
        <v>1</v>
      </c>
      <c r="CY208">
        <v>150</v>
      </c>
      <c r="CZ208">
        <v>80</v>
      </c>
      <c r="DA208" s="75">
        <f ca="1">INDIRECT(ADDRESS(11+(MATCH(RIGHT(Table13[[#This Row],[spawner_sku]],LEN(Table13[[#This Row],[spawner_sku]])-FIND("/",Table13[[#This Row],[spawner_sku]])),Table1[Entity Prefab],0)),10,1,1,"Entities"))</f>
        <v>25</v>
      </c>
      <c r="DB208" s="75">
        <f ca="1">ROUND((Table13[[#This Row],[XP]]*Table13[[#This Row],[entity_spawned (AVG)]])*(Table13[[#This Row],[activating_chance]]/100),0)</f>
        <v>20</v>
      </c>
      <c r="DC208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08" s="72">
        <v>1</v>
      </c>
      <c r="DE208" s="72">
        <v>1</v>
      </c>
      <c r="DF208" s="72" t="b">
        <v>0</v>
      </c>
      <c r="DH208" t="s">
        <v>236</v>
      </c>
      <c r="DI208">
        <v>1</v>
      </c>
      <c r="DJ208">
        <v>130</v>
      </c>
      <c r="DK208">
        <v>100</v>
      </c>
      <c r="DL208" s="75">
        <f ca="1">INDIRECT(ADDRESS(11+(MATCH(RIGHT(Table14[[#This Row],[spawner_sku]],LEN(Table14[[#This Row],[spawner_sku]])-FIND("/",Table14[[#This Row],[spawner_sku]])),Table1[Entity Prefab],0)),10,1,1,"Entities"))</f>
        <v>70</v>
      </c>
      <c r="DM208" s="75">
        <f ca="1">ROUND((Table14[[#This Row],[XP]]*Table14[[#This Row],[entity_spawned (AVG)]])*(Table14[[#This Row],[activating_chance]]/100),0)</f>
        <v>70</v>
      </c>
      <c r="DN20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208" s="72">
        <v>1</v>
      </c>
      <c r="DP208" s="72">
        <v>1</v>
      </c>
      <c r="DQ208" s="72" t="b">
        <v>0</v>
      </c>
      <c r="DS208" t="s">
        <v>630</v>
      </c>
      <c r="DT208">
        <v>1</v>
      </c>
      <c r="DU208">
        <v>120</v>
      </c>
      <c r="DV208">
        <v>100</v>
      </c>
      <c r="DW208" s="75">
        <f ca="1">INDIRECT(ADDRESS(11+(MATCH(RIGHT(Table18[[#This Row],[spawner_sku]],LEN(Table18[[#This Row],[spawner_sku]])-FIND("/",Table18[[#This Row],[spawner_sku]])),Table1[Entity Prefab],0)),10,1,1,"Entities"))</f>
        <v>35</v>
      </c>
      <c r="DX208" s="75">
        <f ca="1">ROUND((Table18[[#This Row],[XP]]*Table18[[#This Row],[entity_spawned (AVG)]])*(Table18[[#This Row],[activating_chance]]/100),0)</f>
        <v>35</v>
      </c>
      <c r="DY20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08">
        <v>1</v>
      </c>
      <c r="EA208">
        <v>1</v>
      </c>
      <c r="EB208" t="b">
        <v>0</v>
      </c>
      <c r="ED208" t="s">
        <v>491</v>
      </c>
      <c r="EE208">
        <v>1</v>
      </c>
      <c r="EF208">
        <v>100</v>
      </c>
      <c r="EG208">
        <v>100</v>
      </c>
      <c r="EH208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08" s="75">
        <f ca="1">ROUND((Table1820[[#This Row],[XP]]*Table1820[[#This Row],[entity_spawned (AVG)]])*(Table1820[[#This Row],[activating_chance]]/100),0)</f>
        <v>25</v>
      </c>
      <c r="EJ20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08">
        <v>1</v>
      </c>
      <c r="EL208">
        <v>1</v>
      </c>
      <c r="EM208" t="b">
        <v>0</v>
      </c>
      <c r="EZ208" t="s">
        <v>7355</v>
      </c>
      <c r="FA208">
        <v>7.5</v>
      </c>
      <c r="FB208">
        <v>240</v>
      </c>
      <c r="FC208">
        <v>100</v>
      </c>
      <c r="FD208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FE208" s="75">
        <f ca="1">ROUND((Table18202324[[#This Row],[XP]]*Table18202324[[#This Row],[entity_spawned (AVG)]])*(Table18202324[[#This Row],[activating_chance]]/100),0)</f>
        <v>375</v>
      </c>
      <c r="FF208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208">
        <v>5</v>
      </c>
      <c r="FH208">
        <v>10</v>
      </c>
      <c r="FI208" t="b">
        <v>1</v>
      </c>
    </row>
    <row r="209" spans="2:165" x14ac:dyDescent="0.25">
      <c r="B209" s="73" t="s">
        <v>231</v>
      </c>
      <c r="C209">
        <v>1</v>
      </c>
      <c r="D209">
        <v>5000</v>
      </c>
      <c r="E209">
        <v>75</v>
      </c>
      <c r="F209" s="75">
        <f ca="1">INDIRECT(ADDRESS(11+(MATCH(RIGHT(Table245[[#This Row],[spawner_sku]],LEN(Table245[[#This Row],[spawner_sku]])-FIND("/",Table245[[#This Row],[spawner_sku]])),Table1[Entity Prefab],0)),10,1,1,"Entities"))</f>
        <v>75</v>
      </c>
      <c r="G209" s="75">
        <f ca="1">ROUND((Table245[[#This Row],[XP]]*Table245[[#This Row],[entity_spawned (AVG)]])*(Table245[[#This Row],[activating_chance]]/100),0)</f>
        <v>56</v>
      </c>
      <c r="H20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9" s="72">
        <v>1</v>
      </c>
      <c r="J209" s="72">
        <v>1</v>
      </c>
      <c r="K209" s="72" t="b">
        <v>0</v>
      </c>
      <c r="M209" t="s">
        <v>383</v>
      </c>
      <c r="N209">
        <v>1</v>
      </c>
      <c r="O209">
        <v>275</v>
      </c>
      <c r="P209">
        <v>100</v>
      </c>
      <c r="Q209" s="75">
        <f ca="1">INDIRECT(ADDRESS(11+(MATCH(RIGHT(Table3[[#This Row],[spawner_sku]],LEN(Table3[[#This Row],[spawner_sku]])-FIND("/",Table3[[#This Row],[spawner_sku]])),Table1[Entity Prefab],0)),10,1,1,"Entities"))</f>
        <v>28</v>
      </c>
      <c r="R209" s="75">
        <f ca="1">ROUND((Table3[[#This Row],[XP]]*Table3[[#This Row],[entity_spawned (AVG)]])*(Table3[[#This Row],[activating_chance]]/100),0)</f>
        <v>28</v>
      </c>
      <c r="S209" t="str">
        <f ca="1">INDIRECT(ADDRESS(11+(MATCH(RIGHT(Table3[[#This Row],[spawner_sku]],LEN(Table3[[#This Row],[spawner_sku]])-FIND("/",Table3[[#This Row],[spawner_sku]])),Table28[Entity Prefab],0)),24,1,1,"Entities"))</f>
        <v>yes</v>
      </c>
      <c r="T209">
        <v>1</v>
      </c>
      <c r="U209">
        <v>1</v>
      </c>
      <c r="V209" t="b">
        <v>0</v>
      </c>
      <c r="AI209" t="s">
        <v>241</v>
      </c>
      <c r="AJ209">
        <v>1</v>
      </c>
      <c r="AK209">
        <v>1500</v>
      </c>
      <c r="AL209">
        <v>100</v>
      </c>
      <c r="AM209" s="75">
        <f ca="1">INDIRECT(ADDRESS(11+(MATCH(RIGHT(Table2[[#This Row],[spawner_sku]],LEN(Table2[[#This Row],[spawner_sku]])-FIND("/",Table2[[#This Row],[spawner_sku]])),Table1[Entity Prefab],0)),10,1,1,"Entities"))</f>
        <v>130</v>
      </c>
      <c r="AN209" s="75">
        <f ca="1">ROUND((Table2[[#This Row],[XP]]*Table2[[#This Row],[entity_spawned (AVG)]])*(Table2[[#This Row],[activating_chance]]/100),0)</f>
        <v>130</v>
      </c>
      <c r="AO20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09" s="72">
        <v>1</v>
      </c>
      <c r="AQ209" s="72">
        <v>1</v>
      </c>
      <c r="AR209" s="72" t="b">
        <v>0</v>
      </c>
      <c r="BE209" t="s">
        <v>255</v>
      </c>
      <c r="BF209">
        <v>1</v>
      </c>
      <c r="BG209">
        <v>170</v>
      </c>
      <c r="BH209">
        <v>40</v>
      </c>
      <c r="BI209" s="75">
        <f ca="1">INDIRECT(ADDRESS(11+(MATCH(RIGHT(Table610[[#This Row],[spawner_sku]],LEN(Table610[[#This Row],[spawner_sku]])-FIND("/",Table610[[#This Row],[spawner_sku]])),Table1[Entity Prefab],0)),10,1,1,"Entities"))</f>
        <v>25</v>
      </c>
      <c r="BJ209" s="75">
        <f ca="1">ROUND((Table610[[#This Row],[XP]]*Table610[[#This Row],[entity_spawned (AVG)]])*(Table610[[#This Row],[activating_chance]]/100),0)</f>
        <v>10</v>
      </c>
      <c r="BK209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09">
        <v>1</v>
      </c>
      <c r="BM209">
        <v>1</v>
      </c>
      <c r="BN209" t="b">
        <v>0</v>
      </c>
      <c r="BP209" t="s">
        <v>245</v>
      </c>
      <c r="BQ209">
        <v>6</v>
      </c>
      <c r="BR209">
        <v>200</v>
      </c>
      <c r="BS209">
        <v>100</v>
      </c>
      <c r="BT20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09" s="75">
        <f ca="1">ROUND((Table61011[[#This Row],[XP]]*Table61011[[#This Row],[entity_spawned (AVG)]])*(Table61011[[#This Row],[activating_chance]]/100),0)</f>
        <v>150</v>
      </c>
      <c r="BV20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09" s="72">
        <v>6</v>
      </c>
      <c r="BX209" s="72">
        <v>6</v>
      </c>
      <c r="BY209" s="72" t="b">
        <v>1</v>
      </c>
      <c r="CA209" t="s">
        <v>629</v>
      </c>
      <c r="CB209">
        <v>1</v>
      </c>
      <c r="CC209">
        <v>120</v>
      </c>
      <c r="CD209">
        <v>30</v>
      </c>
      <c r="CE209" s="75">
        <f ca="1">INDIRECT(ADDRESS(11+(MATCH(RIGHT(Table11[[#This Row],[spawner_sku]],LEN(Table11[[#This Row],[spawner_sku]])-FIND("/",Table11[[#This Row],[spawner_sku]])),Table1[Entity Prefab],0)),10,1,1,"Entities"))</f>
        <v>50</v>
      </c>
      <c r="CF209">
        <f ca="1">ROUND((Table11[[#This Row],[XP]]*Table11[[#This Row],[entity_spawned (AVG)]])*(Table11[[#This Row],[activating_chance]]/100),0)</f>
        <v>15</v>
      </c>
      <c r="CG209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209" s="72">
        <v>1</v>
      </c>
      <c r="CI209" s="72">
        <v>1</v>
      </c>
      <c r="CJ209" s="72" t="b">
        <v>0</v>
      </c>
      <c r="CL209" t="s">
        <v>384</v>
      </c>
      <c r="CM209">
        <v>6.5</v>
      </c>
      <c r="CN209">
        <v>100</v>
      </c>
      <c r="CO209">
        <v>80</v>
      </c>
      <c r="CP209" s="75">
        <f ca="1">INDIRECT(ADDRESS(11+(MATCH(RIGHT(Table12[[#This Row],[spawner_sku]],LEN(Table12[[#This Row],[spawner_sku]])-FIND("/",Table12[[#This Row],[spawner_sku]])),Table1[Entity Prefab],0)),10,1,1,"Entities"))</f>
        <v>25</v>
      </c>
      <c r="CQ209" s="75">
        <f ca="1">ROUND((Table12[[#This Row],[XP]]*Table12[[#This Row],[entity_spawned (AVG)]])*(Table12[[#This Row],[activating_chance]]/100),0)</f>
        <v>130</v>
      </c>
      <c r="CR209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209" s="72">
        <v>5</v>
      </c>
      <c r="CT209" s="72">
        <v>8</v>
      </c>
      <c r="CU209" s="72" t="b">
        <v>1</v>
      </c>
      <c r="CW209" t="s">
        <v>255</v>
      </c>
      <c r="CX209">
        <v>1</v>
      </c>
      <c r="CY209">
        <v>150</v>
      </c>
      <c r="CZ209">
        <v>80</v>
      </c>
      <c r="DA209" s="75">
        <f ca="1">INDIRECT(ADDRESS(11+(MATCH(RIGHT(Table13[[#This Row],[spawner_sku]],LEN(Table13[[#This Row],[spawner_sku]])-FIND("/",Table13[[#This Row],[spawner_sku]])),Table1[Entity Prefab],0)),10,1,1,"Entities"))</f>
        <v>25</v>
      </c>
      <c r="DB209" s="75">
        <f ca="1">ROUND((Table13[[#This Row],[XP]]*Table13[[#This Row],[entity_spawned (AVG)]])*(Table13[[#This Row],[activating_chance]]/100),0)</f>
        <v>20</v>
      </c>
      <c r="DC209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09" s="72">
        <v>1</v>
      </c>
      <c r="DE209" s="72">
        <v>1</v>
      </c>
      <c r="DF209" s="72" t="b">
        <v>0</v>
      </c>
      <c r="DH209" t="s">
        <v>236</v>
      </c>
      <c r="DI209">
        <v>1</v>
      </c>
      <c r="DJ209">
        <v>120</v>
      </c>
      <c r="DK209">
        <v>100</v>
      </c>
      <c r="DL209" s="75">
        <f ca="1">INDIRECT(ADDRESS(11+(MATCH(RIGHT(Table14[[#This Row],[spawner_sku]],LEN(Table14[[#This Row],[spawner_sku]])-FIND("/",Table14[[#This Row],[spawner_sku]])),Table1[Entity Prefab],0)),10,1,1,"Entities"))</f>
        <v>70</v>
      </c>
      <c r="DM209" s="75">
        <f ca="1">ROUND((Table14[[#This Row],[XP]]*Table14[[#This Row],[entity_spawned (AVG)]])*(Table14[[#This Row],[activating_chance]]/100),0)</f>
        <v>70</v>
      </c>
      <c r="DN20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209" s="72">
        <v>1</v>
      </c>
      <c r="DP209" s="72">
        <v>1</v>
      </c>
      <c r="DQ209" s="72" t="b">
        <v>0</v>
      </c>
      <c r="DS209" t="s">
        <v>630</v>
      </c>
      <c r="DT209">
        <v>1</v>
      </c>
      <c r="DU209">
        <v>120</v>
      </c>
      <c r="DV209">
        <v>100</v>
      </c>
      <c r="DW209" s="75">
        <f ca="1">INDIRECT(ADDRESS(11+(MATCH(RIGHT(Table18[[#This Row],[spawner_sku]],LEN(Table18[[#This Row],[spawner_sku]])-FIND("/",Table18[[#This Row],[spawner_sku]])),Table1[Entity Prefab],0)),10,1,1,"Entities"))</f>
        <v>35</v>
      </c>
      <c r="DX209" s="75">
        <f ca="1">ROUND((Table18[[#This Row],[XP]]*Table18[[#This Row],[entity_spawned (AVG)]])*(Table18[[#This Row],[activating_chance]]/100),0)</f>
        <v>35</v>
      </c>
      <c r="DY20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09">
        <v>1</v>
      </c>
      <c r="EA209">
        <v>1</v>
      </c>
      <c r="EB209" t="b">
        <v>0</v>
      </c>
      <c r="ED209" t="s">
        <v>491</v>
      </c>
      <c r="EE209">
        <v>1</v>
      </c>
      <c r="EF209">
        <v>100</v>
      </c>
      <c r="EG209">
        <v>80</v>
      </c>
      <c r="EH20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09" s="75">
        <f ca="1">ROUND((Table1820[[#This Row],[XP]]*Table1820[[#This Row],[entity_spawned (AVG)]])*(Table1820[[#This Row],[activating_chance]]/100),0)</f>
        <v>20</v>
      </c>
      <c r="EJ20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09">
        <v>1</v>
      </c>
      <c r="EL209">
        <v>1</v>
      </c>
      <c r="EM209" t="b">
        <v>0</v>
      </c>
      <c r="EZ209" t="s">
        <v>7355</v>
      </c>
      <c r="FA209">
        <v>7.5</v>
      </c>
      <c r="FB209">
        <v>240</v>
      </c>
      <c r="FC209">
        <v>100</v>
      </c>
      <c r="FD209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FE209" s="75">
        <f ca="1">ROUND((Table18202324[[#This Row],[XP]]*Table18202324[[#This Row],[entity_spawned (AVG)]])*(Table18202324[[#This Row],[activating_chance]]/100),0)</f>
        <v>375</v>
      </c>
      <c r="FF209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209">
        <v>5</v>
      </c>
      <c r="FH209">
        <v>10</v>
      </c>
      <c r="FI209" t="b">
        <v>1</v>
      </c>
    </row>
    <row r="210" spans="2:165" x14ac:dyDescent="0.25">
      <c r="B210" s="73" t="s">
        <v>231</v>
      </c>
      <c r="C210">
        <v>1</v>
      </c>
      <c r="D210">
        <v>5000</v>
      </c>
      <c r="E210">
        <v>75</v>
      </c>
      <c r="F210" s="75">
        <f ca="1">INDIRECT(ADDRESS(11+(MATCH(RIGHT(Table245[[#This Row],[spawner_sku]],LEN(Table245[[#This Row],[spawner_sku]])-FIND("/",Table245[[#This Row],[spawner_sku]])),Table1[Entity Prefab],0)),10,1,1,"Entities"))</f>
        <v>75</v>
      </c>
      <c r="G210" s="75">
        <f ca="1">ROUND((Table245[[#This Row],[XP]]*Table245[[#This Row],[entity_spawned (AVG)]])*(Table245[[#This Row],[activating_chance]]/100),0)</f>
        <v>56</v>
      </c>
      <c r="H21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10" s="72">
        <v>1</v>
      </c>
      <c r="J210" s="72">
        <v>1</v>
      </c>
      <c r="K210" s="72" t="b">
        <v>0</v>
      </c>
      <c r="M210" t="s">
        <v>383</v>
      </c>
      <c r="N210">
        <v>1</v>
      </c>
      <c r="O210">
        <v>240</v>
      </c>
      <c r="P210">
        <v>100</v>
      </c>
      <c r="Q210" s="75">
        <f ca="1">INDIRECT(ADDRESS(11+(MATCH(RIGHT(Table3[[#This Row],[spawner_sku]],LEN(Table3[[#This Row],[spawner_sku]])-FIND("/",Table3[[#This Row],[spawner_sku]])),Table1[Entity Prefab],0)),10,1,1,"Entities"))</f>
        <v>28</v>
      </c>
      <c r="R210" s="75">
        <f ca="1">ROUND((Table3[[#This Row],[XP]]*Table3[[#This Row],[entity_spawned (AVG)]])*(Table3[[#This Row],[activating_chance]]/100),0)</f>
        <v>28</v>
      </c>
      <c r="S210" t="str">
        <f ca="1">INDIRECT(ADDRESS(11+(MATCH(RIGHT(Table3[[#This Row],[spawner_sku]],LEN(Table3[[#This Row],[spawner_sku]])-FIND("/",Table3[[#This Row],[spawner_sku]])),Table28[Entity Prefab],0)),24,1,1,"Entities"))</f>
        <v>yes</v>
      </c>
      <c r="T210">
        <v>1</v>
      </c>
      <c r="U210">
        <v>1</v>
      </c>
      <c r="V210" t="b">
        <v>0</v>
      </c>
      <c r="AI210" t="s">
        <v>241</v>
      </c>
      <c r="AJ210">
        <v>1</v>
      </c>
      <c r="AK210">
        <v>1500</v>
      </c>
      <c r="AL210">
        <v>100</v>
      </c>
      <c r="AM210" s="75">
        <f ca="1">INDIRECT(ADDRESS(11+(MATCH(RIGHT(Table2[[#This Row],[spawner_sku]],LEN(Table2[[#This Row],[spawner_sku]])-FIND("/",Table2[[#This Row],[spawner_sku]])),Table1[Entity Prefab],0)),10,1,1,"Entities"))</f>
        <v>130</v>
      </c>
      <c r="AN210" s="75">
        <f ca="1">ROUND((Table2[[#This Row],[XP]]*Table2[[#This Row],[entity_spawned (AVG)]])*(Table2[[#This Row],[activating_chance]]/100),0)</f>
        <v>130</v>
      </c>
      <c r="AO21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10" s="72">
        <v>1</v>
      </c>
      <c r="AQ210" s="72">
        <v>1</v>
      </c>
      <c r="AR210" s="72" t="b">
        <v>0</v>
      </c>
      <c r="BE210" t="s">
        <v>255</v>
      </c>
      <c r="BF210">
        <v>1</v>
      </c>
      <c r="BG210">
        <v>170</v>
      </c>
      <c r="BH210">
        <v>40</v>
      </c>
      <c r="BI210" s="75">
        <f ca="1">INDIRECT(ADDRESS(11+(MATCH(RIGHT(Table610[[#This Row],[spawner_sku]],LEN(Table610[[#This Row],[spawner_sku]])-FIND("/",Table610[[#This Row],[spawner_sku]])),Table1[Entity Prefab],0)),10,1,1,"Entities"))</f>
        <v>25</v>
      </c>
      <c r="BJ210" s="75">
        <f ca="1">ROUND((Table610[[#This Row],[XP]]*Table610[[#This Row],[entity_spawned (AVG)]])*(Table610[[#This Row],[activating_chance]]/100),0)</f>
        <v>10</v>
      </c>
      <c r="BK210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10">
        <v>1</v>
      </c>
      <c r="BM210">
        <v>1</v>
      </c>
      <c r="BN210" t="b">
        <v>0</v>
      </c>
      <c r="BP210" t="s">
        <v>245</v>
      </c>
      <c r="BQ210">
        <v>3</v>
      </c>
      <c r="BR210">
        <v>140</v>
      </c>
      <c r="BS210">
        <v>100</v>
      </c>
      <c r="BT21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10" s="75">
        <f ca="1">ROUND((Table61011[[#This Row],[XP]]*Table61011[[#This Row],[entity_spawned (AVG)]])*(Table61011[[#This Row],[activating_chance]]/100),0)</f>
        <v>75</v>
      </c>
      <c r="BV21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0" s="72">
        <v>2</v>
      </c>
      <c r="BX210" s="72">
        <v>4</v>
      </c>
      <c r="BY210" s="72" t="b">
        <v>0</v>
      </c>
      <c r="CA210" t="s">
        <v>629</v>
      </c>
      <c r="CB210">
        <v>1</v>
      </c>
      <c r="CC210">
        <v>120</v>
      </c>
      <c r="CD210">
        <v>100</v>
      </c>
      <c r="CE210" s="75">
        <f ca="1">INDIRECT(ADDRESS(11+(MATCH(RIGHT(Table11[[#This Row],[spawner_sku]],LEN(Table11[[#This Row],[spawner_sku]])-FIND("/",Table11[[#This Row],[spawner_sku]])),Table1[Entity Prefab],0)),10,1,1,"Entities"))</f>
        <v>50</v>
      </c>
      <c r="CF210">
        <f ca="1">ROUND((Table11[[#This Row],[XP]]*Table11[[#This Row],[entity_spawned (AVG)]])*(Table11[[#This Row],[activating_chance]]/100),0)</f>
        <v>50</v>
      </c>
      <c r="CG210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210" s="72">
        <v>1</v>
      </c>
      <c r="CI210" s="72">
        <v>1</v>
      </c>
      <c r="CJ210" s="72" t="b">
        <v>0</v>
      </c>
      <c r="CL210" t="s">
        <v>384</v>
      </c>
      <c r="CM210">
        <v>3</v>
      </c>
      <c r="CN210">
        <v>100</v>
      </c>
      <c r="CO210">
        <v>80</v>
      </c>
      <c r="CP210" s="75">
        <f ca="1">INDIRECT(ADDRESS(11+(MATCH(RIGHT(Table12[[#This Row],[spawner_sku]],LEN(Table12[[#This Row],[spawner_sku]])-FIND("/",Table12[[#This Row],[spawner_sku]])),Table1[Entity Prefab],0)),10,1,1,"Entities"))</f>
        <v>25</v>
      </c>
      <c r="CQ210" s="75">
        <f ca="1">ROUND((Table12[[#This Row],[XP]]*Table12[[#This Row],[entity_spawned (AVG)]])*(Table12[[#This Row],[activating_chance]]/100),0)</f>
        <v>60</v>
      </c>
      <c r="CR210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210" s="72">
        <v>2</v>
      </c>
      <c r="CT210" s="72">
        <v>4</v>
      </c>
      <c r="CU210" s="72" t="b">
        <v>0</v>
      </c>
      <c r="CW210" t="s">
        <v>255</v>
      </c>
      <c r="CX210">
        <v>1</v>
      </c>
      <c r="CY210">
        <v>150</v>
      </c>
      <c r="CZ210">
        <v>100</v>
      </c>
      <c r="DA210" s="75">
        <f ca="1">INDIRECT(ADDRESS(11+(MATCH(RIGHT(Table13[[#This Row],[spawner_sku]],LEN(Table13[[#This Row],[spawner_sku]])-FIND("/",Table13[[#This Row],[spawner_sku]])),Table1[Entity Prefab],0)),10,1,1,"Entities"))</f>
        <v>25</v>
      </c>
      <c r="DB210" s="75">
        <f ca="1">ROUND((Table13[[#This Row],[XP]]*Table13[[#This Row],[entity_spawned (AVG)]])*(Table13[[#This Row],[activating_chance]]/100),0)</f>
        <v>25</v>
      </c>
      <c r="DC210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10" s="72">
        <v>1</v>
      </c>
      <c r="DE210" s="72">
        <v>1</v>
      </c>
      <c r="DF210" s="72" t="b">
        <v>0</v>
      </c>
      <c r="DH210" t="s">
        <v>236</v>
      </c>
      <c r="DI210">
        <v>1</v>
      </c>
      <c r="DJ210">
        <v>120</v>
      </c>
      <c r="DK210">
        <v>100</v>
      </c>
      <c r="DL210" s="75">
        <f ca="1">INDIRECT(ADDRESS(11+(MATCH(RIGHT(Table14[[#This Row],[spawner_sku]],LEN(Table14[[#This Row],[spawner_sku]])-FIND("/",Table14[[#This Row],[spawner_sku]])),Table1[Entity Prefab],0)),10,1,1,"Entities"))</f>
        <v>70</v>
      </c>
      <c r="DM210" s="75">
        <f ca="1">ROUND((Table14[[#This Row],[XP]]*Table14[[#This Row],[entity_spawned (AVG)]])*(Table14[[#This Row],[activating_chance]]/100),0)</f>
        <v>70</v>
      </c>
      <c r="DN21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210" s="72">
        <v>1</v>
      </c>
      <c r="DP210" s="72">
        <v>1</v>
      </c>
      <c r="DQ210" s="72" t="b">
        <v>0</v>
      </c>
      <c r="DS210" t="s">
        <v>630</v>
      </c>
      <c r="DT210">
        <v>1</v>
      </c>
      <c r="DU210">
        <v>120</v>
      </c>
      <c r="DV210">
        <v>100</v>
      </c>
      <c r="DW210" s="75">
        <f ca="1">INDIRECT(ADDRESS(11+(MATCH(RIGHT(Table18[[#This Row],[spawner_sku]],LEN(Table18[[#This Row],[spawner_sku]])-FIND("/",Table18[[#This Row],[spawner_sku]])),Table1[Entity Prefab],0)),10,1,1,"Entities"))</f>
        <v>35</v>
      </c>
      <c r="DX210" s="75">
        <f ca="1">ROUND((Table18[[#This Row],[XP]]*Table18[[#This Row],[entity_spawned (AVG)]])*(Table18[[#This Row],[activating_chance]]/100),0)</f>
        <v>35</v>
      </c>
      <c r="DY21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10">
        <v>1</v>
      </c>
      <c r="EA210">
        <v>1</v>
      </c>
      <c r="EB210" t="b">
        <v>0</v>
      </c>
      <c r="ED210" t="s">
        <v>491</v>
      </c>
      <c r="EE210">
        <v>1</v>
      </c>
      <c r="EF210">
        <v>100</v>
      </c>
      <c r="EG210">
        <v>100</v>
      </c>
      <c r="EH210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10" s="75">
        <f ca="1">ROUND((Table1820[[#This Row],[XP]]*Table1820[[#This Row],[entity_spawned (AVG)]])*(Table1820[[#This Row],[activating_chance]]/100),0)</f>
        <v>25</v>
      </c>
      <c r="EJ21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10">
        <v>1</v>
      </c>
      <c r="EL210">
        <v>1</v>
      </c>
      <c r="EM210" t="b">
        <v>0</v>
      </c>
      <c r="EZ210" t="s">
        <v>7355</v>
      </c>
      <c r="FA210">
        <v>7.5</v>
      </c>
      <c r="FB210">
        <v>240</v>
      </c>
      <c r="FC210">
        <v>100</v>
      </c>
      <c r="FD210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FE210" s="75">
        <f ca="1">ROUND((Table18202324[[#This Row],[XP]]*Table18202324[[#This Row],[entity_spawned (AVG)]])*(Table18202324[[#This Row],[activating_chance]]/100),0)</f>
        <v>375</v>
      </c>
      <c r="FF210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210">
        <v>5</v>
      </c>
      <c r="FH210">
        <v>10</v>
      </c>
      <c r="FI210" t="b">
        <v>1</v>
      </c>
    </row>
    <row r="211" spans="2:165" x14ac:dyDescent="0.25">
      <c r="B211" s="73" t="s">
        <v>231</v>
      </c>
      <c r="C211">
        <v>1</v>
      </c>
      <c r="D211">
        <v>5000</v>
      </c>
      <c r="E211">
        <v>75</v>
      </c>
      <c r="F211" s="75">
        <f ca="1">INDIRECT(ADDRESS(11+(MATCH(RIGHT(Table245[[#This Row],[spawner_sku]],LEN(Table245[[#This Row],[spawner_sku]])-FIND("/",Table245[[#This Row],[spawner_sku]])),Table1[Entity Prefab],0)),10,1,1,"Entities"))</f>
        <v>75</v>
      </c>
      <c r="G211" s="75">
        <f ca="1">ROUND((Table245[[#This Row],[XP]]*Table245[[#This Row],[entity_spawned (AVG)]])*(Table245[[#This Row],[activating_chance]]/100),0)</f>
        <v>56</v>
      </c>
      <c r="H21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11" s="72">
        <v>1</v>
      </c>
      <c r="J211" s="72">
        <v>1</v>
      </c>
      <c r="K211" s="72" t="b">
        <v>0</v>
      </c>
      <c r="M211" t="s">
        <v>383</v>
      </c>
      <c r="N211">
        <v>1</v>
      </c>
      <c r="O211">
        <v>275</v>
      </c>
      <c r="P211">
        <v>100</v>
      </c>
      <c r="Q211" s="75">
        <f ca="1">INDIRECT(ADDRESS(11+(MATCH(RIGHT(Table3[[#This Row],[spawner_sku]],LEN(Table3[[#This Row],[spawner_sku]])-FIND("/",Table3[[#This Row],[spawner_sku]])),Table1[Entity Prefab],0)),10,1,1,"Entities"))</f>
        <v>28</v>
      </c>
      <c r="R211" s="75">
        <f ca="1">ROUND((Table3[[#This Row],[XP]]*Table3[[#This Row],[entity_spawned (AVG)]])*(Table3[[#This Row],[activating_chance]]/100),0)</f>
        <v>28</v>
      </c>
      <c r="S211" t="str">
        <f ca="1">INDIRECT(ADDRESS(11+(MATCH(RIGHT(Table3[[#This Row],[spawner_sku]],LEN(Table3[[#This Row],[spawner_sku]])-FIND("/",Table3[[#This Row],[spawner_sku]])),Table28[Entity Prefab],0)),24,1,1,"Entities"))</f>
        <v>yes</v>
      </c>
      <c r="T211">
        <v>1</v>
      </c>
      <c r="U211">
        <v>1</v>
      </c>
      <c r="V211" t="b">
        <v>0</v>
      </c>
      <c r="AI211" t="s">
        <v>241</v>
      </c>
      <c r="AJ211">
        <v>1</v>
      </c>
      <c r="AK211">
        <v>1500</v>
      </c>
      <c r="AL211">
        <v>100</v>
      </c>
      <c r="AM211" s="75">
        <f ca="1">INDIRECT(ADDRESS(11+(MATCH(RIGHT(Table2[[#This Row],[spawner_sku]],LEN(Table2[[#This Row],[spawner_sku]])-FIND("/",Table2[[#This Row],[spawner_sku]])),Table1[Entity Prefab],0)),10,1,1,"Entities"))</f>
        <v>130</v>
      </c>
      <c r="AN211" s="75">
        <f ca="1">ROUND((Table2[[#This Row],[XP]]*Table2[[#This Row],[entity_spawned (AVG)]])*(Table2[[#This Row],[activating_chance]]/100),0)</f>
        <v>130</v>
      </c>
      <c r="AO211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11" s="72">
        <v>1</v>
      </c>
      <c r="AQ211" s="72">
        <v>1</v>
      </c>
      <c r="AR211" s="72" t="b">
        <v>0</v>
      </c>
      <c r="BE211" t="s">
        <v>255</v>
      </c>
      <c r="BF211">
        <v>1</v>
      </c>
      <c r="BG211">
        <v>200</v>
      </c>
      <c r="BH211">
        <v>40</v>
      </c>
      <c r="BI211" s="75">
        <f ca="1">INDIRECT(ADDRESS(11+(MATCH(RIGHT(Table610[[#This Row],[spawner_sku]],LEN(Table610[[#This Row],[spawner_sku]])-FIND("/",Table610[[#This Row],[spawner_sku]])),Table1[Entity Prefab],0)),10,1,1,"Entities"))</f>
        <v>25</v>
      </c>
      <c r="BJ211" s="75">
        <f ca="1">ROUND((Table610[[#This Row],[XP]]*Table610[[#This Row],[entity_spawned (AVG)]])*(Table610[[#This Row],[activating_chance]]/100),0)</f>
        <v>10</v>
      </c>
      <c r="BK211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11">
        <v>1</v>
      </c>
      <c r="BM211">
        <v>1</v>
      </c>
      <c r="BN211" t="b">
        <v>0</v>
      </c>
      <c r="BP211" t="s">
        <v>245</v>
      </c>
      <c r="BQ211">
        <v>3</v>
      </c>
      <c r="BR211">
        <v>180</v>
      </c>
      <c r="BS211">
        <v>100</v>
      </c>
      <c r="BT21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11" s="75">
        <f ca="1">ROUND((Table61011[[#This Row],[XP]]*Table61011[[#This Row],[entity_spawned (AVG)]])*(Table61011[[#This Row],[activating_chance]]/100),0)</f>
        <v>75</v>
      </c>
      <c r="BV21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1" s="72">
        <v>2</v>
      </c>
      <c r="BX211" s="72">
        <v>4</v>
      </c>
      <c r="BY211" s="72" t="b">
        <v>0</v>
      </c>
      <c r="CA211" t="s">
        <v>629</v>
      </c>
      <c r="CB211">
        <v>1</v>
      </c>
      <c r="CC211">
        <v>120</v>
      </c>
      <c r="CD211">
        <v>100</v>
      </c>
      <c r="CE211" s="75">
        <f ca="1">INDIRECT(ADDRESS(11+(MATCH(RIGHT(Table11[[#This Row],[spawner_sku]],LEN(Table11[[#This Row],[spawner_sku]])-FIND("/",Table11[[#This Row],[spawner_sku]])),Table1[Entity Prefab],0)),10,1,1,"Entities"))</f>
        <v>50</v>
      </c>
      <c r="CF211">
        <f ca="1">ROUND((Table11[[#This Row],[XP]]*Table11[[#This Row],[entity_spawned (AVG)]])*(Table11[[#This Row],[activating_chance]]/100),0)</f>
        <v>50</v>
      </c>
      <c r="CG211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211" s="72">
        <v>1</v>
      </c>
      <c r="CI211" s="72">
        <v>1</v>
      </c>
      <c r="CJ211" s="72" t="b">
        <v>0</v>
      </c>
      <c r="CL211" t="s">
        <v>384</v>
      </c>
      <c r="CM211">
        <v>2.5</v>
      </c>
      <c r="CN211">
        <v>100</v>
      </c>
      <c r="CO211">
        <v>30</v>
      </c>
      <c r="CP211" s="75">
        <f ca="1">INDIRECT(ADDRESS(11+(MATCH(RIGHT(Table12[[#This Row],[spawner_sku]],LEN(Table12[[#This Row],[spawner_sku]])-FIND("/",Table12[[#This Row],[spawner_sku]])),Table1[Entity Prefab],0)),10,1,1,"Entities"))</f>
        <v>25</v>
      </c>
      <c r="CQ211" s="75">
        <f ca="1">ROUND((Table12[[#This Row],[XP]]*Table12[[#This Row],[entity_spawned (AVG)]])*(Table12[[#This Row],[activating_chance]]/100),0)</f>
        <v>19</v>
      </c>
      <c r="CR211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211" s="72">
        <v>2</v>
      </c>
      <c r="CT211" s="72">
        <v>3</v>
      </c>
      <c r="CU211" s="72" t="b">
        <v>0</v>
      </c>
      <c r="CW211" t="s">
        <v>255</v>
      </c>
      <c r="CX211">
        <v>1</v>
      </c>
      <c r="CY211">
        <v>150</v>
      </c>
      <c r="CZ211">
        <v>100</v>
      </c>
      <c r="DA211" s="75">
        <f ca="1">INDIRECT(ADDRESS(11+(MATCH(RIGHT(Table13[[#This Row],[spawner_sku]],LEN(Table13[[#This Row],[spawner_sku]])-FIND("/",Table13[[#This Row],[spawner_sku]])),Table1[Entity Prefab],0)),10,1,1,"Entities"))</f>
        <v>25</v>
      </c>
      <c r="DB211" s="75">
        <f ca="1">ROUND((Table13[[#This Row],[XP]]*Table13[[#This Row],[entity_spawned (AVG)]])*(Table13[[#This Row],[activating_chance]]/100),0)</f>
        <v>25</v>
      </c>
      <c r="DC211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11" s="72">
        <v>1</v>
      </c>
      <c r="DE211" s="72">
        <v>1</v>
      </c>
      <c r="DF211" s="72" t="b">
        <v>0</v>
      </c>
      <c r="DH211" t="s">
        <v>236</v>
      </c>
      <c r="DI211">
        <v>1</v>
      </c>
      <c r="DJ211">
        <v>120</v>
      </c>
      <c r="DK211">
        <v>100</v>
      </c>
      <c r="DL211" s="75">
        <f ca="1">INDIRECT(ADDRESS(11+(MATCH(RIGHT(Table14[[#This Row],[spawner_sku]],LEN(Table14[[#This Row],[spawner_sku]])-FIND("/",Table14[[#This Row],[spawner_sku]])),Table1[Entity Prefab],0)),10,1,1,"Entities"))</f>
        <v>70</v>
      </c>
      <c r="DM211" s="75">
        <f ca="1">ROUND((Table14[[#This Row],[XP]]*Table14[[#This Row],[entity_spawned (AVG)]])*(Table14[[#This Row],[activating_chance]]/100),0)</f>
        <v>70</v>
      </c>
      <c r="DN21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211" s="72">
        <v>1</v>
      </c>
      <c r="DP211" s="72">
        <v>1</v>
      </c>
      <c r="DQ211" s="72" t="b">
        <v>0</v>
      </c>
      <c r="DS211" t="s">
        <v>630</v>
      </c>
      <c r="DT211">
        <v>1</v>
      </c>
      <c r="DU211">
        <v>120</v>
      </c>
      <c r="DV211">
        <v>100</v>
      </c>
      <c r="DW211" s="75">
        <f ca="1">INDIRECT(ADDRESS(11+(MATCH(RIGHT(Table18[[#This Row],[spawner_sku]],LEN(Table18[[#This Row],[spawner_sku]])-FIND("/",Table18[[#This Row],[spawner_sku]])),Table1[Entity Prefab],0)),10,1,1,"Entities"))</f>
        <v>35</v>
      </c>
      <c r="DX211" s="75">
        <f ca="1">ROUND((Table18[[#This Row],[XP]]*Table18[[#This Row],[entity_spawned (AVG)]])*(Table18[[#This Row],[activating_chance]]/100),0)</f>
        <v>35</v>
      </c>
      <c r="DY21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11">
        <v>1</v>
      </c>
      <c r="EA211">
        <v>1</v>
      </c>
      <c r="EB211" t="b">
        <v>0</v>
      </c>
      <c r="ED211" t="s">
        <v>491</v>
      </c>
      <c r="EE211">
        <v>1</v>
      </c>
      <c r="EF211">
        <v>100</v>
      </c>
      <c r="EG211">
        <v>30</v>
      </c>
      <c r="EH211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11" s="75">
        <f ca="1">ROUND((Table1820[[#This Row],[XP]]*Table1820[[#This Row],[entity_spawned (AVG)]])*(Table1820[[#This Row],[activating_chance]]/100),0)</f>
        <v>8</v>
      </c>
      <c r="EJ21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11">
        <v>1</v>
      </c>
      <c r="EL211">
        <v>1</v>
      </c>
      <c r="EM211" t="b">
        <v>0</v>
      </c>
      <c r="EZ211" t="s">
        <v>7355</v>
      </c>
      <c r="FA211">
        <v>7.5</v>
      </c>
      <c r="FB211">
        <v>240</v>
      </c>
      <c r="FC211">
        <v>100</v>
      </c>
      <c r="FD211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FE211" s="75">
        <f ca="1">ROUND((Table18202324[[#This Row],[XP]]*Table18202324[[#This Row],[entity_spawned (AVG)]])*(Table18202324[[#This Row],[activating_chance]]/100),0)</f>
        <v>375</v>
      </c>
      <c r="FF211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211">
        <v>5</v>
      </c>
      <c r="FH211">
        <v>10</v>
      </c>
      <c r="FI211" t="b">
        <v>1</v>
      </c>
    </row>
    <row r="212" spans="2:165" x14ac:dyDescent="0.25">
      <c r="B212" s="73" t="s">
        <v>232</v>
      </c>
      <c r="C212">
        <v>1</v>
      </c>
      <c r="D212">
        <v>180</v>
      </c>
      <c r="E212">
        <v>100</v>
      </c>
      <c r="F212" s="75">
        <f ca="1">INDIRECT(ADDRESS(11+(MATCH(RIGHT(Table245[[#This Row],[spawner_sku]],LEN(Table245[[#This Row],[spawner_sku]])-FIND("/",Table245[[#This Row],[spawner_sku]])),Table1[Entity Prefab],0)),10,1,1,"Entities"))</f>
        <v>143</v>
      </c>
      <c r="G212" s="75">
        <f ca="1">ROUND((Table245[[#This Row],[XP]]*Table245[[#This Row],[entity_spawned (AVG)]])*(Table245[[#This Row],[activating_chance]]/100),0)</f>
        <v>143</v>
      </c>
      <c r="H21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12" s="72">
        <v>1</v>
      </c>
      <c r="J212" s="72">
        <v>1</v>
      </c>
      <c r="K212" s="72" t="b">
        <v>0</v>
      </c>
      <c r="M212" t="s">
        <v>383</v>
      </c>
      <c r="N212">
        <v>1</v>
      </c>
      <c r="O212">
        <v>240</v>
      </c>
      <c r="P212">
        <v>100</v>
      </c>
      <c r="Q212" s="75">
        <f ca="1">INDIRECT(ADDRESS(11+(MATCH(RIGHT(Table3[[#This Row],[spawner_sku]],LEN(Table3[[#This Row],[spawner_sku]])-FIND("/",Table3[[#This Row],[spawner_sku]])),Table1[Entity Prefab],0)),10,1,1,"Entities"))</f>
        <v>28</v>
      </c>
      <c r="R212" s="75">
        <f ca="1">ROUND((Table3[[#This Row],[XP]]*Table3[[#This Row],[entity_spawned (AVG)]])*(Table3[[#This Row],[activating_chance]]/100),0)</f>
        <v>28</v>
      </c>
      <c r="S212" t="str">
        <f ca="1">INDIRECT(ADDRESS(11+(MATCH(RIGHT(Table3[[#This Row],[spawner_sku]],LEN(Table3[[#This Row],[spawner_sku]])-FIND("/",Table3[[#This Row],[spawner_sku]])),Table28[Entity Prefab],0)),24,1,1,"Entities"))</f>
        <v>yes</v>
      </c>
      <c r="T212">
        <v>1</v>
      </c>
      <c r="U212">
        <v>1</v>
      </c>
      <c r="V212" t="b">
        <v>0</v>
      </c>
      <c r="AI212" t="s">
        <v>241</v>
      </c>
      <c r="AJ212">
        <v>1</v>
      </c>
      <c r="AK212">
        <v>1500</v>
      </c>
      <c r="AL212">
        <v>100</v>
      </c>
      <c r="AM212" s="75">
        <f ca="1">INDIRECT(ADDRESS(11+(MATCH(RIGHT(Table2[[#This Row],[spawner_sku]],LEN(Table2[[#This Row],[spawner_sku]])-FIND("/",Table2[[#This Row],[spawner_sku]])),Table1[Entity Prefab],0)),10,1,1,"Entities"))</f>
        <v>130</v>
      </c>
      <c r="AN212" s="75">
        <f ca="1">ROUND((Table2[[#This Row],[XP]]*Table2[[#This Row],[entity_spawned (AVG)]])*(Table2[[#This Row],[activating_chance]]/100),0)</f>
        <v>130</v>
      </c>
      <c r="AO212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12" s="72">
        <v>1</v>
      </c>
      <c r="AQ212" s="72">
        <v>1</v>
      </c>
      <c r="AR212" s="72" t="b">
        <v>0</v>
      </c>
      <c r="BE212" t="s">
        <v>255</v>
      </c>
      <c r="BF212">
        <v>1</v>
      </c>
      <c r="BG212">
        <v>170</v>
      </c>
      <c r="BH212">
        <v>40</v>
      </c>
      <c r="BI212" s="75">
        <f ca="1">INDIRECT(ADDRESS(11+(MATCH(RIGHT(Table610[[#This Row],[spawner_sku]],LEN(Table610[[#This Row],[spawner_sku]])-FIND("/",Table610[[#This Row],[spawner_sku]])),Table1[Entity Prefab],0)),10,1,1,"Entities"))</f>
        <v>25</v>
      </c>
      <c r="BJ212" s="75">
        <f ca="1">ROUND((Table610[[#This Row],[XP]]*Table610[[#This Row],[entity_spawned (AVG)]])*(Table610[[#This Row],[activating_chance]]/100),0)</f>
        <v>10</v>
      </c>
      <c r="BK212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12">
        <v>1</v>
      </c>
      <c r="BM212">
        <v>1</v>
      </c>
      <c r="BN212" t="b">
        <v>0</v>
      </c>
      <c r="BP212" t="s">
        <v>245</v>
      </c>
      <c r="BQ212">
        <v>2.5</v>
      </c>
      <c r="BR212">
        <v>200</v>
      </c>
      <c r="BS212">
        <v>80</v>
      </c>
      <c r="BT21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12" s="75">
        <f ca="1">ROUND((Table61011[[#This Row],[XP]]*Table61011[[#This Row],[entity_spawned (AVG)]])*(Table61011[[#This Row],[activating_chance]]/100),0)</f>
        <v>50</v>
      </c>
      <c r="BV21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2" s="72">
        <v>2</v>
      </c>
      <c r="BX212" s="72">
        <v>3</v>
      </c>
      <c r="BY212" s="72" t="b">
        <v>0</v>
      </c>
      <c r="CA212" t="s">
        <v>629</v>
      </c>
      <c r="CB212">
        <v>1</v>
      </c>
      <c r="CC212">
        <v>120</v>
      </c>
      <c r="CD212">
        <v>100</v>
      </c>
      <c r="CE212" s="75">
        <f ca="1">INDIRECT(ADDRESS(11+(MATCH(RIGHT(Table11[[#This Row],[spawner_sku]],LEN(Table11[[#This Row],[spawner_sku]])-FIND("/",Table11[[#This Row],[spawner_sku]])),Table1[Entity Prefab],0)),10,1,1,"Entities"))</f>
        <v>50</v>
      </c>
      <c r="CF212">
        <f ca="1">ROUND((Table11[[#This Row],[XP]]*Table11[[#This Row],[entity_spawned (AVG)]])*(Table11[[#This Row],[activating_chance]]/100),0)</f>
        <v>50</v>
      </c>
      <c r="CG212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212" s="72">
        <v>1</v>
      </c>
      <c r="CI212" s="72">
        <v>1</v>
      </c>
      <c r="CJ212" s="72" t="b">
        <v>0</v>
      </c>
      <c r="CL212" t="s">
        <v>384</v>
      </c>
      <c r="CM212">
        <v>1.5</v>
      </c>
      <c r="CN212">
        <v>100</v>
      </c>
      <c r="CO212">
        <v>100</v>
      </c>
      <c r="CP212" s="75">
        <f ca="1">INDIRECT(ADDRESS(11+(MATCH(RIGHT(Table12[[#This Row],[spawner_sku]],LEN(Table12[[#This Row],[spawner_sku]])-FIND("/",Table12[[#This Row],[spawner_sku]])),Table1[Entity Prefab],0)),10,1,1,"Entities"))</f>
        <v>25</v>
      </c>
      <c r="CQ212" s="75">
        <f ca="1">ROUND((Table12[[#This Row],[XP]]*Table12[[#This Row],[entity_spawned (AVG)]])*(Table12[[#This Row],[activating_chance]]/100),0)</f>
        <v>38</v>
      </c>
      <c r="CR212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212" s="72">
        <v>1</v>
      </c>
      <c r="CT212" s="72">
        <v>2</v>
      </c>
      <c r="CU212" s="72" t="b">
        <v>0</v>
      </c>
      <c r="CW212" t="s">
        <v>255</v>
      </c>
      <c r="CX212">
        <v>1</v>
      </c>
      <c r="CY212">
        <v>150</v>
      </c>
      <c r="CZ212">
        <v>100</v>
      </c>
      <c r="DA212" s="75">
        <f ca="1">INDIRECT(ADDRESS(11+(MATCH(RIGHT(Table13[[#This Row],[spawner_sku]],LEN(Table13[[#This Row],[spawner_sku]])-FIND("/",Table13[[#This Row],[spawner_sku]])),Table1[Entity Prefab],0)),10,1,1,"Entities"))</f>
        <v>25</v>
      </c>
      <c r="DB212" s="75">
        <f ca="1">ROUND((Table13[[#This Row],[XP]]*Table13[[#This Row],[entity_spawned (AVG)]])*(Table13[[#This Row],[activating_chance]]/100),0)</f>
        <v>25</v>
      </c>
      <c r="DC212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12" s="72">
        <v>1</v>
      </c>
      <c r="DE212" s="72">
        <v>1</v>
      </c>
      <c r="DF212" s="72" t="b">
        <v>0</v>
      </c>
      <c r="DH212" t="s">
        <v>236</v>
      </c>
      <c r="DI212">
        <v>1</v>
      </c>
      <c r="DJ212">
        <v>130</v>
      </c>
      <c r="DK212">
        <v>100</v>
      </c>
      <c r="DL212" s="75">
        <f ca="1">INDIRECT(ADDRESS(11+(MATCH(RIGHT(Table14[[#This Row],[spawner_sku]],LEN(Table14[[#This Row],[spawner_sku]])-FIND("/",Table14[[#This Row],[spawner_sku]])),Table1[Entity Prefab],0)),10,1,1,"Entities"))</f>
        <v>70</v>
      </c>
      <c r="DM212" s="75">
        <f ca="1">ROUND((Table14[[#This Row],[XP]]*Table14[[#This Row],[entity_spawned (AVG)]])*(Table14[[#This Row],[activating_chance]]/100),0)</f>
        <v>70</v>
      </c>
      <c r="DN21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212" s="72">
        <v>1</v>
      </c>
      <c r="DP212" s="72">
        <v>1</v>
      </c>
      <c r="DQ212" s="72" t="b">
        <v>0</v>
      </c>
      <c r="DS212" t="s">
        <v>630</v>
      </c>
      <c r="DT212">
        <v>1</v>
      </c>
      <c r="DU212">
        <v>120</v>
      </c>
      <c r="DV212">
        <v>80</v>
      </c>
      <c r="DW212" s="75">
        <f ca="1">INDIRECT(ADDRESS(11+(MATCH(RIGHT(Table18[[#This Row],[spawner_sku]],LEN(Table18[[#This Row],[spawner_sku]])-FIND("/",Table18[[#This Row],[spawner_sku]])),Table1[Entity Prefab],0)),10,1,1,"Entities"))</f>
        <v>35</v>
      </c>
      <c r="DX212" s="75">
        <f ca="1">ROUND((Table18[[#This Row],[XP]]*Table18[[#This Row],[entity_spawned (AVG)]])*(Table18[[#This Row],[activating_chance]]/100),0)</f>
        <v>28</v>
      </c>
      <c r="DY21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12">
        <v>1</v>
      </c>
      <c r="EA212">
        <v>1</v>
      </c>
      <c r="EB212" t="b">
        <v>0</v>
      </c>
      <c r="ED212" t="s">
        <v>491</v>
      </c>
      <c r="EE212">
        <v>1</v>
      </c>
      <c r="EF212">
        <v>100</v>
      </c>
      <c r="EG212">
        <v>30</v>
      </c>
      <c r="EH21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12" s="75">
        <f ca="1">ROUND((Table1820[[#This Row],[XP]]*Table1820[[#This Row],[entity_spawned (AVG)]])*(Table1820[[#This Row],[activating_chance]]/100),0)</f>
        <v>8</v>
      </c>
      <c r="EJ21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12">
        <v>1</v>
      </c>
      <c r="EL212">
        <v>1</v>
      </c>
      <c r="EM212" t="b">
        <v>0</v>
      </c>
      <c r="EZ212" t="s">
        <v>7353</v>
      </c>
      <c r="FA212">
        <v>3.5</v>
      </c>
      <c r="FB212">
        <v>100</v>
      </c>
      <c r="FC212">
        <v>100</v>
      </c>
      <c r="FD212" s="75">
        <f ca="1">INDIRECT(ADDRESS(11+(MATCH(RIGHT(Table18202324[[#This Row],[spawner_sku]],LEN(Table18202324[[#This Row],[spawner_sku]])-FIND("/",Table18202324[[#This Row],[spawner_sku]])),Table1[Entity Prefab],0)),10,1,1,"Entities"))</f>
        <v>70</v>
      </c>
      <c r="FE212" s="75">
        <f ca="1">ROUND((Table18202324[[#This Row],[XP]]*Table18202324[[#This Row],[entity_spawned (AVG)]])*(Table18202324[[#This Row],[activating_chance]]/100),0)</f>
        <v>245</v>
      </c>
      <c r="FF212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212">
        <v>3</v>
      </c>
      <c r="FH212">
        <v>4</v>
      </c>
      <c r="FI212" t="b">
        <v>0</v>
      </c>
    </row>
    <row r="213" spans="2:165" x14ac:dyDescent="0.25">
      <c r="B213" s="73" t="s">
        <v>232</v>
      </c>
      <c r="C213">
        <v>1</v>
      </c>
      <c r="D213">
        <v>180</v>
      </c>
      <c r="E213">
        <v>100</v>
      </c>
      <c r="F213" s="75">
        <f ca="1">INDIRECT(ADDRESS(11+(MATCH(RIGHT(Table245[[#This Row],[spawner_sku]],LEN(Table245[[#This Row],[spawner_sku]])-FIND("/",Table245[[#This Row],[spawner_sku]])),Table1[Entity Prefab],0)),10,1,1,"Entities"))</f>
        <v>143</v>
      </c>
      <c r="G213" s="75">
        <f ca="1">ROUND((Table245[[#This Row],[XP]]*Table245[[#This Row],[entity_spawned (AVG)]])*(Table245[[#This Row],[activating_chance]]/100),0)</f>
        <v>143</v>
      </c>
      <c r="H21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13" s="72">
        <v>1</v>
      </c>
      <c r="J213" s="72">
        <v>1</v>
      </c>
      <c r="K213" s="72" t="b">
        <v>0</v>
      </c>
      <c r="M213" t="s">
        <v>383</v>
      </c>
      <c r="N213">
        <v>2</v>
      </c>
      <c r="O213">
        <v>240</v>
      </c>
      <c r="P213">
        <v>30</v>
      </c>
      <c r="Q213" s="75">
        <f ca="1">INDIRECT(ADDRESS(11+(MATCH(RIGHT(Table3[[#This Row],[spawner_sku]],LEN(Table3[[#This Row],[spawner_sku]])-FIND("/",Table3[[#This Row],[spawner_sku]])),Table1[Entity Prefab],0)),10,1,1,"Entities"))</f>
        <v>28</v>
      </c>
      <c r="R213" s="75">
        <f ca="1">ROUND((Table3[[#This Row],[XP]]*Table3[[#This Row],[entity_spawned (AVG)]])*(Table3[[#This Row],[activating_chance]]/100),0)</f>
        <v>17</v>
      </c>
      <c r="S213" t="str">
        <f ca="1">INDIRECT(ADDRESS(11+(MATCH(RIGHT(Table3[[#This Row],[spawner_sku]],LEN(Table3[[#This Row],[spawner_sku]])-FIND("/",Table3[[#This Row],[spawner_sku]])),Table28[Entity Prefab],0)),24,1,1,"Entities"))</f>
        <v>yes</v>
      </c>
      <c r="T213">
        <v>1</v>
      </c>
      <c r="U213">
        <v>3</v>
      </c>
      <c r="V213" t="b">
        <v>0</v>
      </c>
      <c r="AI213" t="s">
        <v>241</v>
      </c>
      <c r="AJ213">
        <v>1</v>
      </c>
      <c r="AK213">
        <v>1500</v>
      </c>
      <c r="AL213">
        <v>100</v>
      </c>
      <c r="AM213" s="75">
        <f ca="1">INDIRECT(ADDRESS(11+(MATCH(RIGHT(Table2[[#This Row],[spawner_sku]],LEN(Table2[[#This Row],[spawner_sku]])-FIND("/",Table2[[#This Row],[spawner_sku]])),Table1[Entity Prefab],0)),10,1,1,"Entities"))</f>
        <v>130</v>
      </c>
      <c r="AN213" s="75">
        <f ca="1">ROUND((Table2[[#This Row],[XP]]*Table2[[#This Row],[entity_spawned (AVG)]])*(Table2[[#This Row],[activating_chance]]/100),0)</f>
        <v>130</v>
      </c>
      <c r="AO21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13" s="72">
        <v>1</v>
      </c>
      <c r="AQ213" s="72">
        <v>1</v>
      </c>
      <c r="AR213" s="72" t="b">
        <v>0</v>
      </c>
      <c r="BE213" t="s">
        <v>255</v>
      </c>
      <c r="BF213">
        <v>1</v>
      </c>
      <c r="BG213">
        <v>200</v>
      </c>
      <c r="BH213">
        <v>80</v>
      </c>
      <c r="BI213" s="75">
        <f ca="1">INDIRECT(ADDRESS(11+(MATCH(RIGHT(Table610[[#This Row],[spawner_sku]],LEN(Table610[[#This Row],[spawner_sku]])-FIND("/",Table610[[#This Row],[spawner_sku]])),Table1[Entity Prefab],0)),10,1,1,"Entities"))</f>
        <v>25</v>
      </c>
      <c r="BJ213" s="75">
        <f ca="1">ROUND((Table610[[#This Row],[XP]]*Table610[[#This Row],[entity_spawned (AVG)]])*(Table610[[#This Row],[activating_chance]]/100),0)</f>
        <v>20</v>
      </c>
      <c r="BK213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13">
        <v>1</v>
      </c>
      <c r="BM213">
        <v>1</v>
      </c>
      <c r="BN213" t="b">
        <v>0</v>
      </c>
      <c r="BP213" t="s">
        <v>245</v>
      </c>
      <c r="BQ213">
        <v>2</v>
      </c>
      <c r="BR213">
        <v>200</v>
      </c>
      <c r="BS213">
        <v>100</v>
      </c>
      <c r="BT21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13" s="75">
        <f ca="1">ROUND((Table61011[[#This Row],[XP]]*Table61011[[#This Row],[entity_spawned (AVG)]])*(Table61011[[#This Row],[activating_chance]]/100),0)</f>
        <v>50</v>
      </c>
      <c r="BV21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3" s="72">
        <v>2</v>
      </c>
      <c r="BX213" s="72">
        <v>2</v>
      </c>
      <c r="BY213" s="72" t="b">
        <v>0</v>
      </c>
      <c r="CA213" t="s">
        <v>629</v>
      </c>
      <c r="CB213">
        <v>1</v>
      </c>
      <c r="CC213">
        <v>120</v>
      </c>
      <c r="CD213">
        <v>100</v>
      </c>
      <c r="CE213" s="75">
        <f ca="1">INDIRECT(ADDRESS(11+(MATCH(RIGHT(Table11[[#This Row],[spawner_sku]],LEN(Table11[[#This Row],[spawner_sku]])-FIND("/",Table11[[#This Row],[spawner_sku]])),Table1[Entity Prefab],0)),10,1,1,"Entities"))</f>
        <v>50</v>
      </c>
      <c r="CF213">
        <f ca="1">ROUND((Table11[[#This Row],[XP]]*Table11[[#This Row],[entity_spawned (AVG)]])*(Table11[[#This Row],[activating_chance]]/100),0)</f>
        <v>50</v>
      </c>
      <c r="CG213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213" s="72">
        <v>1</v>
      </c>
      <c r="CI213" s="72">
        <v>1</v>
      </c>
      <c r="CJ213" s="72" t="b">
        <v>0</v>
      </c>
      <c r="CL213" t="s">
        <v>384</v>
      </c>
      <c r="CM213">
        <v>3</v>
      </c>
      <c r="CN213">
        <v>100</v>
      </c>
      <c r="CO213">
        <v>100</v>
      </c>
      <c r="CP213" s="75">
        <f ca="1">INDIRECT(ADDRESS(11+(MATCH(RIGHT(Table12[[#This Row],[spawner_sku]],LEN(Table12[[#This Row],[spawner_sku]])-FIND("/",Table12[[#This Row],[spawner_sku]])),Table1[Entity Prefab],0)),10,1,1,"Entities"))</f>
        <v>25</v>
      </c>
      <c r="CQ213" s="75">
        <f ca="1">ROUND((Table12[[#This Row],[XP]]*Table12[[#This Row],[entity_spawned (AVG)]])*(Table12[[#This Row],[activating_chance]]/100),0)</f>
        <v>75</v>
      </c>
      <c r="CR213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213" s="72">
        <v>2</v>
      </c>
      <c r="CT213" s="72">
        <v>4</v>
      </c>
      <c r="CU213" s="72" t="b">
        <v>0</v>
      </c>
      <c r="CW213" t="s">
        <v>255</v>
      </c>
      <c r="CX213">
        <v>1</v>
      </c>
      <c r="CY213">
        <v>150</v>
      </c>
      <c r="CZ213">
        <v>100</v>
      </c>
      <c r="DA213" s="75">
        <f ca="1">INDIRECT(ADDRESS(11+(MATCH(RIGHT(Table13[[#This Row],[spawner_sku]],LEN(Table13[[#This Row],[spawner_sku]])-FIND("/",Table13[[#This Row],[spawner_sku]])),Table1[Entity Prefab],0)),10,1,1,"Entities"))</f>
        <v>25</v>
      </c>
      <c r="DB213" s="75">
        <f ca="1">ROUND((Table13[[#This Row],[XP]]*Table13[[#This Row],[entity_spawned (AVG)]])*(Table13[[#This Row],[activating_chance]]/100),0)</f>
        <v>25</v>
      </c>
      <c r="DC213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13" s="72">
        <v>1</v>
      </c>
      <c r="DE213" s="72">
        <v>1</v>
      </c>
      <c r="DF213" s="72" t="b">
        <v>0</v>
      </c>
      <c r="DH213" t="s">
        <v>236</v>
      </c>
      <c r="DI213">
        <v>1</v>
      </c>
      <c r="DJ213">
        <v>120</v>
      </c>
      <c r="DK213">
        <v>100</v>
      </c>
      <c r="DL213" s="75">
        <f ca="1">INDIRECT(ADDRESS(11+(MATCH(RIGHT(Table14[[#This Row],[spawner_sku]],LEN(Table14[[#This Row],[spawner_sku]])-FIND("/",Table14[[#This Row],[spawner_sku]])),Table1[Entity Prefab],0)),10,1,1,"Entities"))</f>
        <v>70</v>
      </c>
      <c r="DM213" s="75">
        <f ca="1">ROUND((Table14[[#This Row],[XP]]*Table14[[#This Row],[entity_spawned (AVG)]])*(Table14[[#This Row],[activating_chance]]/100),0)</f>
        <v>70</v>
      </c>
      <c r="DN21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213" s="72">
        <v>1</v>
      </c>
      <c r="DP213" s="72">
        <v>1</v>
      </c>
      <c r="DQ213" s="72" t="b">
        <v>0</v>
      </c>
      <c r="DS213" t="s">
        <v>630</v>
      </c>
      <c r="DT213">
        <v>1</v>
      </c>
      <c r="DU213">
        <v>120</v>
      </c>
      <c r="DV213">
        <v>100</v>
      </c>
      <c r="DW213" s="75">
        <f ca="1">INDIRECT(ADDRESS(11+(MATCH(RIGHT(Table18[[#This Row],[spawner_sku]],LEN(Table18[[#This Row],[spawner_sku]])-FIND("/",Table18[[#This Row],[spawner_sku]])),Table1[Entity Prefab],0)),10,1,1,"Entities"))</f>
        <v>35</v>
      </c>
      <c r="DX213" s="75">
        <f ca="1">ROUND((Table18[[#This Row],[XP]]*Table18[[#This Row],[entity_spawned (AVG)]])*(Table18[[#This Row],[activating_chance]]/100),0)</f>
        <v>35</v>
      </c>
      <c r="DY21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13">
        <v>1</v>
      </c>
      <c r="EA213">
        <v>1</v>
      </c>
      <c r="EB213" t="b">
        <v>0</v>
      </c>
      <c r="ED213" t="s">
        <v>648</v>
      </c>
      <c r="EE213">
        <v>1</v>
      </c>
      <c r="EF213">
        <v>200</v>
      </c>
      <c r="EG213">
        <v>100</v>
      </c>
      <c r="EH213" s="75">
        <f ca="1">INDIRECT(ADDRESS(11+(MATCH(RIGHT(Table1820[[#This Row],[spawner_sku]],LEN(Table1820[[#This Row],[spawner_sku]])-FIND("/",Table1820[[#This Row],[spawner_sku]])),Table1[Entity Prefab],0)),10,1,1,"Entities"))</f>
        <v>130</v>
      </c>
      <c r="EI213" s="75">
        <f ca="1">ROUND((Table1820[[#This Row],[XP]]*Table1820[[#This Row],[entity_spawned (AVG)]])*(Table1820[[#This Row],[activating_chance]]/100),0)</f>
        <v>130</v>
      </c>
      <c r="EJ213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13">
        <v>1</v>
      </c>
      <c r="EL213">
        <v>1</v>
      </c>
      <c r="EM213" t="b">
        <v>0</v>
      </c>
      <c r="EZ213" t="s">
        <v>7353</v>
      </c>
      <c r="FA213">
        <v>3.5</v>
      </c>
      <c r="FB213">
        <v>100</v>
      </c>
      <c r="FC213">
        <v>100</v>
      </c>
      <c r="FD213" s="75">
        <f ca="1">INDIRECT(ADDRESS(11+(MATCH(RIGHT(Table18202324[[#This Row],[spawner_sku]],LEN(Table18202324[[#This Row],[spawner_sku]])-FIND("/",Table18202324[[#This Row],[spawner_sku]])),Table1[Entity Prefab],0)),10,1,1,"Entities"))</f>
        <v>70</v>
      </c>
      <c r="FE213" s="75">
        <f ca="1">ROUND((Table18202324[[#This Row],[XP]]*Table18202324[[#This Row],[entity_spawned (AVG)]])*(Table18202324[[#This Row],[activating_chance]]/100),0)</f>
        <v>245</v>
      </c>
      <c r="FF213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213">
        <v>3</v>
      </c>
      <c r="FH213">
        <v>4</v>
      </c>
      <c r="FI213" t="b">
        <v>0</v>
      </c>
    </row>
    <row r="214" spans="2:165" x14ac:dyDescent="0.25">
      <c r="B214" s="73" t="s">
        <v>232</v>
      </c>
      <c r="C214">
        <v>1.5</v>
      </c>
      <c r="D214">
        <v>200</v>
      </c>
      <c r="E214">
        <v>90</v>
      </c>
      <c r="F214" s="75">
        <f ca="1">INDIRECT(ADDRESS(11+(MATCH(RIGHT(Table245[[#This Row],[spawner_sku]],LEN(Table245[[#This Row],[spawner_sku]])-FIND("/",Table245[[#This Row],[spawner_sku]])),Table1[Entity Prefab],0)),10,1,1,"Entities"))</f>
        <v>143</v>
      </c>
      <c r="G214" s="75">
        <f ca="1">ROUND((Table245[[#This Row],[XP]]*Table245[[#This Row],[entity_spawned (AVG)]])*(Table245[[#This Row],[activating_chance]]/100),0)</f>
        <v>193</v>
      </c>
      <c r="H21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14" s="72">
        <v>1</v>
      </c>
      <c r="J214" s="72">
        <v>2</v>
      </c>
      <c r="K214" s="72" t="b">
        <v>0</v>
      </c>
      <c r="M214" t="s">
        <v>383</v>
      </c>
      <c r="N214">
        <v>1</v>
      </c>
      <c r="O214">
        <v>275</v>
      </c>
      <c r="P214">
        <v>100</v>
      </c>
      <c r="Q214" s="75">
        <f ca="1">INDIRECT(ADDRESS(11+(MATCH(RIGHT(Table3[[#This Row],[spawner_sku]],LEN(Table3[[#This Row],[spawner_sku]])-FIND("/",Table3[[#This Row],[spawner_sku]])),Table1[Entity Prefab],0)),10,1,1,"Entities"))</f>
        <v>28</v>
      </c>
      <c r="R214" s="75">
        <f ca="1">ROUND((Table3[[#This Row],[XP]]*Table3[[#This Row],[entity_spawned (AVG)]])*(Table3[[#This Row],[activating_chance]]/100),0)</f>
        <v>28</v>
      </c>
      <c r="S214" t="str">
        <f ca="1">INDIRECT(ADDRESS(11+(MATCH(RIGHT(Table3[[#This Row],[spawner_sku]],LEN(Table3[[#This Row],[spawner_sku]])-FIND("/",Table3[[#This Row],[spawner_sku]])),Table28[Entity Prefab],0)),24,1,1,"Entities"))</f>
        <v>yes</v>
      </c>
      <c r="T214">
        <v>1</v>
      </c>
      <c r="U214">
        <v>1</v>
      </c>
      <c r="V214" t="b">
        <v>0</v>
      </c>
      <c r="AI214" t="s">
        <v>241</v>
      </c>
      <c r="AJ214">
        <v>1</v>
      </c>
      <c r="AK214">
        <v>1500</v>
      </c>
      <c r="AL214">
        <v>100</v>
      </c>
      <c r="AM214" s="75">
        <f ca="1">INDIRECT(ADDRESS(11+(MATCH(RIGHT(Table2[[#This Row],[spawner_sku]],LEN(Table2[[#This Row],[spawner_sku]])-FIND("/",Table2[[#This Row],[spawner_sku]])),Table1[Entity Prefab],0)),10,1,1,"Entities"))</f>
        <v>130</v>
      </c>
      <c r="AN214" s="75">
        <f ca="1">ROUND((Table2[[#This Row],[XP]]*Table2[[#This Row],[entity_spawned (AVG)]])*(Table2[[#This Row],[activating_chance]]/100),0)</f>
        <v>130</v>
      </c>
      <c r="AO214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14" s="72">
        <v>1</v>
      </c>
      <c r="AQ214" s="72">
        <v>1</v>
      </c>
      <c r="AR214" s="72" t="b">
        <v>0</v>
      </c>
      <c r="BE214" t="s">
        <v>255</v>
      </c>
      <c r="BF214">
        <v>1</v>
      </c>
      <c r="BG214">
        <v>170</v>
      </c>
      <c r="BH214">
        <v>40</v>
      </c>
      <c r="BI214" s="75">
        <f ca="1">INDIRECT(ADDRESS(11+(MATCH(RIGHT(Table610[[#This Row],[spawner_sku]],LEN(Table610[[#This Row],[spawner_sku]])-FIND("/",Table610[[#This Row],[spawner_sku]])),Table1[Entity Prefab],0)),10,1,1,"Entities"))</f>
        <v>25</v>
      </c>
      <c r="BJ214" s="75">
        <f ca="1">ROUND((Table610[[#This Row],[XP]]*Table610[[#This Row],[entity_spawned (AVG)]])*(Table610[[#This Row],[activating_chance]]/100),0)</f>
        <v>10</v>
      </c>
      <c r="BK214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14">
        <v>1</v>
      </c>
      <c r="BM214">
        <v>1</v>
      </c>
      <c r="BN214" t="b">
        <v>0</v>
      </c>
      <c r="BP214" t="s">
        <v>245</v>
      </c>
      <c r="BQ214">
        <v>1.5</v>
      </c>
      <c r="BR214">
        <v>130</v>
      </c>
      <c r="BS214">
        <v>100</v>
      </c>
      <c r="BT21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14" s="75">
        <f ca="1">ROUND((Table61011[[#This Row],[XP]]*Table61011[[#This Row],[entity_spawned (AVG)]])*(Table61011[[#This Row],[activating_chance]]/100),0)</f>
        <v>38</v>
      </c>
      <c r="BV21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4" s="72">
        <v>1</v>
      </c>
      <c r="BX214" s="72">
        <v>2</v>
      </c>
      <c r="BY214" s="72" t="b">
        <v>0</v>
      </c>
      <c r="CA214" t="s">
        <v>469</v>
      </c>
      <c r="CB214">
        <v>1</v>
      </c>
      <c r="CC214">
        <v>220</v>
      </c>
      <c r="CD214">
        <v>100</v>
      </c>
      <c r="CE214" s="75">
        <f ca="1">INDIRECT(ADDRESS(11+(MATCH(RIGHT(Table11[[#This Row],[spawner_sku]],LEN(Table11[[#This Row],[spawner_sku]])-FIND("/",Table11[[#This Row],[spawner_sku]])),Table1[Entity Prefab],0)),10,1,1,"Entities"))</f>
        <v>50</v>
      </c>
      <c r="CF214">
        <f ca="1">ROUND((Table11[[#This Row],[XP]]*Table11[[#This Row],[entity_spawned (AVG)]])*(Table11[[#This Row],[activating_chance]]/100),0)</f>
        <v>50</v>
      </c>
      <c r="CG214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14" s="72">
        <v>1</v>
      </c>
      <c r="CI214" s="72">
        <v>1</v>
      </c>
      <c r="CJ214" s="72" t="b">
        <v>0</v>
      </c>
      <c r="CL214" t="s">
        <v>384</v>
      </c>
      <c r="CM214">
        <v>1.5</v>
      </c>
      <c r="CN214">
        <v>100</v>
      </c>
      <c r="CO214">
        <v>30</v>
      </c>
      <c r="CP214" s="75">
        <f ca="1">INDIRECT(ADDRESS(11+(MATCH(RIGHT(Table12[[#This Row],[spawner_sku]],LEN(Table12[[#This Row],[spawner_sku]])-FIND("/",Table12[[#This Row],[spawner_sku]])),Table1[Entity Prefab],0)),10,1,1,"Entities"))</f>
        <v>25</v>
      </c>
      <c r="CQ214" s="75">
        <f ca="1">ROUND((Table12[[#This Row],[XP]]*Table12[[#This Row],[entity_spawned (AVG)]])*(Table12[[#This Row],[activating_chance]]/100),0)</f>
        <v>11</v>
      </c>
      <c r="CR214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214" s="72">
        <v>1</v>
      </c>
      <c r="CT214" s="72">
        <v>2</v>
      </c>
      <c r="CU214" s="72" t="b">
        <v>0</v>
      </c>
      <c r="CW214" t="s">
        <v>255</v>
      </c>
      <c r="CX214">
        <v>1</v>
      </c>
      <c r="CY214">
        <v>150</v>
      </c>
      <c r="CZ214">
        <v>100</v>
      </c>
      <c r="DA214" s="75">
        <f ca="1">INDIRECT(ADDRESS(11+(MATCH(RIGHT(Table13[[#This Row],[spawner_sku]],LEN(Table13[[#This Row],[spawner_sku]])-FIND("/",Table13[[#This Row],[spawner_sku]])),Table1[Entity Prefab],0)),10,1,1,"Entities"))</f>
        <v>25</v>
      </c>
      <c r="DB214" s="75">
        <f ca="1">ROUND((Table13[[#This Row],[XP]]*Table13[[#This Row],[entity_spawned (AVG)]])*(Table13[[#This Row],[activating_chance]]/100),0)</f>
        <v>25</v>
      </c>
      <c r="DC214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14" s="72">
        <v>1</v>
      </c>
      <c r="DE214" s="72">
        <v>1</v>
      </c>
      <c r="DF214" s="72" t="b">
        <v>0</v>
      </c>
      <c r="DH214" t="s">
        <v>236</v>
      </c>
      <c r="DI214">
        <v>1</v>
      </c>
      <c r="DJ214">
        <v>130</v>
      </c>
      <c r="DK214">
        <v>100</v>
      </c>
      <c r="DL214" s="75">
        <f ca="1">INDIRECT(ADDRESS(11+(MATCH(RIGHT(Table14[[#This Row],[spawner_sku]],LEN(Table14[[#This Row],[spawner_sku]])-FIND("/",Table14[[#This Row],[spawner_sku]])),Table1[Entity Prefab],0)),10,1,1,"Entities"))</f>
        <v>70</v>
      </c>
      <c r="DM214" s="75">
        <f ca="1">ROUND((Table14[[#This Row],[XP]]*Table14[[#This Row],[entity_spawned (AVG)]])*(Table14[[#This Row],[activating_chance]]/100),0)</f>
        <v>70</v>
      </c>
      <c r="DN21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214" s="72">
        <v>1</v>
      </c>
      <c r="DP214" s="72">
        <v>1</v>
      </c>
      <c r="DQ214" s="72" t="b">
        <v>0</v>
      </c>
      <c r="DS214" t="s">
        <v>630</v>
      </c>
      <c r="DT214">
        <v>1</v>
      </c>
      <c r="DU214">
        <v>120</v>
      </c>
      <c r="DV214">
        <v>80</v>
      </c>
      <c r="DW214" s="75">
        <f ca="1">INDIRECT(ADDRESS(11+(MATCH(RIGHT(Table18[[#This Row],[spawner_sku]],LEN(Table18[[#This Row],[spawner_sku]])-FIND("/",Table18[[#This Row],[spawner_sku]])),Table1[Entity Prefab],0)),10,1,1,"Entities"))</f>
        <v>35</v>
      </c>
      <c r="DX214" s="75">
        <f ca="1">ROUND((Table18[[#This Row],[XP]]*Table18[[#This Row],[entity_spawned (AVG)]])*(Table18[[#This Row],[activating_chance]]/100),0)</f>
        <v>28</v>
      </c>
      <c r="DY21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14">
        <v>1</v>
      </c>
      <c r="EA214">
        <v>1</v>
      </c>
      <c r="EB214" t="b">
        <v>0</v>
      </c>
      <c r="ED214" t="s">
        <v>648</v>
      </c>
      <c r="EE214">
        <v>1</v>
      </c>
      <c r="EF214">
        <v>200</v>
      </c>
      <c r="EG214">
        <v>100</v>
      </c>
      <c r="EH214" s="75">
        <f ca="1">INDIRECT(ADDRESS(11+(MATCH(RIGHT(Table1820[[#This Row],[spawner_sku]],LEN(Table1820[[#This Row],[spawner_sku]])-FIND("/",Table1820[[#This Row],[spawner_sku]])),Table1[Entity Prefab],0)),10,1,1,"Entities"))</f>
        <v>130</v>
      </c>
      <c r="EI214" s="75">
        <f ca="1">ROUND((Table1820[[#This Row],[XP]]*Table1820[[#This Row],[entity_spawned (AVG)]])*(Table1820[[#This Row],[activating_chance]]/100),0)</f>
        <v>130</v>
      </c>
      <c r="EJ214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14">
        <v>1</v>
      </c>
      <c r="EL214">
        <v>1</v>
      </c>
      <c r="EM214" t="b">
        <v>0</v>
      </c>
      <c r="EZ214" t="s">
        <v>7353</v>
      </c>
      <c r="FA214">
        <v>3</v>
      </c>
      <c r="FB214">
        <v>100</v>
      </c>
      <c r="FC214">
        <v>100</v>
      </c>
      <c r="FD214" s="75">
        <f ca="1">INDIRECT(ADDRESS(11+(MATCH(RIGHT(Table18202324[[#This Row],[spawner_sku]],LEN(Table18202324[[#This Row],[spawner_sku]])-FIND("/",Table18202324[[#This Row],[spawner_sku]])),Table1[Entity Prefab],0)),10,1,1,"Entities"))</f>
        <v>70</v>
      </c>
      <c r="FE214" s="75">
        <f ca="1">ROUND((Table18202324[[#This Row],[XP]]*Table18202324[[#This Row],[entity_spawned (AVG)]])*(Table18202324[[#This Row],[activating_chance]]/100),0)</f>
        <v>210</v>
      </c>
      <c r="FF214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214">
        <v>2</v>
      </c>
      <c r="FH214">
        <v>4</v>
      </c>
      <c r="FI214" t="b">
        <v>0</v>
      </c>
    </row>
    <row r="215" spans="2:165" x14ac:dyDescent="0.25">
      <c r="B215" s="73" t="s">
        <v>232</v>
      </c>
      <c r="C215">
        <v>1.5</v>
      </c>
      <c r="D215">
        <v>200</v>
      </c>
      <c r="E215">
        <v>100</v>
      </c>
      <c r="F215" s="75">
        <f ca="1">INDIRECT(ADDRESS(11+(MATCH(RIGHT(Table245[[#This Row],[spawner_sku]],LEN(Table245[[#This Row],[spawner_sku]])-FIND("/",Table245[[#This Row],[spawner_sku]])),Table1[Entity Prefab],0)),10,1,1,"Entities"))</f>
        <v>143</v>
      </c>
      <c r="G215" s="75">
        <f ca="1">ROUND((Table245[[#This Row],[XP]]*Table245[[#This Row],[entity_spawned (AVG)]])*(Table245[[#This Row],[activating_chance]]/100),0)</f>
        <v>215</v>
      </c>
      <c r="H21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15" s="72">
        <v>1</v>
      </c>
      <c r="J215" s="72">
        <v>2</v>
      </c>
      <c r="K215" s="72" t="b">
        <v>0</v>
      </c>
      <c r="M215" t="s">
        <v>383</v>
      </c>
      <c r="N215">
        <v>1</v>
      </c>
      <c r="O215">
        <v>240</v>
      </c>
      <c r="P215">
        <v>100</v>
      </c>
      <c r="Q215" s="75">
        <f ca="1">INDIRECT(ADDRESS(11+(MATCH(RIGHT(Table3[[#This Row],[spawner_sku]],LEN(Table3[[#This Row],[spawner_sku]])-FIND("/",Table3[[#This Row],[spawner_sku]])),Table1[Entity Prefab],0)),10,1,1,"Entities"))</f>
        <v>28</v>
      </c>
      <c r="R215" s="75">
        <f ca="1">ROUND((Table3[[#This Row],[XP]]*Table3[[#This Row],[entity_spawned (AVG)]])*(Table3[[#This Row],[activating_chance]]/100),0)</f>
        <v>28</v>
      </c>
      <c r="S215" t="str">
        <f ca="1">INDIRECT(ADDRESS(11+(MATCH(RIGHT(Table3[[#This Row],[spawner_sku]],LEN(Table3[[#This Row],[spawner_sku]])-FIND("/",Table3[[#This Row],[spawner_sku]])),Table28[Entity Prefab],0)),24,1,1,"Entities"))</f>
        <v>yes</v>
      </c>
      <c r="T215">
        <v>1</v>
      </c>
      <c r="U215">
        <v>1</v>
      </c>
      <c r="V215" t="b">
        <v>0</v>
      </c>
      <c r="AI215" t="s">
        <v>241</v>
      </c>
      <c r="AJ215">
        <v>1</v>
      </c>
      <c r="AK215">
        <v>1500</v>
      </c>
      <c r="AL215">
        <v>100</v>
      </c>
      <c r="AM215" s="75">
        <f ca="1">INDIRECT(ADDRESS(11+(MATCH(RIGHT(Table2[[#This Row],[spawner_sku]],LEN(Table2[[#This Row],[spawner_sku]])-FIND("/",Table2[[#This Row],[spawner_sku]])),Table1[Entity Prefab],0)),10,1,1,"Entities"))</f>
        <v>130</v>
      </c>
      <c r="AN215" s="75">
        <f ca="1">ROUND((Table2[[#This Row],[XP]]*Table2[[#This Row],[entity_spawned (AVG)]])*(Table2[[#This Row],[activating_chance]]/100),0)</f>
        <v>130</v>
      </c>
      <c r="AO215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15" s="72">
        <v>1</v>
      </c>
      <c r="AQ215" s="72">
        <v>1</v>
      </c>
      <c r="AR215" s="72" t="b">
        <v>0</v>
      </c>
      <c r="BE215" t="s">
        <v>255</v>
      </c>
      <c r="BF215">
        <v>1</v>
      </c>
      <c r="BG215">
        <v>200</v>
      </c>
      <c r="BH215">
        <v>40</v>
      </c>
      <c r="BI215" s="75">
        <f ca="1">INDIRECT(ADDRESS(11+(MATCH(RIGHT(Table610[[#This Row],[spawner_sku]],LEN(Table610[[#This Row],[spawner_sku]])-FIND("/",Table610[[#This Row],[spawner_sku]])),Table1[Entity Prefab],0)),10,1,1,"Entities"))</f>
        <v>25</v>
      </c>
      <c r="BJ215" s="75">
        <f ca="1">ROUND((Table610[[#This Row],[XP]]*Table610[[#This Row],[entity_spawned (AVG)]])*(Table610[[#This Row],[activating_chance]]/100),0)</f>
        <v>10</v>
      </c>
      <c r="BK215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15">
        <v>1</v>
      </c>
      <c r="BM215">
        <v>1</v>
      </c>
      <c r="BN215" t="b">
        <v>0</v>
      </c>
      <c r="BP215" t="s">
        <v>245</v>
      </c>
      <c r="BQ215">
        <v>4</v>
      </c>
      <c r="BR215">
        <v>200</v>
      </c>
      <c r="BS215">
        <v>100</v>
      </c>
      <c r="BT21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15" s="75">
        <f ca="1">ROUND((Table61011[[#This Row],[XP]]*Table61011[[#This Row],[entity_spawned (AVG)]])*(Table61011[[#This Row],[activating_chance]]/100),0)</f>
        <v>100</v>
      </c>
      <c r="BV21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5" s="72">
        <v>4</v>
      </c>
      <c r="BX215" s="72">
        <v>4</v>
      </c>
      <c r="BY215" s="72" t="b">
        <v>0</v>
      </c>
      <c r="CA215" t="s">
        <v>469</v>
      </c>
      <c r="CB215">
        <v>1</v>
      </c>
      <c r="CC215">
        <v>220</v>
      </c>
      <c r="CD215">
        <v>100</v>
      </c>
      <c r="CE215" s="75">
        <f ca="1">INDIRECT(ADDRESS(11+(MATCH(RIGHT(Table11[[#This Row],[spawner_sku]],LEN(Table11[[#This Row],[spawner_sku]])-FIND("/",Table11[[#This Row],[spawner_sku]])),Table1[Entity Prefab],0)),10,1,1,"Entities"))</f>
        <v>50</v>
      </c>
      <c r="CF215">
        <f ca="1">ROUND((Table11[[#This Row],[XP]]*Table11[[#This Row],[entity_spawned (AVG)]])*(Table11[[#This Row],[activating_chance]]/100),0)</f>
        <v>50</v>
      </c>
      <c r="CG215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15" s="72">
        <v>1</v>
      </c>
      <c r="CI215" s="72">
        <v>1</v>
      </c>
      <c r="CJ215" s="72" t="b">
        <v>0</v>
      </c>
      <c r="CL215" t="s">
        <v>384</v>
      </c>
      <c r="CM215">
        <v>2.5</v>
      </c>
      <c r="CN215">
        <v>100</v>
      </c>
      <c r="CO215">
        <v>100</v>
      </c>
      <c r="CP215" s="75">
        <f ca="1">INDIRECT(ADDRESS(11+(MATCH(RIGHT(Table12[[#This Row],[spawner_sku]],LEN(Table12[[#This Row],[spawner_sku]])-FIND("/",Table12[[#This Row],[spawner_sku]])),Table1[Entity Prefab],0)),10,1,1,"Entities"))</f>
        <v>25</v>
      </c>
      <c r="CQ215" s="75">
        <f ca="1">ROUND((Table12[[#This Row],[XP]]*Table12[[#This Row],[entity_spawned (AVG)]])*(Table12[[#This Row],[activating_chance]]/100),0)</f>
        <v>63</v>
      </c>
      <c r="CR215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215" s="72">
        <v>2</v>
      </c>
      <c r="CT215" s="72">
        <v>3</v>
      </c>
      <c r="CU215" s="72" t="b">
        <v>0</v>
      </c>
      <c r="CW215" t="s">
        <v>255</v>
      </c>
      <c r="CX215">
        <v>1</v>
      </c>
      <c r="CY215">
        <v>150</v>
      </c>
      <c r="CZ215">
        <v>100</v>
      </c>
      <c r="DA215" s="75">
        <f ca="1">INDIRECT(ADDRESS(11+(MATCH(RIGHT(Table13[[#This Row],[spawner_sku]],LEN(Table13[[#This Row],[spawner_sku]])-FIND("/",Table13[[#This Row],[spawner_sku]])),Table1[Entity Prefab],0)),10,1,1,"Entities"))</f>
        <v>25</v>
      </c>
      <c r="DB215" s="75">
        <f ca="1">ROUND((Table13[[#This Row],[XP]]*Table13[[#This Row],[entity_spawned (AVG)]])*(Table13[[#This Row],[activating_chance]]/100),0)</f>
        <v>25</v>
      </c>
      <c r="DC215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15" s="72">
        <v>1</v>
      </c>
      <c r="DE215" s="72">
        <v>1</v>
      </c>
      <c r="DF215" s="72" t="b">
        <v>0</v>
      </c>
      <c r="DH215" t="s">
        <v>236</v>
      </c>
      <c r="DI215">
        <v>1</v>
      </c>
      <c r="DJ215">
        <v>120</v>
      </c>
      <c r="DK215">
        <v>100</v>
      </c>
      <c r="DL215" s="75">
        <f ca="1">INDIRECT(ADDRESS(11+(MATCH(RIGHT(Table14[[#This Row],[spawner_sku]],LEN(Table14[[#This Row],[spawner_sku]])-FIND("/",Table14[[#This Row],[spawner_sku]])),Table1[Entity Prefab],0)),10,1,1,"Entities"))</f>
        <v>70</v>
      </c>
      <c r="DM215" s="75">
        <f ca="1">ROUND((Table14[[#This Row],[XP]]*Table14[[#This Row],[entity_spawned (AVG)]])*(Table14[[#This Row],[activating_chance]]/100),0)</f>
        <v>70</v>
      </c>
      <c r="DN21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215" s="72">
        <v>1</v>
      </c>
      <c r="DP215" s="72">
        <v>1</v>
      </c>
      <c r="DQ215" s="72" t="b">
        <v>0</v>
      </c>
      <c r="DS215" t="s">
        <v>630</v>
      </c>
      <c r="DT215">
        <v>1</v>
      </c>
      <c r="DU215">
        <v>120</v>
      </c>
      <c r="DV215">
        <v>10</v>
      </c>
      <c r="DW215" s="75">
        <f ca="1">INDIRECT(ADDRESS(11+(MATCH(RIGHT(Table18[[#This Row],[spawner_sku]],LEN(Table18[[#This Row],[spawner_sku]])-FIND("/",Table18[[#This Row],[spawner_sku]])),Table1[Entity Prefab],0)),10,1,1,"Entities"))</f>
        <v>35</v>
      </c>
      <c r="DX215" s="75">
        <f ca="1">ROUND((Table18[[#This Row],[XP]]*Table18[[#This Row],[entity_spawned (AVG)]])*(Table18[[#This Row],[activating_chance]]/100),0)</f>
        <v>4</v>
      </c>
      <c r="DY21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15">
        <v>1</v>
      </c>
      <c r="EA215">
        <v>1</v>
      </c>
      <c r="EB215" t="b">
        <v>0</v>
      </c>
      <c r="ED215" t="s">
        <v>648</v>
      </c>
      <c r="EE215">
        <v>1</v>
      </c>
      <c r="EF215">
        <v>200</v>
      </c>
      <c r="EG215">
        <v>100</v>
      </c>
      <c r="EH215" s="75">
        <f ca="1">INDIRECT(ADDRESS(11+(MATCH(RIGHT(Table1820[[#This Row],[spawner_sku]],LEN(Table1820[[#This Row],[spawner_sku]])-FIND("/",Table1820[[#This Row],[spawner_sku]])),Table1[Entity Prefab],0)),10,1,1,"Entities"))</f>
        <v>130</v>
      </c>
      <c r="EI215" s="75">
        <f ca="1">ROUND((Table1820[[#This Row],[XP]]*Table1820[[#This Row],[entity_spawned (AVG)]])*(Table1820[[#This Row],[activating_chance]]/100),0)</f>
        <v>130</v>
      </c>
      <c r="EJ215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15">
        <v>1</v>
      </c>
      <c r="EL215">
        <v>1</v>
      </c>
      <c r="EM215" t="b">
        <v>0</v>
      </c>
      <c r="EZ215" t="s">
        <v>7353</v>
      </c>
      <c r="FA215">
        <v>3.5</v>
      </c>
      <c r="FB215">
        <v>90</v>
      </c>
      <c r="FC215">
        <v>100</v>
      </c>
      <c r="FD215" s="75">
        <f ca="1">INDIRECT(ADDRESS(11+(MATCH(RIGHT(Table18202324[[#This Row],[spawner_sku]],LEN(Table18202324[[#This Row],[spawner_sku]])-FIND("/",Table18202324[[#This Row],[spawner_sku]])),Table1[Entity Prefab],0)),10,1,1,"Entities"))</f>
        <v>70</v>
      </c>
      <c r="FE215" s="75">
        <f ca="1">ROUND((Table18202324[[#This Row],[XP]]*Table18202324[[#This Row],[entity_spawned (AVG)]])*(Table18202324[[#This Row],[activating_chance]]/100),0)</f>
        <v>245</v>
      </c>
      <c r="FF215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215">
        <v>3</v>
      </c>
      <c r="FH215">
        <v>4</v>
      </c>
      <c r="FI215" t="b">
        <v>0</v>
      </c>
    </row>
    <row r="216" spans="2:165" x14ac:dyDescent="0.25">
      <c r="B216" s="73" t="s">
        <v>232</v>
      </c>
      <c r="C216">
        <v>1</v>
      </c>
      <c r="D216">
        <v>250</v>
      </c>
      <c r="E216">
        <v>90</v>
      </c>
      <c r="F216" s="75">
        <f ca="1">INDIRECT(ADDRESS(11+(MATCH(RIGHT(Table245[[#This Row],[spawner_sku]],LEN(Table245[[#This Row],[spawner_sku]])-FIND("/",Table245[[#This Row],[spawner_sku]])),Table1[Entity Prefab],0)),10,1,1,"Entities"))</f>
        <v>143</v>
      </c>
      <c r="G216" s="75">
        <f ca="1">ROUND((Table245[[#This Row],[XP]]*Table245[[#This Row],[entity_spawned (AVG)]])*(Table245[[#This Row],[activating_chance]]/100),0)</f>
        <v>129</v>
      </c>
      <c r="H21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16" s="72">
        <v>1</v>
      </c>
      <c r="J216" s="72">
        <v>1</v>
      </c>
      <c r="K216" s="72" t="b">
        <v>0</v>
      </c>
      <c r="M216" t="s">
        <v>383</v>
      </c>
      <c r="N216">
        <v>1</v>
      </c>
      <c r="O216">
        <v>275</v>
      </c>
      <c r="P216">
        <v>100</v>
      </c>
      <c r="Q216" s="75">
        <f ca="1">INDIRECT(ADDRESS(11+(MATCH(RIGHT(Table3[[#This Row],[spawner_sku]],LEN(Table3[[#This Row],[spawner_sku]])-FIND("/",Table3[[#This Row],[spawner_sku]])),Table1[Entity Prefab],0)),10,1,1,"Entities"))</f>
        <v>28</v>
      </c>
      <c r="R216" s="75">
        <f ca="1">ROUND((Table3[[#This Row],[XP]]*Table3[[#This Row],[entity_spawned (AVG)]])*(Table3[[#This Row],[activating_chance]]/100),0)</f>
        <v>28</v>
      </c>
      <c r="S216" t="str">
        <f ca="1">INDIRECT(ADDRESS(11+(MATCH(RIGHT(Table3[[#This Row],[spawner_sku]],LEN(Table3[[#This Row],[spawner_sku]])-FIND("/",Table3[[#This Row],[spawner_sku]])),Table28[Entity Prefab],0)),24,1,1,"Entities"))</f>
        <v>yes</v>
      </c>
      <c r="T216">
        <v>1</v>
      </c>
      <c r="U216">
        <v>1</v>
      </c>
      <c r="V216" t="b">
        <v>0</v>
      </c>
      <c r="AI216" t="s">
        <v>241</v>
      </c>
      <c r="AJ216">
        <v>1</v>
      </c>
      <c r="AK216">
        <v>1500</v>
      </c>
      <c r="AL216">
        <v>100</v>
      </c>
      <c r="AM216" s="75">
        <f ca="1">INDIRECT(ADDRESS(11+(MATCH(RIGHT(Table2[[#This Row],[spawner_sku]],LEN(Table2[[#This Row],[spawner_sku]])-FIND("/",Table2[[#This Row],[spawner_sku]])),Table1[Entity Prefab],0)),10,1,1,"Entities"))</f>
        <v>130</v>
      </c>
      <c r="AN216" s="75">
        <f ca="1">ROUND((Table2[[#This Row],[XP]]*Table2[[#This Row],[entity_spawned (AVG)]])*(Table2[[#This Row],[activating_chance]]/100),0)</f>
        <v>130</v>
      </c>
      <c r="AO21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16" s="72">
        <v>1</v>
      </c>
      <c r="AQ216" s="72">
        <v>1</v>
      </c>
      <c r="AR216" s="72" t="b">
        <v>0</v>
      </c>
      <c r="BE216" t="s">
        <v>255</v>
      </c>
      <c r="BF216">
        <v>1</v>
      </c>
      <c r="BG216">
        <v>170</v>
      </c>
      <c r="BH216">
        <v>40</v>
      </c>
      <c r="BI216" s="75">
        <f ca="1">INDIRECT(ADDRESS(11+(MATCH(RIGHT(Table610[[#This Row],[spawner_sku]],LEN(Table610[[#This Row],[spawner_sku]])-FIND("/",Table610[[#This Row],[spawner_sku]])),Table1[Entity Prefab],0)),10,1,1,"Entities"))</f>
        <v>25</v>
      </c>
      <c r="BJ216" s="75">
        <f ca="1">ROUND((Table610[[#This Row],[XP]]*Table610[[#This Row],[entity_spawned (AVG)]])*(Table610[[#This Row],[activating_chance]]/100),0)</f>
        <v>10</v>
      </c>
      <c r="BK216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16">
        <v>1</v>
      </c>
      <c r="BM216">
        <v>1</v>
      </c>
      <c r="BN216" t="b">
        <v>0</v>
      </c>
      <c r="BP216" t="s">
        <v>245</v>
      </c>
      <c r="BQ216">
        <v>3.5</v>
      </c>
      <c r="BR216">
        <v>160</v>
      </c>
      <c r="BS216">
        <v>100</v>
      </c>
      <c r="BT21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16" s="75">
        <f ca="1">ROUND((Table61011[[#This Row],[XP]]*Table61011[[#This Row],[entity_spawned (AVG)]])*(Table61011[[#This Row],[activating_chance]]/100),0)</f>
        <v>88</v>
      </c>
      <c r="BV21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6" s="72">
        <v>3</v>
      </c>
      <c r="BX216" s="72">
        <v>4</v>
      </c>
      <c r="BY216" s="72" t="b">
        <v>0</v>
      </c>
      <c r="CA216" t="s">
        <v>469</v>
      </c>
      <c r="CB216">
        <v>1</v>
      </c>
      <c r="CC216">
        <v>220</v>
      </c>
      <c r="CD216">
        <v>100</v>
      </c>
      <c r="CE216" s="75">
        <f ca="1">INDIRECT(ADDRESS(11+(MATCH(RIGHT(Table11[[#This Row],[spawner_sku]],LEN(Table11[[#This Row],[spawner_sku]])-FIND("/",Table11[[#This Row],[spawner_sku]])),Table1[Entity Prefab],0)),10,1,1,"Entities"))</f>
        <v>50</v>
      </c>
      <c r="CF216">
        <f ca="1">ROUND((Table11[[#This Row],[XP]]*Table11[[#This Row],[entity_spawned (AVG)]])*(Table11[[#This Row],[activating_chance]]/100),0)</f>
        <v>50</v>
      </c>
      <c r="CG216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16" s="72">
        <v>1</v>
      </c>
      <c r="CI216" s="72">
        <v>1</v>
      </c>
      <c r="CJ216" s="72" t="b">
        <v>0</v>
      </c>
      <c r="CL216" t="s">
        <v>383</v>
      </c>
      <c r="CM216">
        <v>2</v>
      </c>
      <c r="CN216">
        <v>170</v>
      </c>
      <c r="CO216">
        <v>100</v>
      </c>
      <c r="CP216" s="75">
        <f ca="1">INDIRECT(ADDRESS(11+(MATCH(RIGHT(Table12[[#This Row],[spawner_sku]],LEN(Table12[[#This Row],[spawner_sku]])-FIND("/",Table12[[#This Row],[spawner_sku]])),Table1[Entity Prefab],0)),10,1,1,"Entities"))</f>
        <v>28</v>
      </c>
      <c r="CQ216" s="75">
        <f ca="1">ROUND((Table12[[#This Row],[XP]]*Table12[[#This Row],[entity_spawned (AVG)]])*(Table12[[#This Row],[activating_chance]]/100),0)</f>
        <v>56</v>
      </c>
      <c r="CR216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216" s="72">
        <v>2</v>
      </c>
      <c r="CT216" s="72">
        <v>2</v>
      </c>
      <c r="CU216" s="72" t="b">
        <v>0</v>
      </c>
      <c r="CW216" t="s">
        <v>255</v>
      </c>
      <c r="CX216">
        <v>1</v>
      </c>
      <c r="CY216">
        <v>150</v>
      </c>
      <c r="CZ216">
        <v>100</v>
      </c>
      <c r="DA216" s="75">
        <f ca="1">INDIRECT(ADDRESS(11+(MATCH(RIGHT(Table13[[#This Row],[spawner_sku]],LEN(Table13[[#This Row],[spawner_sku]])-FIND("/",Table13[[#This Row],[spawner_sku]])),Table1[Entity Prefab],0)),10,1,1,"Entities"))</f>
        <v>25</v>
      </c>
      <c r="DB216" s="75">
        <f ca="1">ROUND((Table13[[#This Row],[XP]]*Table13[[#This Row],[entity_spawned (AVG)]])*(Table13[[#This Row],[activating_chance]]/100),0)</f>
        <v>25</v>
      </c>
      <c r="DC216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16" s="72">
        <v>1</v>
      </c>
      <c r="DE216" s="72">
        <v>1</v>
      </c>
      <c r="DF216" s="72" t="b">
        <v>0</v>
      </c>
      <c r="DH216" t="s">
        <v>236</v>
      </c>
      <c r="DI216">
        <v>1</v>
      </c>
      <c r="DJ216">
        <v>120</v>
      </c>
      <c r="DK216">
        <v>100</v>
      </c>
      <c r="DL216" s="75">
        <f ca="1">INDIRECT(ADDRESS(11+(MATCH(RIGHT(Table14[[#This Row],[spawner_sku]],LEN(Table14[[#This Row],[spawner_sku]])-FIND("/",Table14[[#This Row],[spawner_sku]])),Table1[Entity Prefab],0)),10,1,1,"Entities"))</f>
        <v>70</v>
      </c>
      <c r="DM216" s="75">
        <f ca="1">ROUND((Table14[[#This Row],[XP]]*Table14[[#This Row],[entity_spawned (AVG)]])*(Table14[[#This Row],[activating_chance]]/100),0)</f>
        <v>70</v>
      </c>
      <c r="DN21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216" s="72">
        <v>1</v>
      </c>
      <c r="DP216" s="72">
        <v>1</v>
      </c>
      <c r="DQ216" s="72" t="b">
        <v>0</v>
      </c>
      <c r="DS216" t="s">
        <v>630</v>
      </c>
      <c r="DT216">
        <v>1</v>
      </c>
      <c r="DU216">
        <v>120</v>
      </c>
      <c r="DV216">
        <v>100</v>
      </c>
      <c r="DW216" s="75">
        <f ca="1">INDIRECT(ADDRESS(11+(MATCH(RIGHT(Table18[[#This Row],[spawner_sku]],LEN(Table18[[#This Row],[spawner_sku]])-FIND("/",Table18[[#This Row],[spawner_sku]])),Table1[Entity Prefab],0)),10,1,1,"Entities"))</f>
        <v>35</v>
      </c>
      <c r="DX216" s="75">
        <f ca="1">ROUND((Table18[[#This Row],[XP]]*Table18[[#This Row],[entity_spawned (AVG)]])*(Table18[[#This Row],[activating_chance]]/100),0)</f>
        <v>35</v>
      </c>
      <c r="DY21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16">
        <v>1</v>
      </c>
      <c r="EA216">
        <v>1</v>
      </c>
      <c r="EB216" t="b">
        <v>0</v>
      </c>
      <c r="ED216" t="s">
        <v>648</v>
      </c>
      <c r="EE216">
        <v>1</v>
      </c>
      <c r="EF216">
        <v>200</v>
      </c>
      <c r="EG216">
        <v>100</v>
      </c>
      <c r="EH216" s="75">
        <f ca="1">INDIRECT(ADDRESS(11+(MATCH(RIGHT(Table1820[[#This Row],[spawner_sku]],LEN(Table1820[[#This Row],[spawner_sku]])-FIND("/",Table1820[[#This Row],[spawner_sku]])),Table1[Entity Prefab],0)),10,1,1,"Entities"))</f>
        <v>130</v>
      </c>
      <c r="EI216" s="75">
        <f ca="1">ROUND((Table1820[[#This Row],[XP]]*Table1820[[#This Row],[entity_spawned (AVG)]])*(Table1820[[#This Row],[activating_chance]]/100),0)</f>
        <v>130</v>
      </c>
      <c r="EJ216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16">
        <v>1</v>
      </c>
      <c r="EL216">
        <v>1</v>
      </c>
      <c r="EM216" t="b">
        <v>0</v>
      </c>
      <c r="EZ216" t="s">
        <v>7353</v>
      </c>
      <c r="FA216">
        <v>3</v>
      </c>
      <c r="FB216">
        <v>100</v>
      </c>
      <c r="FC216">
        <v>100</v>
      </c>
      <c r="FD216" s="75">
        <f ca="1">INDIRECT(ADDRESS(11+(MATCH(RIGHT(Table18202324[[#This Row],[spawner_sku]],LEN(Table18202324[[#This Row],[spawner_sku]])-FIND("/",Table18202324[[#This Row],[spawner_sku]])),Table1[Entity Prefab],0)),10,1,1,"Entities"))</f>
        <v>70</v>
      </c>
      <c r="FE216" s="75">
        <f ca="1">ROUND((Table18202324[[#This Row],[XP]]*Table18202324[[#This Row],[entity_spawned (AVG)]])*(Table18202324[[#This Row],[activating_chance]]/100),0)</f>
        <v>210</v>
      </c>
      <c r="FF216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216">
        <v>2</v>
      </c>
      <c r="FH216">
        <v>4</v>
      </c>
      <c r="FI216" t="b">
        <v>0</v>
      </c>
    </row>
    <row r="217" spans="2:165" x14ac:dyDescent="0.25">
      <c r="B217" s="73" t="s">
        <v>232</v>
      </c>
      <c r="C217">
        <v>1</v>
      </c>
      <c r="D217">
        <v>250</v>
      </c>
      <c r="E217">
        <v>100</v>
      </c>
      <c r="F217" s="75">
        <f ca="1">INDIRECT(ADDRESS(11+(MATCH(RIGHT(Table245[[#This Row],[spawner_sku]],LEN(Table245[[#This Row],[spawner_sku]])-FIND("/",Table245[[#This Row],[spawner_sku]])),Table1[Entity Prefab],0)),10,1,1,"Entities"))</f>
        <v>143</v>
      </c>
      <c r="G217" s="75">
        <f ca="1">ROUND((Table245[[#This Row],[XP]]*Table245[[#This Row],[entity_spawned (AVG)]])*(Table245[[#This Row],[activating_chance]]/100),0)</f>
        <v>143</v>
      </c>
      <c r="H21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17" s="72">
        <v>1</v>
      </c>
      <c r="J217" s="72">
        <v>1</v>
      </c>
      <c r="K217" s="72" t="b">
        <v>0</v>
      </c>
      <c r="M217" t="s">
        <v>383</v>
      </c>
      <c r="N217">
        <v>1</v>
      </c>
      <c r="O217">
        <v>275</v>
      </c>
      <c r="P217">
        <v>100</v>
      </c>
      <c r="Q217" s="75">
        <f ca="1">INDIRECT(ADDRESS(11+(MATCH(RIGHT(Table3[[#This Row],[spawner_sku]],LEN(Table3[[#This Row],[spawner_sku]])-FIND("/",Table3[[#This Row],[spawner_sku]])),Table1[Entity Prefab],0)),10,1,1,"Entities"))</f>
        <v>28</v>
      </c>
      <c r="R217" s="75">
        <f ca="1">ROUND((Table3[[#This Row],[XP]]*Table3[[#This Row],[entity_spawned (AVG)]])*(Table3[[#This Row],[activating_chance]]/100),0)</f>
        <v>28</v>
      </c>
      <c r="S217" t="str">
        <f ca="1">INDIRECT(ADDRESS(11+(MATCH(RIGHT(Table3[[#This Row],[spawner_sku]],LEN(Table3[[#This Row],[spawner_sku]])-FIND("/",Table3[[#This Row],[spawner_sku]])),Table28[Entity Prefab],0)),24,1,1,"Entities"))</f>
        <v>yes</v>
      </c>
      <c r="T217">
        <v>1</v>
      </c>
      <c r="U217">
        <v>1</v>
      </c>
      <c r="V217" t="b">
        <v>0</v>
      </c>
      <c r="AI217" t="s">
        <v>241</v>
      </c>
      <c r="AJ217">
        <v>1</v>
      </c>
      <c r="AK217">
        <v>1500</v>
      </c>
      <c r="AL217">
        <v>100</v>
      </c>
      <c r="AM217" s="75">
        <f ca="1">INDIRECT(ADDRESS(11+(MATCH(RIGHT(Table2[[#This Row],[spawner_sku]],LEN(Table2[[#This Row],[spawner_sku]])-FIND("/",Table2[[#This Row],[spawner_sku]])),Table1[Entity Prefab],0)),10,1,1,"Entities"))</f>
        <v>130</v>
      </c>
      <c r="AN217" s="75">
        <f ca="1">ROUND((Table2[[#This Row],[XP]]*Table2[[#This Row],[entity_spawned (AVG)]])*(Table2[[#This Row],[activating_chance]]/100),0)</f>
        <v>130</v>
      </c>
      <c r="AO21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17" s="72">
        <v>1</v>
      </c>
      <c r="AQ217" s="72">
        <v>1</v>
      </c>
      <c r="AR217" s="72" t="b">
        <v>0</v>
      </c>
      <c r="BE217" t="s">
        <v>255</v>
      </c>
      <c r="BF217">
        <v>1</v>
      </c>
      <c r="BG217">
        <v>170</v>
      </c>
      <c r="BH217">
        <v>40</v>
      </c>
      <c r="BI217" s="75">
        <f ca="1">INDIRECT(ADDRESS(11+(MATCH(RIGHT(Table610[[#This Row],[spawner_sku]],LEN(Table610[[#This Row],[spawner_sku]])-FIND("/",Table610[[#This Row],[spawner_sku]])),Table1[Entity Prefab],0)),10,1,1,"Entities"))</f>
        <v>25</v>
      </c>
      <c r="BJ217" s="75">
        <f ca="1">ROUND((Table610[[#This Row],[XP]]*Table610[[#This Row],[entity_spawned (AVG)]])*(Table610[[#This Row],[activating_chance]]/100),0)</f>
        <v>10</v>
      </c>
      <c r="BK217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17">
        <v>1</v>
      </c>
      <c r="BM217">
        <v>1</v>
      </c>
      <c r="BN217" t="b">
        <v>0</v>
      </c>
      <c r="BP217" t="s">
        <v>245</v>
      </c>
      <c r="BQ217">
        <v>10</v>
      </c>
      <c r="BR217">
        <v>200</v>
      </c>
      <c r="BS217">
        <v>100</v>
      </c>
      <c r="BT21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17" s="75">
        <f ca="1">ROUND((Table61011[[#This Row],[XP]]*Table61011[[#This Row],[entity_spawned (AVG)]])*(Table61011[[#This Row],[activating_chance]]/100),0)</f>
        <v>250</v>
      </c>
      <c r="BV21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7" s="72">
        <v>8</v>
      </c>
      <c r="BX217" s="72">
        <v>12</v>
      </c>
      <c r="BY217" s="72" t="b">
        <v>1</v>
      </c>
      <c r="CA217" t="s">
        <v>469</v>
      </c>
      <c r="CB217">
        <v>1</v>
      </c>
      <c r="CC217">
        <v>220</v>
      </c>
      <c r="CD217">
        <v>100</v>
      </c>
      <c r="CE217" s="75">
        <f ca="1">INDIRECT(ADDRESS(11+(MATCH(RIGHT(Table11[[#This Row],[spawner_sku]],LEN(Table11[[#This Row],[spawner_sku]])-FIND("/",Table11[[#This Row],[spawner_sku]])),Table1[Entity Prefab],0)),10,1,1,"Entities"))</f>
        <v>50</v>
      </c>
      <c r="CF217">
        <f ca="1">ROUND((Table11[[#This Row],[XP]]*Table11[[#This Row],[entity_spawned (AVG)]])*(Table11[[#This Row],[activating_chance]]/100),0)</f>
        <v>50</v>
      </c>
      <c r="CG217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17" s="72">
        <v>1</v>
      </c>
      <c r="CI217" s="72">
        <v>1</v>
      </c>
      <c r="CJ217" s="72" t="b">
        <v>0</v>
      </c>
      <c r="CL217" t="s">
        <v>383</v>
      </c>
      <c r="CM217">
        <v>1.5</v>
      </c>
      <c r="CN217">
        <v>170</v>
      </c>
      <c r="CO217">
        <v>100</v>
      </c>
      <c r="CP217" s="75">
        <f ca="1">INDIRECT(ADDRESS(11+(MATCH(RIGHT(Table12[[#This Row],[spawner_sku]],LEN(Table12[[#This Row],[spawner_sku]])-FIND("/",Table12[[#This Row],[spawner_sku]])),Table1[Entity Prefab],0)),10,1,1,"Entities"))</f>
        <v>28</v>
      </c>
      <c r="CQ217" s="75">
        <f ca="1">ROUND((Table12[[#This Row],[XP]]*Table12[[#This Row],[entity_spawned (AVG)]])*(Table12[[#This Row],[activating_chance]]/100),0)</f>
        <v>42</v>
      </c>
      <c r="CR217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217" s="72">
        <v>1</v>
      </c>
      <c r="CT217" s="72">
        <v>2</v>
      </c>
      <c r="CU217" s="72" t="b">
        <v>0</v>
      </c>
      <c r="CW217" t="s">
        <v>255</v>
      </c>
      <c r="CX217">
        <v>1</v>
      </c>
      <c r="CY217">
        <v>150</v>
      </c>
      <c r="CZ217">
        <v>100</v>
      </c>
      <c r="DA217" s="75">
        <f ca="1">INDIRECT(ADDRESS(11+(MATCH(RIGHT(Table13[[#This Row],[spawner_sku]],LEN(Table13[[#This Row],[spawner_sku]])-FIND("/",Table13[[#This Row],[spawner_sku]])),Table1[Entity Prefab],0)),10,1,1,"Entities"))</f>
        <v>25</v>
      </c>
      <c r="DB217" s="75">
        <f ca="1">ROUND((Table13[[#This Row],[XP]]*Table13[[#This Row],[entity_spawned (AVG)]])*(Table13[[#This Row],[activating_chance]]/100),0)</f>
        <v>25</v>
      </c>
      <c r="DC217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17" s="72">
        <v>1</v>
      </c>
      <c r="DE217" s="72">
        <v>1</v>
      </c>
      <c r="DF217" s="72" t="b">
        <v>0</v>
      </c>
      <c r="DH217" t="s">
        <v>236</v>
      </c>
      <c r="DI217">
        <v>1</v>
      </c>
      <c r="DJ217">
        <v>100</v>
      </c>
      <c r="DK217">
        <v>100</v>
      </c>
      <c r="DL217" s="75">
        <f ca="1">INDIRECT(ADDRESS(11+(MATCH(RIGHT(Table14[[#This Row],[spawner_sku]],LEN(Table14[[#This Row],[spawner_sku]])-FIND("/",Table14[[#This Row],[spawner_sku]])),Table1[Entity Prefab],0)),10,1,1,"Entities"))</f>
        <v>70</v>
      </c>
      <c r="DM217" s="75">
        <f ca="1">ROUND((Table14[[#This Row],[XP]]*Table14[[#This Row],[entity_spawned (AVG)]])*(Table14[[#This Row],[activating_chance]]/100),0)</f>
        <v>70</v>
      </c>
      <c r="DN21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217" s="72">
        <v>1</v>
      </c>
      <c r="DP217" s="72">
        <v>1</v>
      </c>
      <c r="DQ217" s="72" t="b">
        <v>0</v>
      </c>
      <c r="DS217" t="s">
        <v>631</v>
      </c>
      <c r="DT217">
        <v>1</v>
      </c>
      <c r="DU217">
        <v>110</v>
      </c>
      <c r="DV217">
        <v>100</v>
      </c>
      <c r="DW217" s="75">
        <f ca="1">INDIRECT(ADDRESS(11+(MATCH(RIGHT(Table18[[#This Row],[spawner_sku]],LEN(Table18[[#This Row],[spawner_sku]])-FIND("/",Table18[[#This Row],[spawner_sku]])),Table1[Entity Prefab],0)),10,1,1,"Entities"))</f>
        <v>130</v>
      </c>
      <c r="DX217" s="75">
        <f ca="1">ROUND((Table18[[#This Row],[XP]]*Table18[[#This Row],[entity_spawned (AVG)]])*(Table18[[#This Row],[activating_chance]]/100),0)</f>
        <v>130</v>
      </c>
      <c r="DY217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217">
        <v>1</v>
      </c>
      <c r="EA217">
        <v>1</v>
      </c>
      <c r="EB217" t="b">
        <v>0</v>
      </c>
      <c r="ED217" t="s">
        <v>648</v>
      </c>
      <c r="EE217">
        <v>1</v>
      </c>
      <c r="EF217">
        <v>200</v>
      </c>
      <c r="EG217">
        <v>100</v>
      </c>
      <c r="EH217" s="75">
        <f ca="1">INDIRECT(ADDRESS(11+(MATCH(RIGHT(Table1820[[#This Row],[spawner_sku]],LEN(Table1820[[#This Row],[spawner_sku]])-FIND("/",Table1820[[#This Row],[spawner_sku]])),Table1[Entity Prefab],0)),10,1,1,"Entities"))</f>
        <v>130</v>
      </c>
      <c r="EI217" s="75">
        <f ca="1">ROUND((Table1820[[#This Row],[XP]]*Table1820[[#This Row],[entity_spawned (AVG)]])*(Table1820[[#This Row],[activating_chance]]/100),0)</f>
        <v>130</v>
      </c>
      <c r="EJ217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17">
        <v>1</v>
      </c>
      <c r="EL217">
        <v>1</v>
      </c>
      <c r="EM217" t="b">
        <v>0</v>
      </c>
      <c r="EZ217" t="s">
        <v>7354</v>
      </c>
      <c r="FA217">
        <v>1</v>
      </c>
      <c r="FB217">
        <v>140</v>
      </c>
      <c r="FC217">
        <v>100</v>
      </c>
      <c r="FD217" s="75">
        <f ca="1">INDIRECT(ADDRESS(11+(MATCH(RIGHT(Table18202324[[#This Row],[spawner_sku]],LEN(Table18202324[[#This Row],[spawner_sku]])-FIND("/",Table18202324[[#This Row],[spawner_sku]])),Table1[Entity Prefab],0)),10,1,1,"Entities"))</f>
        <v>195</v>
      </c>
      <c r="FE217" s="75">
        <f ca="1">ROUND((Table18202324[[#This Row],[XP]]*Table18202324[[#This Row],[entity_spawned (AVG)]])*(Table18202324[[#This Row],[activating_chance]]/100),0)</f>
        <v>195</v>
      </c>
      <c r="FF217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217">
        <v>1</v>
      </c>
      <c r="FH217">
        <v>1</v>
      </c>
      <c r="FI217" t="b">
        <v>0</v>
      </c>
    </row>
    <row r="218" spans="2:165" x14ac:dyDescent="0.25">
      <c r="B218" s="73" t="s">
        <v>232</v>
      </c>
      <c r="C218">
        <v>1</v>
      </c>
      <c r="D218">
        <v>250</v>
      </c>
      <c r="E218">
        <v>90</v>
      </c>
      <c r="F218" s="75">
        <f ca="1">INDIRECT(ADDRESS(11+(MATCH(RIGHT(Table245[[#This Row],[spawner_sku]],LEN(Table245[[#This Row],[spawner_sku]])-FIND("/",Table245[[#This Row],[spawner_sku]])),Table1[Entity Prefab],0)),10,1,1,"Entities"))</f>
        <v>143</v>
      </c>
      <c r="G218" s="75">
        <f ca="1">ROUND((Table245[[#This Row],[XP]]*Table245[[#This Row],[entity_spawned (AVG)]])*(Table245[[#This Row],[activating_chance]]/100),0)</f>
        <v>129</v>
      </c>
      <c r="H21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18" s="72">
        <v>1</v>
      </c>
      <c r="J218" s="72">
        <v>1</v>
      </c>
      <c r="K218" s="72" t="b">
        <v>0</v>
      </c>
      <c r="M218" t="s">
        <v>383</v>
      </c>
      <c r="N218">
        <v>1</v>
      </c>
      <c r="O218">
        <v>275</v>
      </c>
      <c r="P218">
        <v>100</v>
      </c>
      <c r="Q218" s="75">
        <f ca="1">INDIRECT(ADDRESS(11+(MATCH(RIGHT(Table3[[#This Row],[spawner_sku]],LEN(Table3[[#This Row],[spawner_sku]])-FIND("/",Table3[[#This Row],[spawner_sku]])),Table1[Entity Prefab],0)),10,1,1,"Entities"))</f>
        <v>28</v>
      </c>
      <c r="R218" s="75">
        <f ca="1">ROUND((Table3[[#This Row],[XP]]*Table3[[#This Row],[entity_spawned (AVG)]])*(Table3[[#This Row],[activating_chance]]/100),0)</f>
        <v>28</v>
      </c>
      <c r="S218" t="str">
        <f ca="1">INDIRECT(ADDRESS(11+(MATCH(RIGHT(Table3[[#This Row],[spawner_sku]],LEN(Table3[[#This Row],[spawner_sku]])-FIND("/",Table3[[#This Row],[spawner_sku]])),Table28[Entity Prefab],0)),24,1,1,"Entities"))</f>
        <v>yes</v>
      </c>
      <c r="T218">
        <v>1</v>
      </c>
      <c r="U218">
        <v>1</v>
      </c>
      <c r="V218" t="b">
        <v>0</v>
      </c>
      <c r="AI218" t="s">
        <v>241</v>
      </c>
      <c r="AJ218">
        <v>1</v>
      </c>
      <c r="AK218">
        <v>1500</v>
      </c>
      <c r="AL218">
        <v>100</v>
      </c>
      <c r="AM218" s="75">
        <f ca="1">INDIRECT(ADDRESS(11+(MATCH(RIGHT(Table2[[#This Row],[spawner_sku]],LEN(Table2[[#This Row],[spawner_sku]])-FIND("/",Table2[[#This Row],[spawner_sku]])),Table1[Entity Prefab],0)),10,1,1,"Entities"))</f>
        <v>130</v>
      </c>
      <c r="AN218" s="75">
        <f ca="1">ROUND((Table2[[#This Row],[XP]]*Table2[[#This Row],[entity_spawned (AVG)]])*(Table2[[#This Row],[activating_chance]]/100),0)</f>
        <v>130</v>
      </c>
      <c r="AO21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18" s="72">
        <v>1</v>
      </c>
      <c r="AQ218" s="72">
        <v>1</v>
      </c>
      <c r="AR218" s="72" t="b">
        <v>0</v>
      </c>
      <c r="BE218" t="s">
        <v>255</v>
      </c>
      <c r="BF218">
        <v>1</v>
      </c>
      <c r="BG218">
        <v>200</v>
      </c>
      <c r="BH218">
        <v>40</v>
      </c>
      <c r="BI218" s="75">
        <f ca="1">INDIRECT(ADDRESS(11+(MATCH(RIGHT(Table610[[#This Row],[spawner_sku]],LEN(Table610[[#This Row],[spawner_sku]])-FIND("/",Table610[[#This Row],[spawner_sku]])),Table1[Entity Prefab],0)),10,1,1,"Entities"))</f>
        <v>25</v>
      </c>
      <c r="BJ218" s="75">
        <f ca="1">ROUND((Table610[[#This Row],[XP]]*Table610[[#This Row],[entity_spawned (AVG)]])*(Table610[[#This Row],[activating_chance]]/100),0)</f>
        <v>10</v>
      </c>
      <c r="BK218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18">
        <v>1</v>
      </c>
      <c r="BM218">
        <v>1</v>
      </c>
      <c r="BN218" t="b">
        <v>0</v>
      </c>
      <c r="BP218" t="s">
        <v>245</v>
      </c>
      <c r="BQ218">
        <v>3</v>
      </c>
      <c r="BR218">
        <v>200</v>
      </c>
      <c r="BS218">
        <v>100</v>
      </c>
      <c r="BT21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18" s="75">
        <f ca="1">ROUND((Table61011[[#This Row],[XP]]*Table61011[[#This Row],[entity_spawned (AVG)]])*(Table61011[[#This Row],[activating_chance]]/100),0)</f>
        <v>75</v>
      </c>
      <c r="BV21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8" s="72">
        <v>2</v>
      </c>
      <c r="BX218" s="72">
        <v>4</v>
      </c>
      <c r="BY218" s="72" t="b">
        <v>0</v>
      </c>
      <c r="CA218" t="s">
        <v>469</v>
      </c>
      <c r="CB218">
        <v>1</v>
      </c>
      <c r="CC218">
        <v>220</v>
      </c>
      <c r="CD218">
        <v>100</v>
      </c>
      <c r="CE218" s="75">
        <f ca="1">INDIRECT(ADDRESS(11+(MATCH(RIGHT(Table11[[#This Row],[spawner_sku]],LEN(Table11[[#This Row],[spawner_sku]])-FIND("/",Table11[[#This Row],[spawner_sku]])),Table1[Entity Prefab],0)),10,1,1,"Entities"))</f>
        <v>50</v>
      </c>
      <c r="CF218">
        <f ca="1">ROUND((Table11[[#This Row],[XP]]*Table11[[#This Row],[entity_spawned (AVG)]])*(Table11[[#This Row],[activating_chance]]/100),0)</f>
        <v>50</v>
      </c>
      <c r="CG218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18" s="72">
        <v>1</v>
      </c>
      <c r="CI218" s="72">
        <v>1</v>
      </c>
      <c r="CJ218" s="72" t="b">
        <v>0</v>
      </c>
      <c r="CL218" t="s">
        <v>383</v>
      </c>
      <c r="CM218">
        <v>2</v>
      </c>
      <c r="CN218">
        <v>170</v>
      </c>
      <c r="CO218">
        <v>100</v>
      </c>
      <c r="CP218" s="75">
        <f ca="1">INDIRECT(ADDRESS(11+(MATCH(RIGHT(Table12[[#This Row],[spawner_sku]],LEN(Table12[[#This Row],[spawner_sku]])-FIND("/",Table12[[#This Row],[spawner_sku]])),Table1[Entity Prefab],0)),10,1,1,"Entities"))</f>
        <v>28</v>
      </c>
      <c r="CQ218" s="75">
        <f ca="1">ROUND((Table12[[#This Row],[XP]]*Table12[[#This Row],[entity_spawned (AVG)]])*(Table12[[#This Row],[activating_chance]]/100),0)</f>
        <v>56</v>
      </c>
      <c r="CR218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218" s="72">
        <v>2</v>
      </c>
      <c r="CT218" s="72">
        <v>2</v>
      </c>
      <c r="CU218" s="72" t="b">
        <v>0</v>
      </c>
      <c r="CW218" t="s">
        <v>255</v>
      </c>
      <c r="CX218">
        <v>1</v>
      </c>
      <c r="CY218">
        <v>150</v>
      </c>
      <c r="CZ218">
        <v>100</v>
      </c>
      <c r="DA218" s="75">
        <f ca="1">INDIRECT(ADDRESS(11+(MATCH(RIGHT(Table13[[#This Row],[spawner_sku]],LEN(Table13[[#This Row],[spawner_sku]])-FIND("/",Table13[[#This Row],[spawner_sku]])),Table1[Entity Prefab],0)),10,1,1,"Entities"))</f>
        <v>25</v>
      </c>
      <c r="DB218" s="75">
        <f ca="1">ROUND((Table13[[#This Row],[XP]]*Table13[[#This Row],[entity_spawned (AVG)]])*(Table13[[#This Row],[activating_chance]]/100),0)</f>
        <v>25</v>
      </c>
      <c r="DC218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18" s="72">
        <v>1</v>
      </c>
      <c r="DE218" s="72">
        <v>1</v>
      </c>
      <c r="DF218" s="72" t="b">
        <v>0</v>
      </c>
      <c r="DH218" t="s">
        <v>236</v>
      </c>
      <c r="DI218">
        <v>1</v>
      </c>
      <c r="DJ218">
        <v>130</v>
      </c>
      <c r="DK218">
        <v>100</v>
      </c>
      <c r="DL218" s="75">
        <f ca="1">INDIRECT(ADDRESS(11+(MATCH(RIGHT(Table14[[#This Row],[spawner_sku]],LEN(Table14[[#This Row],[spawner_sku]])-FIND("/",Table14[[#This Row],[spawner_sku]])),Table1[Entity Prefab],0)),10,1,1,"Entities"))</f>
        <v>70</v>
      </c>
      <c r="DM218" s="75">
        <f ca="1">ROUND((Table14[[#This Row],[XP]]*Table14[[#This Row],[entity_spawned (AVG)]])*(Table14[[#This Row],[activating_chance]]/100),0)</f>
        <v>70</v>
      </c>
      <c r="DN21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218" s="72">
        <v>1</v>
      </c>
      <c r="DP218" s="72">
        <v>1</v>
      </c>
      <c r="DQ218" s="72" t="b">
        <v>0</v>
      </c>
      <c r="DS218" t="s">
        <v>631</v>
      </c>
      <c r="DT218">
        <v>1</v>
      </c>
      <c r="DU218">
        <v>110</v>
      </c>
      <c r="DV218">
        <v>100</v>
      </c>
      <c r="DW218" s="75">
        <f ca="1">INDIRECT(ADDRESS(11+(MATCH(RIGHT(Table18[[#This Row],[spawner_sku]],LEN(Table18[[#This Row],[spawner_sku]])-FIND("/",Table18[[#This Row],[spawner_sku]])),Table1[Entity Prefab],0)),10,1,1,"Entities"))</f>
        <v>130</v>
      </c>
      <c r="DX218" s="75">
        <f ca="1">ROUND((Table18[[#This Row],[XP]]*Table18[[#This Row],[entity_spawned (AVG)]])*(Table18[[#This Row],[activating_chance]]/100),0)</f>
        <v>130</v>
      </c>
      <c r="DY218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218">
        <v>1</v>
      </c>
      <c r="EA218">
        <v>1</v>
      </c>
      <c r="EB218" t="b">
        <v>0</v>
      </c>
      <c r="ED218" t="s">
        <v>648</v>
      </c>
      <c r="EE218">
        <v>1</v>
      </c>
      <c r="EF218">
        <v>200</v>
      </c>
      <c r="EG218">
        <v>100</v>
      </c>
      <c r="EH218" s="75">
        <f ca="1">INDIRECT(ADDRESS(11+(MATCH(RIGHT(Table1820[[#This Row],[spawner_sku]],LEN(Table1820[[#This Row],[spawner_sku]])-FIND("/",Table1820[[#This Row],[spawner_sku]])),Table1[Entity Prefab],0)),10,1,1,"Entities"))</f>
        <v>130</v>
      </c>
      <c r="EI218" s="75">
        <f ca="1">ROUND((Table1820[[#This Row],[XP]]*Table1820[[#This Row],[entity_spawned (AVG)]])*(Table1820[[#This Row],[activating_chance]]/100),0)</f>
        <v>130</v>
      </c>
      <c r="EJ218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18">
        <v>1</v>
      </c>
      <c r="EL218">
        <v>1</v>
      </c>
      <c r="EM218" t="b">
        <v>0</v>
      </c>
      <c r="EZ218" t="s">
        <v>7354</v>
      </c>
      <c r="FA218">
        <v>1</v>
      </c>
      <c r="FB218">
        <v>120</v>
      </c>
      <c r="FC218">
        <v>100</v>
      </c>
      <c r="FD218" s="75">
        <f ca="1">INDIRECT(ADDRESS(11+(MATCH(RIGHT(Table18202324[[#This Row],[spawner_sku]],LEN(Table18202324[[#This Row],[spawner_sku]])-FIND("/",Table18202324[[#This Row],[spawner_sku]])),Table1[Entity Prefab],0)),10,1,1,"Entities"))</f>
        <v>195</v>
      </c>
      <c r="FE218" s="75">
        <f ca="1">ROUND((Table18202324[[#This Row],[XP]]*Table18202324[[#This Row],[entity_spawned (AVG)]])*(Table18202324[[#This Row],[activating_chance]]/100),0)</f>
        <v>195</v>
      </c>
      <c r="FF218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218">
        <v>1</v>
      </c>
      <c r="FH218">
        <v>1</v>
      </c>
      <c r="FI218" t="b">
        <v>0</v>
      </c>
    </row>
    <row r="219" spans="2:165" x14ac:dyDescent="0.25">
      <c r="B219" s="73" t="s">
        <v>232</v>
      </c>
      <c r="C219">
        <v>1</v>
      </c>
      <c r="D219">
        <v>200</v>
      </c>
      <c r="E219">
        <v>100</v>
      </c>
      <c r="F219" s="75">
        <f ca="1">INDIRECT(ADDRESS(11+(MATCH(RIGHT(Table245[[#This Row],[spawner_sku]],LEN(Table245[[#This Row],[spawner_sku]])-FIND("/",Table245[[#This Row],[spawner_sku]])),Table1[Entity Prefab],0)),10,1,1,"Entities"))</f>
        <v>143</v>
      </c>
      <c r="G219" s="75">
        <f ca="1">ROUND((Table245[[#This Row],[XP]]*Table245[[#This Row],[entity_spawned (AVG)]])*(Table245[[#This Row],[activating_chance]]/100),0)</f>
        <v>143</v>
      </c>
      <c r="H21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19" s="72">
        <v>1</v>
      </c>
      <c r="J219" s="72">
        <v>1</v>
      </c>
      <c r="K219" s="72" t="b">
        <v>0</v>
      </c>
      <c r="M219" t="s">
        <v>383</v>
      </c>
      <c r="N219">
        <v>1</v>
      </c>
      <c r="O219">
        <v>240</v>
      </c>
      <c r="P219">
        <v>100</v>
      </c>
      <c r="Q219" s="75">
        <f ca="1">INDIRECT(ADDRESS(11+(MATCH(RIGHT(Table3[[#This Row],[spawner_sku]],LEN(Table3[[#This Row],[spawner_sku]])-FIND("/",Table3[[#This Row],[spawner_sku]])),Table1[Entity Prefab],0)),10,1,1,"Entities"))</f>
        <v>28</v>
      </c>
      <c r="R219" s="75">
        <f ca="1">ROUND((Table3[[#This Row],[XP]]*Table3[[#This Row],[entity_spawned (AVG)]])*(Table3[[#This Row],[activating_chance]]/100),0)</f>
        <v>28</v>
      </c>
      <c r="S219" t="str">
        <f ca="1">INDIRECT(ADDRESS(11+(MATCH(RIGHT(Table3[[#This Row],[spawner_sku]],LEN(Table3[[#This Row],[spawner_sku]])-FIND("/",Table3[[#This Row],[spawner_sku]])),Table28[Entity Prefab],0)),24,1,1,"Entities"))</f>
        <v>yes</v>
      </c>
      <c r="T219">
        <v>1</v>
      </c>
      <c r="U219">
        <v>1</v>
      </c>
      <c r="V219" t="b">
        <v>0</v>
      </c>
      <c r="AI219" t="s">
        <v>241</v>
      </c>
      <c r="AJ219">
        <v>1</v>
      </c>
      <c r="AK219">
        <v>1500</v>
      </c>
      <c r="AL219">
        <v>100</v>
      </c>
      <c r="AM219" s="75">
        <f ca="1">INDIRECT(ADDRESS(11+(MATCH(RIGHT(Table2[[#This Row],[spawner_sku]],LEN(Table2[[#This Row],[spawner_sku]])-FIND("/",Table2[[#This Row],[spawner_sku]])),Table1[Entity Prefab],0)),10,1,1,"Entities"))</f>
        <v>130</v>
      </c>
      <c r="AN219" s="75">
        <f ca="1">ROUND((Table2[[#This Row],[XP]]*Table2[[#This Row],[entity_spawned (AVG)]])*(Table2[[#This Row],[activating_chance]]/100),0)</f>
        <v>130</v>
      </c>
      <c r="AO21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19" s="72">
        <v>1</v>
      </c>
      <c r="AQ219" s="72">
        <v>1</v>
      </c>
      <c r="AR219" s="72" t="b">
        <v>0</v>
      </c>
      <c r="BE219" t="s">
        <v>255</v>
      </c>
      <c r="BF219">
        <v>1</v>
      </c>
      <c r="BG219">
        <v>200</v>
      </c>
      <c r="BH219">
        <v>40</v>
      </c>
      <c r="BI219" s="75">
        <f ca="1">INDIRECT(ADDRESS(11+(MATCH(RIGHT(Table610[[#This Row],[spawner_sku]],LEN(Table610[[#This Row],[spawner_sku]])-FIND("/",Table610[[#This Row],[spawner_sku]])),Table1[Entity Prefab],0)),10,1,1,"Entities"))</f>
        <v>25</v>
      </c>
      <c r="BJ219" s="75">
        <f ca="1">ROUND((Table610[[#This Row],[XP]]*Table610[[#This Row],[entity_spawned (AVG)]])*(Table610[[#This Row],[activating_chance]]/100),0)</f>
        <v>10</v>
      </c>
      <c r="BK219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19">
        <v>1</v>
      </c>
      <c r="BM219">
        <v>1</v>
      </c>
      <c r="BN219" t="b">
        <v>0</v>
      </c>
      <c r="BP219" t="s">
        <v>245</v>
      </c>
      <c r="BQ219">
        <v>3.5</v>
      </c>
      <c r="BR219">
        <v>200</v>
      </c>
      <c r="BS219">
        <v>40</v>
      </c>
      <c r="BT21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19" s="75">
        <f ca="1">ROUND((Table61011[[#This Row],[XP]]*Table61011[[#This Row],[entity_spawned (AVG)]])*(Table61011[[#This Row],[activating_chance]]/100),0)</f>
        <v>35</v>
      </c>
      <c r="BV21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9" s="72">
        <v>3</v>
      </c>
      <c r="BX219" s="72">
        <v>4</v>
      </c>
      <c r="BY219" s="72" t="b">
        <v>0</v>
      </c>
      <c r="CA219" t="s">
        <v>470</v>
      </c>
      <c r="CB219">
        <v>1</v>
      </c>
      <c r="CC219">
        <v>240</v>
      </c>
      <c r="CD219">
        <v>100</v>
      </c>
      <c r="CE219" s="75">
        <f ca="1">INDIRECT(ADDRESS(11+(MATCH(RIGHT(Table11[[#This Row],[spawner_sku]],LEN(Table11[[#This Row],[spawner_sku]])-FIND("/",Table11[[#This Row],[spawner_sku]])),Table1[Entity Prefab],0)),10,1,1,"Entities"))</f>
        <v>83</v>
      </c>
      <c r="CF219">
        <f ca="1">ROUND((Table11[[#This Row],[XP]]*Table11[[#This Row],[entity_spawned (AVG)]])*(Table11[[#This Row],[activating_chance]]/100),0)</f>
        <v>83</v>
      </c>
      <c r="CG219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19" s="72">
        <v>1</v>
      </c>
      <c r="CI219" s="72">
        <v>1</v>
      </c>
      <c r="CJ219" s="72" t="b">
        <v>0</v>
      </c>
      <c r="CL219" t="s">
        <v>383</v>
      </c>
      <c r="CM219">
        <v>1</v>
      </c>
      <c r="CN219">
        <v>170</v>
      </c>
      <c r="CO219">
        <v>100</v>
      </c>
      <c r="CP219" s="75">
        <f ca="1">INDIRECT(ADDRESS(11+(MATCH(RIGHT(Table12[[#This Row],[spawner_sku]],LEN(Table12[[#This Row],[spawner_sku]])-FIND("/",Table12[[#This Row],[spawner_sku]])),Table1[Entity Prefab],0)),10,1,1,"Entities"))</f>
        <v>28</v>
      </c>
      <c r="CQ219" s="75">
        <f ca="1">ROUND((Table12[[#This Row],[XP]]*Table12[[#This Row],[entity_spawned (AVG)]])*(Table12[[#This Row],[activating_chance]]/100),0)</f>
        <v>28</v>
      </c>
      <c r="CR219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219" s="72">
        <v>1</v>
      </c>
      <c r="CT219" s="72">
        <v>1</v>
      </c>
      <c r="CU219" s="72" t="b">
        <v>0</v>
      </c>
      <c r="CW219" t="s">
        <v>255</v>
      </c>
      <c r="CX219">
        <v>1</v>
      </c>
      <c r="CY219">
        <v>150</v>
      </c>
      <c r="CZ219">
        <v>10</v>
      </c>
      <c r="DA219" s="75">
        <f ca="1">INDIRECT(ADDRESS(11+(MATCH(RIGHT(Table13[[#This Row],[spawner_sku]],LEN(Table13[[#This Row],[spawner_sku]])-FIND("/",Table13[[#This Row],[spawner_sku]])),Table1[Entity Prefab],0)),10,1,1,"Entities"))</f>
        <v>25</v>
      </c>
      <c r="DB219" s="75">
        <f ca="1">ROUND((Table13[[#This Row],[XP]]*Table13[[#This Row],[entity_spawned (AVG)]])*(Table13[[#This Row],[activating_chance]]/100),0)</f>
        <v>3</v>
      </c>
      <c r="DC219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19" s="72">
        <v>1</v>
      </c>
      <c r="DE219" s="72">
        <v>1</v>
      </c>
      <c r="DF219" s="72" t="b">
        <v>0</v>
      </c>
      <c r="DH219" t="s">
        <v>236</v>
      </c>
      <c r="DI219">
        <v>1</v>
      </c>
      <c r="DJ219">
        <v>100</v>
      </c>
      <c r="DK219">
        <v>100</v>
      </c>
      <c r="DL219" s="75">
        <f ca="1">INDIRECT(ADDRESS(11+(MATCH(RIGHT(Table14[[#This Row],[spawner_sku]],LEN(Table14[[#This Row],[spawner_sku]])-FIND("/",Table14[[#This Row],[spawner_sku]])),Table1[Entity Prefab],0)),10,1,1,"Entities"))</f>
        <v>70</v>
      </c>
      <c r="DM219" s="75">
        <f ca="1">ROUND((Table14[[#This Row],[XP]]*Table14[[#This Row],[entity_spawned (AVG)]])*(Table14[[#This Row],[activating_chance]]/100),0)</f>
        <v>70</v>
      </c>
      <c r="DN21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219" s="72">
        <v>1</v>
      </c>
      <c r="DP219" s="72">
        <v>1</v>
      </c>
      <c r="DQ219" s="72" t="b">
        <v>0</v>
      </c>
      <c r="DS219" t="s">
        <v>631</v>
      </c>
      <c r="DT219">
        <v>1</v>
      </c>
      <c r="DU219">
        <v>110</v>
      </c>
      <c r="DV219">
        <v>100</v>
      </c>
      <c r="DW219" s="75">
        <f ca="1">INDIRECT(ADDRESS(11+(MATCH(RIGHT(Table18[[#This Row],[spawner_sku]],LEN(Table18[[#This Row],[spawner_sku]])-FIND("/",Table18[[#This Row],[spawner_sku]])),Table1[Entity Prefab],0)),10,1,1,"Entities"))</f>
        <v>130</v>
      </c>
      <c r="DX219" s="75">
        <f ca="1">ROUND((Table18[[#This Row],[XP]]*Table18[[#This Row],[entity_spawned (AVG)]])*(Table18[[#This Row],[activating_chance]]/100),0)</f>
        <v>130</v>
      </c>
      <c r="DY219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219">
        <v>1</v>
      </c>
      <c r="EA219">
        <v>1</v>
      </c>
      <c r="EB219" t="b">
        <v>0</v>
      </c>
      <c r="ED219" t="s">
        <v>633</v>
      </c>
      <c r="EE219">
        <v>1</v>
      </c>
      <c r="EF219">
        <v>140</v>
      </c>
      <c r="EG219">
        <v>100</v>
      </c>
      <c r="EH219" s="75">
        <f ca="1">INDIRECT(ADDRESS(11+(MATCH(RIGHT(Table1820[[#This Row],[spawner_sku]],LEN(Table1820[[#This Row],[spawner_sku]])-FIND("/",Table1820[[#This Row],[spawner_sku]])),Table1[Entity Prefab],0)),10,1,1,"Entities"))</f>
        <v>65</v>
      </c>
      <c r="EI219" s="75">
        <f ca="1">ROUND((Table1820[[#This Row],[XP]]*Table1820[[#This Row],[entity_spawned (AVG)]])*(Table1820[[#This Row],[activating_chance]]/100),0)</f>
        <v>65</v>
      </c>
      <c r="EJ219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19">
        <v>1</v>
      </c>
      <c r="EL219">
        <v>1</v>
      </c>
      <c r="EM219" t="b">
        <v>0</v>
      </c>
      <c r="EZ219" t="s">
        <v>7354</v>
      </c>
      <c r="FA219">
        <v>1</v>
      </c>
      <c r="FB219">
        <v>140</v>
      </c>
      <c r="FC219">
        <v>100</v>
      </c>
      <c r="FD219" s="75">
        <f ca="1">INDIRECT(ADDRESS(11+(MATCH(RIGHT(Table18202324[[#This Row],[spawner_sku]],LEN(Table18202324[[#This Row],[spawner_sku]])-FIND("/",Table18202324[[#This Row],[spawner_sku]])),Table1[Entity Prefab],0)),10,1,1,"Entities"))</f>
        <v>195</v>
      </c>
      <c r="FE219" s="75">
        <f ca="1">ROUND((Table18202324[[#This Row],[XP]]*Table18202324[[#This Row],[entity_spawned (AVG)]])*(Table18202324[[#This Row],[activating_chance]]/100),0)</f>
        <v>195</v>
      </c>
      <c r="FF219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219">
        <v>1</v>
      </c>
      <c r="FH219">
        <v>1</v>
      </c>
      <c r="FI219" t="b">
        <v>0</v>
      </c>
    </row>
    <row r="220" spans="2:165" x14ac:dyDescent="0.25">
      <c r="B220" s="73" t="s">
        <v>232</v>
      </c>
      <c r="C220">
        <v>1</v>
      </c>
      <c r="D220">
        <v>180</v>
      </c>
      <c r="E220">
        <v>100</v>
      </c>
      <c r="F220" s="75">
        <f ca="1">INDIRECT(ADDRESS(11+(MATCH(RIGHT(Table245[[#This Row],[spawner_sku]],LEN(Table245[[#This Row],[spawner_sku]])-FIND("/",Table245[[#This Row],[spawner_sku]])),Table1[Entity Prefab],0)),10,1,1,"Entities"))</f>
        <v>143</v>
      </c>
      <c r="G220" s="75">
        <f ca="1">ROUND((Table245[[#This Row],[XP]]*Table245[[#This Row],[entity_spawned (AVG)]])*(Table245[[#This Row],[activating_chance]]/100),0)</f>
        <v>143</v>
      </c>
      <c r="H22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0" s="72">
        <v>1</v>
      </c>
      <c r="J220" s="72">
        <v>1</v>
      </c>
      <c r="K220" s="72" t="b">
        <v>0</v>
      </c>
      <c r="M220" t="s">
        <v>383</v>
      </c>
      <c r="N220">
        <v>1</v>
      </c>
      <c r="O220">
        <v>240</v>
      </c>
      <c r="P220">
        <v>100</v>
      </c>
      <c r="Q220" s="75">
        <f ca="1">INDIRECT(ADDRESS(11+(MATCH(RIGHT(Table3[[#This Row],[spawner_sku]],LEN(Table3[[#This Row],[spawner_sku]])-FIND("/",Table3[[#This Row],[spawner_sku]])),Table1[Entity Prefab],0)),10,1,1,"Entities"))</f>
        <v>28</v>
      </c>
      <c r="R220" s="75">
        <f ca="1">ROUND((Table3[[#This Row],[XP]]*Table3[[#This Row],[entity_spawned (AVG)]])*(Table3[[#This Row],[activating_chance]]/100),0)</f>
        <v>28</v>
      </c>
      <c r="S220" t="str">
        <f ca="1">INDIRECT(ADDRESS(11+(MATCH(RIGHT(Table3[[#This Row],[spawner_sku]],LEN(Table3[[#This Row],[spawner_sku]])-FIND("/",Table3[[#This Row],[spawner_sku]])),Table28[Entity Prefab],0)),24,1,1,"Entities"))</f>
        <v>yes</v>
      </c>
      <c r="T220">
        <v>1</v>
      </c>
      <c r="U220">
        <v>1</v>
      </c>
      <c r="V220" t="b">
        <v>0</v>
      </c>
      <c r="AI220" t="s">
        <v>241</v>
      </c>
      <c r="AJ220">
        <v>1</v>
      </c>
      <c r="AK220">
        <v>1500</v>
      </c>
      <c r="AL220">
        <v>100</v>
      </c>
      <c r="AM220" s="75">
        <f ca="1">INDIRECT(ADDRESS(11+(MATCH(RIGHT(Table2[[#This Row],[spawner_sku]],LEN(Table2[[#This Row],[spawner_sku]])-FIND("/",Table2[[#This Row],[spawner_sku]])),Table1[Entity Prefab],0)),10,1,1,"Entities"))</f>
        <v>130</v>
      </c>
      <c r="AN220" s="75">
        <f ca="1">ROUND((Table2[[#This Row],[XP]]*Table2[[#This Row],[entity_spawned (AVG)]])*(Table2[[#This Row],[activating_chance]]/100),0)</f>
        <v>130</v>
      </c>
      <c r="AO22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20" s="72">
        <v>1</v>
      </c>
      <c r="AQ220" s="72">
        <v>1</v>
      </c>
      <c r="AR220" s="72" t="b">
        <v>0</v>
      </c>
      <c r="BE220" t="s">
        <v>255</v>
      </c>
      <c r="BF220">
        <v>1</v>
      </c>
      <c r="BG220">
        <v>200</v>
      </c>
      <c r="BH220">
        <v>80</v>
      </c>
      <c r="BI220" s="75">
        <f ca="1">INDIRECT(ADDRESS(11+(MATCH(RIGHT(Table610[[#This Row],[spawner_sku]],LEN(Table610[[#This Row],[spawner_sku]])-FIND("/",Table610[[#This Row],[spawner_sku]])),Table1[Entity Prefab],0)),10,1,1,"Entities"))</f>
        <v>25</v>
      </c>
      <c r="BJ220" s="75">
        <f ca="1">ROUND((Table610[[#This Row],[XP]]*Table610[[#This Row],[entity_spawned (AVG)]])*(Table610[[#This Row],[activating_chance]]/100),0)</f>
        <v>20</v>
      </c>
      <c r="BK220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20">
        <v>1</v>
      </c>
      <c r="BM220">
        <v>1</v>
      </c>
      <c r="BN220" t="b">
        <v>0</v>
      </c>
      <c r="BP220" t="s">
        <v>245</v>
      </c>
      <c r="BQ220">
        <v>9</v>
      </c>
      <c r="BR220">
        <v>200</v>
      </c>
      <c r="BS220">
        <v>100</v>
      </c>
      <c r="BT22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20" s="75">
        <f ca="1">ROUND((Table61011[[#This Row],[XP]]*Table61011[[#This Row],[entity_spawned (AVG)]])*(Table61011[[#This Row],[activating_chance]]/100),0)</f>
        <v>225</v>
      </c>
      <c r="BV22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0" s="72">
        <v>8</v>
      </c>
      <c r="BX220" s="72">
        <v>10</v>
      </c>
      <c r="BY220" s="72" t="b">
        <v>1</v>
      </c>
      <c r="CA220" t="s">
        <v>471</v>
      </c>
      <c r="CB220">
        <v>1</v>
      </c>
      <c r="CC220">
        <v>200</v>
      </c>
      <c r="CD220">
        <v>10</v>
      </c>
      <c r="CE220" s="75">
        <f ca="1">INDIRECT(ADDRESS(11+(MATCH(RIGHT(Table11[[#This Row],[spawner_sku]],LEN(Table11[[#This Row],[spawner_sku]])-FIND("/",Table11[[#This Row],[spawner_sku]])),Table1[Entity Prefab],0)),10,1,1,"Entities"))</f>
        <v>105</v>
      </c>
      <c r="CF220">
        <f ca="1">ROUND((Table11[[#This Row],[XP]]*Table11[[#This Row],[entity_spawned (AVG)]])*(Table11[[#This Row],[activating_chance]]/100),0)</f>
        <v>11</v>
      </c>
      <c r="CG220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20" s="72">
        <v>1</v>
      </c>
      <c r="CI220" s="72">
        <v>1</v>
      </c>
      <c r="CJ220" s="72" t="b">
        <v>0</v>
      </c>
      <c r="CL220" t="s">
        <v>383</v>
      </c>
      <c r="CM220">
        <v>1.5</v>
      </c>
      <c r="CN220">
        <v>170</v>
      </c>
      <c r="CO220">
        <v>100</v>
      </c>
      <c r="CP220" s="75">
        <f ca="1">INDIRECT(ADDRESS(11+(MATCH(RIGHT(Table12[[#This Row],[spawner_sku]],LEN(Table12[[#This Row],[spawner_sku]])-FIND("/",Table12[[#This Row],[spawner_sku]])),Table1[Entity Prefab],0)),10,1,1,"Entities"))</f>
        <v>28</v>
      </c>
      <c r="CQ220" s="75">
        <f ca="1">ROUND((Table12[[#This Row],[XP]]*Table12[[#This Row],[entity_spawned (AVG)]])*(Table12[[#This Row],[activating_chance]]/100),0)</f>
        <v>42</v>
      </c>
      <c r="CR220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220" s="72">
        <v>1</v>
      </c>
      <c r="CT220" s="72">
        <v>2</v>
      </c>
      <c r="CU220" s="72" t="b">
        <v>0</v>
      </c>
      <c r="CW220" t="s">
        <v>255</v>
      </c>
      <c r="CX220">
        <v>1</v>
      </c>
      <c r="CY220">
        <v>150</v>
      </c>
      <c r="CZ220">
        <v>100</v>
      </c>
      <c r="DA220" s="75">
        <f ca="1">INDIRECT(ADDRESS(11+(MATCH(RIGHT(Table13[[#This Row],[spawner_sku]],LEN(Table13[[#This Row],[spawner_sku]])-FIND("/",Table13[[#This Row],[spawner_sku]])),Table1[Entity Prefab],0)),10,1,1,"Entities"))</f>
        <v>25</v>
      </c>
      <c r="DB220" s="75">
        <f ca="1">ROUND((Table13[[#This Row],[XP]]*Table13[[#This Row],[entity_spawned (AVG)]])*(Table13[[#This Row],[activating_chance]]/100),0)</f>
        <v>25</v>
      </c>
      <c r="DC220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20" s="72">
        <v>1</v>
      </c>
      <c r="DE220" s="72">
        <v>1</v>
      </c>
      <c r="DF220" s="72" t="b">
        <v>0</v>
      </c>
      <c r="DH220" t="s">
        <v>236</v>
      </c>
      <c r="DI220">
        <v>1</v>
      </c>
      <c r="DJ220">
        <v>150</v>
      </c>
      <c r="DK220">
        <v>100</v>
      </c>
      <c r="DL220" s="75">
        <f ca="1">INDIRECT(ADDRESS(11+(MATCH(RIGHT(Table14[[#This Row],[spawner_sku]],LEN(Table14[[#This Row],[spawner_sku]])-FIND("/",Table14[[#This Row],[spawner_sku]])),Table1[Entity Prefab],0)),10,1,1,"Entities"))</f>
        <v>70</v>
      </c>
      <c r="DM220" s="75">
        <f ca="1">ROUND((Table14[[#This Row],[XP]]*Table14[[#This Row],[entity_spawned (AVG)]])*(Table14[[#This Row],[activating_chance]]/100),0)</f>
        <v>70</v>
      </c>
      <c r="DN22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220" s="72">
        <v>1</v>
      </c>
      <c r="DP220" s="72">
        <v>1</v>
      </c>
      <c r="DQ220" s="72" t="b">
        <v>0</v>
      </c>
      <c r="DS220" t="s">
        <v>631</v>
      </c>
      <c r="DT220">
        <v>1</v>
      </c>
      <c r="DU220">
        <v>110</v>
      </c>
      <c r="DV220">
        <v>100</v>
      </c>
      <c r="DW220" s="75">
        <f ca="1">INDIRECT(ADDRESS(11+(MATCH(RIGHT(Table18[[#This Row],[spawner_sku]],LEN(Table18[[#This Row],[spawner_sku]])-FIND("/",Table18[[#This Row],[spawner_sku]])),Table1[Entity Prefab],0)),10,1,1,"Entities"))</f>
        <v>130</v>
      </c>
      <c r="DX220" s="75">
        <f ca="1">ROUND((Table18[[#This Row],[XP]]*Table18[[#This Row],[entity_spawned (AVG)]])*(Table18[[#This Row],[activating_chance]]/100),0)</f>
        <v>130</v>
      </c>
      <c r="DY220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220">
        <v>1</v>
      </c>
      <c r="EA220">
        <v>1</v>
      </c>
      <c r="EB220" t="b">
        <v>0</v>
      </c>
      <c r="ED220" t="s">
        <v>633</v>
      </c>
      <c r="EE220">
        <v>1</v>
      </c>
      <c r="EF220">
        <v>210</v>
      </c>
      <c r="EG220">
        <v>100</v>
      </c>
      <c r="EH220" s="75">
        <f ca="1">INDIRECT(ADDRESS(11+(MATCH(RIGHT(Table1820[[#This Row],[spawner_sku]],LEN(Table1820[[#This Row],[spawner_sku]])-FIND("/",Table1820[[#This Row],[spawner_sku]])),Table1[Entity Prefab],0)),10,1,1,"Entities"))</f>
        <v>65</v>
      </c>
      <c r="EI220" s="75">
        <f ca="1">ROUND((Table1820[[#This Row],[XP]]*Table1820[[#This Row],[entity_spawned (AVG)]])*(Table1820[[#This Row],[activating_chance]]/100),0)</f>
        <v>65</v>
      </c>
      <c r="EJ220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20">
        <v>1</v>
      </c>
      <c r="EL220">
        <v>1</v>
      </c>
      <c r="EM220" t="b">
        <v>0</v>
      </c>
      <c r="EZ220" t="s">
        <v>7354</v>
      </c>
      <c r="FA220">
        <v>1</v>
      </c>
      <c r="FB220">
        <v>120</v>
      </c>
      <c r="FC220">
        <v>80</v>
      </c>
      <c r="FD220" s="75">
        <f ca="1">INDIRECT(ADDRESS(11+(MATCH(RIGHT(Table18202324[[#This Row],[spawner_sku]],LEN(Table18202324[[#This Row],[spawner_sku]])-FIND("/",Table18202324[[#This Row],[spawner_sku]])),Table1[Entity Prefab],0)),10,1,1,"Entities"))</f>
        <v>195</v>
      </c>
      <c r="FE220" s="75">
        <f ca="1">ROUND((Table18202324[[#This Row],[XP]]*Table18202324[[#This Row],[entity_spawned (AVG)]])*(Table18202324[[#This Row],[activating_chance]]/100),0)</f>
        <v>156</v>
      </c>
      <c r="FF220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220">
        <v>1</v>
      </c>
      <c r="FH220">
        <v>1</v>
      </c>
      <c r="FI220" t="b">
        <v>0</v>
      </c>
    </row>
    <row r="221" spans="2:165" x14ac:dyDescent="0.25">
      <c r="B221" s="73" t="s">
        <v>232</v>
      </c>
      <c r="C221">
        <v>1</v>
      </c>
      <c r="D221">
        <v>180</v>
      </c>
      <c r="E221">
        <v>100</v>
      </c>
      <c r="F221" s="75">
        <f ca="1">INDIRECT(ADDRESS(11+(MATCH(RIGHT(Table245[[#This Row],[spawner_sku]],LEN(Table245[[#This Row],[spawner_sku]])-FIND("/",Table245[[#This Row],[spawner_sku]])),Table1[Entity Prefab],0)),10,1,1,"Entities"))</f>
        <v>143</v>
      </c>
      <c r="G221" s="75">
        <f ca="1">ROUND((Table245[[#This Row],[XP]]*Table245[[#This Row],[entity_spawned (AVG)]])*(Table245[[#This Row],[activating_chance]]/100),0)</f>
        <v>143</v>
      </c>
      <c r="H22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1" s="72">
        <v>1</v>
      </c>
      <c r="J221" s="72">
        <v>1</v>
      </c>
      <c r="K221" s="72" t="b">
        <v>0</v>
      </c>
      <c r="AI221" t="s">
        <v>242</v>
      </c>
      <c r="AJ221">
        <v>1</v>
      </c>
      <c r="AK221">
        <v>2000</v>
      </c>
      <c r="AL221">
        <v>100</v>
      </c>
      <c r="AM221" s="75">
        <f ca="1">INDIRECT(ADDRESS(11+(MATCH(RIGHT(Table2[[#This Row],[spawner_sku]],LEN(Table2[[#This Row],[spawner_sku]])-FIND("/",Table2[[#This Row],[spawner_sku]])),Table1[Entity Prefab],0)),10,1,1,"Entities"))</f>
        <v>130</v>
      </c>
      <c r="AN221" s="75">
        <f ca="1">ROUND((Table2[[#This Row],[XP]]*Table2[[#This Row],[entity_spawned (AVG)]])*(Table2[[#This Row],[activating_chance]]/100),0)</f>
        <v>130</v>
      </c>
      <c r="AO221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21" s="72">
        <v>1</v>
      </c>
      <c r="AQ221" s="72">
        <v>1</v>
      </c>
      <c r="AR221" s="72" t="b">
        <v>0</v>
      </c>
      <c r="BE221" t="s">
        <v>255</v>
      </c>
      <c r="BF221">
        <v>1</v>
      </c>
      <c r="BG221">
        <v>170</v>
      </c>
      <c r="BH221">
        <v>100</v>
      </c>
      <c r="BI221" s="75">
        <f ca="1">INDIRECT(ADDRESS(11+(MATCH(RIGHT(Table610[[#This Row],[spawner_sku]],LEN(Table610[[#This Row],[spawner_sku]])-FIND("/",Table610[[#This Row],[spawner_sku]])),Table1[Entity Prefab],0)),10,1,1,"Entities"))</f>
        <v>25</v>
      </c>
      <c r="BJ221" s="75">
        <f ca="1">ROUND((Table610[[#This Row],[XP]]*Table610[[#This Row],[entity_spawned (AVG)]])*(Table610[[#This Row],[activating_chance]]/100),0)</f>
        <v>25</v>
      </c>
      <c r="BK221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21">
        <v>1</v>
      </c>
      <c r="BM221">
        <v>1</v>
      </c>
      <c r="BN221" t="b">
        <v>0</v>
      </c>
      <c r="BP221" t="s">
        <v>245</v>
      </c>
      <c r="BQ221">
        <v>7</v>
      </c>
      <c r="BR221">
        <v>220</v>
      </c>
      <c r="BS221">
        <v>80</v>
      </c>
      <c r="BT22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21" s="75">
        <f ca="1">ROUND((Table61011[[#This Row],[XP]]*Table61011[[#This Row],[entity_spawned (AVG)]])*(Table61011[[#This Row],[activating_chance]]/100),0)</f>
        <v>140</v>
      </c>
      <c r="BV22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1" s="72">
        <v>6</v>
      </c>
      <c r="BX221" s="72">
        <v>8</v>
      </c>
      <c r="BY221" s="72" t="b">
        <v>1</v>
      </c>
      <c r="CA221" t="s">
        <v>471</v>
      </c>
      <c r="CB221">
        <v>1</v>
      </c>
      <c r="CC221">
        <v>200</v>
      </c>
      <c r="CD221">
        <v>10</v>
      </c>
      <c r="CE221" s="75">
        <f ca="1">INDIRECT(ADDRESS(11+(MATCH(RIGHT(Table11[[#This Row],[spawner_sku]],LEN(Table11[[#This Row],[spawner_sku]])-FIND("/",Table11[[#This Row],[spawner_sku]])),Table1[Entity Prefab],0)),10,1,1,"Entities"))</f>
        <v>105</v>
      </c>
      <c r="CF221">
        <f ca="1">ROUND((Table11[[#This Row],[XP]]*Table11[[#This Row],[entity_spawned (AVG)]])*(Table11[[#This Row],[activating_chance]]/100),0)</f>
        <v>11</v>
      </c>
      <c r="CG221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21" s="72">
        <v>1</v>
      </c>
      <c r="CI221" s="72">
        <v>1</v>
      </c>
      <c r="CJ221" s="72" t="b">
        <v>0</v>
      </c>
      <c r="CL221" t="s">
        <v>383</v>
      </c>
      <c r="CM221">
        <v>2.5</v>
      </c>
      <c r="CN221">
        <v>170</v>
      </c>
      <c r="CO221">
        <v>100</v>
      </c>
      <c r="CP221" s="75">
        <f ca="1">INDIRECT(ADDRESS(11+(MATCH(RIGHT(Table12[[#This Row],[spawner_sku]],LEN(Table12[[#This Row],[spawner_sku]])-FIND("/",Table12[[#This Row],[spawner_sku]])),Table1[Entity Prefab],0)),10,1,1,"Entities"))</f>
        <v>28</v>
      </c>
      <c r="CQ221" s="75">
        <f ca="1">ROUND((Table12[[#This Row],[XP]]*Table12[[#This Row],[entity_spawned (AVG)]])*(Table12[[#This Row],[activating_chance]]/100),0)</f>
        <v>70</v>
      </c>
      <c r="CR221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221" s="72">
        <v>2</v>
      </c>
      <c r="CT221" s="72">
        <v>3</v>
      </c>
      <c r="CU221" s="72" t="b">
        <v>0</v>
      </c>
      <c r="CW221" t="s">
        <v>255</v>
      </c>
      <c r="CX221">
        <v>1</v>
      </c>
      <c r="CY221">
        <v>150</v>
      </c>
      <c r="CZ221">
        <v>100</v>
      </c>
      <c r="DA221" s="75">
        <f ca="1">INDIRECT(ADDRESS(11+(MATCH(RIGHT(Table13[[#This Row],[spawner_sku]],LEN(Table13[[#This Row],[spawner_sku]])-FIND("/",Table13[[#This Row],[spawner_sku]])),Table1[Entity Prefab],0)),10,1,1,"Entities"))</f>
        <v>25</v>
      </c>
      <c r="DB221" s="75">
        <f ca="1">ROUND((Table13[[#This Row],[XP]]*Table13[[#This Row],[entity_spawned (AVG)]])*(Table13[[#This Row],[activating_chance]]/100),0)</f>
        <v>25</v>
      </c>
      <c r="DC221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21" s="72">
        <v>1</v>
      </c>
      <c r="DE221" s="72">
        <v>1</v>
      </c>
      <c r="DF221" s="72" t="b">
        <v>0</v>
      </c>
      <c r="DH221" t="s">
        <v>236</v>
      </c>
      <c r="DI221">
        <v>1</v>
      </c>
      <c r="DJ221">
        <v>130</v>
      </c>
      <c r="DK221">
        <v>100</v>
      </c>
      <c r="DL221" s="75">
        <f ca="1">INDIRECT(ADDRESS(11+(MATCH(RIGHT(Table14[[#This Row],[spawner_sku]],LEN(Table14[[#This Row],[spawner_sku]])-FIND("/",Table14[[#This Row],[spawner_sku]])),Table1[Entity Prefab],0)),10,1,1,"Entities"))</f>
        <v>70</v>
      </c>
      <c r="DM221" s="75">
        <f ca="1">ROUND((Table14[[#This Row],[XP]]*Table14[[#This Row],[entity_spawned (AVG)]])*(Table14[[#This Row],[activating_chance]]/100),0)</f>
        <v>70</v>
      </c>
      <c r="DN22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221" s="72">
        <v>1</v>
      </c>
      <c r="DP221" s="72">
        <v>1</v>
      </c>
      <c r="DQ221" s="72" t="b">
        <v>0</v>
      </c>
      <c r="DS221" t="s">
        <v>631</v>
      </c>
      <c r="DT221">
        <v>1</v>
      </c>
      <c r="DU221">
        <v>120</v>
      </c>
      <c r="DV221">
        <v>100</v>
      </c>
      <c r="DW221" s="75">
        <f ca="1">INDIRECT(ADDRESS(11+(MATCH(RIGHT(Table18[[#This Row],[spawner_sku]],LEN(Table18[[#This Row],[spawner_sku]])-FIND("/",Table18[[#This Row],[spawner_sku]])),Table1[Entity Prefab],0)),10,1,1,"Entities"))</f>
        <v>130</v>
      </c>
      <c r="DX221" s="75">
        <f ca="1">ROUND((Table18[[#This Row],[XP]]*Table18[[#This Row],[entity_spawned (AVG)]])*(Table18[[#This Row],[activating_chance]]/100),0)</f>
        <v>130</v>
      </c>
      <c r="DY221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221">
        <v>1</v>
      </c>
      <c r="EA221">
        <v>1</v>
      </c>
      <c r="EB221" t="b">
        <v>0</v>
      </c>
      <c r="ED221" t="s">
        <v>633</v>
      </c>
      <c r="EE221">
        <v>1</v>
      </c>
      <c r="EF221">
        <v>140</v>
      </c>
      <c r="EG221">
        <v>100</v>
      </c>
      <c r="EH221" s="75">
        <f ca="1">INDIRECT(ADDRESS(11+(MATCH(RIGHT(Table1820[[#This Row],[spawner_sku]],LEN(Table1820[[#This Row],[spawner_sku]])-FIND("/",Table1820[[#This Row],[spawner_sku]])),Table1[Entity Prefab],0)),10,1,1,"Entities"))</f>
        <v>65</v>
      </c>
      <c r="EI221" s="75">
        <f ca="1">ROUND((Table1820[[#This Row],[XP]]*Table1820[[#This Row],[entity_spawned (AVG)]])*(Table1820[[#This Row],[activating_chance]]/100),0)</f>
        <v>65</v>
      </c>
      <c r="EJ221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21">
        <v>1</v>
      </c>
      <c r="EL221">
        <v>1</v>
      </c>
      <c r="EM221" t="b">
        <v>0</v>
      </c>
    </row>
    <row r="222" spans="2:165" x14ac:dyDescent="0.25">
      <c r="B222" s="73" t="s">
        <v>232</v>
      </c>
      <c r="C222">
        <v>1.5</v>
      </c>
      <c r="D222">
        <v>250</v>
      </c>
      <c r="E222">
        <v>100</v>
      </c>
      <c r="F222" s="75">
        <f ca="1">INDIRECT(ADDRESS(11+(MATCH(RIGHT(Table245[[#This Row],[spawner_sku]],LEN(Table245[[#This Row],[spawner_sku]])-FIND("/",Table245[[#This Row],[spawner_sku]])),Table1[Entity Prefab],0)),10,1,1,"Entities"))</f>
        <v>143</v>
      </c>
      <c r="G222" s="75">
        <f ca="1">ROUND((Table245[[#This Row],[XP]]*Table245[[#This Row],[entity_spawned (AVG)]])*(Table245[[#This Row],[activating_chance]]/100),0)</f>
        <v>215</v>
      </c>
      <c r="H22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2" s="72">
        <v>1</v>
      </c>
      <c r="J222" s="72">
        <v>2</v>
      </c>
      <c r="K222" s="72" t="b">
        <v>0</v>
      </c>
      <c r="AI222" t="s">
        <v>242</v>
      </c>
      <c r="AJ222">
        <v>1</v>
      </c>
      <c r="AK222">
        <v>2000</v>
      </c>
      <c r="AL222">
        <v>100</v>
      </c>
      <c r="AM222" s="75">
        <f ca="1">INDIRECT(ADDRESS(11+(MATCH(RIGHT(Table2[[#This Row],[spawner_sku]],LEN(Table2[[#This Row],[spawner_sku]])-FIND("/",Table2[[#This Row],[spawner_sku]])),Table1[Entity Prefab],0)),10,1,1,"Entities"))</f>
        <v>130</v>
      </c>
      <c r="AN222" s="75">
        <f ca="1">ROUND((Table2[[#This Row],[XP]]*Table2[[#This Row],[entity_spawned (AVG)]])*(Table2[[#This Row],[activating_chance]]/100),0)</f>
        <v>130</v>
      </c>
      <c r="AO222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22" s="72">
        <v>1</v>
      </c>
      <c r="AQ222" s="72">
        <v>1</v>
      </c>
      <c r="AR222" s="72" t="b">
        <v>0</v>
      </c>
      <c r="BE222" t="s">
        <v>255</v>
      </c>
      <c r="BF222">
        <v>1</v>
      </c>
      <c r="BG222">
        <v>170</v>
      </c>
      <c r="BH222">
        <v>40</v>
      </c>
      <c r="BI222" s="75">
        <f ca="1">INDIRECT(ADDRESS(11+(MATCH(RIGHT(Table610[[#This Row],[spawner_sku]],LEN(Table610[[#This Row],[spawner_sku]])-FIND("/",Table610[[#This Row],[spawner_sku]])),Table1[Entity Prefab],0)),10,1,1,"Entities"))</f>
        <v>25</v>
      </c>
      <c r="BJ222" s="75">
        <f ca="1">ROUND((Table610[[#This Row],[XP]]*Table610[[#This Row],[entity_spawned (AVG)]])*(Table610[[#This Row],[activating_chance]]/100),0)</f>
        <v>10</v>
      </c>
      <c r="BK222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22">
        <v>1</v>
      </c>
      <c r="BM222">
        <v>1</v>
      </c>
      <c r="BN222" t="b">
        <v>0</v>
      </c>
      <c r="BP222" t="s">
        <v>245</v>
      </c>
      <c r="BQ222">
        <v>3.5</v>
      </c>
      <c r="BR222">
        <v>190</v>
      </c>
      <c r="BS222">
        <v>100</v>
      </c>
      <c r="BT22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22" s="75">
        <f ca="1">ROUND((Table61011[[#This Row],[XP]]*Table61011[[#This Row],[entity_spawned (AVG)]])*(Table61011[[#This Row],[activating_chance]]/100),0)</f>
        <v>88</v>
      </c>
      <c r="BV22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2" s="72">
        <v>3</v>
      </c>
      <c r="BX222" s="72">
        <v>4</v>
      </c>
      <c r="BY222" s="72" t="b">
        <v>0</v>
      </c>
      <c r="CA222" t="s">
        <v>471</v>
      </c>
      <c r="CB222">
        <v>1</v>
      </c>
      <c r="CC222">
        <v>260</v>
      </c>
      <c r="CD222">
        <v>100</v>
      </c>
      <c r="CE222" s="75">
        <f ca="1">INDIRECT(ADDRESS(11+(MATCH(RIGHT(Table11[[#This Row],[spawner_sku]],LEN(Table11[[#This Row],[spawner_sku]])-FIND("/",Table11[[#This Row],[spawner_sku]])),Table1[Entity Prefab],0)),10,1,1,"Entities"))</f>
        <v>105</v>
      </c>
      <c r="CF222">
        <f ca="1">ROUND((Table11[[#This Row],[XP]]*Table11[[#This Row],[entity_spawned (AVG)]])*(Table11[[#This Row],[activating_chance]]/100),0)</f>
        <v>105</v>
      </c>
      <c r="CG222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22" s="72">
        <v>1</v>
      </c>
      <c r="CI222" s="72">
        <v>1</v>
      </c>
      <c r="CJ222" s="72" t="b">
        <v>0</v>
      </c>
      <c r="CW222" t="s">
        <v>255</v>
      </c>
      <c r="CX222">
        <v>1</v>
      </c>
      <c r="CY222">
        <v>150</v>
      </c>
      <c r="CZ222">
        <v>100</v>
      </c>
      <c r="DA222" s="75">
        <f ca="1">INDIRECT(ADDRESS(11+(MATCH(RIGHT(Table13[[#This Row],[spawner_sku]],LEN(Table13[[#This Row],[spawner_sku]])-FIND("/",Table13[[#This Row],[spawner_sku]])),Table1[Entity Prefab],0)),10,1,1,"Entities"))</f>
        <v>25</v>
      </c>
      <c r="DB222" s="75">
        <f ca="1">ROUND((Table13[[#This Row],[XP]]*Table13[[#This Row],[entity_spawned (AVG)]])*(Table13[[#This Row],[activating_chance]]/100),0)</f>
        <v>25</v>
      </c>
      <c r="DC222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22" s="72">
        <v>1</v>
      </c>
      <c r="DE222" s="72">
        <v>1</v>
      </c>
      <c r="DF222" s="72" t="b">
        <v>0</v>
      </c>
      <c r="DH222" t="s">
        <v>236</v>
      </c>
      <c r="DI222">
        <v>1</v>
      </c>
      <c r="DJ222">
        <v>120</v>
      </c>
      <c r="DK222">
        <v>100</v>
      </c>
      <c r="DL222" s="75">
        <f ca="1">INDIRECT(ADDRESS(11+(MATCH(RIGHT(Table14[[#This Row],[spawner_sku]],LEN(Table14[[#This Row],[spawner_sku]])-FIND("/",Table14[[#This Row],[spawner_sku]])),Table1[Entity Prefab],0)),10,1,1,"Entities"))</f>
        <v>70</v>
      </c>
      <c r="DM222" s="75">
        <f ca="1">ROUND((Table14[[#This Row],[XP]]*Table14[[#This Row],[entity_spawned (AVG)]])*(Table14[[#This Row],[activating_chance]]/100),0)</f>
        <v>70</v>
      </c>
      <c r="DN22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222" s="72">
        <v>1</v>
      </c>
      <c r="DP222" s="72">
        <v>1</v>
      </c>
      <c r="DQ222" s="72" t="b">
        <v>0</v>
      </c>
      <c r="DS222" t="s">
        <v>631</v>
      </c>
      <c r="DT222">
        <v>1</v>
      </c>
      <c r="DU222">
        <v>120</v>
      </c>
      <c r="DV222">
        <v>80</v>
      </c>
      <c r="DW222" s="75">
        <f ca="1">INDIRECT(ADDRESS(11+(MATCH(RIGHT(Table18[[#This Row],[spawner_sku]],LEN(Table18[[#This Row],[spawner_sku]])-FIND("/",Table18[[#This Row],[spawner_sku]])),Table1[Entity Prefab],0)),10,1,1,"Entities"))</f>
        <v>130</v>
      </c>
      <c r="DX222" s="75">
        <f ca="1">ROUND((Table18[[#This Row],[XP]]*Table18[[#This Row],[entity_spawned (AVG)]])*(Table18[[#This Row],[activating_chance]]/100),0)</f>
        <v>104</v>
      </c>
      <c r="DY222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222">
        <v>1</v>
      </c>
      <c r="EA222">
        <v>1</v>
      </c>
      <c r="EB222" t="b">
        <v>0</v>
      </c>
      <c r="ED222" t="s">
        <v>633</v>
      </c>
      <c r="EE222">
        <v>1</v>
      </c>
      <c r="EF222">
        <v>140</v>
      </c>
      <c r="EG222">
        <v>100</v>
      </c>
      <c r="EH222" s="75">
        <f ca="1">INDIRECT(ADDRESS(11+(MATCH(RIGHT(Table1820[[#This Row],[spawner_sku]],LEN(Table1820[[#This Row],[spawner_sku]])-FIND("/",Table1820[[#This Row],[spawner_sku]])),Table1[Entity Prefab],0)),10,1,1,"Entities"))</f>
        <v>65</v>
      </c>
      <c r="EI222" s="75">
        <f ca="1">ROUND((Table1820[[#This Row],[XP]]*Table1820[[#This Row],[entity_spawned (AVG)]])*(Table1820[[#This Row],[activating_chance]]/100),0)</f>
        <v>65</v>
      </c>
      <c r="EJ222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22">
        <v>1</v>
      </c>
      <c r="EL222">
        <v>1</v>
      </c>
      <c r="EM222" t="b">
        <v>0</v>
      </c>
    </row>
    <row r="223" spans="2:165" x14ac:dyDescent="0.25">
      <c r="B223" s="73" t="s">
        <v>232</v>
      </c>
      <c r="C223">
        <v>1</v>
      </c>
      <c r="D223">
        <v>230</v>
      </c>
      <c r="E223">
        <v>100</v>
      </c>
      <c r="F223" s="75">
        <f ca="1">INDIRECT(ADDRESS(11+(MATCH(RIGHT(Table245[[#This Row],[spawner_sku]],LEN(Table245[[#This Row],[spawner_sku]])-FIND("/",Table245[[#This Row],[spawner_sku]])),Table1[Entity Prefab],0)),10,1,1,"Entities"))</f>
        <v>143</v>
      </c>
      <c r="G223" s="75">
        <f ca="1">ROUND((Table245[[#This Row],[XP]]*Table245[[#This Row],[entity_spawned (AVG)]])*(Table245[[#This Row],[activating_chance]]/100),0)</f>
        <v>143</v>
      </c>
      <c r="H22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3" s="72">
        <v>1</v>
      </c>
      <c r="J223" s="72">
        <v>1</v>
      </c>
      <c r="K223" s="72" t="b">
        <v>0</v>
      </c>
      <c r="AI223" t="s">
        <v>242</v>
      </c>
      <c r="AJ223">
        <v>1</v>
      </c>
      <c r="AK223">
        <v>1500</v>
      </c>
      <c r="AL223">
        <v>40</v>
      </c>
      <c r="AM223" s="75">
        <f ca="1">INDIRECT(ADDRESS(11+(MATCH(RIGHT(Table2[[#This Row],[spawner_sku]],LEN(Table2[[#This Row],[spawner_sku]])-FIND("/",Table2[[#This Row],[spawner_sku]])),Table1[Entity Prefab],0)),10,1,1,"Entities"))</f>
        <v>130</v>
      </c>
      <c r="AN223" s="75">
        <f ca="1">ROUND((Table2[[#This Row],[XP]]*Table2[[#This Row],[entity_spawned (AVG)]])*(Table2[[#This Row],[activating_chance]]/100),0)</f>
        <v>52</v>
      </c>
      <c r="AO22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23" s="72">
        <v>1</v>
      </c>
      <c r="AQ223" s="72">
        <v>1</v>
      </c>
      <c r="AR223" s="72" t="b">
        <v>0</v>
      </c>
      <c r="BE223" t="s">
        <v>255</v>
      </c>
      <c r="BF223">
        <v>1</v>
      </c>
      <c r="BG223">
        <v>200</v>
      </c>
      <c r="BH223">
        <v>40</v>
      </c>
      <c r="BI223" s="75">
        <f ca="1">INDIRECT(ADDRESS(11+(MATCH(RIGHT(Table610[[#This Row],[spawner_sku]],LEN(Table610[[#This Row],[spawner_sku]])-FIND("/",Table610[[#This Row],[spawner_sku]])),Table1[Entity Prefab],0)),10,1,1,"Entities"))</f>
        <v>25</v>
      </c>
      <c r="BJ223" s="75">
        <f ca="1">ROUND((Table610[[#This Row],[XP]]*Table610[[#This Row],[entity_spawned (AVG)]])*(Table610[[#This Row],[activating_chance]]/100),0)</f>
        <v>10</v>
      </c>
      <c r="BK223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23">
        <v>1</v>
      </c>
      <c r="BM223">
        <v>1</v>
      </c>
      <c r="BN223" t="b">
        <v>0</v>
      </c>
      <c r="BP223" t="s">
        <v>245</v>
      </c>
      <c r="BQ223">
        <v>2</v>
      </c>
      <c r="BR223">
        <v>200</v>
      </c>
      <c r="BS223">
        <v>100</v>
      </c>
      <c r="BT22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23" s="75">
        <f ca="1">ROUND((Table61011[[#This Row],[XP]]*Table61011[[#This Row],[entity_spawned (AVG)]])*(Table61011[[#This Row],[activating_chance]]/100),0)</f>
        <v>50</v>
      </c>
      <c r="BV22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3" s="72">
        <v>2</v>
      </c>
      <c r="BX223" s="72">
        <v>2</v>
      </c>
      <c r="BY223" s="72" t="b">
        <v>0</v>
      </c>
      <c r="CA223" t="s">
        <v>471</v>
      </c>
      <c r="CB223">
        <v>1</v>
      </c>
      <c r="CC223">
        <v>260</v>
      </c>
      <c r="CD223">
        <v>100</v>
      </c>
      <c r="CE223" s="75">
        <f ca="1">INDIRECT(ADDRESS(11+(MATCH(RIGHT(Table11[[#This Row],[spawner_sku]],LEN(Table11[[#This Row],[spawner_sku]])-FIND("/",Table11[[#This Row],[spawner_sku]])),Table1[Entity Prefab],0)),10,1,1,"Entities"))</f>
        <v>105</v>
      </c>
      <c r="CF223">
        <f ca="1">ROUND((Table11[[#This Row],[XP]]*Table11[[#This Row],[entity_spawned (AVG)]])*(Table11[[#This Row],[activating_chance]]/100),0)</f>
        <v>105</v>
      </c>
      <c r="CG223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23" s="72">
        <v>1</v>
      </c>
      <c r="CI223" s="72">
        <v>1</v>
      </c>
      <c r="CJ223" s="72" t="b">
        <v>0</v>
      </c>
      <c r="CW223" t="s">
        <v>255</v>
      </c>
      <c r="CX223">
        <v>1</v>
      </c>
      <c r="CY223">
        <v>150</v>
      </c>
      <c r="CZ223">
        <v>100</v>
      </c>
      <c r="DA223" s="75">
        <f ca="1">INDIRECT(ADDRESS(11+(MATCH(RIGHT(Table13[[#This Row],[spawner_sku]],LEN(Table13[[#This Row],[spawner_sku]])-FIND("/",Table13[[#This Row],[spawner_sku]])),Table1[Entity Prefab],0)),10,1,1,"Entities"))</f>
        <v>25</v>
      </c>
      <c r="DB223" s="75">
        <f ca="1">ROUND((Table13[[#This Row],[XP]]*Table13[[#This Row],[entity_spawned (AVG)]])*(Table13[[#This Row],[activating_chance]]/100),0)</f>
        <v>25</v>
      </c>
      <c r="DC223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23" s="72">
        <v>1</v>
      </c>
      <c r="DE223" s="72">
        <v>1</v>
      </c>
      <c r="DF223" s="72" t="b">
        <v>0</v>
      </c>
      <c r="DH223" t="s">
        <v>236</v>
      </c>
      <c r="DI223">
        <v>1</v>
      </c>
      <c r="DJ223">
        <v>100</v>
      </c>
      <c r="DK223">
        <v>100</v>
      </c>
      <c r="DL223" s="75">
        <f ca="1">INDIRECT(ADDRESS(11+(MATCH(RIGHT(Table14[[#This Row],[spawner_sku]],LEN(Table14[[#This Row],[spawner_sku]])-FIND("/",Table14[[#This Row],[spawner_sku]])),Table1[Entity Prefab],0)),10,1,1,"Entities"))</f>
        <v>70</v>
      </c>
      <c r="DM223" s="75">
        <f ca="1">ROUND((Table14[[#This Row],[XP]]*Table14[[#This Row],[entity_spawned (AVG)]])*(Table14[[#This Row],[activating_chance]]/100),0)</f>
        <v>70</v>
      </c>
      <c r="DN22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223" s="72">
        <v>1</v>
      </c>
      <c r="DP223" s="72">
        <v>1</v>
      </c>
      <c r="DQ223" s="72" t="b">
        <v>0</v>
      </c>
      <c r="DS223" t="s">
        <v>247</v>
      </c>
      <c r="DT223">
        <v>1</v>
      </c>
      <c r="DU223">
        <v>420</v>
      </c>
      <c r="DV223">
        <v>100</v>
      </c>
      <c r="DW223" s="75">
        <f ca="1">INDIRECT(ADDRESS(11+(MATCH(RIGHT(Table18[[#This Row],[spawner_sku]],LEN(Table18[[#This Row],[spawner_sku]])-FIND("/",Table18[[#This Row],[spawner_sku]])),Table1[Entity Prefab],0)),10,1,1,"Entities"))</f>
        <v>83</v>
      </c>
      <c r="DX223" s="75">
        <f ca="1">ROUND((Table18[[#This Row],[XP]]*Table18[[#This Row],[entity_spawned (AVG)]])*(Table18[[#This Row],[activating_chance]]/100),0)</f>
        <v>83</v>
      </c>
      <c r="DY223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223">
        <v>1</v>
      </c>
      <c r="EA223">
        <v>1</v>
      </c>
      <c r="EB223" t="b">
        <v>0</v>
      </c>
      <c r="ED223" t="s">
        <v>633</v>
      </c>
      <c r="EE223">
        <v>1</v>
      </c>
      <c r="EF223">
        <v>210</v>
      </c>
      <c r="EG223">
        <v>100</v>
      </c>
      <c r="EH223" s="75">
        <f ca="1">INDIRECT(ADDRESS(11+(MATCH(RIGHT(Table1820[[#This Row],[spawner_sku]],LEN(Table1820[[#This Row],[spawner_sku]])-FIND("/",Table1820[[#This Row],[spawner_sku]])),Table1[Entity Prefab],0)),10,1,1,"Entities"))</f>
        <v>65</v>
      </c>
      <c r="EI223" s="75">
        <f ca="1">ROUND((Table1820[[#This Row],[XP]]*Table1820[[#This Row],[entity_spawned (AVG)]])*(Table1820[[#This Row],[activating_chance]]/100),0)</f>
        <v>65</v>
      </c>
      <c r="EJ223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23">
        <v>1</v>
      </c>
      <c r="EL223">
        <v>1</v>
      </c>
      <c r="EM223" t="b">
        <v>0</v>
      </c>
    </row>
    <row r="224" spans="2:165" x14ac:dyDescent="0.25">
      <c r="B224" s="73" t="s">
        <v>232</v>
      </c>
      <c r="C224">
        <v>1</v>
      </c>
      <c r="D224">
        <v>200</v>
      </c>
      <c r="E224">
        <v>100</v>
      </c>
      <c r="F224" s="75">
        <f ca="1">INDIRECT(ADDRESS(11+(MATCH(RIGHT(Table245[[#This Row],[spawner_sku]],LEN(Table245[[#This Row],[spawner_sku]])-FIND("/",Table245[[#This Row],[spawner_sku]])),Table1[Entity Prefab],0)),10,1,1,"Entities"))</f>
        <v>143</v>
      </c>
      <c r="G224" s="75">
        <f ca="1">ROUND((Table245[[#This Row],[XP]]*Table245[[#This Row],[entity_spawned (AVG)]])*(Table245[[#This Row],[activating_chance]]/100),0)</f>
        <v>143</v>
      </c>
      <c r="H22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4" s="72">
        <v>1</v>
      </c>
      <c r="J224" s="72">
        <v>1</v>
      </c>
      <c r="K224" s="72" t="b">
        <v>0</v>
      </c>
      <c r="AI224" t="s">
        <v>243</v>
      </c>
      <c r="AJ224">
        <v>1</v>
      </c>
      <c r="AK224">
        <v>200</v>
      </c>
      <c r="AL224">
        <v>100</v>
      </c>
      <c r="AM224" s="75">
        <f ca="1">INDIRECT(ADDRESS(11+(MATCH(RIGHT(Table2[[#This Row],[spawner_sku]],LEN(Table2[[#This Row],[spawner_sku]])-FIND("/",Table2[[#This Row],[spawner_sku]])),Table1[Entity Prefab],0)),10,1,1,"Entities"))</f>
        <v>28</v>
      </c>
      <c r="AN224" s="75">
        <f ca="1">ROUND((Table2[[#This Row],[XP]]*Table2[[#This Row],[entity_spawned (AVG)]])*(Table2[[#This Row],[activating_chance]]/100),0)</f>
        <v>28</v>
      </c>
      <c r="AO22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24" s="72">
        <v>1</v>
      </c>
      <c r="AQ224" s="72">
        <v>1</v>
      </c>
      <c r="AR224" s="72" t="b">
        <v>0</v>
      </c>
      <c r="BE224" t="s">
        <v>255</v>
      </c>
      <c r="BF224">
        <v>1</v>
      </c>
      <c r="BG224">
        <v>170</v>
      </c>
      <c r="BH224">
        <v>100</v>
      </c>
      <c r="BI224" s="75">
        <f ca="1">INDIRECT(ADDRESS(11+(MATCH(RIGHT(Table610[[#This Row],[spawner_sku]],LEN(Table610[[#This Row],[spawner_sku]])-FIND("/",Table610[[#This Row],[spawner_sku]])),Table1[Entity Prefab],0)),10,1,1,"Entities"))</f>
        <v>25</v>
      </c>
      <c r="BJ224" s="75">
        <f ca="1">ROUND((Table610[[#This Row],[XP]]*Table610[[#This Row],[entity_spawned (AVG)]])*(Table610[[#This Row],[activating_chance]]/100),0)</f>
        <v>25</v>
      </c>
      <c r="BK224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24">
        <v>1</v>
      </c>
      <c r="BM224">
        <v>1</v>
      </c>
      <c r="BN224" t="b">
        <v>0</v>
      </c>
      <c r="BP224" t="s">
        <v>245</v>
      </c>
      <c r="BQ224">
        <v>2</v>
      </c>
      <c r="BR224">
        <v>200</v>
      </c>
      <c r="BS224">
        <v>100</v>
      </c>
      <c r="BT22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24" s="75">
        <f ca="1">ROUND((Table61011[[#This Row],[XP]]*Table61011[[#This Row],[entity_spawned (AVG)]])*(Table61011[[#This Row],[activating_chance]]/100),0)</f>
        <v>50</v>
      </c>
      <c r="BV22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4" s="72">
        <v>1</v>
      </c>
      <c r="BX224" s="72">
        <v>3</v>
      </c>
      <c r="BY224" s="72" t="b">
        <v>0</v>
      </c>
      <c r="CA224" t="s">
        <v>471</v>
      </c>
      <c r="CB224">
        <v>1</v>
      </c>
      <c r="CC224">
        <v>200</v>
      </c>
      <c r="CD224">
        <v>50</v>
      </c>
      <c r="CE224" s="75">
        <f ca="1">INDIRECT(ADDRESS(11+(MATCH(RIGHT(Table11[[#This Row],[spawner_sku]],LEN(Table11[[#This Row],[spawner_sku]])-FIND("/",Table11[[#This Row],[spawner_sku]])),Table1[Entity Prefab],0)),10,1,1,"Entities"))</f>
        <v>105</v>
      </c>
      <c r="CF224">
        <f ca="1">ROUND((Table11[[#This Row],[XP]]*Table11[[#This Row],[entity_spawned (AVG)]])*(Table11[[#This Row],[activating_chance]]/100),0)</f>
        <v>53</v>
      </c>
      <c r="CG224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24" s="72">
        <v>1</v>
      </c>
      <c r="CI224" s="72">
        <v>1</v>
      </c>
      <c r="CJ224" s="72" t="b">
        <v>0</v>
      </c>
      <c r="CW224" t="s">
        <v>255</v>
      </c>
      <c r="CX224">
        <v>1</v>
      </c>
      <c r="CY224">
        <v>150</v>
      </c>
      <c r="CZ224">
        <v>100</v>
      </c>
      <c r="DA224" s="75">
        <f ca="1">INDIRECT(ADDRESS(11+(MATCH(RIGHT(Table13[[#This Row],[spawner_sku]],LEN(Table13[[#This Row],[spawner_sku]])-FIND("/",Table13[[#This Row],[spawner_sku]])),Table1[Entity Prefab],0)),10,1,1,"Entities"))</f>
        <v>25</v>
      </c>
      <c r="DB224" s="75">
        <f ca="1">ROUND((Table13[[#This Row],[XP]]*Table13[[#This Row],[entity_spawned (AVG)]])*(Table13[[#This Row],[activating_chance]]/100),0)</f>
        <v>25</v>
      </c>
      <c r="DC224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24" s="72">
        <v>1</v>
      </c>
      <c r="DE224" s="72">
        <v>1</v>
      </c>
      <c r="DF224" s="72" t="b">
        <v>0</v>
      </c>
      <c r="DH224" t="s">
        <v>236</v>
      </c>
      <c r="DI224">
        <v>1</v>
      </c>
      <c r="DJ224">
        <v>170</v>
      </c>
      <c r="DK224">
        <v>100</v>
      </c>
      <c r="DL224" s="75">
        <f ca="1">INDIRECT(ADDRESS(11+(MATCH(RIGHT(Table14[[#This Row],[spawner_sku]],LEN(Table14[[#This Row],[spawner_sku]])-FIND("/",Table14[[#This Row],[spawner_sku]])),Table1[Entity Prefab],0)),10,1,1,"Entities"))</f>
        <v>70</v>
      </c>
      <c r="DM224" s="75">
        <f ca="1">ROUND((Table14[[#This Row],[XP]]*Table14[[#This Row],[entity_spawned (AVG)]])*(Table14[[#This Row],[activating_chance]]/100),0)</f>
        <v>70</v>
      </c>
      <c r="DN22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224" s="72">
        <v>1</v>
      </c>
      <c r="DP224" s="72">
        <v>1</v>
      </c>
      <c r="DQ224" s="72" t="b">
        <v>0</v>
      </c>
      <c r="DS224" t="s">
        <v>607</v>
      </c>
      <c r="DT224">
        <v>1</v>
      </c>
      <c r="DU224">
        <v>160</v>
      </c>
      <c r="DV224">
        <v>100</v>
      </c>
      <c r="DW224" s="75">
        <f ca="1">INDIRECT(ADDRESS(11+(MATCH(RIGHT(Table18[[#This Row],[spawner_sku]],LEN(Table18[[#This Row],[spawner_sku]])-FIND("/",Table18[[#This Row],[spawner_sku]])),Table1[Entity Prefab],0)),10,1,1,"Entities"))</f>
        <v>50</v>
      </c>
      <c r="DX224" s="75">
        <f ca="1">ROUND((Table18[[#This Row],[XP]]*Table18[[#This Row],[entity_spawned (AVG)]])*(Table18[[#This Row],[activating_chance]]/100),0)</f>
        <v>50</v>
      </c>
      <c r="DY224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224">
        <v>1</v>
      </c>
      <c r="EA224">
        <v>1</v>
      </c>
      <c r="EB224" t="b">
        <v>0</v>
      </c>
      <c r="ED224" t="s">
        <v>633</v>
      </c>
      <c r="EE224">
        <v>1</v>
      </c>
      <c r="EF224">
        <v>140</v>
      </c>
      <c r="EG224">
        <v>100</v>
      </c>
      <c r="EH224" s="75">
        <f ca="1">INDIRECT(ADDRESS(11+(MATCH(RIGHT(Table1820[[#This Row],[spawner_sku]],LEN(Table1820[[#This Row],[spawner_sku]])-FIND("/",Table1820[[#This Row],[spawner_sku]])),Table1[Entity Prefab],0)),10,1,1,"Entities"))</f>
        <v>65</v>
      </c>
      <c r="EI224" s="75">
        <f ca="1">ROUND((Table1820[[#This Row],[XP]]*Table1820[[#This Row],[entity_spawned (AVG)]])*(Table1820[[#This Row],[activating_chance]]/100),0)</f>
        <v>65</v>
      </c>
      <c r="EJ224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24">
        <v>1</v>
      </c>
      <c r="EL224">
        <v>1</v>
      </c>
      <c r="EM224" t="b">
        <v>0</v>
      </c>
    </row>
    <row r="225" spans="2:143" x14ac:dyDescent="0.25">
      <c r="B225" s="73" t="s">
        <v>232</v>
      </c>
      <c r="C225">
        <v>1</v>
      </c>
      <c r="D225">
        <v>180</v>
      </c>
      <c r="E225">
        <v>100</v>
      </c>
      <c r="F225" s="75">
        <f ca="1">INDIRECT(ADDRESS(11+(MATCH(RIGHT(Table245[[#This Row],[spawner_sku]],LEN(Table245[[#This Row],[spawner_sku]])-FIND("/",Table245[[#This Row],[spawner_sku]])),Table1[Entity Prefab],0)),10,1,1,"Entities"))</f>
        <v>143</v>
      </c>
      <c r="G225" s="75">
        <f ca="1">ROUND((Table245[[#This Row],[XP]]*Table245[[#This Row],[entity_spawned (AVG)]])*(Table245[[#This Row],[activating_chance]]/100),0)</f>
        <v>143</v>
      </c>
      <c r="H22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5" s="72">
        <v>1</v>
      </c>
      <c r="J225" s="72">
        <v>1</v>
      </c>
      <c r="K225" s="72" t="b">
        <v>0</v>
      </c>
      <c r="AI225" t="s">
        <v>243</v>
      </c>
      <c r="AJ225">
        <v>1</v>
      </c>
      <c r="AK225">
        <v>200</v>
      </c>
      <c r="AL225">
        <v>100</v>
      </c>
      <c r="AM225" s="75">
        <f ca="1">INDIRECT(ADDRESS(11+(MATCH(RIGHT(Table2[[#This Row],[spawner_sku]],LEN(Table2[[#This Row],[spawner_sku]])-FIND("/",Table2[[#This Row],[spawner_sku]])),Table1[Entity Prefab],0)),10,1,1,"Entities"))</f>
        <v>28</v>
      </c>
      <c r="AN225" s="75">
        <f ca="1">ROUND((Table2[[#This Row],[XP]]*Table2[[#This Row],[entity_spawned (AVG)]])*(Table2[[#This Row],[activating_chance]]/100),0)</f>
        <v>28</v>
      </c>
      <c r="AO22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25" s="72">
        <v>1</v>
      </c>
      <c r="AQ225" s="72">
        <v>1</v>
      </c>
      <c r="AR225" s="72" t="b">
        <v>0</v>
      </c>
      <c r="BE225" t="s">
        <v>255</v>
      </c>
      <c r="BF225">
        <v>1</v>
      </c>
      <c r="BG225">
        <v>170</v>
      </c>
      <c r="BH225">
        <v>40</v>
      </c>
      <c r="BI225" s="75">
        <f ca="1">INDIRECT(ADDRESS(11+(MATCH(RIGHT(Table610[[#This Row],[spawner_sku]],LEN(Table610[[#This Row],[spawner_sku]])-FIND("/",Table610[[#This Row],[spawner_sku]])),Table1[Entity Prefab],0)),10,1,1,"Entities"))</f>
        <v>25</v>
      </c>
      <c r="BJ225" s="75">
        <f ca="1">ROUND((Table610[[#This Row],[XP]]*Table610[[#This Row],[entity_spawned (AVG)]])*(Table610[[#This Row],[activating_chance]]/100),0)</f>
        <v>10</v>
      </c>
      <c r="BK225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25">
        <v>1</v>
      </c>
      <c r="BM225">
        <v>1</v>
      </c>
      <c r="BN225" t="b">
        <v>0</v>
      </c>
      <c r="BP225" t="s">
        <v>245</v>
      </c>
      <c r="BQ225">
        <v>1.5</v>
      </c>
      <c r="BR225">
        <v>200</v>
      </c>
      <c r="BS225">
        <v>100</v>
      </c>
      <c r="BT22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25" s="75">
        <f ca="1">ROUND((Table61011[[#This Row],[XP]]*Table61011[[#This Row],[entity_spawned (AVG)]])*(Table61011[[#This Row],[activating_chance]]/100),0)</f>
        <v>38</v>
      </c>
      <c r="BV22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5" s="72">
        <v>1</v>
      </c>
      <c r="BX225" s="72">
        <v>2</v>
      </c>
      <c r="BY225" s="72" t="b">
        <v>0</v>
      </c>
      <c r="CA225" t="s">
        <v>471</v>
      </c>
      <c r="CB225">
        <v>1</v>
      </c>
      <c r="CC225">
        <v>260</v>
      </c>
      <c r="CD225">
        <v>100</v>
      </c>
      <c r="CE225" s="75">
        <f ca="1">INDIRECT(ADDRESS(11+(MATCH(RIGHT(Table11[[#This Row],[spawner_sku]],LEN(Table11[[#This Row],[spawner_sku]])-FIND("/",Table11[[#This Row],[spawner_sku]])),Table1[Entity Prefab],0)),10,1,1,"Entities"))</f>
        <v>105</v>
      </c>
      <c r="CF225">
        <f ca="1">ROUND((Table11[[#This Row],[XP]]*Table11[[#This Row],[entity_spawned (AVG)]])*(Table11[[#This Row],[activating_chance]]/100),0)</f>
        <v>105</v>
      </c>
      <c r="CG225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25" s="72">
        <v>1</v>
      </c>
      <c r="CI225" s="72">
        <v>1</v>
      </c>
      <c r="CJ225" s="72" t="b">
        <v>0</v>
      </c>
      <c r="CW225" t="s">
        <v>255</v>
      </c>
      <c r="CX225">
        <v>1</v>
      </c>
      <c r="CY225">
        <v>150</v>
      </c>
      <c r="CZ225">
        <v>100</v>
      </c>
      <c r="DA225" s="75">
        <f ca="1">INDIRECT(ADDRESS(11+(MATCH(RIGHT(Table13[[#This Row],[spawner_sku]],LEN(Table13[[#This Row],[spawner_sku]])-FIND("/",Table13[[#This Row],[spawner_sku]])),Table1[Entity Prefab],0)),10,1,1,"Entities"))</f>
        <v>25</v>
      </c>
      <c r="DB225" s="75">
        <f ca="1">ROUND((Table13[[#This Row],[XP]]*Table13[[#This Row],[entity_spawned (AVG)]])*(Table13[[#This Row],[activating_chance]]/100),0)</f>
        <v>25</v>
      </c>
      <c r="DC225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25" s="72">
        <v>1</v>
      </c>
      <c r="DE225" s="72">
        <v>1</v>
      </c>
      <c r="DF225" s="72" t="b">
        <v>0</v>
      </c>
      <c r="DH225" t="s">
        <v>236</v>
      </c>
      <c r="DI225">
        <v>1</v>
      </c>
      <c r="DJ225">
        <v>140</v>
      </c>
      <c r="DK225">
        <v>100</v>
      </c>
      <c r="DL225" s="75">
        <f ca="1">INDIRECT(ADDRESS(11+(MATCH(RIGHT(Table14[[#This Row],[spawner_sku]],LEN(Table14[[#This Row],[spawner_sku]])-FIND("/",Table14[[#This Row],[spawner_sku]])),Table1[Entity Prefab],0)),10,1,1,"Entities"))</f>
        <v>70</v>
      </c>
      <c r="DM225" s="75">
        <f ca="1">ROUND((Table14[[#This Row],[XP]]*Table14[[#This Row],[entity_spawned (AVG)]])*(Table14[[#This Row],[activating_chance]]/100),0)</f>
        <v>70</v>
      </c>
      <c r="DN22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225" s="72">
        <v>1</v>
      </c>
      <c r="DP225" s="72">
        <v>1</v>
      </c>
      <c r="DQ225" s="72" t="b">
        <v>0</v>
      </c>
      <c r="DS225" t="s">
        <v>607</v>
      </c>
      <c r="DT225">
        <v>1</v>
      </c>
      <c r="DU225">
        <v>160</v>
      </c>
      <c r="DV225">
        <v>100</v>
      </c>
      <c r="DW225" s="75">
        <f ca="1">INDIRECT(ADDRESS(11+(MATCH(RIGHT(Table18[[#This Row],[spawner_sku]],LEN(Table18[[#This Row],[spawner_sku]])-FIND("/",Table18[[#This Row],[spawner_sku]])),Table1[Entity Prefab],0)),10,1,1,"Entities"))</f>
        <v>50</v>
      </c>
      <c r="DX225" s="75">
        <f ca="1">ROUND((Table18[[#This Row],[XP]]*Table18[[#This Row],[entity_spawned (AVG)]])*(Table18[[#This Row],[activating_chance]]/100),0)</f>
        <v>50</v>
      </c>
      <c r="DY225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225">
        <v>1</v>
      </c>
      <c r="EA225">
        <v>1</v>
      </c>
      <c r="EB225" t="b">
        <v>0</v>
      </c>
      <c r="ED225" t="s">
        <v>633</v>
      </c>
      <c r="EE225">
        <v>1</v>
      </c>
      <c r="EF225">
        <v>140</v>
      </c>
      <c r="EG225">
        <v>100</v>
      </c>
      <c r="EH225" s="75">
        <f ca="1">INDIRECT(ADDRESS(11+(MATCH(RIGHT(Table1820[[#This Row],[spawner_sku]],LEN(Table1820[[#This Row],[spawner_sku]])-FIND("/",Table1820[[#This Row],[spawner_sku]])),Table1[Entity Prefab],0)),10,1,1,"Entities"))</f>
        <v>65</v>
      </c>
      <c r="EI225" s="75">
        <f ca="1">ROUND((Table1820[[#This Row],[XP]]*Table1820[[#This Row],[entity_spawned (AVG)]])*(Table1820[[#This Row],[activating_chance]]/100),0)</f>
        <v>65</v>
      </c>
      <c r="EJ225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25">
        <v>1</v>
      </c>
      <c r="EL225">
        <v>1</v>
      </c>
      <c r="EM225" t="b">
        <v>0</v>
      </c>
    </row>
    <row r="226" spans="2:143" x14ac:dyDescent="0.25">
      <c r="B226" s="73" t="s">
        <v>232</v>
      </c>
      <c r="C226">
        <v>1</v>
      </c>
      <c r="D226">
        <v>180</v>
      </c>
      <c r="E226">
        <v>90</v>
      </c>
      <c r="F226" s="75">
        <f ca="1">INDIRECT(ADDRESS(11+(MATCH(RIGHT(Table245[[#This Row],[spawner_sku]],LEN(Table245[[#This Row],[spawner_sku]])-FIND("/",Table245[[#This Row],[spawner_sku]])),Table1[Entity Prefab],0)),10,1,1,"Entities"))</f>
        <v>143</v>
      </c>
      <c r="G226" s="75">
        <f ca="1">ROUND((Table245[[#This Row],[XP]]*Table245[[#This Row],[entity_spawned (AVG)]])*(Table245[[#This Row],[activating_chance]]/100),0)</f>
        <v>129</v>
      </c>
      <c r="H22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6" s="72">
        <v>1</v>
      </c>
      <c r="J226" s="72">
        <v>1</v>
      </c>
      <c r="K226" s="72" t="b">
        <v>0</v>
      </c>
      <c r="AI226" t="s">
        <v>243</v>
      </c>
      <c r="AJ226">
        <v>1</v>
      </c>
      <c r="AK226">
        <v>200</v>
      </c>
      <c r="AL226">
        <v>100</v>
      </c>
      <c r="AM226" s="75">
        <f ca="1">INDIRECT(ADDRESS(11+(MATCH(RIGHT(Table2[[#This Row],[spawner_sku]],LEN(Table2[[#This Row],[spawner_sku]])-FIND("/",Table2[[#This Row],[spawner_sku]])),Table1[Entity Prefab],0)),10,1,1,"Entities"))</f>
        <v>28</v>
      </c>
      <c r="AN226" s="75">
        <f ca="1">ROUND((Table2[[#This Row],[XP]]*Table2[[#This Row],[entity_spawned (AVG)]])*(Table2[[#This Row],[activating_chance]]/100),0)</f>
        <v>28</v>
      </c>
      <c r="AO22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26" s="72">
        <v>1</v>
      </c>
      <c r="AQ226" s="72">
        <v>1</v>
      </c>
      <c r="AR226" s="72" t="b">
        <v>0</v>
      </c>
      <c r="BE226" t="s">
        <v>255</v>
      </c>
      <c r="BF226">
        <v>1</v>
      </c>
      <c r="BG226">
        <v>200</v>
      </c>
      <c r="BH226">
        <v>100</v>
      </c>
      <c r="BI226" s="75">
        <f ca="1">INDIRECT(ADDRESS(11+(MATCH(RIGHT(Table610[[#This Row],[spawner_sku]],LEN(Table610[[#This Row],[spawner_sku]])-FIND("/",Table610[[#This Row],[spawner_sku]])),Table1[Entity Prefab],0)),10,1,1,"Entities"))</f>
        <v>25</v>
      </c>
      <c r="BJ226" s="75">
        <f ca="1">ROUND((Table610[[#This Row],[XP]]*Table610[[#This Row],[entity_spawned (AVG)]])*(Table610[[#This Row],[activating_chance]]/100),0)</f>
        <v>25</v>
      </c>
      <c r="BK226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26">
        <v>1</v>
      </c>
      <c r="BM226">
        <v>1</v>
      </c>
      <c r="BN226" t="b">
        <v>0</v>
      </c>
      <c r="BP226" t="s">
        <v>245</v>
      </c>
      <c r="BQ226">
        <v>10</v>
      </c>
      <c r="BR226">
        <v>200</v>
      </c>
      <c r="BS226">
        <v>100</v>
      </c>
      <c r="BT22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26" s="75">
        <f ca="1">ROUND((Table61011[[#This Row],[XP]]*Table61011[[#This Row],[entity_spawned (AVG)]])*(Table61011[[#This Row],[activating_chance]]/100),0)</f>
        <v>250</v>
      </c>
      <c r="BV22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6" s="72">
        <v>8</v>
      </c>
      <c r="BX226" s="72">
        <v>12</v>
      </c>
      <c r="BY226" s="72" t="b">
        <v>1</v>
      </c>
      <c r="CA226" t="s">
        <v>471</v>
      </c>
      <c r="CB226">
        <v>1</v>
      </c>
      <c r="CC226">
        <v>200</v>
      </c>
      <c r="CD226">
        <v>100</v>
      </c>
      <c r="CE226" s="75">
        <f ca="1">INDIRECT(ADDRESS(11+(MATCH(RIGHT(Table11[[#This Row],[spawner_sku]],LEN(Table11[[#This Row],[spawner_sku]])-FIND("/",Table11[[#This Row],[spawner_sku]])),Table1[Entity Prefab],0)),10,1,1,"Entities"))</f>
        <v>105</v>
      </c>
      <c r="CF226">
        <f ca="1">ROUND((Table11[[#This Row],[XP]]*Table11[[#This Row],[entity_spawned (AVG)]])*(Table11[[#This Row],[activating_chance]]/100),0)</f>
        <v>105</v>
      </c>
      <c r="CG226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26" s="72">
        <v>1</v>
      </c>
      <c r="CI226" s="72">
        <v>1</v>
      </c>
      <c r="CJ226" s="72" t="b">
        <v>0</v>
      </c>
      <c r="CW226" t="s">
        <v>255</v>
      </c>
      <c r="CX226">
        <v>1</v>
      </c>
      <c r="CY226">
        <v>150</v>
      </c>
      <c r="CZ226">
        <v>100</v>
      </c>
      <c r="DA226" s="75">
        <f ca="1">INDIRECT(ADDRESS(11+(MATCH(RIGHT(Table13[[#This Row],[spawner_sku]],LEN(Table13[[#This Row],[spawner_sku]])-FIND("/",Table13[[#This Row],[spawner_sku]])),Table1[Entity Prefab],0)),10,1,1,"Entities"))</f>
        <v>25</v>
      </c>
      <c r="DB226" s="75">
        <f ca="1">ROUND((Table13[[#This Row],[XP]]*Table13[[#This Row],[entity_spawned (AVG)]])*(Table13[[#This Row],[activating_chance]]/100),0)</f>
        <v>25</v>
      </c>
      <c r="DC226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26" s="72">
        <v>1</v>
      </c>
      <c r="DE226" s="72">
        <v>1</v>
      </c>
      <c r="DF226" s="72" t="b">
        <v>0</v>
      </c>
      <c r="DH226" t="s">
        <v>236</v>
      </c>
      <c r="DI226">
        <v>1</v>
      </c>
      <c r="DJ226">
        <v>120</v>
      </c>
      <c r="DK226">
        <v>100</v>
      </c>
      <c r="DL226" s="75">
        <f ca="1">INDIRECT(ADDRESS(11+(MATCH(RIGHT(Table14[[#This Row],[spawner_sku]],LEN(Table14[[#This Row],[spawner_sku]])-FIND("/",Table14[[#This Row],[spawner_sku]])),Table1[Entity Prefab],0)),10,1,1,"Entities"))</f>
        <v>70</v>
      </c>
      <c r="DM226" s="75">
        <f ca="1">ROUND((Table14[[#This Row],[XP]]*Table14[[#This Row],[entity_spawned (AVG)]])*(Table14[[#This Row],[activating_chance]]/100),0)</f>
        <v>70</v>
      </c>
      <c r="DN22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226" s="72">
        <v>1</v>
      </c>
      <c r="DP226" s="72">
        <v>1</v>
      </c>
      <c r="DQ226" s="72" t="b">
        <v>0</v>
      </c>
      <c r="DS226" t="s">
        <v>607</v>
      </c>
      <c r="DT226">
        <v>1</v>
      </c>
      <c r="DU226">
        <v>160</v>
      </c>
      <c r="DV226">
        <v>100</v>
      </c>
      <c r="DW226" s="75">
        <f ca="1">INDIRECT(ADDRESS(11+(MATCH(RIGHT(Table18[[#This Row],[spawner_sku]],LEN(Table18[[#This Row],[spawner_sku]])-FIND("/",Table18[[#This Row],[spawner_sku]])),Table1[Entity Prefab],0)),10,1,1,"Entities"))</f>
        <v>50</v>
      </c>
      <c r="DX226" s="75">
        <f ca="1">ROUND((Table18[[#This Row],[XP]]*Table18[[#This Row],[entity_spawned (AVG)]])*(Table18[[#This Row],[activating_chance]]/100),0)</f>
        <v>50</v>
      </c>
      <c r="DY226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226">
        <v>1</v>
      </c>
      <c r="EA226">
        <v>1</v>
      </c>
      <c r="EB226" t="b">
        <v>0</v>
      </c>
      <c r="ED226" t="s">
        <v>633</v>
      </c>
      <c r="EE226">
        <v>1</v>
      </c>
      <c r="EF226">
        <v>210</v>
      </c>
      <c r="EG226">
        <v>100</v>
      </c>
      <c r="EH226" s="75">
        <f ca="1">INDIRECT(ADDRESS(11+(MATCH(RIGHT(Table1820[[#This Row],[spawner_sku]],LEN(Table1820[[#This Row],[spawner_sku]])-FIND("/",Table1820[[#This Row],[spawner_sku]])),Table1[Entity Prefab],0)),10,1,1,"Entities"))</f>
        <v>65</v>
      </c>
      <c r="EI226" s="75">
        <f ca="1">ROUND((Table1820[[#This Row],[XP]]*Table1820[[#This Row],[entity_spawned (AVG)]])*(Table1820[[#This Row],[activating_chance]]/100),0)</f>
        <v>65</v>
      </c>
      <c r="EJ226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26">
        <v>1</v>
      </c>
      <c r="EL226">
        <v>1</v>
      </c>
      <c r="EM226" t="b">
        <v>0</v>
      </c>
    </row>
    <row r="227" spans="2:143" x14ac:dyDescent="0.25">
      <c r="B227" s="73" t="s">
        <v>232</v>
      </c>
      <c r="C227">
        <v>1.5</v>
      </c>
      <c r="D227">
        <v>250</v>
      </c>
      <c r="E227">
        <v>100</v>
      </c>
      <c r="F227" s="75">
        <f ca="1">INDIRECT(ADDRESS(11+(MATCH(RIGHT(Table245[[#This Row],[spawner_sku]],LEN(Table245[[#This Row],[spawner_sku]])-FIND("/",Table245[[#This Row],[spawner_sku]])),Table1[Entity Prefab],0)),10,1,1,"Entities"))</f>
        <v>143</v>
      </c>
      <c r="G227" s="75">
        <f ca="1">ROUND((Table245[[#This Row],[XP]]*Table245[[#This Row],[entity_spawned (AVG)]])*(Table245[[#This Row],[activating_chance]]/100),0)</f>
        <v>215</v>
      </c>
      <c r="H22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7" s="72">
        <v>1</v>
      </c>
      <c r="J227" s="72">
        <v>2</v>
      </c>
      <c r="K227" s="72" t="b">
        <v>0</v>
      </c>
      <c r="AI227" t="s">
        <v>629</v>
      </c>
      <c r="AJ227">
        <v>1</v>
      </c>
      <c r="AK227">
        <v>120</v>
      </c>
      <c r="AL227">
        <v>100</v>
      </c>
      <c r="AM227" s="75">
        <f ca="1">INDIRECT(ADDRESS(11+(MATCH(RIGHT(Table2[[#This Row],[spawner_sku]],LEN(Table2[[#This Row],[spawner_sku]])-FIND("/",Table2[[#This Row],[spawner_sku]])),Table1[Entity Prefab],0)),10,1,1,"Entities"))</f>
        <v>50</v>
      </c>
      <c r="AN227" s="75">
        <f ca="1">ROUND((Table2[[#This Row],[XP]]*Table2[[#This Row],[entity_spawned (AVG)]])*(Table2[[#This Row],[activating_chance]]/100),0)</f>
        <v>50</v>
      </c>
      <c r="AO22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27" s="72">
        <v>1</v>
      </c>
      <c r="AQ227" s="72">
        <v>1</v>
      </c>
      <c r="AR227" s="72" t="b">
        <v>0</v>
      </c>
      <c r="BE227" t="s">
        <v>256</v>
      </c>
      <c r="BF227">
        <v>1</v>
      </c>
      <c r="BG227">
        <v>150</v>
      </c>
      <c r="BH227">
        <v>100</v>
      </c>
      <c r="BI227" s="75">
        <f ca="1">INDIRECT(ADDRESS(11+(MATCH(RIGHT(Table610[[#This Row],[spawner_sku]],LEN(Table610[[#This Row],[spawner_sku]])-FIND("/",Table610[[#This Row],[spawner_sku]])),Table1[Entity Prefab],0)),10,1,1,"Entities"))</f>
        <v>25</v>
      </c>
      <c r="BJ227" s="75">
        <f ca="1">ROUND((Table610[[#This Row],[XP]]*Table610[[#This Row],[entity_spawned (AVG)]])*(Table610[[#This Row],[activating_chance]]/100),0)</f>
        <v>25</v>
      </c>
      <c r="BK227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27">
        <v>1</v>
      </c>
      <c r="BM227">
        <v>1</v>
      </c>
      <c r="BN227" t="b">
        <v>0</v>
      </c>
      <c r="BP227" t="s">
        <v>245</v>
      </c>
      <c r="BQ227">
        <v>1</v>
      </c>
      <c r="BR227">
        <v>90</v>
      </c>
      <c r="BS227">
        <v>100</v>
      </c>
      <c r="BT22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27" s="75">
        <f ca="1">ROUND((Table61011[[#This Row],[XP]]*Table61011[[#This Row],[entity_spawned (AVG)]])*(Table61011[[#This Row],[activating_chance]]/100),0)</f>
        <v>25</v>
      </c>
      <c r="BV22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7" s="72">
        <v>1</v>
      </c>
      <c r="BX227" s="72">
        <v>1</v>
      </c>
      <c r="BY227" s="72" t="b">
        <v>0</v>
      </c>
      <c r="CA227" t="s">
        <v>472</v>
      </c>
      <c r="CB227">
        <v>1</v>
      </c>
      <c r="CC227">
        <v>280</v>
      </c>
      <c r="CD227">
        <v>100</v>
      </c>
      <c r="CE227" s="75">
        <f ca="1">INDIRECT(ADDRESS(11+(MATCH(RIGHT(Table11[[#This Row],[spawner_sku]],LEN(Table11[[#This Row],[spawner_sku]])-FIND("/",Table11[[#This Row],[spawner_sku]])),Table1[Entity Prefab],0)),10,1,1,"Entities"))</f>
        <v>143</v>
      </c>
      <c r="CF227">
        <f ca="1">ROUND((Table11[[#This Row],[XP]]*Table11[[#This Row],[entity_spawned (AVG)]])*(Table11[[#This Row],[activating_chance]]/100),0)</f>
        <v>143</v>
      </c>
      <c r="CG227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27" s="72">
        <v>1</v>
      </c>
      <c r="CI227" s="72">
        <v>1</v>
      </c>
      <c r="CJ227" s="72" t="b">
        <v>0</v>
      </c>
      <c r="CW227" t="s">
        <v>255</v>
      </c>
      <c r="CX227">
        <v>1</v>
      </c>
      <c r="CY227">
        <v>150</v>
      </c>
      <c r="CZ227">
        <v>100</v>
      </c>
      <c r="DA227" s="75">
        <f ca="1">INDIRECT(ADDRESS(11+(MATCH(RIGHT(Table13[[#This Row],[spawner_sku]],LEN(Table13[[#This Row],[spawner_sku]])-FIND("/",Table13[[#This Row],[spawner_sku]])),Table1[Entity Prefab],0)),10,1,1,"Entities"))</f>
        <v>25</v>
      </c>
      <c r="DB227" s="75">
        <f ca="1">ROUND((Table13[[#This Row],[XP]]*Table13[[#This Row],[entity_spawned (AVG)]])*(Table13[[#This Row],[activating_chance]]/100),0)</f>
        <v>25</v>
      </c>
      <c r="DC227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27" s="72">
        <v>1</v>
      </c>
      <c r="DE227" s="72">
        <v>1</v>
      </c>
      <c r="DF227" s="72" t="b">
        <v>0</v>
      </c>
      <c r="DH227" t="s">
        <v>236</v>
      </c>
      <c r="DI227">
        <v>1</v>
      </c>
      <c r="DJ227">
        <v>120</v>
      </c>
      <c r="DK227">
        <v>100</v>
      </c>
      <c r="DL227" s="75">
        <f ca="1">INDIRECT(ADDRESS(11+(MATCH(RIGHT(Table14[[#This Row],[spawner_sku]],LEN(Table14[[#This Row],[spawner_sku]])-FIND("/",Table14[[#This Row],[spawner_sku]])),Table1[Entity Prefab],0)),10,1,1,"Entities"))</f>
        <v>70</v>
      </c>
      <c r="DM227" s="75">
        <f ca="1">ROUND((Table14[[#This Row],[XP]]*Table14[[#This Row],[entity_spawned (AVG)]])*(Table14[[#This Row],[activating_chance]]/100),0)</f>
        <v>70</v>
      </c>
      <c r="DN22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227" s="72">
        <v>1</v>
      </c>
      <c r="DP227" s="72">
        <v>1</v>
      </c>
      <c r="DQ227" s="72" t="b">
        <v>0</v>
      </c>
      <c r="DS227" t="s">
        <v>607</v>
      </c>
      <c r="DT227">
        <v>1</v>
      </c>
      <c r="DU227">
        <v>180</v>
      </c>
      <c r="DV227">
        <v>10</v>
      </c>
      <c r="DW227" s="75">
        <f ca="1">INDIRECT(ADDRESS(11+(MATCH(RIGHT(Table18[[#This Row],[spawner_sku]],LEN(Table18[[#This Row],[spawner_sku]])-FIND("/",Table18[[#This Row],[spawner_sku]])),Table1[Entity Prefab],0)),10,1,1,"Entities"))</f>
        <v>50</v>
      </c>
      <c r="DX227" s="75">
        <f ca="1">ROUND((Table18[[#This Row],[XP]]*Table18[[#This Row],[entity_spawned (AVG)]])*(Table18[[#This Row],[activating_chance]]/100),0)</f>
        <v>5</v>
      </c>
      <c r="DY227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227">
        <v>1</v>
      </c>
      <c r="EA227">
        <v>1</v>
      </c>
      <c r="EB227" t="b">
        <v>0</v>
      </c>
      <c r="ED227" t="s">
        <v>633</v>
      </c>
      <c r="EE227">
        <v>1</v>
      </c>
      <c r="EF227">
        <v>140</v>
      </c>
      <c r="EG227">
        <v>100</v>
      </c>
      <c r="EH227" s="75">
        <f ca="1">INDIRECT(ADDRESS(11+(MATCH(RIGHT(Table1820[[#This Row],[spawner_sku]],LEN(Table1820[[#This Row],[spawner_sku]])-FIND("/",Table1820[[#This Row],[spawner_sku]])),Table1[Entity Prefab],0)),10,1,1,"Entities"))</f>
        <v>65</v>
      </c>
      <c r="EI227" s="75">
        <f ca="1">ROUND((Table1820[[#This Row],[XP]]*Table1820[[#This Row],[entity_spawned (AVG)]])*(Table1820[[#This Row],[activating_chance]]/100),0)</f>
        <v>65</v>
      </c>
      <c r="EJ227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27">
        <v>1</v>
      </c>
      <c r="EL227">
        <v>1</v>
      </c>
      <c r="EM227" t="b">
        <v>0</v>
      </c>
    </row>
    <row r="228" spans="2:143" x14ac:dyDescent="0.25">
      <c r="B228" s="73" t="s">
        <v>232</v>
      </c>
      <c r="C228">
        <v>1</v>
      </c>
      <c r="D228">
        <v>250</v>
      </c>
      <c r="E228">
        <v>80</v>
      </c>
      <c r="F228" s="75">
        <f ca="1">INDIRECT(ADDRESS(11+(MATCH(RIGHT(Table245[[#This Row],[spawner_sku]],LEN(Table245[[#This Row],[spawner_sku]])-FIND("/",Table245[[#This Row],[spawner_sku]])),Table1[Entity Prefab],0)),10,1,1,"Entities"))</f>
        <v>143</v>
      </c>
      <c r="G228" s="75">
        <f ca="1">ROUND((Table245[[#This Row],[XP]]*Table245[[#This Row],[entity_spawned (AVG)]])*(Table245[[#This Row],[activating_chance]]/100),0)</f>
        <v>114</v>
      </c>
      <c r="H22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8" s="72">
        <v>1</v>
      </c>
      <c r="J228" s="72">
        <v>1</v>
      </c>
      <c r="K228" s="72" t="b">
        <v>0</v>
      </c>
      <c r="AI228" t="s">
        <v>629</v>
      </c>
      <c r="AJ228">
        <v>1</v>
      </c>
      <c r="AK228">
        <v>120</v>
      </c>
      <c r="AL228">
        <v>100</v>
      </c>
      <c r="AM228" s="75">
        <f ca="1">INDIRECT(ADDRESS(11+(MATCH(RIGHT(Table2[[#This Row],[spawner_sku]],LEN(Table2[[#This Row],[spawner_sku]])-FIND("/",Table2[[#This Row],[spawner_sku]])),Table1[Entity Prefab],0)),10,1,1,"Entities"))</f>
        <v>50</v>
      </c>
      <c r="AN228" s="75">
        <f ca="1">ROUND((Table2[[#This Row],[XP]]*Table2[[#This Row],[entity_spawned (AVG)]])*(Table2[[#This Row],[activating_chance]]/100),0)</f>
        <v>50</v>
      </c>
      <c r="AO22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28" s="72">
        <v>1</v>
      </c>
      <c r="AQ228" s="72">
        <v>1</v>
      </c>
      <c r="AR228" s="72" t="b">
        <v>0</v>
      </c>
      <c r="BP228" t="s">
        <v>245</v>
      </c>
      <c r="BQ228">
        <v>2</v>
      </c>
      <c r="BR228">
        <v>130</v>
      </c>
      <c r="BS228">
        <v>100</v>
      </c>
      <c r="BT22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28" s="75">
        <f ca="1">ROUND((Table61011[[#This Row],[XP]]*Table61011[[#This Row],[entity_spawned (AVG)]])*(Table61011[[#This Row],[activating_chance]]/100),0)</f>
        <v>50</v>
      </c>
      <c r="BV22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8" s="72">
        <v>2</v>
      </c>
      <c r="BX228" s="72">
        <v>2</v>
      </c>
      <c r="BY228" s="72" t="b">
        <v>0</v>
      </c>
      <c r="CA228" t="s">
        <v>472</v>
      </c>
      <c r="CB228">
        <v>1</v>
      </c>
      <c r="CC228">
        <v>280</v>
      </c>
      <c r="CD228">
        <v>100</v>
      </c>
      <c r="CE228" s="75">
        <f ca="1">INDIRECT(ADDRESS(11+(MATCH(RIGHT(Table11[[#This Row],[spawner_sku]],LEN(Table11[[#This Row],[spawner_sku]])-FIND("/",Table11[[#This Row],[spawner_sku]])),Table1[Entity Prefab],0)),10,1,1,"Entities"))</f>
        <v>143</v>
      </c>
      <c r="CF228">
        <f ca="1">ROUND((Table11[[#This Row],[XP]]*Table11[[#This Row],[entity_spawned (AVG)]])*(Table11[[#This Row],[activating_chance]]/100),0)</f>
        <v>143</v>
      </c>
      <c r="CG228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28" s="72">
        <v>1</v>
      </c>
      <c r="CI228" s="72">
        <v>1</v>
      </c>
      <c r="CJ228" s="72" t="b">
        <v>0</v>
      </c>
      <c r="CW228" t="s">
        <v>255</v>
      </c>
      <c r="CX228">
        <v>1</v>
      </c>
      <c r="CY228">
        <v>150</v>
      </c>
      <c r="CZ228">
        <v>100</v>
      </c>
      <c r="DA228" s="75">
        <f ca="1">INDIRECT(ADDRESS(11+(MATCH(RIGHT(Table13[[#This Row],[spawner_sku]],LEN(Table13[[#This Row],[spawner_sku]])-FIND("/",Table13[[#This Row],[spawner_sku]])),Table1[Entity Prefab],0)),10,1,1,"Entities"))</f>
        <v>25</v>
      </c>
      <c r="DB228" s="75">
        <f ca="1">ROUND((Table13[[#This Row],[XP]]*Table13[[#This Row],[entity_spawned (AVG)]])*(Table13[[#This Row],[activating_chance]]/100),0)</f>
        <v>25</v>
      </c>
      <c r="DC228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28" s="72">
        <v>1</v>
      </c>
      <c r="DE228" s="72">
        <v>1</v>
      </c>
      <c r="DF228" s="72" t="b">
        <v>0</v>
      </c>
      <c r="DH228" t="s">
        <v>236</v>
      </c>
      <c r="DI228">
        <v>1</v>
      </c>
      <c r="DJ228">
        <v>150</v>
      </c>
      <c r="DK228">
        <v>100</v>
      </c>
      <c r="DL228" s="75">
        <f ca="1">INDIRECT(ADDRESS(11+(MATCH(RIGHT(Table14[[#This Row],[spawner_sku]],LEN(Table14[[#This Row],[spawner_sku]])-FIND("/",Table14[[#This Row],[spawner_sku]])),Table1[Entity Prefab],0)),10,1,1,"Entities"))</f>
        <v>70</v>
      </c>
      <c r="DM228" s="75">
        <f ca="1">ROUND((Table14[[#This Row],[XP]]*Table14[[#This Row],[entity_spawned (AVG)]])*(Table14[[#This Row],[activating_chance]]/100),0)</f>
        <v>70</v>
      </c>
      <c r="DN22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228" s="72">
        <v>1</v>
      </c>
      <c r="DP228" s="72">
        <v>1</v>
      </c>
      <c r="DQ228" s="72" t="b">
        <v>0</v>
      </c>
      <c r="DS228" t="s">
        <v>607</v>
      </c>
      <c r="DT228">
        <v>1</v>
      </c>
      <c r="DU228">
        <v>160</v>
      </c>
      <c r="DV228">
        <v>100</v>
      </c>
      <c r="DW228" s="75">
        <f ca="1">INDIRECT(ADDRESS(11+(MATCH(RIGHT(Table18[[#This Row],[spawner_sku]],LEN(Table18[[#This Row],[spawner_sku]])-FIND("/",Table18[[#This Row],[spawner_sku]])),Table1[Entity Prefab],0)),10,1,1,"Entities"))</f>
        <v>50</v>
      </c>
      <c r="DX228" s="75">
        <f ca="1">ROUND((Table18[[#This Row],[XP]]*Table18[[#This Row],[entity_spawned (AVG)]])*(Table18[[#This Row],[activating_chance]]/100),0)</f>
        <v>50</v>
      </c>
      <c r="DY228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228">
        <v>1</v>
      </c>
      <c r="EA228">
        <v>1</v>
      </c>
      <c r="EB228" t="b">
        <v>0</v>
      </c>
      <c r="ED228" t="s">
        <v>633</v>
      </c>
      <c r="EE228">
        <v>1</v>
      </c>
      <c r="EF228">
        <v>140</v>
      </c>
      <c r="EG228">
        <v>100</v>
      </c>
      <c r="EH228" s="75">
        <f ca="1">INDIRECT(ADDRESS(11+(MATCH(RIGHT(Table1820[[#This Row],[spawner_sku]],LEN(Table1820[[#This Row],[spawner_sku]])-FIND("/",Table1820[[#This Row],[spawner_sku]])),Table1[Entity Prefab],0)),10,1,1,"Entities"))</f>
        <v>65</v>
      </c>
      <c r="EI228" s="75">
        <f ca="1">ROUND((Table1820[[#This Row],[XP]]*Table1820[[#This Row],[entity_spawned (AVG)]])*(Table1820[[#This Row],[activating_chance]]/100),0)</f>
        <v>65</v>
      </c>
      <c r="EJ228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28">
        <v>1</v>
      </c>
      <c r="EL228">
        <v>1</v>
      </c>
      <c r="EM228" t="b">
        <v>0</v>
      </c>
    </row>
    <row r="229" spans="2:143" x14ac:dyDescent="0.25">
      <c r="B229" s="73" t="s">
        <v>232</v>
      </c>
      <c r="C229">
        <v>1.5</v>
      </c>
      <c r="D229">
        <v>200</v>
      </c>
      <c r="E229">
        <v>100</v>
      </c>
      <c r="F229" s="75">
        <f ca="1">INDIRECT(ADDRESS(11+(MATCH(RIGHT(Table245[[#This Row],[spawner_sku]],LEN(Table245[[#This Row],[spawner_sku]])-FIND("/",Table245[[#This Row],[spawner_sku]])),Table1[Entity Prefab],0)),10,1,1,"Entities"))</f>
        <v>143</v>
      </c>
      <c r="G229" s="75">
        <f ca="1">ROUND((Table245[[#This Row],[XP]]*Table245[[#This Row],[entity_spawned (AVG)]])*(Table245[[#This Row],[activating_chance]]/100),0)</f>
        <v>215</v>
      </c>
      <c r="H22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9" s="72">
        <v>1</v>
      </c>
      <c r="J229" s="72">
        <v>2</v>
      </c>
      <c r="K229" s="72" t="b">
        <v>0</v>
      </c>
      <c r="AI229" t="s">
        <v>389</v>
      </c>
      <c r="AJ229">
        <v>1</v>
      </c>
      <c r="AK229">
        <v>450</v>
      </c>
      <c r="AL229">
        <v>100</v>
      </c>
      <c r="AM229" s="75">
        <f ca="1">INDIRECT(ADDRESS(11+(MATCH(RIGHT(Table2[[#This Row],[spawner_sku]],LEN(Table2[[#This Row],[spawner_sku]])-FIND("/",Table2[[#This Row],[spawner_sku]])),Table1[Entity Prefab],0)),10,1,1,"Entities"))</f>
        <v>0</v>
      </c>
      <c r="AN229" s="75">
        <f ca="1">ROUND((Table2[[#This Row],[XP]]*Table2[[#This Row],[entity_spawned (AVG)]])*(Table2[[#This Row],[activating_chance]]/100),0)</f>
        <v>0</v>
      </c>
      <c r="AO22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29" s="72">
        <v>1</v>
      </c>
      <c r="AQ229" s="72">
        <v>1</v>
      </c>
      <c r="AR229" s="72" t="b">
        <v>0</v>
      </c>
      <c r="BP229" t="s">
        <v>245</v>
      </c>
      <c r="BQ229">
        <v>2</v>
      </c>
      <c r="BR229">
        <v>130</v>
      </c>
      <c r="BS229">
        <v>100</v>
      </c>
      <c r="BT22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29" s="75">
        <f ca="1">ROUND((Table61011[[#This Row],[XP]]*Table61011[[#This Row],[entity_spawned (AVG)]])*(Table61011[[#This Row],[activating_chance]]/100),0)</f>
        <v>50</v>
      </c>
      <c r="BV22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9" s="72">
        <v>2</v>
      </c>
      <c r="BX229" s="72">
        <v>2</v>
      </c>
      <c r="BY229" s="72" t="b">
        <v>0</v>
      </c>
      <c r="CA229" t="s">
        <v>472</v>
      </c>
      <c r="CB229">
        <v>1</v>
      </c>
      <c r="CC229">
        <v>280</v>
      </c>
      <c r="CD229">
        <v>100</v>
      </c>
      <c r="CE229" s="75">
        <f ca="1">INDIRECT(ADDRESS(11+(MATCH(RIGHT(Table11[[#This Row],[spawner_sku]],LEN(Table11[[#This Row],[spawner_sku]])-FIND("/",Table11[[#This Row],[spawner_sku]])),Table1[Entity Prefab],0)),10,1,1,"Entities"))</f>
        <v>143</v>
      </c>
      <c r="CF229">
        <f ca="1">ROUND((Table11[[#This Row],[XP]]*Table11[[#This Row],[entity_spawned (AVG)]])*(Table11[[#This Row],[activating_chance]]/100),0)</f>
        <v>143</v>
      </c>
      <c r="CG229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29" s="72">
        <v>1</v>
      </c>
      <c r="CI229" s="72">
        <v>1</v>
      </c>
      <c r="CJ229" s="72" t="b">
        <v>0</v>
      </c>
      <c r="CW229" t="s">
        <v>255</v>
      </c>
      <c r="CX229">
        <v>1</v>
      </c>
      <c r="CY229">
        <v>150</v>
      </c>
      <c r="CZ229">
        <v>80</v>
      </c>
      <c r="DA229" s="75">
        <f ca="1">INDIRECT(ADDRESS(11+(MATCH(RIGHT(Table13[[#This Row],[spawner_sku]],LEN(Table13[[#This Row],[spawner_sku]])-FIND("/",Table13[[#This Row],[spawner_sku]])),Table1[Entity Prefab],0)),10,1,1,"Entities"))</f>
        <v>25</v>
      </c>
      <c r="DB229" s="75">
        <f ca="1">ROUND((Table13[[#This Row],[XP]]*Table13[[#This Row],[entity_spawned (AVG)]])*(Table13[[#This Row],[activating_chance]]/100),0)</f>
        <v>20</v>
      </c>
      <c r="DC229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29" s="72">
        <v>1</v>
      </c>
      <c r="DE229" s="72">
        <v>1</v>
      </c>
      <c r="DF229" s="72" t="b">
        <v>0</v>
      </c>
      <c r="DH229" t="s">
        <v>236</v>
      </c>
      <c r="DI229">
        <v>1</v>
      </c>
      <c r="DJ229">
        <v>120</v>
      </c>
      <c r="DK229">
        <v>100</v>
      </c>
      <c r="DL229" s="75">
        <f ca="1">INDIRECT(ADDRESS(11+(MATCH(RIGHT(Table14[[#This Row],[spawner_sku]],LEN(Table14[[#This Row],[spawner_sku]])-FIND("/",Table14[[#This Row],[spawner_sku]])),Table1[Entity Prefab],0)),10,1,1,"Entities"))</f>
        <v>70</v>
      </c>
      <c r="DM229" s="75">
        <f ca="1">ROUND((Table14[[#This Row],[XP]]*Table14[[#This Row],[entity_spawned (AVG)]])*(Table14[[#This Row],[activating_chance]]/100),0)</f>
        <v>70</v>
      </c>
      <c r="DN22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229" s="72">
        <v>1</v>
      </c>
      <c r="DP229" s="72">
        <v>1</v>
      </c>
      <c r="DQ229" s="72" t="b">
        <v>0</v>
      </c>
      <c r="DS229" t="s">
        <v>607</v>
      </c>
      <c r="DT229">
        <v>1</v>
      </c>
      <c r="DU229">
        <v>180</v>
      </c>
      <c r="DV229">
        <v>100</v>
      </c>
      <c r="DW229" s="75">
        <f ca="1">INDIRECT(ADDRESS(11+(MATCH(RIGHT(Table18[[#This Row],[spawner_sku]],LEN(Table18[[#This Row],[spawner_sku]])-FIND("/",Table18[[#This Row],[spawner_sku]])),Table1[Entity Prefab],0)),10,1,1,"Entities"))</f>
        <v>50</v>
      </c>
      <c r="DX229" s="75">
        <f ca="1">ROUND((Table18[[#This Row],[XP]]*Table18[[#This Row],[entity_spawned (AVG)]])*(Table18[[#This Row],[activating_chance]]/100),0)</f>
        <v>50</v>
      </c>
      <c r="DY229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229">
        <v>1</v>
      </c>
      <c r="EA229">
        <v>1</v>
      </c>
      <c r="EB229" t="b">
        <v>0</v>
      </c>
      <c r="ED229" t="s">
        <v>633</v>
      </c>
      <c r="EE229">
        <v>1</v>
      </c>
      <c r="EF229">
        <v>140</v>
      </c>
      <c r="EG229">
        <v>100</v>
      </c>
      <c r="EH229" s="75">
        <f ca="1">INDIRECT(ADDRESS(11+(MATCH(RIGHT(Table1820[[#This Row],[spawner_sku]],LEN(Table1820[[#This Row],[spawner_sku]])-FIND("/",Table1820[[#This Row],[spawner_sku]])),Table1[Entity Prefab],0)),10,1,1,"Entities"))</f>
        <v>65</v>
      </c>
      <c r="EI229" s="75">
        <f ca="1">ROUND((Table1820[[#This Row],[XP]]*Table1820[[#This Row],[entity_spawned (AVG)]])*(Table1820[[#This Row],[activating_chance]]/100),0)</f>
        <v>65</v>
      </c>
      <c r="EJ229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29">
        <v>1</v>
      </c>
      <c r="EL229">
        <v>1</v>
      </c>
      <c r="EM229" t="b">
        <v>0</v>
      </c>
    </row>
    <row r="230" spans="2:143" x14ac:dyDescent="0.25">
      <c r="B230" s="73" t="s">
        <v>232</v>
      </c>
      <c r="C230">
        <v>1</v>
      </c>
      <c r="D230">
        <v>200</v>
      </c>
      <c r="E230">
        <v>100</v>
      </c>
      <c r="F230" s="75">
        <f ca="1">INDIRECT(ADDRESS(11+(MATCH(RIGHT(Table245[[#This Row],[spawner_sku]],LEN(Table245[[#This Row],[spawner_sku]])-FIND("/",Table245[[#This Row],[spawner_sku]])),Table1[Entity Prefab],0)),10,1,1,"Entities"))</f>
        <v>143</v>
      </c>
      <c r="G230" s="75">
        <f ca="1">ROUND((Table245[[#This Row],[XP]]*Table245[[#This Row],[entity_spawned (AVG)]])*(Table245[[#This Row],[activating_chance]]/100),0)</f>
        <v>143</v>
      </c>
      <c r="H23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0" s="72">
        <v>1</v>
      </c>
      <c r="J230" s="72">
        <v>1</v>
      </c>
      <c r="K230" s="72" t="b">
        <v>0</v>
      </c>
      <c r="AI230" t="s">
        <v>389</v>
      </c>
      <c r="AJ230">
        <v>1</v>
      </c>
      <c r="AK230">
        <v>450</v>
      </c>
      <c r="AL230">
        <v>100</v>
      </c>
      <c r="AM230" s="75">
        <f ca="1">INDIRECT(ADDRESS(11+(MATCH(RIGHT(Table2[[#This Row],[spawner_sku]],LEN(Table2[[#This Row],[spawner_sku]])-FIND("/",Table2[[#This Row],[spawner_sku]])),Table1[Entity Prefab],0)),10,1,1,"Entities"))</f>
        <v>0</v>
      </c>
      <c r="AN230" s="75">
        <f ca="1">ROUND((Table2[[#This Row],[XP]]*Table2[[#This Row],[entity_spawned (AVG)]])*(Table2[[#This Row],[activating_chance]]/100),0)</f>
        <v>0</v>
      </c>
      <c r="AO23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30" s="72">
        <v>1</v>
      </c>
      <c r="AQ230" s="72">
        <v>1</v>
      </c>
      <c r="AR230" s="72" t="b">
        <v>0</v>
      </c>
      <c r="BP230" t="s">
        <v>245</v>
      </c>
      <c r="BQ230">
        <v>3.5</v>
      </c>
      <c r="BR230">
        <v>200</v>
      </c>
      <c r="BS230">
        <v>80</v>
      </c>
      <c r="BT23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30" s="75">
        <f ca="1">ROUND((Table61011[[#This Row],[XP]]*Table61011[[#This Row],[entity_spawned (AVG)]])*(Table61011[[#This Row],[activating_chance]]/100),0)</f>
        <v>70</v>
      </c>
      <c r="BV23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0" s="72">
        <v>3</v>
      </c>
      <c r="BX230" s="72">
        <v>4</v>
      </c>
      <c r="BY230" s="72" t="b">
        <v>0</v>
      </c>
      <c r="CA230" t="s">
        <v>473</v>
      </c>
      <c r="CB230">
        <v>1</v>
      </c>
      <c r="CC230">
        <v>300</v>
      </c>
      <c r="CD230">
        <v>100</v>
      </c>
      <c r="CE230" s="75">
        <f ca="1">INDIRECT(ADDRESS(11+(MATCH(RIGHT(Table11[[#This Row],[spawner_sku]],LEN(Table11[[#This Row],[spawner_sku]])-FIND("/",Table11[[#This Row],[spawner_sku]])),Table1[Entity Prefab],0)),10,1,1,"Entities"))</f>
        <v>130</v>
      </c>
      <c r="CF230">
        <f ca="1">ROUND((Table11[[#This Row],[XP]]*Table11[[#This Row],[entity_spawned (AVG)]])*(Table11[[#This Row],[activating_chance]]/100),0)</f>
        <v>130</v>
      </c>
      <c r="CG230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30" s="72">
        <v>1</v>
      </c>
      <c r="CI230" s="72">
        <v>1</v>
      </c>
      <c r="CJ230" s="72" t="b">
        <v>0</v>
      </c>
      <c r="CW230" t="s">
        <v>255</v>
      </c>
      <c r="CX230">
        <v>1</v>
      </c>
      <c r="CY230">
        <v>150</v>
      </c>
      <c r="CZ230">
        <v>80</v>
      </c>
      <c r="DA230" s="75">
        <f ca="1">INDIRECT(ADDRESS(11+(MATCH(RIGHT(Table13[[#This Row],[spawner_sku]],LEN(Table13[[#This Row],[spawner_sku]])-FIND("/",Table13[[#This Row],[spawner_sku]])),Table1[Entity Prefab],0)),10,1,1,"Entities"))</f>
        <v>25</v>
      </c>
      <c r="DB230" s="75">
        <f ca="1">ROUND((Table13[[#This Row],[XP]]*Table13[[#This Row],[entity_spawned (AVG)]])*(Table13[[#This Row],[activating_chance]]/100),0)</f>
        <v>20</v>
      </c>
      <c r="DC230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30" s="72">
        <v>1</v>
      </c>
      <c r="DE230" s="72">
        <v>1</v>
      </c>
      <c r="DF230" s="72" t="b">
        <v>0</v>
      </c>
      <c r="DH230" t="s">
        <v>236</v>
      </c>
      <c r="DI230">
        <v>1</v>
      </c>
      <c r="DJ230">
        <v>130</v>
      </c>
      <c r="DK230">
        <v>100</v>
      </c>
      <c r="DL230" s="75">
        <f ca="1">INDIRECT(ADDRESS(11+(MATCH(RIGHT(Table14[[#This Row],[spawner_sku]],LEN(Table14[[#This Row],[spawner_sku]])-FIND("/",Table14[[#This Row],[spawner_sku]])),Table1[Entity Prefab],0)),10,1,1,"Entities"))</f>
        <v>70</v>
      </c>
      <c r="DM230" s="75">
        <f ca="1">ROUND((Table14[[#This Row],[XP]]*Table14[[#This Row],[entity_spawned (AVG)]])*(Table14[[#This Row],[activating_chance]]/100),0)</f>
        <v>70</v>
      </c>
      <c r="DN23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230" s="72">
        <v>1</v>
      </c>
      <c r="DP230" s="72">
        <v>1</v>
      </c>
      <c r="DQ230" s="72" t="b">
        <v>0</v>
      </c>
      <c r="DS230" t="s">
        <v>607</v>
      </c>
      <c r="DT230">
        <v>1</v>
      </c>
      <c r="DU230">
        <v>160</v>
      </c>
      <c r="DV230">
        <v>100</v>
      </c>
      <c r="DW230" s="75">
        <f ca="1">INDIRECT(ADDRESS(11+(MATCH(RIGHT(Table18[[#This Row],[spawner_sku]],LEN(Table18[[#This Row],[spawner_sku]])-FIND("/",Table18[[#This Row],[spawner_sku]])),Table1[Entity Prefab],0)),10,1,1,"Entities"))</f>
        <v>50</v>
      </c>
      <c r="DX230" s="75">
        <f ca="1">ROUND((Table18[[#This Row],[XP]]*Table18[[#This Row],[entity_spawned (AVG)]])*(Table18[[#This Row],[activating_chance]]/100),0)</f>
        <v>50</v>
      </c>
      <c r="DY230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230">
        <v>1</v>
      </c>
      <c r="EA230">
        <v>1</v>
      </c>
      <c r="EB230" t="b">
        <v>0</v>
      </c>
      <c r="ED230" t="s">
        <v>633</v>
      </c>
      <c r="EE230">
        <v>1</v>
      </c>
      <c r="EF230">
        <v>140</v>
      </c>
      <c r="EG230">
        <v>100</v>
      </c>
      <c r="EH230" s="75">
        <f ca="1">INDIRECT(ADDRESS(11+(MATCH(RIGHT(Table1820[[#This Row],[spawner_sku]],LEN(Table1820[[#This Row],[spawner_sku]])-FIND("/",Table1820[[#This Row],[spawner_sku]])),Table1[Entity Prefab],0)),10,1,1,"Entities"))</f>
        <v>65</v>
      </c>
      <c r="EI230" s="75">
        <f ca="1">ROUND((Table1820[[#This Row],[XP]]*Table1820[[#This Row],[entity_spawned (AVG)]])*(Table1820[[#This Row],[activating_chance]]/100),0)</f>
        <v>65</v>
      </c>
      <c r="EJ230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30">
        <v>1</v>
      </c>
      <c r="EL230">
        <v>1</v>
      </c>
      <c r="EM230" t="b">
        <v>0</v>
      </c>
    </row>
    <row r="231" spans="2:143" x14ac:dyDescent="0.25">
      <c r="B231" s="73" t="s">
        <v>232</v>
      </c>
      <c r="C231">
        <v>1</v>
      </c>
      <c r="D231">
        <v>180</v>
      </c>
      <c r="E231">
        <v>100</v>
      </c>
      <c r="F231" s="75">
        <f ca="1">INDIRECT(ADDRESS(11+(MATCH(RIGHT(Table245[[#This Row],[spawner_sku]],LEN(Table245[[#This Row],[spawner_sku]])-FIND("/",Table245[[#This Row],[spawner_sku]])),Table1[Entity Prefab],0)),10,1,1,"Entities"))</f>
        <v>143</v>
      </c>
      <c r="G231" s="75">
        <f ca="1">ROUND((Table245[[#This Row],[XP]]*Table245[[#This Row],[entity_spawned (AVG)]])*(Table245[[#This Row],[activating_chance]]/100),0)</f>
        <v>143</v>
      </c>
      <c r="H23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1" s="72">
        <v>1</v>
      </c>
      <c r="J231" s="72">
        <v>1</v>
      </c>
      <c r="K231" s="72" t="b">
        <v>0</v>
      </c>
      <c r="AI231" t="s">
        <v>389</v>
      </c>
      <c r="AJ231">
        <v>1</v>
      </c>
      <c r="AK231">
        <v>450</v>
      </c>
      <c r="AL231">
        <v>100</v>
      </c>
      <c r="AM231" s="75">
        <f ca="1">INDIRECT(ADDRESS(11+(MATCH(RIGHT(Table2[[#This Row],[spawner_sku]],LEN(Table2[[#This Row],[spawner_sku]])-FIND("/",Table2[[#This Row],[spawner_sku]])),Table1[Entity Prefab],0)),10,1,1,"Entities"))</f>
        <v>0</v>
      </c>
      <c r="AN231" s="75">
        <f ca="1">ROUND((Table2[[#This Row],[XP]]*Table2[[#This Row],[entity_spawned (AVG)]])*(Table2[[#This Row],[activating_chance]]/100),0)</f>
        <v>0</v>
      </c>
      <c r="AO23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31" s="72">
        <v>1</v>
      </c>
      <c r="AQ231" s="72">
        <v>1</v>
      </c>
      <c r="AR231" s="72" t="b">
        <v>0</v>
      </c>
      <c r="BP231" t="s">
        <v>245</v>
      </c>
      <c r="BQ231">
        <v>2</v>
      </c>
      <c r="BR231">
        <v>130</v>
      </c>
      <c r="BS231">
        <v>100</v>
      </c>
      <c r="BT23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31" s="75">
        <f ca="1">ROUND((Table61011[[#This Row],[XP]]*Table61011[[#This Row],[entity_spawned (AVG)]])*(Table61011[[#This Row],[activating_chance]]/100),0)</f>
        <v>50</v>
      </c>
      <c r="BV23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1" s="72">
        <v>2</v>
      </c>
      <c r="BX231" s="72">
        <v>2</v>
      </c>
      <c r="BY231" s="72" t="b">
        <v>0</v>
      </c>
      <c r="CA231" t="s">
        <v>539</v>
      </c>
      <c r="CB231">
        <v>1</v>
      </c>
      <c r="CC231">
        <v>220</v>
      </c>
      <c r="CD231">
        <v>100</v>
      </c>
      <c r="CE231" s="75">
        <f ca="1">INDIRECT(ADDRESS(11+(MATCH(RIGHT(Table11[[#This Row],[spawner_sku]],LEN(Table11[[#This Row],[spawner_sku]])-FIND("/",Table11[[#This Row],[spawner_sku]])),Table1[Entity Prefab],0)),10,1,1,"Entities"))</f>
        <v>105</v>
      </c>
      <c r="CF231">
        <f ca="1">ROUND((Table11[[#This Row],[XP]]*Table11[[#This Row],[entity_spawned (AVG)]])*(Table11[[#This Row],[activating_chance]]/100),0)</f>
        <v>105</v>
      </c>
      <c r="CG231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31" s="72">
        <v>1</v>
      </c>
      <c r="CI231" s="72">
        <v>1</v>
      </c>
      <c r="CJ231" s="72" t="b">
        <v>0</v>
      </c>
      <c r="CW231" t="s">
        <v>255</v>
      </c>
      <c r="CX231">
        <v>1</v>
      </c>
      <c r="CY231">
        <v>150</v>
      </c>
      <c r="CZ231">
        <v>100</v>
      </c>
      <c r="DA231" s="75">
        <f ca="1">INDIRECT(ADDRESS(11+(MATCH(RIGHT(Table13[[#This Row],[spawner_sku]],LEN(Table13[[#This Row],[spawner_sku]])-FIND("/",Table13[[#This Row],[spawner_sku]])),Table1[Entity Prefab],0)),10,1,1,"Entities"))</f>
        <v>25</v>
      </c>
      <c r="DB231" s="75">
        <f ca="1">ROUND((Table13[[#This Row],[XP]]*Table13[[#This Row],[entity_spawned (AVG)]])*(Table13[[#This Row],[activating_chance]]/100),0)</f>
        <v>25</v>
      </c>
      <c r="DC231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31" s="72">
        <v>1</v>
      </c>
      <c r="DE231" s="72">
        <v>1</v>
      </c>
      <c r="DF231" s="72" t="b">
        <v>0</v>
      </c>
      <c r="DH231" t="s">
        <v>236</v>
      </c>
      <c r="DI231">
        <v>1</v>
      </c>
      <c r="DJ231">
        <v>130</v>
      </c>
      <c r="DK231">
        <v>100</v>
      </c>
      <c r="DL231" s="75">
        <f ca="1">INDIRECT(ADDRESS(11+(MATCH(RIGHT(Table14[[#This Row],[spawner_sku]],LEN(Table14[[#This Row],[spawner_sku]])-FIND("/",Table14[[#This Row],[spawner_sku]])),Table1[Entity Prefab],0)),10,1,1,"Entities"))</f>
        <v>70</v>
      </c>
      <c r="DM231" s="75">
        <f ca="1">ROUND((Table14[[#This Row],[XP]]*Table14[[#This Row],[entity_spawned (AVG)]])*(Table14[[#This Row],[activating_chance]]/100),0)</f>
        <v>70</v>
      </c>
      <c r="DN23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231" s="72">
        <v>1</v>
      </c>
      <c r="DP231" s="72">
        <v>1</v>
      </c>
      <c r="DQ231" s="72" t="b">
        <v>0</v>
      </c>
      <c r="DS231" t="s">
        <v>607</v>
      </c>
      <c r="DT231">
        <v>1</v>
      </c>
      <c r="DU231">
        <v>160</v>
      </c>
      <c r="DV231">
        <v>100</v>
      </c>
      <c r="DW231" s="75">
        <f ca="1">INDIRECT(ADDRESS(11+(MATCH(RIGHT(Table18[[#This Row],[spawner_sku]],LEN(Table18[[#This Row],[spawner_sku]])-FIND("/",Table18[[#This Row],[spawner_sku]])),Table1[Entity Prefab],0)),10,1,1,"Entities"))</f>
        <v>50</v>
      </c>
      <c r="DX231" s="75">
        <f ca="1">ROUND((Table18[[#This Row],[XP]]*Table18[[#This Row],[entity_spawned (AVG)]])*(Table18[[#This Row],[activating_chance]]/100),0)</f>
        <v>50</v>
      </c>
      <c r="DY231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231">
        <v>1</v>
      </c>
      <c r="EA231">
        <v>1</v>
      </c>
      <c r="EB231" t="b">
        <v>0</v>
      </c>
      <c r="ED231" t="s">
        <v>633</v>
      </c>
      <c r="EE231">
        <v>1</v>
      </c>
      <c r="EF231">
        <v>140</v>
      </c>
      <c r="EG231">
        <v>100</v>
      </c>
      <c r="EH231" s="75">
        <f ca="1">INDIRECT(ADDRESS(11+(MATCH(RIGHT(Table1820[[#This Row],[spawner_sku]],LEN(Table1820[[#This Row],[spawner_sku]])-FIND("/",Table1820[[#This Row],[spawner_sku]])),Table1[Entity Prefab],0)),10,1,1,"Entities"))</f>
        <v>65</v>
      </c>
      <c r="EI231" s="75">
        <f ca="1">ROUND((Table1820[[#This Row],[XP]]*Table1820[[#This Row],[entity_spawned (AVG)]])*(Table1820[[#This Row],[activating_chance]]/100),0)</f>
        <v>65</v>
      </c>
      <c r="EJ231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31">
        <v>1</v>
      </c>
      <c r="EL231">
        <v>1</v>
      </c>
      <c r="EM231" t="b">
        <v>0</v>
      </c>
    </row>
    <row r="232" spans="2:143" x14ac:dyDescent="0.25">
      <c r="B232" s="73" t="s">
        <v>232</v>
      </c>
      <c r="C232">
        <v>1</v>
      </c>
      <c r="D232">
        <v>250</v>
      </c>
      <c r="E232">
        <v>100</v>
      </c>
      <c r="F232" s="75">
        <f ca="1">INDIRECT(ADDRESS(11+(MATCH(RIGHT(Table245[[#This Row],[spawner_sku]],LEN(Table245[[#This Row],[spawner_sku]])-FIND("/",Table245[[#This Row],[spawner_sku]])),Table1[Entity Prefab],0)),10,1,1,"Entities"))</f>
        <v>143</v>
      </c>
      <c r="G232" s="75">
        <f ca="1">ROUND((Table245[[#This Row],[XP]]*Table245[[#This Row],[entity_spawned (AVG)]])*(Table245[[#This Row],[activating_chance]]/100),0)</f>
        <v>143</v>
      </c>
      <c r="H23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2" s="72">
        <v>1</v>
      </c>
      <c r="J232" s="72">
        <v>1</v>
      </c>
      <c r="K232" s="72" t="b">
        <v>0</v>
      </c>
      <c r="AI232" t="s">
        <v>469</v>
      </c>
      <c r="AJ232">
        <v>1</v>
      </c>
      <c r="AK232">
        <v>220</v>
      </c>
      <c r="AL232">
        <v>100</v>
      </c>
      <c r="AM232" s="75">
        <f ca="1">INDIRECT(ADDRESS(11+(MATCH(RIGHT(Table2[[#This Row],[spawner_sku]],LEN(Table2[[#This Row],[spawner_sku]])-FIND("/",Table2[[#This Row],[spawner_sku]])),Table1[Entity Prefab],0)),10,1,1,"Entities"))</f>
        <v>50</v>
      </c>
      <c r="AN232" s="75">
        <f ca="1">ROUND((Table2[[#This Row],[XP]]*Table2[[#This Row],[entity_spawned (AVG)]])*(Table2[[#This Row],[activating_chance]]/100),0)</f>
        <v>50</v>
      </c>
      <c r="AO232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32" s="72">
        <v>1</v>
      </c>
      <c r="AQ232" s="72">
        <v>1</v>
      </c>
      <c r="AR232" s="72" t="b">
        <v>0</v>
      </c>
      <c r="BP232" t="s">
        <v>245</v>
      </c>
      <c r="BQ232">
        <v>1.5</v>
      </c>
      <c r="BR232">
        <v>110</v>
      </c>
      <c r="BS232">
        <v>100</v>
      </c>
      <c r="BT23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32" s="75">
        <f ca="1">ROUND((Table61011[[#This Row],[XP]]*Table61011[[#This Row],[entity_spawned (AVG)]])*(Table61011[[#This Row],[activating_chance]]/100),0)</f>
        <v>38</v>
      </c>
      <c r="BV23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2" s="72">
        <v>1</v>
      </c>
      <c r="BX232" s="72">
        <v>2</v>
      </c>
      <c r="BY232" s="72" t="b">
        <v>0</v>
      </c>
      <c r="CA232" t="s">
        <v>521</v>
      </c>
      <c r="CB232">
        <v>1</v>
      </c>
      <c r="CC232">
        <v>350</v>
      </c>
      <c r="CD232">
        <v>100</v>
      </c>
      <c r="CE232" s="75">
        <f ca="1">INDIRECT(ADDRESS(11+(MATCH(RIGHT(Table11[[#This Row],[spawner_sku]],LEN(Table11[[#This Row],[spawner_sku]])-FIND("/",Table11[[#This Row],[spawner_sku]])),Table1[Entity Prefab],0)),10,1,1,"Entities"))</f>
        <v>83</v>
      </c>
      <c r="CF232">
        <f ca="1">ROUND((Table11[[#This Row],[XP]]*Table11[[#This Row],[entity_spawned (AVG)]])*(Table11[[#This Row],[activating_chance]]/100),0)</f>
        <v>83</v>
      </c>
      <c r="CG232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32" s="72">
        <v>1</v>
      </c>
      <c r="CI232" s="72">
        <v>1</v>
      </c>
      <c r="CJ232" s="72" t="b">
        <v>0</v>
      </c>
      <c r="CW232" t="s">
        <v>255</v>
      </c>
      <c r="CX232">
        <v>1</v>
      </c>
      <c r="CY232">
        <v>150</v>
      </c>
      <c r="CZ232">
        <v>80</v>
      </c>
      <c r="DA232" s="75">
        <f ca="1">INDIRECT(ADDRESS(11+(MATCH(RIGHT(Table13[[#This Row],[spawner_sku]],LEN(Table13[[#This Row],[spawner_sku]])-FIND("/",Table13[[#This Row],[spawner_sku]])),Table1[Entity Prefab],0)),10,1,1,"Entities"))</f>
        <v>25</v>
      </c>
      <c r="DB232" s="75">
        <f ca="1">ROUND((Table13[[#This Row],[XP]]*Table13[[#This Row],[entity_spawned (AVG)]])*(Table13[[#This Row],[activating_chance]]/100),0)</f>
        <v>20</v>
      </c>
      <c r="DC232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32" s="72">
        <v>1</v>
      </c>
      <c r="DE232" s="72">
        <v>1</v>
      </c>
      <c r="DF232" s="72" t="b">
        <v>0</v>
      </c>
      <c r="DH232" t="s">
        <v>236</v>
      </c>
      <c r="DI232">
        <v>1</v>
      </c>
      <c r="DJ232">
        <v>120</v>
      </c>
      <c r="DK232">
        <v>100</v>
      </c>
      <c r="DL232" s="75">
        <f ca="1">INDIRECT(ADDRESS(11+(MATCH(RIGHT(Table14[[#This Row],[spawner_sku]],LEN(Table14[[#This Row],[spawner_sku]])-FIND("/",Table14[[#This Row],[spawner_sku]])),Table1[Entity Prefab],0)),10,1,1,"Entities"))</f>
        <v>70</v>
      </c>
      <c r="DM232" s="75">
        <f ca="1">ROUND((Table14[[#This Row],[XP]]*Table14[[#This Row],[entity_spawned (AVG)]])*(Table14[[#This Row],[activating_chance]]/100),0)</f>
        <v>70</v>
      </c>
      <c r="DN23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232" s="72">
        <v>1</v>
      </c>
      <c r="DP232" s="72">
        <v>1</v>
      </c>
      <c r="DQ232" s="72" t="b">
        <v>0</v>
      </c>
      <c r="DS232" t="s">
        <v>607</v>
      </c>
      <c r="DT232">
        <v>1</v>
      </c>
      <c r="DU232">
        <v>160</v>
      </c>
      <c r="DV232">
        <v>100</v>
      </c>
      <c r="DW232" s="75">
        <f ca="1">INDIRECT(ADDRESS(11+(MATCH(RIGHT(Table18[[#This Row],[spawner_sku]],LEN(Table18[[#This Row],[spawner_sku]])-FIND("/",Table18[[#This Row],[spawner_sku]])),Table1[Entity Prefab],0)),10,1,1,"Entities"))</f>
        <v>50</v>
      </c>
      <c r="DX232" s="75">
        <f ca="1">ROUND((Table18[[#This Row],[XP]]*Table18[[#This Row],[entity_spawned (AVG)]])*(Table18[[#This Row],[activating_chance]]/100),0)</f>
        <v>50</v>
      </c>
      <c r="DY232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232">
        <v>1</v>
      </c>
      <c r="EA232">
        <v>1</v>
      </c>
      <c r="EB232" t="b">
        <v>0</v>
      </c>
      <c r="ED232" t="s">
        <v>631</v>
      </c>
      <c r="EE232">
        <v>1</v>
      </c>
      <c r="EF232">
        <v>120</v>
      </c>
      <c r="EG232">
        <v>100</v>
      </c>
      <c r="EH232" s="75">
        <f ca="1">INDIRECT(ADDRESS(11+(MATCH(RIGHT(Table1820[[#This Row],[spawner_sku]],LEN(Table1820[[#This Row],[spawner_sku]])-FIND("/",Table1820[[#This Row],[spawner_sku]])),Table1[Entity Prefab],0)),10,1,1,"Entities"))</f>
        <v>130</v>
      </c>
      <c r="EI232" s="75">
        <f ca="1">ROUND((Table1820[[#This Row],[XP]]*Table1820[[#This Row],[entity_spawned (AVG)]])*(Table1820[[#This Row],[activating_chance]]/100),0)</f>
        <v>130</v>
      </c>
      <c r="EJ232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32">
        <v>1</v>
      </c>
      <c r="EL232">
        <v>1</v>
      </c>
      <c r="EM232" t="b">
        <v>0</v>
      </c>
    </row>
    <row r="233" spans="2:143" x14ac:dyDescent="0.25">
      <c r="B233" s="73" t="s">
        <v>232</v>
      </c>
      <c r="C233">
        <v>1</v>
      </c>
      <c r="D233">
        <v>180</v>
      </c>
      <c r="E233">
        <v>100</v>
      </c>
      <c r="F233" s="75">
        <f ca="1">INDIRECT(ADDRESS(11+(MATCH(RIGHT(Table245[[#This Row],[spawner_sku]],LEN(Table245[[#This Row],[spawner_sku]])-FIND("/",Table245[[#This Row],[spawner_sku]])),Table1[Entity Prefab],0)),10,1,1,"Entities"))</f>
        <v>143</v>
      </c>
      <c r="G233" s="75">
        <f ca="1">ROUND((Table245[[#This Row],[XP]]*Table245[[#This Row],[entity_spawned (AVG)]])*(Table245[[#This Row],[activating_chance]]/100),0)</f>
        <v>143</v>
      </c>
      <c r="H23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3" s="72">
        <v>1</v>
      </c>
      <c r="J233" s="72">
        <v>1</v>
      </c>
      <c r="K233" s="72" t="b">
        <v>0</v>
      </c>
      <c r="AI233" t="s">
        <v>469</v>
      </c>
      <c r="AJ233">
        <v>1</v>
      </c>
      <c r="AK233">
        <v>220</v>
      </c>
      <c r="AL233">
        <v>100</v>
      </c>
      <c r="AM233" s="75">
        <f ca="1">INDIRECT(ADDRESS(11+(MATCH(RIGHT(Table2[[#This Row],[spawner_sku]],LEN(Table2[[#This Row],[spawner_sku]])-FIND("/",Table2[[#This Row],[spawner_sku]])),Table1[Entity Prefab],0)),10,1,1,"Entities"))</f>
        <v>50</v>
      </c>
      <c r="AN233" s="75">
        <f ca="1">ROUND((Table2[[#This Row],[XP]]*Table2[[#This Row],[entity_spawned (AVG)]])*(Table2[[#This Row],[activating_chance]]/100),0)</f>
        <v>50</v>
      </c>
      <c r="AO23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33" s="72">
        <v>1</v>
      </c>
      <c r="AQ233" s="72">
        <v>1</v>
      </c>
      <c r="AR233" s="72" t="b">
        <v>0</v>
      </c>
      <c r="BP233" t="s">
        <v>245</v>
      </c>
      <c r="BQ233">
        <v>2.5</v>
      </c>
      <c r="BR233">
        <v>200</v>
      </c>
      <c r="BS233">
        <v>100</v>
      </c>
      <c r="BT23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33" s="75">
        <f ca="1">ROUND((Table61011[[#This Row],[XP]]*Table61011[[#This Row],[entity_spawned (AVG)]])*(Table61011[[#This Row],[activating_chance]]/100),0)</f>
        <v>63</v>
      </c>
      <c r="BV23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3" s="72">
        <v>2</v>
      </c>
      <c r="BX233" s="72">
        <v>3</v>
      </c>
      <c r="BY233" s="72" t="b">
        <v>0</v>
      </c>
      <c r="CA233" t="s">
        <v>386</v>
      </c>
      <c r="CB233">
        <v>1</v>
      </c>
      <c r="CC233">
        <v>180</v>
      </c>
      <c r="CD233">
        <v>100</v>
      </c>
      <c r="CE233" s="75">
        <f ca="1">INDIRECT(ADDRESS(11+(MATCH(RIGHT(Table11[[#This Row],[spawner_sku]],LEN(Table11[[#This Row],[spawner_sku]])-FIND("/",Table11[[#This Row],[spawner_sku]])),Table1[Entity Prefab],0)),10,1,1,"Entities"))</f>
        <v>75</v>
      </c>
      <c r="CF233">
        <f ca="1">ROUND((Table11[[#This Row],[XP]]*Table11[[#This Row],[entity_spawned (AVG)]])*(Table11[[#This Row],[activating_chance]]/100),0)</f>
        <v>75</v>
      </c>
      <c r="CG233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33" s="72">
        <v>1</v>
      </c>
      <c r="CI233" s="72">
        <v>1</v>
      </c>
      <c r="CJ233" s="72" t="b">
        <v>0</v>
      </c>
      <c r="CW233" t="s">
        <v>255</v>
      </c>
      <c r="CX233">
        <v>1</v>
      </c>
      <c r="CY233">
        <v>150</v>
      </c>
      <c r="CZ233">
        <v>100</v>
      </c>
      <c r="DA233" s="75">
        <f ca="1">INDIRECT(ADDRESS(11+(MATCH(RIGHT(Table13[[#This Row],[spawner_sku]],LEN(Table13[[#This Row],[spawner_sku]])-FIND("/",Table13[[#This Row],[spawner_sku]])),Table1[Entity Prefab],0)),10,1,1,"Entities"))</f>
        <v>25</v>
      </c>
      <c r="DB233" s="75">
        <f ca="1">ROUND((Table13[[#This Row],[XP]]*Table13[[#This Row],[entity_spawned (AVG)]])*(Table13[[#This Row],[activating_chance]]/100),0)</f>
        <v>25</v>
      </c>
      <c r="DC233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33" s="72">
        <v>1</v>
      </c>
      <c r="DE233" s="72">
        <v>1</v>
      </c>
      <c r="DF233" s="72" t="b">
        <v>0</v>
      </c>
      <c r="DH233" t="s">
        <v>236</v>
      </c>
      <c r="DI233">
        <v>1</v>
      </c>
      <c r="DJ233">
        <v>120</v>
      </c>
      <c r="DK233">
        <v>100</v>
      </c>
      <c r="DL233" s="75">
        <f ca="1">INDIRECT(ADDRESS(11+(MATCH(RIGHT(Table14[[#This Row],[spawner_sku]],LEN(Table14[[#This Row],[spawner_sku]])-FIND("/",Table14[[#This Row],[spawner_sku]])),Table1[Entity Prefab],0)),10,1,1,"Entities"))</f>
        <v>70</v>
      </c>
      <c r="DM233" s="75">
        <f ca="1">ROUND((Table14[[#This Row],[XP]]*Table14[[#This Row],[entity_spawned (AVG)]])*(Table14[[#This Row],[activating_chance]]/100),0)</f>
        <v>70</v>
      </c>
      <c r="DN23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233" s="72">
        <v>1</v>
      </c>
      <c r="DP233" s="72">
        <v>1</v>
      </c>
      <c r="DQ233" s="72" t="b">
        <v>0</v>
      </c>
      <c r="DS233" t="s">
        <v>607</v>
      </c>
      <c r="DT233">
        <v>1</v>
      </c>
      <c r="DU233">
        <v>180</v>
      </c>
      <c r="DV233">
        <v>80</v>
      </c>
      <c r="DW233" s="75">
        <f ca="1">INDIRECT(ADDRESS(11+(MATCH(RIGHT(Table18[[#This Row],[spawner_sku]],LEN(Table18[[#This Row],[spawner_sku]])-FIND("/",Table18[[#This Row],[spawner_sku]])),Table1[Entity Prefab],0)),10,1,1,"Entities"))</f>
        <v>50</v>
      </c>
      <c r="DX233" s="75">
        <f ca="1">ROUND((Table18[[#This Row],[XP]]*Table18[[#This Row],[entity_spawned (AVG)]])*(Table18[[#This Row],[activating_chance]]/100),0)</f>
        <v>40</v>
      </c>
      <c r="DY233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233">
        <v>1</v>
      </c>
      <c r="EA233">
        <v>1</v>
      </c>
      <c r="EB233" t="b">
        <v>0</v>
      </c>
      <c r="ED233" t="s">
        <v>647</v>
      </c>
      <c r="EE233">
        <v>1</v>
      </c>
      <c r="EF233">
        <v>120</v>
      </c>
      <c r="EG233">
        <v>100</v>
      </c>
      <c r="EH233" s="75">
        <f ca="1">INDIRECT(ADDRESS(11+(MATCH(RIGHT(Table1820[[#This Row],[spawner_sku]],LEN(Table1820[[#This Row],[spawner_sku]])-FIND("/",Table1820[[#This Row],[spawner_sku]])),Table1[Entity Prefab],0)),10,1,1,"Entities"))</f>
        <v>48</v>
      </c>
      <c r="EI233" s="75">
        <f ca="1">ROUND((Table1820[[#This Row],[XP]]*Table1820[[#This Row],[entity_spawned (AVG)]])*(Table1820[[#This Row],[activating_chance]]/100),0)</f>
        <v>48</v>
      </c>
      <c r="EJ23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33">
        <v>1</v>
      </c>
      <c r="EL233">
        <v>1</v>
      </c>
      <c r="EM233" t="b">
        <v>0</v>
      </c>
    </row>
    <row r="234" spans="2:143" x14ac:dyDescent="0.25">
      <c r="B234" s="73" t="s">
        <v>232</v>
      </c>
      <c r="C234">
        <v>1</v>
      </c>
      <c r="D234">
        <v>180</v>
      </c>
      <c r="E234">
        <v>100</v>
      </c>
      <c r="F234" s="75">
        <f ca="1">INDIRECT(ADDRESS(11+(MATCH(RIGHT(Table245[[#This Row],[spawner_sku]],LEN(Table245[[#This Row],[spawner_sku]])-FIND("/",Table245[[#This Row],[spawner_sku]])),Table1[Entity Prefab],0)),10,1,1,"Entities"))</f>
        <v>143</v>
      </c>
      <c r="G234" s="75">
        <f ca="1">ROUND((Table245[[#This Row],[XP]]*Table245[[#This Row],[entity_spawned (AVG)]])*(Table245[[#This Row],[activating_chance]]/100),0)</f>
        <v>143</v>
      </c>
      <c r="H23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4" s="72">
        <v>1</v>
      </c>
      <c r="J234" s="72">
        <v>1</v>
      </c>
      <c r="K234" s="72" t="b">
        <v>0</v>
      </c>
      <c r="AI234" t="s">
        <v>469</v>
      </c>
      <c r="AJ234">
        <v>1</v>
      </c>
      <c r="AK234">
        <v>220</v>
      </c>
      <c r="AL234">
        <v>100</v>
      </c>
      <c r="AM234" s="75">
        <f ca="1">INDIRECT(ADDRESS(11+(MATCH(RIGHT(Table2[[#This Row],[spawner_sku]],LEN(Table2[[#This Row],[spawner_sku]])-FIND("/",Table2[[#This Row],[spawner_sku]])),Table1[Entity Prefab],0)),10,1,1,"Entities"))</f>
        <v>50</v>
      </c>
      <c r="AN234" s="75">
        <f ca="1">ROUND((Table2[[#This Row],[XP]]*Table2[[#This Row],[entity_spawned (AVG)]])*(Table2[[#This Row],[activating_chance]]/100),0)</f>
        <v>50</v>
      </c>
      <c r="AO234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34" s="72">
        <v>1</v>
      </c>
      <c r="AQ234" s="72">
        <v>1</v>
      </c>
      <c r="AR234" s="72" t="b">
        <v>0</v>
      </c>
      <c r="BP234" t="s">
        <v>245</v>
      </c>
      <c r="BQ234">
        <v>2</v>
      </c>
      <c r="BR234">
        <v>120</v>
      </c>
      <c r="BS234">
        <v>100</v>
      </c>
      <c r="BT23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34" s="75">
        <f ca="1">ROUND((Table61011[[#This Row],[XP]]*Table61011[[#This Row],[entity_spawned (AVG)]])*(Table61011[[#This Row],[activating_chance]]/100),0)</f>
        <v>50</v>
      </c>
      <c r="BV23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4" s="72">
        <v>2</v>
      </c>
      <c r="BX234" s="72">
        <v>2</v>
      </c>
      <c r="BY234" s="72" t="b">
        <v>0</v>
      </c>
      <c r="CA234" t="s">
        <v>386</v>
      </c>
      <c r="CB234">
        <v>1</v>
      </c>
      <c r="CC234">
        <v>180</v>
      </c>
      <c r="CD234">
        <v>100</v>
      </c>
      <c r="CE234" s="75">
        <f ca="1">INDIRECT(ADDRESS(11+(MATCH(RIGHT(Table11[[#This Row],[spawner_sku]],LEN(Table11[[#This Row],[spawner_sku]])-FIND("/",Table11[[#This Row],[spawner_sku]])),Table1[Entity Prefab],0)),10,1,1,"Entities"))</f>
        <v>75</v>
      </c>
      <c r="CF234">
        <f ca="1">ROUND((Table11[[#This Row],[XP]]*Table11[[#This Row],[entity_spawned (AVG)]])*(Table11[[#This Row],[activating_chance]]/100),0)</f>
        <v>75</v>
      </c>
      <c r="CG234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34" s="72">
        <v>1</v>
      </c>
      <c r="CI234" s="72">
        <v>1</v>
      </c>
      <c r="CJ234" s="72" t="b">
        <v>0</v>
      </c>
      <c r="CW234" t="s">
        <v>255</v>
      </c>
      <c r="CX234">
        <v>1</v>
      </c>
      <c r="CY234">
        <v>150</v>
      </c>
      <c r="CZ234">
        <v>80</v>
      </c>
      <c r="DA234" s="75">
        <f ca="1">INDIRECT(ADDRESS(11+(MATCH(RIGHT(Table13[[#This Row],[spawner_sku]],LEN(Table13[[#This Row],[spawner_sku]])-FIND("/",Table13[[#This Row],[spawner_sku]])),Table1[Entity Prefab],0)),10,1,1,"Entities"))</f>
        <v>25</v>
      </c>
      <c r="DB234" s="75">
        <f ca="1">ROUND((Table13[[#This Row],[XP]]*Table13[[#This Row],[entity_spawned (AVG)]])*(Table13[[#This Row],[activating_chance]]/100),0)</f>
        <v>20</v>
      </c>
      <c r="DC234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34" s="72">
        <v>1</v>
      </c>
      <c r="DE234" s="72">
        <v>1</v>
      </c>
      <c r="DF234" s="72" t="b">
        <v>0</v>
      </c>
      <c r="DH234" t="s">
        <v>236</v>
      </c>
      <c r="DI234">
        <v>1</v>
      </c>
      <c r="DJ234">
        <v>90</v>
      </c>
      <c r="DK234">
        <v>100</v>
      </c>
      <c r="DL234" s="75">
        <f ca="1">INDIRECT(ADDRESS(11+(MATCH(RIGHT(Table14[[#This Row],[spawner_sku]],LEN(Table14[[#This Row],[spawner_sku]])-FIND("/",Table14[[#This Row],[spawner_sku]])),Table1[Entity Prefab],0)),10,1,1,"Entities"))</f>
        <v>70</v>
      </c>
      <c r="DM234" s="75">
        <f ca="1">ROUND((Table14[[#This Row],[XP]]*Table14[[#This Row],[entity_spawned (AVG)]])*(Table14[[#This Row],[activating_chance]]/100),0)</f>
        <v>70</v>
      </c>
      <c r="DN23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234" s="72">
        <v>1</v>
      </c>
      <c r="DP234" s="72">
        <v>1</v>
      </c>
      <c r="DQ234" s="72" t="b">
        <v>0</v>
      </c>
      <c r="DS234" t="s">
        <v>608</v>
      </c>
      <c r="DT234">
        <v>1</v>
      </c>
      <c r="DU234">
        <v>160</v>
      </c>
      <c r="DV234">
        <v>100</v>
      </c>
      <c r="DW234" s="75">
        <f ca="1">INDIRECT(ADDRESS(11+(MATCH(RIGHT(Table18[[#This Row],[spawner_sku]],LEN(Table18[[#This Row],[spawner_sku]])-FIND("/",Table18[[#This Row],[spawner_sku]])),Table1[Entity Prefab],0)),10,1,1,"Entities"))</f>
        <v>50</v>
      </c>
      <c r="DX234" s="75">
        <f ca="1">ROUND((Table18[[#This Row],[XP]]*Table18[[#This Row],[entity_spawned (AVG)]])*(Table18[[#This Row],[activating_chance]]/100),0)</f>
        <v>50</v>
      </c>
      <c r="DY234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234">
        <v>1</v>
      </c>
      <c r="EA234">
        <v>1</v>
      </c>
      <c r="EB234" t="b">
        <v>0</v>
      </c>
      <c r="ED234" t="s">
        <v>647</v>
      </c>
      <c r="EE234">
        <v>1</v>
      </c>
      <c r="EF234">
        <v>120</v>
      </c>
      <c r="EG234">
        <v>30</v>
      </c>
      <c r="EH234" s="75">
        <f ca="1">INDIRECT(ADDRESS(11+(MATCH(RIGHT(Table1820[[#This Row],[spawner_sku]],LEN(Table1820[[#This Row],[spawner_sku]])-FIND("/",Table1820[[#This Row],[spawner_sku]])),Table1[Entity Prefab],0)),10,1,1,"Entities"))</f>
        <v>48</v>
      </c>
      <c r="EI234" s="75">
        <f ca="1">ROUND((Table1820[[#This Row],[XP]]*Table1820[[#This Row],[entity_spawned (AVG)]])*(Table1820[[#This Row],[activating_chance]]/100),0)</f>
        <v>14</v>
      </c>
      <c r="EJ23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34">
        <v>1</v>
      </c>
      <c r="EL234">
        <v>1</v>
      </c>
      <c r="EM234" t="b">
        <v>0</v>
      </c>
    </row>
    <row r="235" spans="2:143" x14ac:dyDescent="0.25">
      <c r="B235" s="73" t="s">
        <v>232</v>
      </c>
      <c r="C235">
        <v>1</v>
      </c>
      <c r="D235">
        <v>180</v>
      </c>
      <c r="E235">
        <v>100</v>
      </c>
      <c r="F235" s="75">
        <f ca="1">INDIRECT(ADDRESS(11+(MATCH(RIGHT(Table245[[#This Row],[spawner_sku]],LEN(Table245[[#This Row],[spawner_sku]])-FIND("/",Table245[[#This Row],[spawner_sku]])),Table1[Entity Prefab],0)),10,1,1,"Entities"))</f>
        <v>143</v>
      </c>
      <c r="G235" s="75">
        <f ca="1">ROUND((Table245[[#This Row],[XP]]*Table245[[#This Row],[entity_spawned (AVG)]])*(Table245[[#This Row],[activating_chance]]/100),0)</f>
        <v>143</v>
      </c>
      <c r="H23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5" s="72">
        <v>1</v>
      </c>
      <c r="J235" s="72">
        <v>1</v>
      </c>
      <c r="K235" s="72" t="b">
        <v>0</v>
      </c>
      <c r="AI235" t="s">
        <v>469</v>
      </c>
      <c r="AJ235">
        <v>1</v>
      </c>
      <c r="AK235">
        <v>220</v>
      </c>
      <c r="AL235">
        <v>100</v>
      </c>
      <c r="AM235" s="75">
        <f ca="1">INDIRECT(ADDRESS(11+(MATCH(RIGHT(Table2[[#This Row],[spawner_sku]],LEN(Table2[[#This Row],[spawner_sku]])-FIND("/",Table2[[#This Row],[spawner_sku]])),Table1[Entity Prefab],0)),10,1,1,"Entities"))</f>
        <v>50</v>
      </c>
      <c r="AN235" s="75">
        <f ca="1">ROUND((Table2[[#This Row],[XP]]*Table2[[#This Row],[entity_spawned (AVG)]])*(Table2[[#This Row],[activating_chance]]/100),0)</f>
        <v>50</v>
      </c>
      <c r="AO235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35" s="72">
        <v>1</v>
      </c>
      <c r="AQ235" s="72">
        <v>1</v>
      </c>
      <c r="AR235" s="72" t="b">
        <v>0</v>
      </c>
      <c r="BP235" t="s">
        <v>245</v>
      </c>
      <c r="BQ235">
        <v>3</v>
      </c>
      <c r="BR235">
        <v>200</v>
      </c>
      <c r="BS235">
        <v>100</v>
      </c>
      <c r="BT23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35" s="75">
        <f ca="1">ROUND((Table61011[[#This Row],[XP]]*Table61011[[#This Row],[entity_spawned (AVG)]])*(Table61011[[#This Row],[activating_chance]]/100),0)</f>
        <v>75</v>
      </c>
      <c r="BV23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5" s="72">
        <v>2</v>
      </c>
      <c r="BX235" s="72">
        <v>4</v>
      </c>
      <c r="BY235" s="72" t="b">
        <v>0</v>
      </c>
      <c r="CA235" t="s">
        <v>537</v>
      </c>
      <c r="CB235">
        <v>1</v>
      </c>
      <c r="CC235">
        <v>150</v>
      </c>
      <c r="CD235">
        <v>100</v>
      </c>
      <c r="CE235" s="75">
        <f ca="1">INDIRECT(ADDRESS(11+(MATCH(RIGHT(Table11[[#This Row],[spawner_sku]],LEN(Table11[[#This Row],[spawner_sku]])-FIND("/",Table11[[#This Row],[spawner_sku]])),Table1[Entity Prefab],0)),10,1,1,"Entities"))</f>
        <v>75</v>
      </c>
      <c r="CF235">
        <f ca="1">ROUND((Table11[[#This Row],[XP]]*Table11[[#This Row],[entity_spawned (AVG)]])*(Table11[[#This Row],[activating_chance]]/100),0)</f>
        <v>75</v>
      </c>
      <c r="CG235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235" s="72">
        <v>1</v>
      </c>
      <c r="CI235" s="72">
        <v>1</v>
      </c>
      <c r="CJ235" s="72" t="b">
        <v>0</v>
      </c>
      <c r="CW235" t="s">
        <v>255</v>
      </c>
      <c r="CX235">
        <v>1</v>
      </c>
      <c r="CY235">
        <v>150</v>
      </c>
      <c r="CZ235">
        <v>80</v>
      </c>
      <c r="DA235" s="75">
        <f ca="1">INDIRECT(ADDRESS(11+(MATCH(RIGHT(Table13[[#This Row],[spawner_sku]],LEN(Table13[[#This Row],[spawner_sku]])-FIND("/",Table13[[#This Row],[spawner_sku]])),Table1[Entity Prefab],0)),10,1,1,"Entities"))</f>
        <v>25</v>
      </c>
      <c r="DB235" s="75">
        <f ca="1">ROUND((Table13[[#This Row],[XP]]*Table13[[#This Row],[entity_spawned (AVG)]])*(Table13[[#This Row],[activating_chance]]/100),0)</f>
        <v>20</v>
      </c>
      <c r="DC235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35" s="72">
        <v>1</v>
      </c>
      <c r="DE235" s="72">
        <v>1</v>
      </c>
      <c r="DF235" s="72" t="b">
        <v>0</v>
      </c>
      <c r="DH235" t="s">
        <v>236</v>
      </c>
      <c r="DI235">
        <v>1</v>
      </c>
      <c r="DJ235">
        <v>100</v>
      </c>
      <c r="DK235">
        <v>100</v>
      </c>
      <c r="DL235" s="75">
        <f ca="1">INDIRECT(ADDRESS(11+(MATCH(RIGHT(Table14[[#This Row],[spawner_sku]],LEN(Table14[[#This Row],[spawner_sku]])-FIND("/",Table14[[#This Row],[spawner_sku]])),Table1[Entity Prefab],0)),10,1,1,"Entities"))</f>
        <v>70</v>
      </c>
      <c r="DM235" s="75">
        <f ca="1">ROUND((Table14[[#This Row],[XP]]*Table14[[#This Row],[entity_spawned (AVG)]])*(Table14[[#This Row],[activating_chance]]/100),0)</f>
        <v>70</v>
      </c>
      <c r="DN23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235" s="72">
        <v>1</v>
      </c>
      <c r="DP235" s="72">
        <v>1</v>
      </c>
      <c r="DQ235" s="72" t="b">
        <v>0</v>
      </c>
      <c r="DS235" t="s">
        <v>608</v>
      </c>
      <c r="DT235">
        <v>1</v>
      </c>
      <c r="DU235">
        <v>160</v>
      </c>
      <c r="DV235">
        <v>100</v>
      </c>
      <c r="DW235" s="75">
        <f ca="1">INDIRECT(ADDRESS(11+(MATCH(RIGHT(Table18[[#This Row],[spawner_sku]],LEN(Table18[[#This Row],[spawner_sku]])-FIND("/",Table18[[#This Row],[spawner_sku]])),Table1[Entity Prefab],0)),10,1,1,"Entities"))</f>
        <v>50</v>
      </c>
      <c r="DX235" s="75">
        <f ca="1">ROUND((Table18[[#This Row],[XP]]*Table18[[#This Row],[entity_spawned (AVG)]])*(Table18[[#This Row],[activating_chance]]/100),0)</f>
        <v>50</v>
      </c>
      <c r="DY235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235">
        <v>1</v>
      </c>
      <c r="EA235">
        <v>1</v>
      </c>
      <c r="EB235" t="b">
        <v>0</v>
      </c>
      <c r="ED235" t="s">
        <v>647</v>
      </c>
      <c r="EE235">
        <v>1</v>
      </c>
      <c r="EF235">
        <v>120</v>
      </c>
      <c r="EG235">
        <v>100</v>
      </c>
      <c r="EH235" s="75">
        <f ca="1">INDIRECT(ADDRESS(11+(MATCH(RIGHT(Table1820[[#This Row],[spawner_sku]],LEN(Table1820[[#This Row],[spawner_sku]])-FIND("/",Table1820[[#This Row],[spawner_sku]])),Table1[Entity Prefab],0)),10,1,1,"Entities"))</f>
        <v>48</v>
      </c>
      <c r="EI235" s="75">
        <f ca="1">ROUND((Table1820[[#This Row],[XP]]*Table1820[[#This Row],[entity_spawned (AVG)]])*(Table1820[[#This Row],[activating_chance]]/100),0)</f>
        <v>48</v>
      </c>
      <c r="EJ23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35">
        <v>1</v>
      </c>
      <c r="EL235">
        <v>1</v>
      </c>
      <c r="EM235" t="b">
        <v>0</v>
      </c>
    </row>
    <row r="236" spans="2:143" x14ac:dyDescent="0.25">
      <c r="B236" s="73" t="s">
        <v>232</v>
      </c>
      <c r="C236">
        <v>1</v>
      </c>
      <c r="D236">
        <v>250</v>
      </c>
      <c r="E236">
        <v>100</v>
      </c>
      <c r="F236" s="75">
        <f ca="1">INDIRECT(ADDRESS(11+(MATCH(RIGHT(Table245[[#This Row],[spawner_sku]],LEN(Table245[[#This Row],[spawner_sku]])-FIND("/",Table245[[#This Row],[spawner_sku]])),Table1[Entity Prefab],0)),10,1,1,"Entities"))</f>
        <v>143</v>
      </c>
      <c r="G236" s="75">
        <f ca="1">ROUND((Table245[[#This Row],[XP]]*Table245[[#This Row],[entity_spawned (AVG)]])*(Table245[[#This Row],[activating_chance]]/100),0)</f>
        <v>143</v>
      </c>
      <c r="H23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6" s="72">
        <v>1</v>
      </c>
      <c r="J236" s="72">
        <v>1</v>
      </c>
      <c r="K236" s="72" t="b">
        <v>0</v>
      </c>
      <c r="AI236" t="s">
        <v>469</v>
      </c>
      <c r="AJ236">
        <v>1</v>
      </c>
      <c r="AK236">
        <v>220</v>
      </c>
      <c r="AL236">
        <v>100</v>
      </c>
      <c r="AM236" s="75">
        <f ca="1">INDIRECT(ADDRESS(11+(MATCH(RIGHT(Table2[[#This Row],[spawner_sku]],LEN(Table2[[#This Row],[spawner_sku]])-FIND("/",Table2[[#This Row],[spawner_sku]])),Table1[Entity Prefab],0)),10,1,1,"Entities"))</f>
        <v>50</v>
      </c>
      <c r="AN236" s="75">
        <f ca="1">ROUND((Table2[[#This Row],[XP]]*Table2[[#This Row],[entity_spawned (AVG)]])*(Table2[[#This Row],[activating_chance]]/100),0)</f>
        <v>50</v>
      </c>
      <c r="AO23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36" s="72">
        <v>1</v>
      </c>
      <c r="AQ236" s="72">
        <v>1</v>
      </c>
      <c r="AR236" s="72" t="b">
        <v>0</v>
      </c>
      <c r="BP236" t="s">
        <v>629</v>
      </c>
      <c r="BQ236">
        <v>1</v>
      </c>
      <c r="BR236">
        <v>120</v>
      </c>
      <c r="BS236">
        <v>100</v>
      </c>
      <c r="BT236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236" s="75">
        <f ca="1">ROUND((Table61011[[#This Row],[XP]]*Table61011[[#This Row],[entity_spawned (AVG)]])*(Table61011[[#This Row],[activating_chance]]/100),0)</f>
        <v>50</v>
      </c>
      <c r="BV23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6" s="72">
        <v>1</v>
      </c>
      <c r="BX236" s="72">
        <v>1</v>
      </c>
      <c r="BY236" s="72" t="b">
        <v>0</v>
      </c>
      <c r="CA236" t="s">
        <v>537</v>
      </c>
      <c r="CB236">
        <v>1</v>
      </c>
      <c r="CC236">
        <v>150</v>
      </c>
      <c r="CD236">
        <v>100</v>
      </c>
      <c r="CE236" s="75">
        <f ca="1">INDIRECT(ADDRESS(11+(MATCH(RIGHT(Table11[[#This Row],[spawner_sku]],LEN(Table11[[#This Row],[spawner_sku]])-FIND("/",Table11[[#This Row],[spawner_sku]])),Table1[Entity Prefab],0)),10,1,1,"Entities"))</f>
        <v>75</v>
      </c>
      <c r="CF236">
        <f ca="1">ROUND((Table11[[#This Row],[XP]]*Table11[[#This Row],[entity_spawned (AVG)]])*(Table11[[#This Row],[activating_chance]]/100),0)</f>
        <v>75</v>
      </c>
      <c r="CG236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236" s="72">
        <v>1</v>
      </c>
      <c r="CI236" s="72">
        <v>1</v>
      </c>
      <c r="CJ236" s="72" t="b">
        <v>0</v>
      </c>
      <c r="CW236" t="s">
        <v>255</v>
      </c>
      <c r="CX236">
        <v>1</v>
      </c>
      <c r="CY236">
        <v>150</v>
      </c>
      <c r="CZ236">
        <v>100</v>
      </c>
      <c r="DA236" s="75">
        <f ca="1">INDIRECT(ADDRESS(11+(MATCH(RIGHT(Table13[[#This Row],[spawner_sku]],LEN(Table13[[#This Row],[spawner_sku]])-FIND("/",Table13[[#This Row],[spawner_sku]])),Table1[Entity Prefab],0)),10,1,1,"Entities"))</f>
        <v>25</v>
      </c>
      <c r="DB236" s="75">
        <f ca="1">ROUND((Table13[[#This Row],[XP]]*Table13[[#This Row],[entity_spawned (AVG)]])*(Table13[[#This Row],[activating_chance]]/100),0)</f>
        <v>25</v>
      </c>
      <c r="DC236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36" s="72">
        <v>1</v>
      </c>
      <c r="DE236" s="72">
        <v>1</v>
      </c>
      <c r="DF236" s="72" t="b">
        <v>0</v>
      </c>
      <c r="DH236" t="s">
        <v>236</v>
      </c>
      <c r="DI236">
        <v>1</v>
      </c>
      <c r="DJ236">
        <v>150</v>
      </c>
      <c r="DK236">
        <v>100</v>
      </c>
      <c r="DL236" s="75">
        <f ca="1">INDIRECT(ADDRESS(11+(MATCH(RIGHT(Table14[[#This Row],[spawner_sku]],LEN(Table14[[#This Row],[spawner_sku]])-FIND("/",Table14[[#This Row],[spawner_sku]])),Table1[Entity Prefab],0)),10,1,1,"Entities"))</f>
        <v>70</v>
      </c>
      <c r="DM236" s="75">
        <f ca="1">ROUND((Table14[[#This Row],[XP]]*Table14[[#This Row],[entity_spawned (AVG)]])*(Table14[[#This Row],[activating_chance]]/100),0)</f>
        <v>70</v>
      </c>
      <c r="DN23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236" s="72">
        <v>1</v>
      </c>
      <c r="DP236" s="72">
        <v>1</v>
      </c>
      <c r="DQ236" s="72" t="b">
        <v>0</v>
      </c>
      <c r="DS236" t="s">
        <v>608</v>
      </c>
      <c r="DT236">
        <v>1</v>
      </c>
      <c r="DU236">
        <v>170</v>
      </c>
      <c r="DV236">
        <v>100</v>
      </c>
      <c r="DW236" s="75">
        <f ca="1">INDIRECT(ADDRESS(11+(MATCH(RIGHT(Table18[[#This Row],[spawner_sku]],LEN(Table18[[#This Row],[spawner_sku]])-FIND("/",Table18[[#This Row],[spawner_sku]])),Table1[Entity Prefab],0)),10,1,1,"Entities"))</f>
        <v>50</v>
      </c>
      <c r="DX236" s="75">
        <f ca="1">ROUND((Table18[[#This Row],[XP]]*Table18[[#This Row],[entity_spawned (AVG)]])*(Table18[[#This Row],[activating_chance]]/100),0)</f>
        <v>50</v>
      </c>
      <c r="DY236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236">
        <v>1</v>
      </c>
      <c r="EA236">
        <v>1</v>
      </c>
      <c r="EB236" t="b">
        <v>0</v>
      </c>
      <c r="ED236" t="s">
        <v>247</v>
      </c>
      <c r="EE236">
        <v>1</v>
      </c>
      <c r="EF236">
        <v>420</v>
      </c>
      <c r="EG236">
        <v>100</v>
      </c>
      <c r="EH236" s="75">
        <f ca="1">INDIRECT(ADDRESS(11+(MATCH(RIGHT(Table1820[[#This Row],[spawner_sku]],LEN(Table1820[[#This Row],[spawner_sku]])-FIND("/",Table1820[[#This Row],[spawner_sku]])),Table1[Entity Prefab],0)),10,1,1,"Entities"))</f>
        <v>83</v>
      </c>
      <c r="EI236" s="75">
        <f ca="1">ROUND((Table1820[[#This Row],[XP]]*Table1820[[#This Row],[entity_spawned (AVG)]])*(Table1820[[#This Row],[activating_chance]]/100),0)</f>
        <v>83</v>
      </c>
      <c r="EJ236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36">
        <v>1</v>
      </c>
      <c r="EL236">
        <v>1</v>
      </c>
      <c r="EM236" t="b">
        <v>0</v>
      </c>
    </row>
    <row r="237" spans="2:143" x14ac:dyDescent="0.25">
      <c r="B237" s="73" t="s">
        <v>232</v>
      </c>
      <c r="C237">
        <v>1</v>
      </c>
      <c r="D237">
        <v>180</v>
      </c>
      <c r="E237">
        <v>100</v>
      </c>
      <c r="F237" s="75">
        <f ca="1">INDIRECT(ADDRESS(11+(MATCH(RIGHT(Table245[[#This Row],[spawner_sku]],LEN(Table245[[#This Row],[spawner_sku]])-FIND("/",Table245[[#This Row],[spawner_sku]])),Table1[Entity Prefab],0)),10,1,1,"Entities"))</f>
        <v>143</v>
      </c>
      <c r="G237" s="75">
        <f ca="1">ROUND((Table245[[#This Row],[XP]]*Table245[[#This Row],[entity_spawned (AVG)]])*(Table245[[#This Row],[activating_chance]]/100),0)</f>
        <v>143</v>
      </c>
      <c r="H23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7" s="72">
        <v>1</v>
      </c>
      <c r="J237" s="72">
        <v>1</v>
      </c>
      <c r="K237" s="72" t="b">
        <v>0</v>
      </c>
      <c r="AI237" t="s">
        <v>469</v>
      </c>
      <c r="AJ237">
        <v>1</v>
      </c>
      <c r="AK237">
        <v>220</v>
      </c>
      <c r="AL237">
        <v>100</v>
      </c>
      <c r="AM237" s="75">
        <f ca="1">INDIRECT(ADDRESS(11+(MATCH(RIGHT(Table2[[#This Row],[spawner_sku]],LEN(Table2[[#This Row],[spawner_sku]])-FIND("/",Table2[[#This Row],[spawner_sku]])),Table1[Entity Prefab],0)),10,1,1,"Entities"))</f>
        <v>50</v>
      </c>
      <c r="AN237" s="75">
        <f ca="1">ROUND((Table2[[#This Row],[XP]]*Table2[[#This Row],[entity_spawned (AVG)]])*(Table2[[#This Row],[activating_chance]]/100),0)</f>
        <v>50</v>
      </c>
      <c r="AO23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37" s="72">
        <v>1</v>
      </c>
      <c r="AQ237" s="72">
        <v>1</v>
      </c>
      <c r="AR237" s="72" t="b">
        <v>0</v>
      </c>
      <c r="BP237" t="s">
        <v>629</v>
      </c>
      <c r="BQ237">
        <v>1</v>
      </c>
      <c r="BR237">
        <v>120</v>
      </c>
      <c r="BS237">
        <v>100</v>
      </c>
      <c r="BT237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237" s="75">
        <f ca="1">ROUND((Table61011[[#This Row],[XP]]*Table61011[[#This Row],[entity_spawned (AVG)]])*(Table61011[[#This Row],[activating_chance]]/100),0)</f>
        <v>50</v>
      </c>
      <c r="BV23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7" s="72">
        <v>1</v>
      </c>
      <c r="BX237" s="72">
        <v>1</v>
      </c>
      <c r="BY237" s="72" t="b">
        <v>0</v>
      </c>
      <c r="CA237" t="s">
        <v>537</v>
      </c>
      <c r="CB237">
        <v>1</v>
      </c>
      <c r="CC237">
        <v>150</v>
      </c>
      <c r="CD237">
        <v>100</v>
      </c>
      <c r="CE237" s="75">
        <f ca="1">INDIRECT(ADDRESS(11+(MATCH(RIGHT(Table11[[#This Row],[spawner_sku]],LEN(Table11[[#This Row],[spawner_sku]])-FIND("/",Table11[[#This Row],[spawner_sku]])),Table1[Entity Prefab],0)),10,1,1,"Entities"))</f>
        <v>75</v>
      </c>
      <c r="CF237">
        <f ca="1">ROUND((Table11[[#This Row],[XP]]*Table11[[#This Row],[entity_spawned (AVG)]])*(Table11[[#This Row],[activating_chance]]/100),0)</f>
        <v>75</v>
      </c>
      <c r="CG237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237" s="72">
        <v>1</v>
      </c>
      <c r="CI237" s="72">
        <v>1</v>
      </c>
      <c r="CJ237" s="72" t="b">
        <v>0</v>
      </c>
      <c r="CW237" t="s">
        <v>255</v>
      </c>
      <c r="CX237">
        <v>1</v>
      </c>
      <c r="CY237">
        <v>150</v>
      </c>
      <c r="CZ237">
        <v>100</v>
      </c>
      <c r="DA237" s="75">
        <f ca="1">INDIRECT(ADDRESS(11+(MATCH(RIGHT(Table13[[#This Row],[spawner_sku]],LEN(Table13[[#This Row],[spawner_sku]])-FIND("/",Table13[[#This Row],[spawner_sku]])),Table1[Entity Prefab],0)),10,1,1,"Entities"))</f>
        <v>25</v>
      </c>
      <c r="DB237" s="75">
        <f ca="1">ROUND((Table13[[#This Row],[XP]]*Table13[[#This Row],[entity_spawned (AVG)]])*(Table13[[#This Row],[activating_chance]]/100),0)</f>
        <v>25</v>
      </c>
      <c r="DC237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37" s="72">
        <v>1</v>
      </c>
      <c r="DE237" s="72">
        <v>1</v>
      </c>
      <c r="DF237" s="72" t="b">
        <v>0</v>
      </c>
      <c r="DH237" t="s">
        <v>236</v>
      </c>
      <c r="DI237">
        <v>1</v>
      </c>
      <c r="DJ237">
        <v>100</v>
      </c>
      <c r="DK237">
        <v>100</v>
      </c>
      <c r="DL237" s="75">
        <f ca="1">INDIRECT(ADDRESS(11+(MATCH(RIGHT(Table14[[#This Row],[spawner_sku]],LEN(Table14[[#This Row],[spawner_sku]])-FIND("/",Table14[[#This Row],[spawner_sku]])),Table1[Entity Prefab],0)),10,1,1,"Entities"))</f>
        <v>70</v>
      </c>
      <c r="DM237" s="75">
        <f ca="1">ROUND((Table14[[#This Row],[XP]]*Table14[[#This Row],[entity_spawned (AVG)]])*(Table14[[#This Row],[activating_chance]]/100),0)</f>
        <v>70</v>
      </c>
      <c r="DN23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237" s="72">
        <v>1</v>
      </c>
      <c r="DP237" s="72">
        <v>1</v>
      </c>
      <c r="DQ237" s="72" t="b">
        <v>0</v>
      </c>
      <c r="DS237" t="s">
        <v>608</v>
      </c>
      <c r="DT237">
        <v>1</v>
      </c>
      <c r="DU237">
        <v>170</v>
      </c>
      <c r="DV237">
        <v>30</v>
      </c>
      <c r="DW237" s="75">
        <f ca="1">INDIRECT(ADDRESS(11+(MATCH(RIGHT(Table18[[#This Row],[spawner_sku]],LEN(Table18[[#This Row],[spawner_sku]])-FIND("/",Table18[[#This Row],[spawner_sku]])),Table1[Entity Prefab],0)),10,1,1,"Entities"))</f>
        <v>50</v>
      </c>
      <c r="DX237" s="75">
        <f ca="1">ROUND((Table18[[#This Row],[XP]]*Table18[[#This Row],[entity_spawned (AVG)]])*(Table18[[#This Row],[activating_chance]]/100),0)</f>
        <v>15</v>
      </c>
      <c r="DY237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237">
        <v>1</v>
      </c>
      <c r="EA237">
        <v>1</v>
      </c>
      <c r="EB237" t="b">
        <v>0</v>
      </c>
      <c r="ED237" t="s">
        <v>608</v>
      </c>
      <c r="EE237">
        <v>1</v>
      </c>
      <c r="EF237">
        <v>280</v>
      </c>
      <c r="EG237">
        <v>100</v>
      </c>
      <c r="EH237" s="75">
        <f ca="1">INDIRECT(ADDRESS(11+(MATCH(RIGHT(Table1820[[#This Row],[spawner_sku]],LEN(Table1820[[#This Row],[spawner_sku]])-FIND("/",Table1820[[#This Row],[spawner_sku]])),Table1[Entity Prefab],0)),10,1,1,"Entities"))</f>
        <v>50</v>
      </c>
      <c r="EI237" s="75">
        <f ca="1">ROUND((Table1820[[#This Row],[XP]]*Table1820[[#This Row],[entity_spawned (AVG)]])*(Table1820[[#This Row],[activating_chance]]/100),0)</f>
        <v>50</v>
      </c>
      <c r="EJ237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37">
        <v>1</v>
      </c>
      <c r="EL237">
        <v>1</v>
      </c>
      <c r="EM237" t="b">
        <v>0</v>
      </c>
    </row>
    <row r="238" spans="2:143" x14ac:dyDescent="0.25">
      <c r="B238" s="73" t="s">
        <v>335</v>
      </c>
      <c r="C238">
        <v>1</v>
      </c>
      <c r="D238">
        <v>250</v>
      </c>
      <c r="E238">
        <v>90</v>
      </c>
      <c r="F238" s="75">
        <f ca="1">INDIRECT(ADDRESS(11+(MATCH(RIGHT(Table245[[#This Row],[spawner_sku]],LEN(Table245[[#This Row],[spawner_sku]])-FIND("/",Table245[[#This Row],[spawner_sku]])),Table1[Entity Prefab],0)),10,1,1,"Entities"))</f>
        <v>143</v>
      </c>
      <c r="G238" s="75">
        <f ca="1">ROUND((Table245[[#This Row],[XP]]*Table245[[#This Row],[entity_spawned (AVG)]])*(Table245[[#This Row],[activating_chance]]/100),0)</f>
        <v>129</v>
      </c>
      <c r="H23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8" s="72">
        <v>1</v>
      </c>
      <c r="J238" s="72">
        <v>1</v>
      </c>
      <c r="K238" s="72" t="b">
        <v>0</v>
      </c>
      <c r="AI238" t="s">
        <v>470</v>
      </c>
      <c r="AJ238">
        <v>1</v>
      </c>
      <c r="AK238">
        <v>240</v>
      </c>
      <c r="AL238">
        <v>100</v>
      </c>
      <c r="AM238" s="75">
        <f ca="1">INDIRECT(ADDRESS(11+(MATCH(RIGHT(Table2[[#This Row],[spawner_sku]],LEN(Table2[[#This Row],[spawner_sku]])-FIND("/",Table2[[#This Row],[spawner_sku]])),Table1[Entity Prefab],0)),10,1,1,"Entities"))</f>
        <v>83</v>
      </c>
      <c r="AN238" s="75">
        <f ca="1">ROUND((Table2[[#This Row],[XP]]*Table2[[#This Row],[entity_spawned (AVG)]])*(Table2[[#This Row],[activating_chance]]/100),0)</f>
        <v>83</v>
      </c>
      <c r="AO23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38" s="72">
        <v>1</v>
      </c>
      <c r="AQ238" s="72">
        <v>1</v>
      </c>
      <c r="AR238" s="72" t="b">
        <v>0</v>
      </c>
      <c r="BP238" t="s">
        <v>629</v>
      </c>
      <c r="BQ238">
        <v>1</v>
      </c>
      <c r="BR238">
        <v>120</v>
      </c>
      <c r="BS238">
        <v>100</v>
      </c>
      <c r="BT238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238" s="75">
        <f ca="1">ROUND((Table61011[[#This Row],[XP]]*Table61011[[#This Row],[entity_spawned (AVG)]])*(Table61011[[#This Row],[activating_chance]]/100),0)</f>
        <v>50</v>
      </c>
      <c r="BV23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8" s="72">
        <v>1</v>
      </c>
      <c r="BX238" s="72">
        <v>1</v>
      </c>
      <c r="BY238" s="72" t="b">
        <v>0</v>
      </c>
      <c r="CA238" t="s">
        <v>537</v>
      </c>
      <c r="CB238">
        <v>1</v>
      </c>
      <c r="CC238">
        <v>150</v>
      </c>
      <c r="CD238">
        <v>100</v>
      </c>
      <c r="CE238" s="75">
        <f ca="1">INDIRECT(ADDRESS(11+(MATCH(RIGHT(Table11[[#This Row],[spawner_sku]],LEN(Table11[[#This Row],[spawner_sku]])-FIND("/",Table11[[#This Row],[spawner_sku]])),Table1[Entity Prefab],0)),10,1,1,"Entities"))</f>
        <v>75</v>
      </c>
      <c r="CF238">
        <f ca="1">ROUND((Table11[[#This Row],[XP]]*Table11[[#This Row],[entity_spawned (AVG)]])*(Table11[[#This Row],[activating_chance]]/100),0)</f>
        <v>75</v>
      </c>
      <c r="CG238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238" s="72">
        <v>1</v>
      </c>
      <c r="CI238" s="72">
        <v>1</v>
      </c>
      <c r="CJ238" s="72" t="b">
        <v>0</v>
      </c>
      <c r="CW238" t="s">
        <v>255</v>
      </c>
      <c r="CX238">
        <v>1</v>
      </c>
      <c r="CY238">
        <v>150</v>
      </c>
      <c r="CZ238">
        <v>100</v>
      </c>
      <c r="DA238" s="75">
        <f ca="1">INDIRECT(ADDRESS(11+(MATCH(RIGHT(Table13[[#This Row],[spawner_sku]],LEN(Table13[[#This Row],[spawner_sku]])-FIND("/",Table13[[#This Row],[spawner_sku]])),Table1[Entity Prefab],0)),10,1,1,"Entities"))</f>
        <v>25</v>
      </c>
      <c r="DB238" s="75">
        <f ca="1">ROUND((Table13[[#This Row],[XP]]*Table13[[#This Row],[entity_spawned (AVG)]])*(Table13[[#This Row],[activating_chance]]/100),0)</f>
        <v>25</v>
      </c>
      <c r="DC238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38" s="72">
        <v>1</v>
      </c>
      <c r="DE238" s="72">
        <v>1</v>
      </c>
      <c r="DF238" s="72" t="b">
        <v>0</v>
      </c>
      <c r="DH238" t="s">
        <v>236</v>
      </c>
      <c r="DI238">
        <v>1</v>
      </c>
      <c r="DJ238">
        <v>120</v>
      </c>
      <c r="DK238">
        <v>100</v>
      </c>
      <c r="DL238" s="75">
        <f ca="1">INDIRECT(ADDRESS(11+(MATCH(RIGHT(Table14[[#This Row],[spawner_sku]],LEN(Table14[[#This Row],[spawner_sku]])-FIND("/",Table14[[#This Row],[spawner_sku]])),Table1[Entity Prefab],0)),10,1,1,"Entities"))</f>
        <v>70</v>
      </c>
      <c r="DM238" s="75">
        <f ca="1">ROUND((Table14[[#This Row],[XP]]*Table14[[#This Row],[entity_spawned (AVG)]])*(Table14[[#This Row],[activating_chance]]/100),0)</f>
        <v>70</v>
      </c>
      <c r="DN23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238" s="72">
        <v>1</v>
      </c>
      <c r="DP238" s="72">
        <v>1</v>
      </c>
      <c r="DQ238" s="72" t="b">
        <v>0</v>
      </c>
      <c r="DS238" t="s">
        <v>608</v>
      </c>
      <c r="DT238">
        <v>1</v>
      </c>
      <c r="DU238">
        <v>170</v>
      </c>
      <c r="DV238">
        <v>100</v>
      </c>
      <c r="DW238" s="75">
        <f ca="1">INDIRECT(ADDRESS(11+(MATCH(RIGHT(Table18[[#This Row],[spawner_sku]],LEN(Table18[[#This Row],[spawner_sku]])-FIND("/",Table18[[#This Row],[spawner_sku]])),Table1[Entity Prefab],0)),10,1,1,"Entities"))</f>
        <v>50</v>
      </c>
      <c r="DX238" s="75">
        <f ca="1">ROUND((Table18[[#This Row],[XP]]*Table18[[#This Row],[entity_spawned (AVG)]])*(Table18[[#This Row],[activating_chance]]/100),0)</f>
        <v>50</v>
      </c>
      <c r="DY238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238">
        <v>1</v>
      </c>
      <c r="EA238">
        <v>1</v>
      </c>
      <c r="EB238" t="b">
        <v>0</v>
      </c>
      <c r="ED238" t="s">
        <v>608</v>
      </c>
      <c r="EE238">
        <v>1</v>
      </c>
      <c r="EF238">
        <v>280</v>
      </c>
      <c r="EG238">
        <v>30</v>
      </c>
      <c r="EH238" s="75">
        <f ca="1">INDIRECT(ADDRESS(11+(MATCH(RIGHT(Table1820[[#This Row],[spawner_sku]],LEN(Table1820[[#This Row],[spawner_sku]])-FIND("/",Table1820[[#This Row],[spawner_sku]])),Table1[Entity Prefab],0)),10,1,1,"Entities"))</f>
        <v>50</v>
      </c>
      <c r="EI238" s="75">
        <f ca="1">ROUND((Table1820[[#This Row],[XP]]*Table1820[[#This Row],[entity_spawned (AVG)]])*(Table1820[[#This Row],[activating_chance]]/100),0)</f>
        <v>15</v>
      </c>
      <c r="EJ238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38">
        <v>1</v>
      </c>
      <c r="EL238">
        <v>1</v>
      </c>
      <c r="EM238" t="b">
        <v>0</v>
      </c>
    </row>
    <row r="239" spans="2:143" x14ac:dyDescent="0.25">
      <c r="B239" s="73" t="s">
        <v>335</v>
      </c>
      <c r="C239">
        <v>1</v>
      </c>
      <c r="D239">
        <v>280</v>
      </c>
      <c r="E239">
        <v>100</v>
      </c>
      <c r="F239" s="75">
        <f ca="1">INDIRECT(ADDRESS(11+(MATCH(RIGHT(Table245[[#This Row],[spawner_sku]],LEN(Table245[[#This Row],[spawner_sku]])-FIND("/",Table245[[#This Row],[spawner_sku]])),Table1[Entity Prefab],0)),10,1,1,"Entities"))</f>
        <v>143</v>
      </c>
      <c r="G239" s="75">
        <f ca="1">ROUND((Table245[[#This Row],[XP]]*Table245[[#This Row],[entity_spawned (AVG)]])*(Table245[[#This Row],[activating_chance]]/100),0)</f>
        <v>143</v>
      </c>
      <c r="H23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9" s="72">
        <v>1</v>
      </c>
      <c r="J239" s="72">
        <v>1</v>
      </c>
      <c r="K239" s="72" t="b">
        <v>0</v>
      </c>
      <c r="AI239" t="s">
        <v>470</v>
      </c>
      <c r="AJ239">
        <v>1</v>
      </c>
      <c r="AK239">
        <v>240</v>
      </c>
      <c r="AL239">
        <v>100</v>
      </c>
      <c r="AM239" s="75">
        <f ca="1">INDIRECT(ADDRESS(11+(MATCH(RIGHT(Table2[[#This Row],[spawner_sku]],LEN(Table2[[#This Row],[spawner_sku]])-FIND("/",Table2[[#This Row],[spawner_sku]])),Table1[Entity Prefab],0)),10,1,1,"Entities"))</f>
        <v>83</v>
      </c>
      <c r="AN239" s="75">
        <f ca="1">ROUND((Table2[[#This Row],[XP]]*Table2[[#This Row],[entity_spawned (AVG)]])*(Table2[[#This Row],[activating_chance]]/100),0)</f>
        <v>83</v>
      </c>
      <c r="AO23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39" s="72">
        <v>1</v>
      </c>
      <c r="AQ239" s="72">
        <v>1</v>
      </c>
      <c r="AR239" s="72" t="b">
        <v>0</v>
      </c>
      <c r="BP239" t="s">
        <v>629</v>
      </c>
      <c r="BQ239">
        <v>1</v>
      </c>
      <c r="BR239">
        <v>120</v>
      </c>
      <c r="BS239">
        <v>100</v>
      </c>
      <c r="BT239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239" s="75">
        <f ca="1">ROUND((Table61011[[#This Row],[XP]]*Table61011[[#This Row],[entity_spawned (AVG)]])*(Table61011[[#This Row],[activating_chance]]/100),0)</f>
        <v>50</v>
      </c>
      <c r="BV23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9" s="72">
        <v>1</v>
      </c>
      <c r="BX239" s="72">
        <v>1</v>
      </c>
      <c r="BY239" s="72" t="b">
        <v>0</v>
      </c>
      <c r="CA239" t="s">
        <v>537</v>
      </c>
      <c r="CB239">
        <v>1</v>
      </c>
      <c r="CC239">
        <v>150</v>
      </c>
      <c r="CD239">
        <v>100</v>
      </c>
      <c r="CE239" s="75">
        <f ca="1">INDIRECT(ADDRESS(11+(MATCH(RIGHT(Table11[[#This Row],[spawner_sku]],LEN(Table11[[#This Row],[spawner_sku]])-FIND("/",Table11[[#This Row],[spawner_sku]])),Table1[Entity Prefab],0)),10,1,1,"Entities"))</f>
        <v>75</v>
      </c>
      <c r="CF239">
        <f ca="1">ROUND((Table11[[#This Row],[XP]]*Table11[[#This Row],[entity_spawned (AVG)]])*(Table11[[#This Row],[activating_chance]]/100),0)</f>
        <v>75</v>
      </c>
      <c r="CG239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239" s="72">
        <v>1</v>
      </c>
      <c r="CI239" s="72">
        <v>1</v>
      </c>
      <c r="CJ239" s="72" t="b">
        <v>0</v>
      </c>
      <c r="CW239" t="s">
        <v>255</v>
      </c>
      <c r="CX239">
        <v>1</v>
      </c>
      <c r="CY239">
        <v>150</v>
      </c>
      <c r="CZ239">
        <v>100</v>
      </c>
      <c r="DA239" s="75">
        <f ca="1">INDIRECT(ADDRESS(11+(MATCH(RIGHT(Table13[[#This Row],[spawner_sku]],LEN(Table13[[#This Row],[spawner_sku]])-FIND("/",Table13[[#This Row],[spawner_sku]])),Table1[Entity Prefab],0)),10,1,1,"Entities"))</f>
        <v>25</v>
      </c>
      <c r="DB239" s="75">
        <f ca="1">ROUND((Table13[[#This Row],[XP]]*Table13[[#This Row],[entity_spawned (AVG)]])*(Table13[[#This Row],[activating_chance]]/100),0)</f>
        <v>25</v>
      </c>
      <c r="DC239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39" s="72">
        <v>1</v>
      </c>
      <c r="DE239" s="72">
        <v>1</v>
      </c>
      <c r="DF239" s="72" t="b">
        <v>0</v>
      </c>
      <c r="DH239" t="s">
        <v>236</v>
      </c>
      <c r="DI239">
        <v>1</v>
      </c>
      <c r="DJ239">
        <v>100</v>
      </c>
      <c r="DK239">
        <v>100</v>
      </c>
      <c r="DL239" s="75">
        <f ca="1">INDIRECT(ADDRESS(11+(MATCH(RIGHT(Table14[[#This Row],[spawner_sku]],LEN(Table14[[#This Row],[spawner_sku]])-FIND("/",Table14[[#This Row],[spawner_sku]])),Table1[Entity Prefab],0)),10,1,1,"Entities"))</f>
        <v>70</v>
      </c>
      <c r="DM239" s="75">
        <f ca="1">ROUND((Table14[[#This Row],[XP]]*Table14[[#This Row],[entity_spawned (AVG)]])*(Table14[[#This Row],[activating_chance]]/100),0)</f>
        <v>70</v>
      </c>
      <c r="DN23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239" s="72">
        <v>1</v>
      </c>
      <c r="DP239" s="72">
        <v>1</v>
      </c>
      <c r="DQ239" s="72" t="b">
        <v>0</v>
      </c>
      <c r="DS239" t="s">
        <v>608</v>
      </c>
      <c r="DT239">
        <v>1</v>
      </c>
      <c r="DU239">
        <v>160</v>
      </c>
      <c r="DV239">
        <v>100</v>
      </c>
      <c r="DW239" s="75">
        <f ca="1">INDIRECT(ADDRESS(11+(MATCH(RIGHT(Table18[[#This Row],[spawner_sku]],LEN(Table18[[#This Row],[spawner_sku]])-FIND("/",Table18[[#This Row],[spawner_sku]])),Table1[Entity Prefab],0)),10,1,1,"Entities"))</f>
        <v>50</v>
      </c>
      <c r="DX239" s="75">
        <f ca="1">ROUND((Table18[[#This Row],[XP]]*Table18[[#This Row],[entity_spawned (AVG)]])*(Table18[[#This Row],[activating_chance]]/100),0)</f>
        <v>50</v>
      </c>
      <c r="DY239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239">
        <v>1</v>
      </c>
      <c r="EA239">
        <v>1</v>
      </c>
      <c r="EB239" t="b">
        <v>0</v>
      </c>
      <c r="ED239" t="s">
        <v>608</v>
      </c>
      <c r="EE239">
        <v>1</v>
      </c>
      <c r="EF239">
        <v>280</v>
      </c>
      <c r="EG239">
        <v>30</v>
      </c>
      <c r="EH239" s="75">
        <f ca="1">INDIRECT(ADDRESS(11+(MATCH(RIGHT(Table1820[[#This Row],[spawner_sku]],LEN(Table1820[[#This Row],[spawner_sku]])-FIND("/",Table1820[[#This Row],[spawner_sku]])),Table1[Entity Prefab],0)),10,1,1,"Entities"))</f>
        <v>50</v>
      </c>
      <c r="EI239" s="75">
        <f ca="1">ROUND((Table1820[[#This Row],[XP]]*Table1820[[#This Row],[entity_spawned (AVG)]])*(Table1820[[#This Row],[activating_chance]]/100),0)</f>
        <v>15</v>
      </c>
      <c r="EJ239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39">
        <v>1</v>
      </c>
      <c r="EL239">
        <v>1</v>
      </c>
      <c r="EM239" t="b">
        <v>0</v>
      </c>
    </row>
    <row r="240" spans="2:143" x14ac:dyDescent="0.25">
      <c r="B240" s="73" t="s">
        <v>335</v>
      </c>
      <c r="C240">
        <v>1</v>
      </c>
      <c r="D240">
        <v>250</v>
      </c>
      <c r="E240">
        <v>80</v>
      </c>
      <c r="F240" s="75">
        <f ca="1">INDIRECT(ADDRESS(11+(MATCH(RIGHT(Table245[[#This Row],[spawner_sku]],LEN(Table245[[#This Row],[spawner_sku]])-FIND("/",Table245[[#This Row],[spawner_sku]])),Table1[Entity Prefab],0)),10,1,1,"Entities"))</f>
        <v>143</v>
      </c>
      <c r="G240" s="75">
        <f ca="1">ROUND((Table245[[#This Row],[XP]]*Table245[[#This Row],[entity_spawned (AVG)]])*(Table245[[#This Row],[activating_chance]]/100),0)</f>
        <v>114</v>
      </c>
      <c r="H24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0" s="72">
        <v>1</v>
      </c>
      <c r="J240" s="72">
        <v>1</v>
      </c>
      <c r="K240" s="72" t="b">
        <v>0</v>
      </c>
      <c r="AI240" t="s">
        <v>472</v>
      </c>
      <c r="AJ240">
        <v>1</v>
      </c>
      <c r="AK240">
        <v>280</v>
      </c>
      <c r="AL240">
        <v>100</v>
      </c>
      <c r="AM240" s="75">
        <f ca="1">INDIRECT(ADDRESS(11+(MATCH(RIGHT(Table2[[#This Row],[spawner_sku]],LEN(Table2[[#This Row],[spawner_sku]])-FIND("/",Table2[[#This Row],[spawner_sku]])),Table1[Entity Prefab],0)),10,1,1,"Entities"))</f>
        <v>143</v>
      </c>
      <c r="AN240" s="75">
        <f ca="1">ROUND((Table2[[#This Row],[XP]]*Table2[[#This Row],[entity_spawned (AVG)]])*(Table2[[#This Row],[activating_chance]]/100),0)</f>
        <v>143</v>
      </c>
      <c r="AO24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40" s="72">
        <v>1</v>
      </c>
      <c r="AQ240" s="72">
        <v>1</v>
      </c>
      <c r="AR240" s="72" t="b">
        <v>0</v>
      </c>
      <c r="BP240" t="s">
        <v>389</v>
      </c>
      <c r="BQ240">
        <v>1</v>
      </c>
      <c r="BR240">
        <v>450</v>
      </c>
      <c r="BS240">
        <v>100</v>
      </c>
      <c r="BT240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240" s="75">
        <f ca="1">ROUND((Table61011[[#This Row],[XP]]*Table61011[[#This Row],[entity_spawned (AVG)]])*(Table61011[[#This Row],[activating_chance]]/100),0)</f>
        <v>0</v>
      </c>
      <c r="BV24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40" s="72">
        <v>1</v>
      </c>
      <c r="BX240" s="72">
        <v>1</v>
      </c>
      <c r="BY240" s="72" t="b">
        <v>0</v>
      </c>
      <c r="CA240" t="s">
        <v>537</v>
      </c>
      <c r="CB240">
        <v>1</v>
      </c>
      <c r="CC240">
        <v>150</v>
      </c>
      <c r="CD240">
        <v>100</v>
      </c>
      <c r="CE240" s="75">
        <f ca="1">INDIRECT(ADDRESS(11+(MATCH(RIGHT(Table11[[#This Row],[spawner_sku]],LEN(Table11[[#This Row],[spawner_sku]])-FIND("/",Table11[[#This Row],[spawner_sku]])),Table1[Entity Prefab],0)),10,1,1,"Entities"))</f>
        <v>75</v>
      </c>
      <c r="CF240">
        <f ca="1">ROUND((Table11[[#This Row],[XP]]*Table11[[#This Row],[entity_spawned (AVG)]])*(Table11[[#This Row],[activating_chance]]/100),0)</f>
        <v>75</v>
      </c>
      <c r="CG240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240" s="72">
        <v>1</v>
      </c>
      <c r="CI240" s="72">
        <v>1</v>
      </c>
      <c r="CJ240" s="72" t="b">
        <v>0</v>
      </c>
      <c r="CW240" t="s">
        <v>255</v>
      </c>
      <c r="CX240">
        <v>1</v>
      </c>
      <c r="CY240">
        <v>150</v>
      </c>
      <c r="CZ240">
        <v>100</v>
      </c>
      <c r="DA240" s="75">
        <f ca="1">INDIRECT(ADDRESS(11+(MATCH(RIGHT(Table13[[#This Row],[spawner_sku]],LEN(Table13[[#This Row],[spawner_sku]])-FIND("/",Table13[[#This Row],[spawner_sku]])),Table1[Entity Prefab],0)),10,1,1,"Entities"))</f>
        <v>25</v>
      </c>
      <c r="DB240" s="75">
        <f ca="1">ROUND((Table13[[#This Row],[XP]]*Table13[[#This Row],[entity_spawned (AVG)]])*(Table13[[#This Row],[activating_chance]]/100),0)</f>
        <v>25</v>
      </c>
      <c r="DC240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40" s="72">
        <v>1</v>
      </c>
      <c r="DE240" s="72">
        <v>1</v>
      </c>
      <c r="DF240" s="72" t="b">
        <v>0</v>
      </c>
      <c r="DH240" t="s">
        <v>238</v>
      </c>
      <c r="DI240">
        <v>1</v>
      </c>
      <c r="DJ240">
        <v>2500</v>
      </c>
      <c r="DK240">
        <v>100</v>
      </c>
      <c r="DL240" s="75">
        <f ca="1">INDIRECT(ADDRESS(11+(MATCH(RIGHT(Table14[[#This Row],[spawner_sku]],LEN(Table14[[#This Row],[spawner_sku]])-FIND("/",Table14[[#This Row],[spawner_sku]])),Table1[Entity Prefab],0)),10,1,1,"Entities"))</f>
        <v>263</v>
      </c>
      <c r="DM240" s="75">
        <f ca="1">ROUND((Table14[[#This Row],[XP]]*Table14[[#This Row],[entity_spawned (AVG)]])*(Table14[[#This Row],[activating_chance]]/100),0)</f>
        <v>263</v>
      </c>
      <c r="DN24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40" s="72">
        <v>1</v>
      </c>
      <c r="DP240" s="72">
        <v>1</v>
      </c>
      <c r="DQ240" s="72" t="b">
        <v>0</v>
      </c>
      <c r="DS240" t="s">
        <v>608</v>
      </c>
      <c r="DT240">
        <v>1</v>
      </c>
      <c r="DU240">
        <v>170</v>
      </c>
      <c r="DV240">
        <v>10</v>
      </c>
      <c r="DW240" s="75">
        <f ca="1">INDIRECT(ADDRESS(11+(MATCH(RIGHT(Table18[[#This Row],[spawner_sku]],LEN(Table18[[#This Row],[spawner_sku]])-FIND("/",Table18[[#This Row],[spawner_sku]])),Table1[Entity Prefab],0)),10,1,1,"Entities"))</f>
        <v>50</v>
      </c>
      <c r="DX240" s="75">
        <f ca="1">ROUND((Table18[[#This Row],[XP]]*Table18[[#This Row],[entity_spawned (AVG)]])*(Table18[[#This Row],[activating_chance]]/100),0)</f>
        <v>5</v>
      </c>
      <c r="DY240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240">
        <v>1</v>
      </c>
      <c r="EA240">
        <v>1</v>
      </c>
      <c r="EB240" t="b">
        <v>0</v>
      </c>
      <c r="ED240" t="s">
        <v>608</v>
      </c>
      <c r="EE240">
        <v>1</v>
      </c>
      <c r="EF240">
        <v>280</v>
      </c>
      <c r="EG240">
        <v>80</v>
      </c>
      <c r="EH240" s="75">
        <f ca="1">INDIRECT(ADDRESS(11+(MATCH(RIGHT(Table1820[[#This Row],[spawner_sku]],LEN(Table1820[[#This Row],[spawner_sku]])-FIND("/",Table1820[[#This Row],[spawner_sku]])),Table1[Entity Prefab],0)),10,1,1,"Entities"))</f>
        <v>50</v>
      </c>
      <c r="EI240" s="75">
        <f ca="1">ROUND((Table1820[[#This Row],[XP]]*Table1820[[#This Row],[entity_spawned (AVG)]])*(Table1820[[#This Row],[activating_chance]]/100),0)</f>
        <v>40</v>
      </c>
      <c r="EJ240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40">
        <v>1</v>
      </c>
      <c r="EL240">
        <v>1</v>
      </c>
      <c r="EM240" t="b">
        <v>0</v>
      </c>
    </row>
    <row r="241" spans="2:143" x14ac:dyDescent="0.25">
      <c r="B241" s="73" t="s">
        <v>335</v>
      </c>
      <c r="C241">
        <v>1</v>
      </c>
      <c r="D241">
        <v>240</v>
      </c>
      <c r="E241">
        <v>100</v>
      </c>
      <c r="F241" s="75">
        <f ca="1">INDIRECT(ADDRESS(11+(MATCH(RIGHT(Table245[[#This Row],[spawner_sku]],LEN(Table245[[#This Row],[spawner_sku]])-FIND("/",Table245[[#This Row],[spawner_sku]])),Table1[Entity Prefab],0)),10,1,1,"Entities"))</f>
        <v>143</v>
      </c>
      <c r="G241" s="75">
        <f ca="1">ROUND((Table245[[#This Row],[XP]]*Table245[[#This Row],[entity_spawned (AVG)]])*(Table245[[#This Row],[activating_chance]]/100),0)</f>
        <v>143</v>
      </c>
      <c r="H24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1" s="72">
        <v>1</v>
      </c>
      <c r="J241" s="72">
        <v>1</v>
      </c>
      <c r="K241" s="72" t="b">
        <v>0</v>
      </c>
      <c r="AI241" t="s">
        <v>472</v>
      </c>
      <c r="AJ241">
        <v>1</v>
      </c>
      <c r="AK241">
        <v>280</v>
      </c>
      <c r="AL241">
        <v>100</v>
      </c>
      <c r="AM241" s="75">
        <f ca="1">INDIRECT(ADDRESS(11+(MATCH(RIGHT(Table2[[#This Row],[spawner_sku]],LEN(Table2[[#This Row],[spawner_sku]])-FIND("/",Table2[[#This Row],[spawner_sku]])),Table1[Entity Prefab],0)),10,1,1,"Entities"))</f>
        <v>143</v>
      </c>
      <c r="AN241" s="75">
        <f ca="1">ROUND((Table2[[#This Row],[XP]]*Table2[[#This Row],[entity_spawned (AVG)]])*(Table2[[#This Row],[activating_chance]]/100),0)</f>
        <v>143</v>
      </c>
      <c r="AO241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41" s="72">
        <v>1</v>
      </c>
      <c r="AQ241" s="72">
        <v>1</v>
      </c>
      <c r="AR241" s="72" t="b">
        <v>0</v>
      </c>
      <c r="BP241" t="s">
        <v>389</v>
      </c>
      <c r="BQ241">
        <v>1</v>
      </c>
      <c r="BR241">
        <v>450</v>
      </c>
      <c r="BS241">
        <v>100</v>
      </c>
      <c r="BT241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241" s="75">
        <f ca="1">ROUND((Table61011[[#This Row],[XP]]*Table61011[[#This Row],[entity_spawned (AVG)]])*(Table61011[[#This Row],[activating_chance]]/100),0)</f>
        <v>0</v>
      </c>
      <c r="BV24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41" s="72">
        <v>1</v>
      </c>
      <c r="BX241" s="72">
        <v>1</v>
      </c>
      <c r="BY241" s="72" t="b">
        <v>0</v>
      </c>
      <c r="CA241" t="s">
        <v>537</v>
      </c>
      <c r="CB241">
        <v>1</v>
      </c>
      <c r="CC241">
        <v>150</v>
      </c>
      <c r="CD241">
        <v>100</v>
      </c>
      <c r="CE241" s="75">
        <f ca="1">INDIRECT(ADDRESS(11+(MATCH(RIGHT(Table11[[#This Row],[spawner_sku]],LEN(Table11[[#This Row],[spawner_sku]])-FIND("/",Table11[[#This Row],[spawner_sku]])),Table1[Entity Prefab],0)),10,1,1,"Entities"))</f>
        <v>75</v>
      </c>
      <c r="CF241">
        <f ca="1">ROUND((Table11[[#This Row],[XP]]*Table11[[#This Row],[entity_spawned (AVG)]])*(Table11[[#This Row],[activating_chance]]/100),0)</f>
        <v>75</v>
      </c>
      <c r="CG241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241" s="72">
        <v>1</v>
      </c>
      <c r="CI241" s="72">
        <v>1</v>
      </c>
      <c r="CJ241" s="72" t="b">
        <v>0</v>
      </c>
      <c r="CW241" t="s">
        <v>256</v>
      </c>
      <c r="CX241">
        <v>1</v>
      </c>
      <c r="CY241">
        <v>150</v>
      </c>
      <c r="CZ241">
        <v>100</v>
      </c>
      <c r="DA241" s="75">
        <f ca="1">INDIRECT(ADDRESS(11+(MATCH(RIGHT(Table13[[#This Row],[spawner_sku]],LEN(Table13[[#This Row],[spawner_sku]])-FIND("/",Table13[[#This Row],[spawner_sku]])),Table1[Entity Prefab],0)),10,1,1,"Entities"))</f>
        <v>25</v>
      </c>
      <c r="DB241" s="75">
        <f ca="1">ROUND((Table13[[#This Row],[XP]]*Table13[[#This Row],[entity_spawned (AVG)]])*(Table13[[#This Row],[activating_chance]]/100),0)</f>
        <v>25</v>
      </c>
      <c r="DC241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41" s="72">
        <v>1</v>
      </c>
      <c r="DE241" s="72">
        <v>1</v>
      </c>
      <c r="DF241" s="72" t="b">
        <v>0</v>
      </c>
      <c r="DH241" t="s">
        <v>238</v>
      </c>
      <c r="DI241">
        <v>1</v>
      </c>
      <c r="DJ241">
        <v>2500</v>
      </c>
      <c r="DK241">
        <v>100</v>
      </c>
      <c r="DL241" s="75">
        <f ca="1">INDIRECT(ADDRESS(11+(MATCH(RIGHT(Table14[[#This Row],[spawner_sku]],LEN(Table14[[#This Row],[spawner_sku]])-FIND("/",Table14[[#This Row],[spawner_sku]])),Table1[Entity Prefab],0)),10,1,1,"Entities"))</f>
        <v>263</v>
      </c>
      <c r="DM241" s="75">
        <f ca="1">ROUND((Table14[[#This Row],[XP]]*Table14[[#This Row],[entity_spawned (AVG)]])*(Table14[[#This Row],[activating_chance]]/100),0)</f>
        <v>263</v>
      </c>
      <c r="DN24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41" s="72">
        <v>1</v>
      </c>
      <c r="DP241" s="72">
        <v>1</v>
      </c>
      <c r="DQ241" s="72" t="b">
        <v>0</v>
      </c>
      <c r="DS241" t="s">
        <v>608</v>
      </c>
      <c r="DT241">
        <v>1</v>
      </c>
      <c r="DU241">
        <v>170</v>
      </c>
      <c r="DV241">
        <v>100</v>
      </c>
      <c r="DW241" s="75">
        <f ca="1">INDIRECT(ADDRESS(11+(MATCH(RIGHT(Table18[[#This Row],[spawner_sku]],LEN(Table18[[#This Row],[spawner_sku]])-FIND("/",Table18[[#This Row],[spawner_sku]])),Table1[Entity Prefab],0)),10,1,1,"Entities"))</f>
        <v>50</v>
      </c>
      <c r="DX241" s="75">
        <f ca="1">ROUND((Table18[[#This Row],[XP]]*Table18[[#This Row],[entity_spawned (AVG)]])*(Table18[[#This Row],[activating_chance]]/100),0)</f>
        <v>50</v>
      </c>
      <c r="DY241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241">
        <v>1</v>
      </c>
      <c r="EA241">
        <v>1</v>
      </c>
      <c r="EB241" t="b">
        <v>0</v>
      </c>
      <c r="ED241" t="s">
        <v>609</v>
      </c>
      <c r="EE241">
        <v>1</v>
      </c>
      <c r="EF241">
        <v>160</v>
      </c>
      <c r="EG241">
        <v>30</v>
      </c>
      <c r="EH241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41" s="75">
        <f ca="1">ROUND((Table1820[[#This Row],[XP]]*Table1820[[#This Row],[entity_spawned (AVG)]])*(Table1820[[#This Row],[activating_chance]]/100),0)</f>
        <v>8</v>
      </c>
      <c r="EJ24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41">
        <v>1</v>
      </c>
      <c r="EL241">
        <v>1</v>
      </c>
      <c r="EM241" t="b">
        <v>0</v>
      </c>
    </row>
    <row r="242" spans="2:143" x14ac:dyDescent="0.25">
      <c r="B242" s="73" t="s">
        <v>335</v>
      </c>
      <c r="C242">
        <v>1</v>
      </c>
      <c r="D242">
        <v>250</v>
      </c>
      <c r="E242">
        <v>100</v>
      </c>
      <c r="F242" s="75">
        <f ca="1">INDIRECT(ADDRESS(11+(MATCH(RIGHT(Table245[[#This Row],[spawner_sku]],LEN(Table245[[#This Row],[spawner_sku]])-FIND("/",Table245[[#This Row],[spawner_sku]])),Table1[Entity Prefab],0)),10,1,1,"Entities"))</f>
        <v>143</v>
      </c>
      <c r="G242" s="75">
        <f ca="1">ROUND((Table245[[#This Row],[XP]]*Table245[[#This Row],[entity_spawned (AVG)]])*(Table245[[#This Row],[activating_chance]]/100),0)</f>
        <v>143</v>
      </c>
      <c r="H24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2" s="72">
        <v>1</v>
      </c>
      <c r="J242" s="72">
        <v>1</v>
      </c>
      <c r="K242" s="72" t="b">
        <v>0</v>
      </c>
      <c r="AI242" t="s">
        <v>473</v>
      </c>
      <c r="AJ242">
        <v>1</v>
      </c>
      <c r="AK242">
        <v>300</v>
      </c>
      <c r="AL242">
        <v>100</v>
      </c>
      <c r="AM242" s="75">
        <f ca="1">INDIRECT(ADDRESS(11+(MATCH(RIGHT(Table2[[#This Row],[spawner_sku]],LEN(Table2[[#This Row],[spawner_sku]])-FIND("/",Table2[[#This Row],[spawner_sku]])),Table1[Entity Prefab],0)),10,1,1,"Entities"))</f>
        <v>130</v>
      </c>
      <c r="AN242" s="75">
        <f ca="1">ROUND((Table2[[#This Row],[XP]]*Table2[[#This Row],[entity_spawned (AVG)]])*(Table2[[#This Row],[activating_chance]]/100),0)</f>
        <v>130</v>
      </c>
      <c r="AO242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42" s="72">
        <v>1</v>
      </c>
      <c r="AQ242" s="72">
        <v>1</v>
      </c>
      <c r="AR242" s="72" t="b">
        <v>0</v>
      </c>
      <c r="BP242" t="s">
        <v>469</v>
      </c>
      <c r="BQ242">
        <v>1</v>
      </c>
      <c r="BR242">
        <v>220</v>
      </c>
      <c r="BS242">
        <v>100</v>
      </c>
      <c r="BT242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242" s="75">
        <f ca="1">ROUND((Table61011[[#This Row],[XP]]*Table61011[[#This Row],[entity_spawned (AVG)]])*(Table61011[[#This Row],[activating_chance]]/100),0)</f>
        <v>50</v>
      </c>
      <c r="BV24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42" s="72">
        <v>1</v>
      </c>
      <c r="BX242" s="72">
        <v>1</v>
      </c>
      <c r="BY242" s="72" t="b">
        <v>0</v>
      </c>
      <c r="CA242" t="s">
        <v>537</v>
      </c>
      <c r="CB242">
        <v>1</v>
      </c>
      <c r="CC242">
        <v>150</v>
      </c>
      <c r="CD242">
        <v>100</v>
      </c>
      <c r="CE242" s="75">
        <f ca="1">INDIRECT(ADDRESS(11+(MATCH(RIGHT(Table11[[#This Row],[spawner_sku]],LEN(Table11[[#This Row],[spawner_sku]])-FIND("/",Table11[[#This Row],[spawner_sku]])),Table1[Entity Prefab],0)),10,1,1,"Entities"))</f>
        <v>75</v>
      </c>
      <c r="CF242">
        <f ca="1">ROUND((Table11[[#This Row],[XP]]*Table11[[#This Row],[entity_spawned (AVG)]])*(Table11[[#This Row],[activating_chance]]/100),0)</f>
        <v>75</v>
      </c>
      <c r="CG242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242" s="72">
        <v>1</v>
      </c>
      <c r="CI242" s="72">
        <v>1</v>
      </c>
      <c r="CJ242" s="72" t="b">
        <v>0</v>
      </c>
      <c r="CW242" t="s">
        <v>256</v>
      </c>
      <c r="CX242">
        <v>1</v>
      </c>
      <c r="CY242">
        <v>150</v>
      </c>
      <c r="CZ242">
        <v>80</v>
      </c>
      <c r="DA242" s="75">
        <f ca="1">INDIRECT(ADDRESS(11+(MATCH(RIGHT(Table13[[#This Row],[spawner_sku]],LEN(Table13[[#This Row],[spawner_sku]])-FIND("/",Table13[[#This Row],[spawner_sku]])),Table1[Entity Prefab],0)),10,1,1,"Entities"))</f>
        <v>25</v>
      </c>
      <c r="DB242" s="75">
        <f ca="1">ROUND((Table13[[#This Row],[XP]]*Table13[[#This Row],[entity_spawned (AVG)]])*(Table13[[#This Row],[activating_chance]]/100),0)</f>
        <v>20</v>
      </c>
      <c r="DC242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42" s="72">
        <v>1</v>
      </c>
      <c r="DE242" s="72">
        <v>1</v>
      </c>
      <c r="DF242" s="72" t="b">
        <v>0</v>
      </c>
      <c r="DH242" t="s">
        <v>238</v>
      </c>
      <c r="DI242">
        <v>1</v>
      </c>
      <c r="DJ242">
        <v>2500</v>
      </c>
      <c r="DK242">
        <v>100</v>
      </c>
      <c r="DL242" s="75">
        <f ca="1">INDIRECT(ADDRESS(11+(MATCH(RIGHT(Table14[[#This Row],[spawner_sku]],LEN(Table14[[#This Row],[spawner_sku]])-FIND("/",Table14[[#This Row],[spawner_sku]])),Table1[Entity Prefab],0)),10,1,1,"Entities"))</f>
        <v>263</v>
      </c>
      <c r="DM242" s="75">
        <f ca="1">ROUND((Table14[[#This Row],[XP]]*Table14[[#This Row],[entity_spawned (AVG)]])*(Table14[[#This Row],[activating_chance]]/100),0)</f>
        <v>263</v>
      </c>
      <c r="DN24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42" s="72">
        <v>1</v>
      </c>
      <c r="DP242" s="72">
        <v>1</v>
      </c>
      <c r="DQ242" s="72" t="b">
        <v>0</v>
      </c>
      <c r="DS242" t="s">
        <v>608</v>
      </c>
      <c r="DT242">
        <v>1</v>
      </c>
      <c r="DU242">
        <v>160</v>
      </c>
      <c r="DV242">
        <v>100</v>
      </c>
      <c r="DW242" s="75">
        <f ca="1">INDIRECT(ADDRESS(11+(MATCH(RIGHT(Table18[[#This Row],[spawner_sku]],LEN(Table18[[#This Row],[spawner_sku]])-FIND("/",Table18[[#This Row],[spawner_sku]])),Table1[Entity Prefab],0)),10,1,1,"Entities"))</f>
        <v>50</v>
      </c>
      <c r="DX242" s="75">
        <f ca="1">ROUND((Table18[[#This Row],[XP]]*Table18[[#This Row],[entity_spawned (AVG)]])*(Table18[[#This Row],[activating_chance]]/100),0)</f>
        <v>50</v>
      </c>
      <c r="DY242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242">
        <v>1</v>
      </c>
      <c r="EA242">
        <v>1</v>
      </c>
      <c r="EB242" t="b">
        <v>0</v>
      </c>
      <c r="ED242" t="s">
        <v>609</v>
      </c>
      <c r="EE242">
        <v>1</v>
      </c>
      <c r="EF242">
        <v>160</v>
      </c>
      <c r="EG242">
        <v>100</v>
      </c>
      <c r="EH24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42" s="75">
        <f ca="1">ROUND((Table1820[[#This Row],[XP]]*Table1820[[#This Row],[entity_spawned (AVG)]])*(Table1820[[#This Row],[activating_chance]]/100),0)</f>
        <v>25</v>
      </c>
      <c r="EJ24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42">
        <v>1</v>
      </c>
      <c r="EL242">
        <v>1</v>
      </c>
      <c r="EM242" t="b">
        <v>0</v>
      </c>
    </row>
    <row r="243" spans="2:143" x14ac:dyDescent="0.25">
      <c r="B243" s="73" t="s">
        <v>335</v>
      </c>
      <c r="C243">
        <v>1</v>
      </c>
      <c r="D243">
        <v>280</v>
      </c>
      <c r="E243">
        <v>100</v>
      </c>
      <c r="F243" s="75">
        <f ca="1">INDIRECT(ADDRESS(11+(MATCH(RIGHT(Table245[[#This Row],[spawner_sku]],LEN(Table245[[#This Row],[spawner_sku]])-FIND("/",Table245[[#This Row],[spawner_sku]])),Table1[Entity Prefab],0)),10,1,1,"Entities"))</f>
        <v>143</v>
      </c>
      <c r="G243" s="75">
        <f ca="1">ROUND((Table245[[#This Row],[XP]]*Table245[[#This Row],[entity_spawned (AVG)]])*(Table245[[#This Row],[activating_chance]]/100),0)</f>
        <v>143</v>
      </c>
      <c r="H24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3" s="72">
        <v>1</v>
      </c>
      <c r="J243" s="72">
        <v>1</v>
      </c>
      <c r="K243" s="72" t="b">
        <v>0</v>
      </c>
      <c r="AI243" t="s">
        <v>388</v>
      </c>
      <c r="AJ243">
        <v>1</v>
      </c>
      <c r="AK243">
        <v>220</v>
      </c>
      <c r="AL243">
        <v>100</v>
      </c>
      <c r="AM243" s="75">
        <f ca="1">INDIRECT(ADDRESS(11+(MATCH(RIGHT(Table2[[#This Row],[spawner_sku]],LEN(Table2[[#This Row],[spawner_sku]])-FIND("/",Table2[[#This Row],[spawner_sku]])),Table1[Entity Prefab],0)),10,1,1,"Entities"))</f>
        <v>75</v>
      </c>
      <c r="AN243" s="75">
        <f ca="1">ROUND((Table2[[#This Row],[XP]]*Table2[[#This Row],[entity_spawned (AVG)]])*(Table2[[#This Row],[activating_chance]]/100),0)</f>
        <v>75</v>
      </c>
      <c r="AO24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43" s="72">
        <v>1</v>
      </c>
      <c r="AQ243" s="72">
        <v>1</v>
      </c>
      <c r="AR243" s="72" t="b">
        <v>0</v>
      </c>
      <c r="BP243" t="s">
        <v>469</v>
      </c>
      <c r="BQ243">
        <v>1</v>
      </c>
      <c r="BR243">
        <v>220</v>
      </c>
      <c r="BS243">
        <v>80</v>
      </c>
      <c r="BT243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243" s="75">
        <f ca="1">ROUND((Table61011[[#This Row],[XP]]*Table61011[[#This Row],[entity_spawned (AVG)]])*(Table61011[[#This Row],[activating_chance]]/100),0)</f>
        <v>40</v>
      </c>
      <c r="BV24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43" s="72">
        <v>1</v>
      </c>
      <c r="BX243" s="72">
        <v>1</v>
      </c>
      <c r="BY243" s="72" t="b">
        <v>0</v>
      </c>
      <c r="CA243" t="s">
        <v>537</v>
      </c>
      <c r="CB243">
        <v>1</v>
      </c>
      <c r="CC243">
        <v>150</v>
      </c>
      <c r="CD243">
        <v>100</v>
      </c>
      <c r="CE243" s="75">
        <f ca="1">INDIRECT(ADDRESS(11+(MATCH(RIGHT(Table11[[#This Row],[spawner_sku]],LEN(Table11[[#This Row],[spawner_sku]])-FIND("/",Table11[[#This Row],[spawner_sku]])),Table1[Entity Prefab],0)),10,1,1,"Entities"))</f>
        <v>75</v>
      </c>
      <c r="CF243">
        <f ca="1">ROUND((Table11[[#This Row],[XP]]*Table11[[#This Row],[entity_spawned (AVG)]])*(Table11[[#This Row],[activating_chance]]/100),0)</f>
        <v>75</v>
      </c>
      <c r="CG243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243" s="72">
        <v>1</v>
      </c>
      <c r="CI243" s="72">
        <v>1</v>
      </c>
      <c r="CJ243" s="72" t="b">
        <v>0</v>
      </c>
      <c r="CW243" t="s">
        <v>256</v>
      </c>
      <c r="CX243">
        <v>1</v>
      </c>
      <c r="CY243">
        <v>150</v>
      </c>
      <c r="CZ243">
        <v>100</v>
      </c>
      <c r="DA243" s="75">
        <f ca="1">INDIRECT(ADDRESS(11+(MATCH(RIGHT(Table13[[#This Row],[spawner_sku]],LEN(Table13[[#This Row],[spawner_sku]])-FIND("/",Table13[[#This Row],[spawner_sku]])),Table1[Entity Prefab],0)),10,1,1,"Entities"))</f>
        <v>25</v>
      </c>
      <c r="DB243" s="75">
        <f ca="1">ROUND((Table13[[#This Row],[XP]]*Table13[[#This Row],[entity_spawned (AVG)]])*(Table13[[#This Row],[activating_chance]]/100),0)</f>
        <v>25</v>
      </c>
      <c r="DC243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43" s="72">
        <v>1</v>
      </c>
      <c r="DE243" s="72">
        <v>1</v>
      </c>
      <c r="DF243" s="72" t="b">
        <v>0</v>
      </c>
      <c r="DH243" t="s">
        <v>238</v>
      </c>
      <c r="DI243">
        <v>1</v>
      </c>
      <c r="DJ243">
        <v>2500</v>
      </c>
      <c r="DK243">
        <v>100</v>
      </c>
      <c r="DL243" s="75">
        <f ca="1">INDIRECT(ADDRESS(11+(MATCH(RIGHT(Table14[[#This Row],[spawner_sku]],LEN(Table14[[#This Row],[spawner_sku]])-FIND("/",Table14[[#This Row],[spawner_sku]])),Table1[Entity Prefab],0)),10,1,1,"Entities"))</f>
        <v>263</v>
      </c>
      <c r="DM243" s="75">
        <f ca="1">ROUND((Table14[[#This Row],[XP]]*Table14[[#This Row],[entity_spawned (AVG)]])*(Table14[[#This Row],[activating_chance]]/100),0)</f>
        <v>263</v>
      </c>
      <c r="DN24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43" s="72">
        <v>1</v>
      </c>
      <c r="DP243" s="72">
        <v>1</v>
      </c>
      <c r="DQ243" s="72" t="b">
        <v>0</v>
      </c>
      <c r="DS243" t="s">
        <v>609</v>
      </c>
      <c r="DT243">
        <v>1</v>
      </c>
      <c r="DU243">
        <v>160</v>
      </c>
      <c r="DV243">
        <v>30</v>
      </c>
      <c r="DW243" s="75">
        <f ca="1">INDIRECT(ADDRESS(11+(MATCH(RIGHT(Table18[[#This Row],[spawner_sku]],LEN(Table18[[#This Row],[spawner_sku]])-FIND("/",Table18[[#This Row],[spawner_sku]])),Table1[Entity Prefab],0)),10,1,1,"Entities"))</f>
        <v>25</v>
      </c>
      <c r="DX243" s="75">
        <f ca="1">ROUND((Table18[[#This Row],[XP]]*Table18[[#This Row],[entity_spawned (AVG)]])*(Table18[[#This Row],[activating_chance]]/100),0)</f>
        <v>8</v>
      </c>
      <c r="DY24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43">
        <v>1</v>
      </c>
      <c r="EA243">
        <v>1</v>
      </c>
      <c r="EB243" t="b">
        <v>0</v>
      </c>
      <c r="ED243" t="s">
        <v>609</v>
      </c>
      <c r="EE243">
        <v>1</v>
      </c>
      <c r="EF243">
        <v>200</v>
      </c>
      <c r="EG243">
        <v>100</v>
      </c>
      <c r="EH243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43" s="75">
        <f ca="1">ROUND((Table1820[[#This Row],[XP]]*Table1820[[#This Row],[entity_spawned (AVG)]])*(Table1820[[#This Row],[activating_chance]]/100),0)</f>
        <v>25</v>
      </c>
      <c r="EJ24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43">
        <v>1</v>
      </c>
      <c r="EL243">
        <v>1</v>
      </c>
      <c r="EM243" t="b">
        <v>0</v>
      </c>
    </row>
    <row r="244" spans="2:143" x14ac:dyDescent="0.25">
      <c r="B244" s="73" t="s">
        <v>335</v>
      </c>
      <c r="C244">
        <v>1</v>
      </c>
      <c r="D244">
        <v>240</v>
      </c>
      <c r="E244">
        <v>100</v>
      </c>
      <c r="F244" s="75">
        <f ca="1">INDIRECT(ADDRESS(11+(MATCH(RIGHT(Table245[[#This Row],[spawner_sku]],LEN(Table245[[#This Row],[spawner_sku]])-FIND("/",Table245[[#This Row],[spawner_sku]])),Table1[Entity Prefab],0)),10,1,1,"Entities"))</f>
        <v>143</v>
      </c>
      <c r="G244" s="75">
        <f ca="1">ROUND((Table245[[#This Row],[XP]]*Table245[[#This Row],[entity_spawned (AVG)]])*(Table245[[#This Row],[activating_chance]]/100),0)</f>
        <v>143</v>
      </c>
      <c r="H24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4" s="72">
        <v>1</v>
      </c>
      <c r="J244" s="72">
        <v>1</v>
      </c>
      <c r="K244" s="72" t="b">
        <v>0</v>
      </c>
      <c r="AI244" t="s">
        <v>388</v>
      </c>
      <c r="AJ244">
        <v>1</v>
      </c>
      <c r="AK244">
        <v>220</v>
      </c>
      <c r="AL244">
        <v>100</v>
      </c>
      <c r="AM244" s="75">
        <f ca="1">INDIRECT(ADDRESS(11+(MATCH(RIGHT(Table2[[#This Row],[spawner_sku]],LEN(Table2[[#This Row],[spawner_sku]])-FIND("/",Table2[[#This Row],[spawner_sku]])),Table1[Entity Prefab],0)),10,1,1,"Entities"))</f>
        <v>75</v>
      </c>
      <c r="AN244" s="75">
        <f ca="1">ROUND((Table2[[#This Row],[XP]]*Table2[[#This Row],[entity_spawned (AVG)]])*(Table2[[#This Row],[activating_chance]]/100),0)</f>
        <v>75</v>
      </c>
      <c r="AO244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44" s="72">
        <v>1</v>
      </c>
      <c r="AQ244" s="72">
        <v>1</v>
      </c>
      <c r="AR244" s="72" t="b">
        <v>0</v>
      </c>
      <c r="BP244" t="s">
        <v>469</v>
      </c>
      <c r="BQ244">
        <v>1</v>
      </c>
      <c r="BR244">
        <v>220</v>
      </c>
      <c r="BS244">
        <v>100</v>
      </c>
      <c r="BT244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244" s="75">
        <f ca="1">ROUND((Table61011[[#This Row],[XP]]*Table61011[[#This Row],[entity_spawned (AVG)]])*(Table61011[[#This Row],[activating_chance]]/100),0)</f>
        <v>50</v>
      </c>
      <c r="BV24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44" s="72">
        <v>1</v>
      </c>
      <c r="BX244" s="72">
        <v>1</v>
      </c>
      <c r="BY244" s="72" t="b">
        <v>0</v>
      </c>
      <c r="CA244" t="s">
        <v>537</v>
      </c>
      <c r="CB244">
        <v>1</v>
      </c>
      <c r="CC244">
        <v>150</v>
      </c>
      <c r="CD244">
        <v>100</v>
      </c>
      <c r="CE244" s="75">
        <f ca="1">INDIRECT(ADDRESS(11+(MATCH(RIGHT(Table11[[#This Row],[spawner_sku]],LEN(Table11[[#This Row],[spawner_sku]])-FIND("/",Table11[[#This Row],[spawner_sku]])),Table1[Entity Prefab],0)),10,1,1,"Entities"))</f>
        <v>75</v>
      </c>
      <c r="CF244">
        <f ca="1">ROUND((Table11[[#This Row],[XP]]*Table11[[#This Row],[entity_spawned (AVG)]])*(Table11[[#This Row],[activating_chance]]/100),0)</f>
        <v>75</v>
      </c>
      <c r="CG244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244" s="72">
        <v>1</v>
      </c>
      <c r="CI244" s="72">
        <v>1</v>
      </c>
      <c r="CJ244" s="72" t="b">
        <v>0</v>
      </c>
      <c r="CW244" t="s">
        <v>256</v>
      </c>
      <c r="CX244">
        <v>1</v>
      </c>
      <c r="CY244">
        <v>150</v>
      </c>
      <c r="CZ244">
        <v>100</v>
      </c>
      <c r="DA244" s="75">
        <f ca="1">INDIRECT(ADDRESS(11+(MATCH(RIGHT(Table13[[#This Row],[spawner_sku]],LEN(Table13[[#This Row],[spawner_sku]])-FIND("/",Table13[[#This Row],[spawner_sku]])),Table1[Entity Prefab],0)),10,1,1,"Entities"))</f>
        <v>25</v>
      </c>
      <c r="DB244" s="75">
        <f ca="1">ROUND((Table13[[#This Row],[XP]]*Table13[[#This Row],[entity_spawned (AVG)]])*(Table13[[#This Row],[activating_chance]]/100),0)</f>
        <v>25</v>
      </c>
      <c r="DC244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44" s="72">
        <v>1</v>
      </c>
      <c r="DE244" s="72">
        <v>1</v>
      </c>
      <c r="DF244" s="72" t="b">
        <v>0</v>
      </c>
      <c r="DH244" t="s">
        <v>238</v>
      </c>
      <c r="DI244">
        <v>1</v>
      </c>
      <c r="DJ244">
        <v>2500</v>
      </c>
      <c r="DK244">
        <v>100</v>
      </c>
      <c r="DL244" s="75">
        <f ca="1">INDIRECT(ADDRESS(11+(MATCH(RIGHT(Table14[[#This Row],[spawner_sku]],LEN(Table14[[#This Row],[spawner_sku]])-FIND("/",Table14[[#This Row],[spawner_sku]])),Table1[Entity Prefab],0)),10,1,1,"Entities"))</f>
        <v>263</v>
      </c>
      <c r="DM244" s="75">
        <f ca="1">ROUND((Table14[[#This Row],[XP]]*Table14[[#This Row],[entity_spawned (AVG)]])*(Table14[[#This Row],[activating_chance]]/100),0)</f>
        <v>263</v>
      </c>
      <c r="DN24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44" s="72">
        <v>1</v>
      </c>
      <c r="DP244" s="72">
        <v>1</v>
      </c>
      <c r="DQ244" s="72" t="b">
        <v>0</v>
      </c>
      <c r="DS244" t="s">
        <v>609</v>
      </c>
      <c r="DT244">
        <v>1</v>
      </c>
      <c r="DU244">
        <v>160</v>
      </c>
      <c r="DV244">
        <v>30</v>
      </c>
      <c r="DW244" s="75">
        <f ca="1">INDIRECT(ADDRESS(11+(MATCH(RIGHT(Table18[[#This Row],[spawner_sku]],LEN(Table18[[#This Row],[spawner_sku]])-FIND("/",Table18[[#This Row],[spawner_sku]])),Table1[Entity Prefab],0)),10,1,1,"Entities"))</f>
        <v>25</v>
      </c>
      <c r="DX244" s="75">
        <f ca="1">ROUND((Table18[[#This Row],[XP]]*Table18[[#This Row],[entity_spawned (AVG)]])*(Table18[[#This Row],[activating_chance]]/100),0)</f>
        <v>8</v>
      </c>
      <c r="DY24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44">
        <v>1</v>
      </c>
      <c r="EA244">
        <v>1</v>
      </c>
      <c r="EB244" t="b">
        <v>0</v>
      </c>
      <c r="ED244" t="s">
        <v>609</v>
      </c>
      <c r="EE244">
        <v>1</v>
      </c>
      <c r="EF244">
        <v>160</v>
      </c>
      <c r="EG244">
        <v>100</v>
      </c>
      <c r="EH244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44" s="75">
        <f ca="1">ROUND((Table1820[[#This Row],[XP]]*Table1820[[#This Row],[entity_spawned (AVG)]])*(Table1820[[#This Row],[activating_chance]]/100),0)</f>
        <v>25</v>
      </c>
      <c r="EJ24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44">
        <v>1</v>
      </c>
      <c r="EL244">
        <v>1</v>
      </c>
      <c r="EM244" t="b">
        <v>0</v>
      </c>
    </row>
    <row r="245" spans="2:143" x14ac:dyDescent="0.25">
      <c r="B245" s="73" t="s">
        <v>335</v>
      </c>
      <c r="C245">
        <v>1</v>
      </c>
      <c r="D245">
        <v>180</v>
      </c>
      <c r="E245">
        <v>100</v>
      </c>
      <c r="F245" s="75">
        <f ca="1">INDIRECT(ADDRESS(11+(MATCH(RIGHT(Table245[[#This Row],[spawner_sku]],LEN(Table245[[#This Row],[spawner_sku]])-FIND("/",Table245[[#This Row],[spawner_sku]])),Table1[Entity Prefab],0)),10,1,1,"Entities"))</f>
        <v>143</v>
      </c>
      <c r="G245" s="75">
        <f ca="1">ROUND((Table245[[#This Row],[XP]]*Table245[[#This Row],[entity_spawned (AVG)]])*(Table245[[#This Row],[activating_chance]]/100),0)</f>
        <v>143</v>
      </c>
      <c r="H24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5" s="72">
        <v>1</v>
      </c>
      <c r="J245" s="72">
        <v>1</v>
      </c>
      <c r="K245" s="72" t="b">
        <v>0</v>
      </c>
      <c r="AI245" t="s">
        <v>388</v>
      </c>
      <c r="AJ245">
        <v>1</v>
      </c>
      <c r="AK245">
        <v>220</v>
      </c>
      <c r="AL245">
        <v>100</v>
      </c>
      <c r="AM245" s="75">
        <f ca="1">INDIRECT(ADDRESS(11+(MATCH(RIGHT(Table2[[#This Row],[spawner_sku]],LEN(Table2[[#This Row],[spawner_sku]])-FIND("/",Table2[[#This Row],[spawner_sku]])),Table1[Entity Prefab],0)),10,1,1,"Entities"))</f>
        <v>75</v>
      </c>
      <c r="AN245" s="75">
        <f ca="1">ROUND((Table2[[#This Row],[XP]]*Table2[[#This Row],[entity_spawned (AVG)]])*(Table2[[#This Row],[activating_chance]]/100),0)</f>
        <v>75</v>
      </c>
      <c r="AO245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45" s="72">
        <v>1</v>
      </c>
      <c r="AQ245" s="72">
        <v>1</v>
      </c>
      <c r="AR245" s="72" t="b">
        <v>0</v>
      </c>
      <c r="BP245" t="s">
        <v>469</v>
      </c>
      <c r="BQ245">
        <v>1</v>
      </c>
      <c r="BR245">
        <v>220</v>
      </c>
      <c r="BS245">
        <v>100</v>
      </c>
      <c r="BT245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245" s="75">
        <f ca="1">ROUND((Table61011[[#This Row],[XP]]*Table61011[[#This Row],[entity_spawned (AVG)]])*(Table61011[[#This Row],[activating_chance]]/100),0)</f>
        <v>50</v>
      </c>
      <c r="BV24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45" s="72">
        <v>1</v>
      </c>
      <c r="BX245" s="72">
        <v>1</v>
      </c>
      <c r="BY245" s="72" t="b">
        <v>0</v>
      </c>
      <c r="CA245" t="s">
        <v>537</v>
      </c>
      <c r="CB245">
        <v>1</v>
      </c>
      <c r="CC245">
        <v>150</v>
      </c>
      <c r="CD245">
        <v>100</v>
      </c>
      <c r="CE245" s="75">
        <f ca="1">INDIRECT(ADDRESS(11+(MATCH(RIGHT(Table11[[#This Row],[spawner_sku]],LEN(Table11[[#This Row],[spawner_sku]])-FIND("/",Table11[[#This Row],[spawner_sku]])),Table1[Entity Prefab],0)),10,1,1,"Entities"))</f>
        <v>75</v>
      </c>
      <c r="CF245">
        <f ca="1">ROUND((Table11[[#This Row],[XP]]*Table11[[#This Row],[entity_spawned (AVG)]])*(Table11[[#This Row],[activating_chance]]/100),0)</f>
        <v>75</v>
      </c>
      <c r="CG245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245" s="72">
        <v>1</v>
      </c>
      <c r="CI245" s="72">
        <v>1</v>
      </c>
      <c r="CJ245" s="72" t="b">
        <v>0</v>
      </c>
      <c r="CW245" t="s">
        <v>256</v>
      </c>
      <c r="CX245">
        <v>1</v>
      </c>
      <c r="CY245">
        <v>150</v>
      </c>
      <c r="CZ245">
        <v>30</v>
      </c>
      <c r="DA245" s="75">
        <f ca="1">INDIRECT(ADDRESS(11+(MATCH(RIGHT(Table13[[#This Row],[spawner_sku]],LEN(Table13[[#This Row],[spawner_sku]])-FIND("/",Table13[[#This Row],[spawner_sku]])),Table1[Entity Prefab],0)),10,1,1,"Entities"))</f>
        <v>25</v>
      </c>
      <c r="DB245" s="75">
        <f ca="1">ROUND((Table13[[#This Row],[XP]]*Table13[[#This Row],[entity_spawned (AVG)]])*(Table13[[#This Row],[activating_chance]]/100),0)</f>
        <v>8</v>
      </c>
      <c r="DC245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45" s="72">
        <v>1</v>
      </c>
      <c r="DE245" s="72">
        <v>1</v>
      </c>
      <c r="DF245" s="72" t="b">
        <v>0</v>
      </c>
      <c r="DH245" t="s">
        <v>240</v>
      </c>
      <c r="DI245">
        <v>1</v>
      </c>
      <c r="DJ245">
        <v>2000</v>
      </c>
      <c r="DK245">
        <v>100</v>
      </c>
      <c r="DL245" s="75">
        <f ca="1">INDIRECT(ADDRESS(11+(MATCH(RIGHT(Table14[[#This Row],[spawner_sku]],LEN(Table14[[#This Row],[spawner_sku]])-FIND("/",Table14[[#This Row],[spawner_sku]])),Table1[Entity Prefab],0)),10,1,1,"Entities"))</f>
        <v>175</v>
      </c>
      <c r="DM245" s="75">
        <f ca="1">ROUND((Table14[[#This Row],[XP]]*Table14[[#This Row],[entity_spawned (AVG)]])*(Table14[[#This Row],[activating_chance]]/100),0)</f>
        <v>175</v>
      </c>
      <c r="DN24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45" s="72">
        <v>1</v>
      </c>
      <c r="DP245" s="72">
        <v>1</v>
      </c>
      <c r="DQ245" s="72" t="b">
        <v>0</v>
      </c>
      <c r="DS245" t="s">
        <v>609</v>
      </c>
      <c r="DT245">
        <v>1</v>
      </c>
      <c r="DU245">
        <v>160</v>
      </c>
      <c r="DV245">
        <v>100</v>
      </c>
      <c r="DW245" s="75">
        <f ca="1">INDIRECT(ADDRESS(11+(MATCH(RIGHT(Table18[[#This Row],[spawner_sku]],LEN(Table18[[#This Row],[spawner_sku]])-FIND("/",Table18[[#This Row],[spawner_sku]])),Table1[Entity Prefab],0)),10,1,1,"Entities"))</f>
        <v>25</v>
      </c>
      <c r="DX245" s="75">
        <f ca="1">ROUND((Table18[[#This Row],[XP]]*Table18[[#This Row],[entity_spawned (AVG)]])*(Table18[[#This Row],[activating_chance]]/100),0)</f>
        <v>25</v>
      </c>
      <c r="DY24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45">
        <v>1</v>
      </c>
      <c r="EA245">
        <v>1</v>
      </c>
      <c r="EB245" t="b">
        <v>0</v>
      </c>
      <c r="ED245" t="s">
        <v>609</v>
      </c>
      <c r="EE245">
        <v>1</v>
      </c>
      <c r="EF245">
        <v>200</v>
      </c>
      <c r="EG245">
        <v>80</v>
      </c>
      <c r="EH245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45" s="75">
        <f ca="1">ROUND((Table1820[[#This Row],[XP]]*Table1820[[#This Row],[entity_spawned (AVG)]])*(Table1820[[#This Row],[activating_chance]]/100),0)</f>
        <v>20</v>
      </c>
      <c r="EJ24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45">
        <v>1</v>
      </c>
      <c r="EL245">
        <v>1</v>
      </c>
      <c r="EM245" t="b">
        <v>0</v>
      </c>
    </row>
    <row r="246" spans="2:143" x14ac:dyDescent="0.25">
      <c r="B246" s="73" t="s">
        <v>335</v>
      </c>
      <c r="C246">
        <v>1</v>
      </c>
      <c r="D246">
        <v>240</v>
      </c>
      <c r="E246">
        <v>100</v>
      </c>
      <c r="F246" s="75">
        <f ca="1">INDIRECT(ADDRESS(11+(MATCH(RIGHT(Table245[[#This Row],[spawner_sku]],LEN(Table245[[#This Row],[spawner_sku]])-FIND("/",Table245[[#This Row],[spawner_sku]])),Table1[Entity Prefab],0)),10,1,1,"Entities"))</f>
        <v>143</v>
      </c>
      <c r="G246" s="75">
        <f ca="1">ROUND((Table245[[#This Row],[XP]]*Table245[[#This Row],[entity_spawned (AVG)]])*(Table245[[#This Row],[activating_chance]]/100),0)</f>
        <v>143</v>
      </c>
      <c r="H24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6" s="72">
        <v>1</v>
      </c>
      <c r="J246" s="72">
        <v>1</v>
      </c>
      <c r="K246" s="72" t="b">
        <v>0</v>
      </c>
      <c r="AI246" t="s">
        <v>388</v>
      </c>
      <c r="AJ246">
        <v>1</v>
      </c>
      <c r="AK246">
        <v>150</v>
      </c>
      <c r="AL246">
        <v>100</v>
      </c>
      <c r="AM246" s="75">
        <f ca="1">INDIRECT(ADDRESS(11+(MATCH(RIGHT(Table2[[#This Row],[spawner_sku]],LEN(Table2[[#This Row],[spawner_sku]])-FIND("/",Table2[[#This Row],[spawner_sku]])),Table1[Entity Prefab],0)),10,1,1,"Entities"))</f>
        <v>75</v>
      </c>
      <c r="AN246" s="75">
        <f ca="1">ROUND((Table2[[#This Row],[XP]]*Table2[[#This Row],[entity_spawned (AVG)]])*(Table2[[#This Row],[activating_chance]]/100),0)</f>
        <v>75</v>
      </c>
      <c r="AO24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46" s="72">
        <v>1</v>
      </c>
      <c r="AQ246" s="72">
        <v>1</v>
      </c>
      <c r="AR246" s="72" t="b">
        <v>0</v>
      </c>
      <c r="BP246" t="s">
        <v>469</v>
      </c>
      <c r="BQ246">
        <v>1</v>
      </c>
      <c r="BR246">
        <v>220</v>
      </c>
      <c r="BS246">
        <v>100</v>
      </c>
      <c r="BT246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246" s="75">
        <f ca="1">ROUND((Table61011[[#This Row],[XP]]*Table61011[[#This Row],[entity_spawned (AVG)]])*(Table61011[[#This Row],[activating_chance]]/100),0)</f>
        <v>50</v>
      </c>
      <c r="BV24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46" s="72">
        <v>1</v>
      </c>
      <c r="BX246" s="72">
        <v>1</v>
      </c>
      <c r="BY246" s="72" t="b">
        <v>0</v>
      </c>
      <c r="CA246" t="s">
        <v>537</v>
      </c>
      <c r="CB246">
        <v>1</v>
      </c>
      <c r="CC246">
        <v>150</v>
      </c>
      <c r="CD246">
        <v>100</v>
      </c>
      <c r="CE246" s="75">
        <f ca="1">INDIRECT(ADDRESS(11+(MATCH(RIGHT(Table11[[#This Row],[spawner_sku]],LEN(Table11[[#This Row],[spawner_sku]])-FIND("/",Table11[[#This Row],[spawner_sku]])),Table1[Entity Prefab],0)),10,1,1,"Entities"))</f>
        <v>75</v>
      </c>
      <c r="CF246">
        <f ca="1">ROUND((Table11[[#This Row],[XP]]*Table11[[#This Row],[entity_spawned (AVG)]])*(Table11[[#This Row],[activating_chance]]/100),0)</f>
        <v>75</v>
      </c>
      <c r="CG246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246" s="72">
        <v>1</v>
      </c>
      <c r="CI246" s="72">
        <v>1</v>
      </c>
      <c r="CJ246" s="72" t="b">
        <v>0</v>
      </c>
      <c r="CW246" t="s">
        <v>256</v>
      </c>
      <c r="CX246">
        <v>1.5</v>
      </c>
      <c r="CY246">
        <v>150</v>
      </c>
      <c r="CZ246">
        <v>30</v>
      </c>
      <c r="DA246" s="75">
        <f ca="1">INDIRECT(ADDRESS(11+(MATCH(RIGHT(Table13[[#This Row],[spawner_sku]],LEN(Table13[[#This Row],[spawner_sku]])-FIND("/",Table13[[#This Row],[spawner_sku]])),Table1[Entity Prefab],0)),10,1,1,"Entities"))</f>
        <v>25</v>
      </c>
      <c r="DB246" s="75">
        <f ca="1">ROUND((Table13[[#This Row],[XP]]*Table13[[#This Row],[entity_spawned (AVG)]])*(Table13[[#This Row],[activating_chance]]/100),0)</f>
        <v>11</v>
      </c>
      <c r="DC246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46" s="72">
        <v>1</v>
      </c>
      <c r="DE246" s="72">
        <v>2</v>
      </c>
      <c r="DF246" s="72" t="b">
        <v>0</v>
      </c>
      <c r="DH246" t="s">
        <v>240</v>
      </c>
      <c r="DI246">
        <v>1</v>
      </c>
      <c r="DJ246">
        <v>2000</v>
      </c>
      <c r="DK246">
        <v>100</v>
      </c>
      <c r="DL246" s="75">
        <f ca="1">INDIRECT(ADDRESS(11+(MATCH(RIGHT(Table14[[#This Row],[spawner_sku]],LEN(Table14[[#This Row],[spawner_sku]])-FIND("/",Table14[[#This Row],[spawner_sku]])),Table1[Entity Prefab],0)),10,1,1,"Entities"))</f>
        <v>175</v>
      </c>
      <c r="DM246" s="75">
        <f ca="1">ROUND((Table14[[#This Row],[XP]]*Table14[[#This Row],[entity_spawned (AVG)]])*(Table14[[#This Row],[activating_chance]]/100),0)</f>
        <v>175</v>
      </c>
      <c r="DN24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46" s="72">
        <v>1</v>
      </c>
      <c r="DP246" s="72">
        <v>1</v>
      </c>
      <c r="DQ246" s="72" t="b">
        <v>0</v>
      </c>
      <c r="DS246" t="s">
        <v>609</v>
      </c>
      <c r="DT246">
        <v>1</v>
      </c>
      <c r="DU246">
        <v>160</v>
      </c>
      <c r="DV246">
        <v>100</v>
      </c>
      <c r="DW246" s="75">
        <f ca="1">INDIRECT(ADDRESS(11+(MATCH(RIGHT(Table18[[#This Row],[spawner_sku]],LEN(Table18[[#This Row],[spawner_sku]])-FIND("/",Table18[[#This Row],[spawner_sku]])),Table1[Entity Prefab],0)),10,1,1,"Entities"))</f>
        <v>25</v>
      </c>
      <c r="DX246" s="75">
        <f ca="1">ROUND((Table18[[#This Row],[XP]]*Table18[[#This Row],[entity_spawned (AVG)]])*(Table18[[#This Row],[activating_chance]]/100),0)</f>
        <v>25</v>
      </c>
      <c r="DY24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46">
        <v>1</v>
      </c>
      <c r="EA246">
        <v>1</v>
      </c>
      <c r="EB246" t="b">
        <v>0</v>
      </c>
      <c r="ED246" t="s">
        <v>609</v>
      </c>
      <c r="EE246">
        <v>1</v>
      </c>
      <c r="EF246">
        <v>200</v>
      </c>
      <c r="EG246">
        <v>30</v>
      </c>
      <c r="EH246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46" s="75">
        <f ca="1">ROUND((Table1820[[#This Row],[XP]]*Table1820[[#This Row],[entity_spawned (AVG)]])*(Table1820[[#This Row],[activating_chance]]/100),0)</f>
        <v>8</v>
      </c>
      <c r="EJ24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46">
        <v>1</v>
      </c>
      <c r="EL246">
        <v>1</v>
      </c>
      <c r="EM246" t="b">
        <v>0</v>
      </c>
    </row>
    <row r="247" spans="2:143" x14ac:dyDescent="0.25">
      <c r="B247" s="73" t="s">
        <v>335</v>
      </c>
      <c r="C247">
        <v>1</v>
      </c>
      <c r="D247">
        <v>240</v>
      </c>
      <c r="E247">
        <v>80</v>
      </c>
      <c r="F247" s="75">
        <f ca="1">INDIRECT(ADDRESS(11+(MATCH(RIGHT(Table245[[#This Row],[spawner_sku]],LEN(Table245[[#This Row],[spawner_sku]])-FIND("/",Table245[[#This Row],[spawner_sku]])),Table1[Entity Prefab],0)),10,1,1,"Entities"))</f>
        <v>143</v>
      </c>
      <c r="G247" s="75">
        <f ca="1">ROUND((Table245[[#This Row],[XP]]*Table245[[#This Row],[entity_spawned (AVG)]])*(Table245[[#This Row],[activating_chance]]/100),0)</f>
        <v>114</v>
      </c>
      <c r="H24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7" s="72">
        <v>1</v>
      </c>
      <c r="J247" s="72">
        <v>1</v>
      </c>
      <c r="K247" s="72" t="b">
        <v>0</v>
      </c>
      <c r="AI247" t="s">
        <v>388</v>
      </c>
      <c r="AJ247">
        <v>1</v>
      </c>
      <c r="AK247">
        <v>220</v>
      </c>
      <c r="AL247">
        <v>100</v>
      </c>
      <c r="AM247" s="75">
        <f ca="1">INDIRECT(ADDRESS(11+(MATCH(RIGHT(Table2[[#This Row],[spawner_sku]],LEN(Table2[[#This Row],[spawner_sku]])-FIND("/",Table2[[#This Row],[spawner_sku]])),Table1[Entity Prefab],0)),10,1,1,"Entities"))</f>
        <v>75</v>
      </c>
      <c r="AN247" s="75">
        <f ca="1">ROUND((Table2[[#This Row],[XP]]*Table2[[#This Row],[entity_spawned (AVG)]])*(Table2[[#This Row],[activating_chance]]/100),0)</f>
        <v>75</v>
      </c>
      <c r="AO24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47" s="72">
        <v>1</v>
      </c>
      <c r="AQ247" s="72">
        <v>1</v>
      </c>
      <c r="AR247" s="72" t="b">
        <v>0</v>
      </c>
      <c r="BP247" t="s">
        <v>470</v>
      </c>
      <c r="BQ247">
        <v>1</v>
      </c>
      <c r="BR247">
        <v>240</v>
      </c>
      <c r="BS247">
        <v>100</v>
      </c>
      <c r="BT247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247" s="75">
        <f ca="1">ROUND((Table61011[[#This Row],[XP]]*Table61011[[#This Row],[entity_spawned (AVG)]])*(Table61011[[#This Row],[activating_chance]]/100),0)</f>
        <v>83</v>
      </c>
      <c r="BV24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47" s="72">
        <v>1</v>
      </c>
      <c r="BX247" s="72">
        <v>1</v>
      </c>
      <c r="BY247" s="72" t="b">
        <v>0</v>
      </c>
      <c r="CA247" t="s">
        <v>537</v>
      </c>
      <c r="CB247">
        <v>1</v>
      </c>
      <c r="CC247">
        <v>150</v>
      </c>
      <c r="CD247">
        <v>100</v>
      </c>
      <c r="CE247" s="75">
        <f ca="1">INDIRECT(ADDRESS(11+(MATCH(RIGHT(Table11[[#This Row],[spawner_sku]],LEN(Table11[[#This Row],[spawner_sku]])-FIND("/",Table11[[#This Row],[spawner_sku]])),Table1[Entity Prefab],0)),10,1,1,"Entities"))</f>
        <v>75</v>
      </c>
      <c r="CF247">
        <f ca="1">ROUND((Table11[[#This Row],[XP]]*Table11[[#This Row],[entity_spawned (AVG)]])*(Table11[[#This Row],[activating_chance]]/100),0)</f>
        <v>75</v>
      </c>
      <c r="CG247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247" s="72">
        <v>1</v>
      </c>
      <c r="CI247" s="72">
        <v>1</v>
      </c>
      <c r="CJ247" s="72" t="b">
        <v>0</v>
      </c>
      <c r="CW247" t="s">
        <v>256</v>
      </c>
      <c r="CX247">
        <v>1</v>
      </c>
      <c r="CY247">
        <v>150</v>
      </c>
      <c r="CZ247">
        <v>100</v>
      </c>
      <c r="DA247" s="75">
        <f ca="1">INDIRECT(ADDRESS(11+(MATCH(RIGHT(Table13[[#This Row],[spawner_sku]],LEN(Table13[[#This Row],[spawner_sku]])-FIND("/",Table13[[#This Row],[spawner_sku]])),Table1[Entity Prefab],0)),10,1,1,"Entities"))</f>
        <v>25</v>
      </c>
      <c r="DB247" s="75">
        <f ca="1">ROUND((Table13[[#This Row],[XP]]*Table13[[#This Row],[entity_spawned (AVG)]])*(Table13[[#This Row],[activating_chance]]/100),0)</f>
        <v>25</v>
      </c>
      <c r="DC247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47" s="72">
        <v>1</v>
      </c>
      <c r="DE247" s="72">
        <v>1</v>
      </c>
      <c r="DF247" s="72" t="b">
        <v>0</v>
      </c>
      <c r="DH247" t="s">
        <v>240</v>
      </c>
      <c r="DI247">
        <v>1</v>
      </c>
      <c r="DJ247">
        <v>2000</v>
      </c>
      <c r="DK247">
        <v>100</v>
      </c>
      <c r="DL247" s="75">
        <f ca="1">INDIRECT(ADDRESS(11+(MATCH(RIGHT(Table14[[#This Row],[spawner_sku]],LEN(Table14[[#This Row],[spawner_sku]])-FIND("/",Table14[[#This Row],[spawner_sku]])),Table1[Entity Prefab],0)),10,1,1,"Entities"))</f>
        <v>175</v>
      </c>
      <c r="DM247" s="75">
        <f ca="1">ROUND((Table14[[#This Row],[XP]]*Table14[[#This Row],[entity_spawned (AVG)]])*(Table14[[#This Row],[activating_chance]]/100),0)</f>
        <v>175</v>
      </c>
      <c r="DN24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47" s="72">
        <v>1</v>
      </c>
      <c r="DP247" s="72">
        <v>1</v>
      </c>
      <c r="DQ247" s="72" t="b">
        <v>0</v>
      </c>
      <c r="DS247" t="s">
        <v>609</v>
      </c>
      <c r="DT247">
        <v>1</v>
      </c>
      <c r="DU247">
        <v>160</v>
      </c>
      <c r="DV247">
        <v>100</v>
      </c>
      <c r="DW247" s="75">
        <f ca="1">INDIRECT(ADDRESS(11+(MATCH(RIGHT(Table18[[#This Row],[spawner_sku]],LEN(Table18[[#This Row],[spawner_sku]])-FIND("/",Table18[[#This Row],[spawner_sku]])),Table1[Entity Prefab],0)),10,1,1,"Entities"))</f>
        <v>25</v>
      </c>
      <c r="DX247" s="75">
        <f ca="1">ROUND((Table18[[#This Row],[XP]]*Table18[[#This Row],[entity_spawned (AVG)]])*(Table18[[#This Row],[activating_chance]]/100),0)</f>
        <v>25</v>
      </c>
      <c r="DY24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47">
        <v>1</v>
      </c>
      <c r="EA247">
        <v>1</v>
      </c>
      <c r="EB247" t="b">
        <v>0</v>
      </c>
      <c r="ED247" t="s">
        <v>396</v>
      </c>
      <c r="EE247">
        <v>1</v>
      </c>
      <c r="EF247">
        <v>80</v>
      </c>
      <c r="EG247">
        <v>100</v>
      </c>
      <c r="EH247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47" s="75">
        <f ca="1">ROUND((Table1820[[#This Row],[XP]]*Table1820[[#This Row],[entity_spawned (AVG)]])*(Table1820[[#This Row],[activating_chance]]/100),0)</f>
        <v>25</v>
      </c>
      <c r="EJ24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47">
        <v>1</v>
      </c>
      <c r="EL247">
        <v>2</v>
      </c>
      <c r="EM247" t="b">
        <v>0</v>
      </c>
    </row>
    <row r="248" spans="2:143" x14ac:dyDescent="0.25">
      <c r="B248" s="73" t="s">
        <v>335</v>
      </c>
      <c r="C248">
        <v>1</v>
      </c>
      <c r="D248">
        <v>180</v>
      </c>
      <c r="E248">
        <v>100</v>
      </c>
      <c r="F248" s="75">
        <f ca="1">INDIRECT(ADDRESS(11+(MATCH(RIGHT(Table245[[#This Row],[spawner_sku]],LEN(Table245[[#This Row],[spawner_sku]])-FIND("/",Table245[[#This Row],[spawner_sku]])),Table1[Entity Prefab],0)),10,1,1,"Entities"))</f>
        <v>143</v>
      </c>
      <c r="G248" s="75">
        <f ca="1">ROUND((Table245[[#This Row],[XP]]*Table245[[#This Row],[entity_spawned (AVG)]])*(Table245[[#This Row],[activating_chance]]/100),0)</f>
        <v>143</v>
      </c>
      <c r="H24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8" s="72">
        <v>1</v>
      </c>
      <c r="J248" s="72">
        <v>1</v>
      </c>
      <c r="K248" s="72" t="b">
        <v>0</v>
      </c>
      <c r="AI248" t="s">
        <v>388</v>
      </c>
      <c r="AJ248">
        <v>1</v>
      </c>
      <c r="AK248">
        <v>170</v>
      </c>
      <c r="AL248">
        <v>100</v>
      </c>
      <c r="AM248" s="75">
        <f ca="1">INDIRECT(ADDRESS(11+(MATCH(RIGHT(Table2[[#This Row],[spawner_sku]],LEN(Table2[[#This Row],[spawner_sku]])-FIND("/",Table2[[#This Row],[spawner_sku]])),Table1[Entity Prefab],0)),10,1,1,"Entities"))</f>
        <v>75</v>
      </c>
      <c r="AN248" s="75">
        <f ca="1">ROUND((Table2[[#This Row],[XP]]*Table2[[#This Row],[entity_spawned (AVG)]])*(Table2[[#This Row],[activating_chance]]/100),0)</f>
        <v>75</v>
      </c>
      <c r="AO24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48" s="72">
        <v>1</v>
      </c>
      <c r="AQ248" s="72">
        <v>1</v>
      </c>
      <c r="AR248" s="72" t="b">
        <v>0</v>
      </c>
      <c r="BP248" t="s">
        <v>470</v>
      </c>
      <c r="BQ248">
        <v>1</v>
      </c>
      <c r="BR248">
        <v>240</v>
      </c>
      <c r="BS248">
        <v>100</v>
      </c>
      <c r="BT248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248" s="75">
        <f ca="1">ROUND((Table61011[[#This Row],[XP]]*Table61011[[#This Row],[entity_spawned (AVG)]])*(Table61011[[#This Row],[activating_chance]]/100),0)</f>
        <v>83</v>
      </c>
      <c r="BV24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48" s="72">
        <v>1</v>
      </c>
      <c r="BX248" s="72">
        <v>1</v>
      </c>
      <c r="BY248" s="72" t="b">
        <v>0</v>
      </c>
      <c r="CA248" t="s">
        <v>537</v>
      </c>
      <c r="CB248">
        <v>1</v>
      </c>
      <c r="CC248">
        <v>150</v>
      </c>
      <c r="CD248">
        <v>100</v>
      </c>
      <c r="CE248" s="75">
        <f ca="1">INDIRECT(ADDRESS(11+(MATCH(RIGHT(Table11[[#This Row],[spawner_sku]],LEN(Table11[[#This Row],[spawner_sku]])-FIND("/",Table11[[#This Row],[spawner_sku]])),Table1[Entity Prefab],0)),10,1,1,"Entities"))</f>
        <v>75</v>
      </c>
      <c r="CF248">
        <f ca="1">ROUND((Table11[[#This Row],[XP]]*Table11[[#This Row],[entity_spawned (AVG)]])*(Table11[[#This Row],[activating_chance]]/100),0)</f>
        <v>75</v>
      </c>
      <c r="CG248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248" s="72">
        <v>1</v>
      </c>
      <c r="CI248" s="72">
        <v>1</v>
      </c>
      <c r="CJ248" s="72" t="b">
        <v>0</v>
      </c>
      <c r="CW248" t="s">
        <v>256</v>
      </c>
      <c r="CX248">
        <v>1</v>
      </c>
      <c r="CY248">
        <v>150</v>
      </c>
      <c r="CZ248">
        <v>100</v>
      </c>
      <c r="DA248" s="75">
        <f ca="1">INDIRECT(ADDRESS(11+(MATCH(RIGHT(Table13[[#This Row],[spawner_sku]],LEN(Table13[[#This Row],[spawner_sku]])-FIND("/",Table13[[#This Row],[spawner_sku]])),Table1[Entity Prefab],0)),10,1,1,"Entities"))</f>
        <v>25</v>
      </c>
      <c r="DB248" s="75">
        <f ca="1">ROUND((Table13[[#This Row],[XP]]*Table13[[#This Row],[entity_spawned (AVG)]])*(Table13[[#This Row],[activating_chance]]/100),0)</f>
        <v>25</v>
      </c>
      <c r="DC248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48" s="72">
        <v>1</v>
      </c>
      <c r="DE248" s="72">
        <v>1</v>
      </c>
      <c r="DF248" s="72" t="b">
        <v>0</v>
      </c>
      <c r="DH248" t="s">
        <v>241</v>
      </c>
      <c r="DI248">
        <v>1</v>
      </c>
      <c r="DJ248">
        <v>1500</v>
      </c>
      <c r="DK248">
        <v>100</v>
      </c>
      <c r="DL248" s="75">
        <f ca="1">INDIRECT(ADDRESS(11+(MATCH(RIGHT(Table14[[#This Row],[spawner_sku]],LEN(Table14[[#This Row],[spawner_sku]])-FIND("/",Table14[[#This Row],[spawner_sku]])),Table1[Entity Prefab],0)),10,1,1,"Entities"))</f>
        <v>130</v>
      </c>
      <c r="DM248" s="75">
        <f ca="1">ROUND((Table14[[#This Row],[XP]]*Table14[[#This Row],[entity_spawned (AVG)]])*(Table14[[#This Row],[activating_chance]]/100),0)</f>
        <v>130</v>
      </c>
      <c r="DN24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48" s="72">
        <v>1</v>
      </c>
      <c r="DP248" s="72">
        <v>1</v>
      </c>
      <c r="DQ248" s="72" t="b">
        <v>0</v>
      </c>
      <c r="DS248" t="s">
        <v>609</v>
      </c>
      <c r="DT248">
        <v>1</v>
      </c>
      <c r="DU248">
        <v>160</v>
      </c>
      <c r="DV248">
        <v>80</v>
      </c>
      <c r="DW248" s="75">
        <f ca="1">INDIRECT(ADDRESS(11+(MATCH(RIGHT(Table18[[#This Row],[spawner_sku]],LEN(Table18[[#This Row],[spawner_sku]])-FIND("/",Table18[[#This Row],[spawner_sku]])),Table1[Entity Prefab],0)),10,1,1,"Entities"))</f>
        <v>25</v>
      </c>
      <c r="DX248" s="75">
        <f ca="1">ROUND((Table18[[#This Row],[XP]]*Table18[[#This Row],[entity_spawned (AVG)]])*(Table18[[#This Row],[activating_chance]]/100),0)</f>
        <v>20</v>
      </c>
      <c r="DY24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48">
        <v>1</v>
      </c>
      <c r="EA248">
        <v>1</v>
      </c>
      <c r="EB248" t="b">
        <v>0</v>
      </c>
      <c r="ED248" t="s">
        <v>396</v>
      </c>
      <c r="EE248">
        <v>2</v>
      </c>
      <c r="EF248">
        <v>120</v>
      </c>
      <c r="EG248">
        <v>100</v>
      </c>
      <c r="EH248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48" s="75">
        <f ca="1">ROUND((Table1820[[#This Row],[XP]]*Table1820[[#This Row],[entity_spawned (AVG)]])*(Table1820[[#This Row],[activating_chance]]/100),0)</f>
        <v>50</v>
      </c>
      <c r="EJ24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48">
        <v>2</v>
      </c>
      <c r="EL248">
        <v>3</v>
      </c>
      <c r="EM248" t="b">
        <v>0</v>
      </c>
    </row>
    <row r="249" spans="2:143" x14ac:dyDescent="0.25">
      <c r="B249" s="73" t="s">
        <v>335</v>
      </c>
      <c r="C249">
        <v>1</v>
      </c>
      <c r="D249">
        <v>240</v>
      </c>
      <c r="E249">
        <v>80</v>
      </c>
      <c r="F249" s="75">
        <f ca="1">INDIRECT(ADDRESS(11+(MATCH(RIGHT(Table245[[#This Row],[spawner_sku]],LEN(Table245[[#This Row],[spawner_sku]])-FIND("/",Table245[[#This Row],[spawner_sku]])),Table1[Entity Prefab],0)),10,1,1,"Entities"))</f>
        <v>143</v>
      </c>
      <c r="G249" s="75">
        <f ca="1">ROUND((Table245[[#This Row],[XP]]*Table245[[#This Row],[entity_spawned (AVG)]])*(Table245[[#This Row],[activating_chance]]/100),0)</f>
        <v>114</v>
      </c>
      <c r="H24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9" s="72">
        <v>1</v>
      </c>
      <c r="J249" s="72">
        <v>1</v>
      </c>
      <c r="K249" s="72" t="b">
        <v>0</v>
      </c>
      <c r="AI249" t="s">
        <v>388</v>
      </c>
      <c r="AJ249">
        <v>1</v>
      </c>
      <c r="AK249">
        <v>220</v>
      </c>
      <c r="AL249">
        <v>100</v>
      </c>
      <c r="AM249" s="75">
        <f ca="1">INDIRECT(ADDRESS(11+(MATCH(RIGHT(Table2[[#This Row],[spawner_sku]],LEN(Table2[[#This Row],[spawner_sku]])-FIND("/",Table2[[#This Row],[spawner_sku]])),Table1[Entity Prefab],0)),10,1,1,"Entities"))</f>
        <v>75</v>
      </c>
      <c r="AN249" s="75">
        <f ca="1">ROUND((Table2[[#This Row],[XP]]*Table2[[#This Row],[entity_spawned (AVG)]])*(Table2[[#This Row],[activating_chance]]/100),0)</f>
        <v>75</v>
      </c>
      <c r="AO24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49" s="72">
        <v>1</v>
      </c>
      <c r="AQ249" s="72">
        <v>1</v>
      </c>
      <c r="AR249" s="72" t="b">
        <v>0</v>
      </c>
      <c r="BP249" t="s">
        <v>470</v>
      </c>
      <c r="BQ249">
        <v>1</v>
      </c>
      <c r="BR249">
        <v>240</v>
      </c>
      <c r="BS249">
        <v>100</v>
      </c>
      <c r="BT249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249" s="75">
        <f ca="1">ROUND((Table61011[[#This Row],[XP]]*Table61011[[#This Row],[entity_spawned (AVG)]])*(Table61011[[#This Row],[activating_chance]]/100),0)</f>
        <v>83</v>
      </c>
      <c r="BV24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49" s="72">
        <v>1</v>
      </c>
      <c r="BX249" s="72">
        <v>1</v>
      </c>
      <c r="BY249" s="72" t="b">
        <v>0</v>
      </c>
      <c r="CA249" t="s">
        <v>537</v>
      </c>
      <c r="CB249">
        <v>1</v>
      </c>
      <c r="CC249">
        <v>150</v>
      </c>
      <c r="CD249">
        <v>100</v>
      </c>
      <c r="CE249" s="75">
        <f ca="1">INDIRECT(ADDRESS(11+(MATCH(RIGHT(Table11[[#This Row],[spawner_sku]],LEN(Table11[[#This Row],[spawner_sku]])-FIND("/",Table11[[#This Row],[spawner_sku]])),Table1[Entity Prefab],0)),10,1,1,"Entities"))</f>
        <v>75</v>
      </c>
      <c r="CF249">
        <f ca="1">ROUND((Table11[[#This Row],[XP]]*Table11[[#This Row],[entity_spawned (AVG)]])*(Table11[[#This Row],[activating_chance]]/100),0)</f>
        <v>75</v>
      </c>
      <c r="CG249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249" s="72">
        <v>1</v>
      </c>
      <c r="CI249" s="72">
        <v>1</v>
      </c>
      <c r="CJ249" s="72" t="b">
        <v>0</v>
      </c>
      <c r="CW249" t="s">
        <v>256</v>
      </c>
      <c r="CX249">
        <v>1</v>
      </c>
      <c r="CY249">
        <v>150</v>
      </c>
      <c r="CZ249">
        <v>100</v>
      </c>
      <c r="DA249" s="75">
        <f ca="1">INDIRECT(ADDRESS(11+(MATCH(RIGHT(Table13[[#This Row],[spawner_sku]],LEN(Table13[[#This Row],[spawner_sku]])-FIND("/",Table13[[#This Row],[spawner_sku]])),Table1[Entity Prefab],0)),10,1,1,"Entities"))</f>
        <v>25</v>
      </c>
      <c r="DB249" s="75">
        <f ca="1">ROUND((Table13[[#This Row],[XP]]*Table13[[#This Row],[entity_spawned (AVG)]])*(Table13[[#This Row],[activating_chance]]/100),0)</f>
        <v>25</v>
      </c>
      <c r="DC249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49" s="72">
        <v>1</v>
      </c>
      <c r="DE249" s="72">
        <v>1</v>
      </c>
      <c r="DF249" s="72" t="b">
        <v>0</v>
      </c>
      <c r="DH249" t="s">
        <v>243</v>
      </c>
      <c r="DI249">
        <v>1</v>
      </c>
      <c r="DJ249">
        <v>100</v>
      </c>
      <c r="DK249">
        <v>100</v>
      </c>
      <c r="DL249" s="75">
        <f ca="1">INDIRECT(ADDRESS(11+(MATCH(RIGHT(Table14[[#This Row],[spawner_sku]],LEN(Table14[[#This Row],[spawner_sku]])-FIND("/",Table14[[#This Row],[spawner_sku]])),Table1[Entity Prefab],0)),10,1,1,"Entities"))</f>
        <v>28</v>
      </c>
      <c r="DM249" s="75">
        <f ca="1">ROUND((Table14[[#This Row],[XP]]*Table14[[#This Row],[entity_spawned (AVG)]])*(Table14[[#This Row],[activating_chance]]/100),0)</f>
        <v>28</v>
      </c>
      <c r="DN24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249" s="72">
        <v>1</v>
      </c>
      <c r="DP249" s="72">
        <v>1</v>
      </c>
      <c r="DQ249" s="72" t="b">
        <v>0</v>
      </c>
      <c r="DS249" t="s">
        <v>609</v>
      </c>
      <c r="DT249">
        <v>1</v>
      </c>
      <c r="DU249">
        <v>160</v>
      </c>
      <c r="DV249">
        <v>100</v>
      </c>
      <c r="DW249" s="75">
        <f ca="1">INDIRECT(ADDRESS(11+(MATCH(RIGHT(Table18[[#This Row],[spawner_sku]],LEN(Table18[[#This Row],[spawner_sku]])-FIND("/",Table18[[#This Row],[spawner_sku]])),Table1[Entity Prefab],0)),10,1,1,"Entities"))</f>
        <v>25</v>
      </c>
      <c r="DX249" s="75">
        <f ca="1">ROUND((Table18[[#This Row],[XP]]*Table18[[#This Row],[entity_spawned (AVG)]])*(Table18[[#This Row],[activating_chance]]/100),0)</f>
        <v>25</v>
      </c>
      <c r="DY24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49">
        <v>1</v>
      </c>
      <c r="EA249">
        <v>1</v>
      </c>
      <c r="EB249" t="b">
        <v>0</v>
      </c>
      <c r="ED249" t="s">
        <v>396</v>
      </c>
      <c r="EE249">
        <v>1</v>
      </c>
      <c r="EF249">
        <v>70</v>
      </c>
      <c r="EG249">
        <v>10</v>
      </c>
      <c r="EH24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49" s="75">
        <f ca="1">ROUND((Table1820[[#This Row],[XP]]*Table1820[[#This Row],[entity_spawned (AVG)]])*(Table1820[[#This Row],[activating_chance]]/100),0)</f>
        <v>3</v>
      </c>
      <c r="EJ24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49">
        <v>1</v>
      </c>
      <c r="EL249">
        <v>1</v>
      </c>
      <c r="EM249" t="b">
        <v>0</v>
      </c>
    </row>
    <row r="250" spans="2:143" x14ac:dyDescent="0.25">
      <c r="B250" s="73" t="s">
        <v>335</v>
      </c>
      <c r="C250">
        <v>1</v>
      </c>
      <c r="D250">
        <v>270</v>
      </c>
      <c r="E250">
        <v>100</v>
      </c>
      <c r="F250" s="75">
        <f ca="1">INDIRECT(ADDRESS(11+(MATCH(RIGHT(Table245[[#This Row],[spawner_sku]],LEN(Table245[[#This Row],[spawner_sku]])-FIND("/",Table245[[#This Row],[spawner_sku]])),Table1[Entity Prefab],0)),10,1,1,"Entities"))</f>
        <v>143</v>
      </c>
      <c r="G250" s="75">
        <f ca="1">ROUND((Table245[[#This Row],[XP]]*Table245[[#This Row],[entity_spawned (AVG)]])*(Table245[[#This Row],[activating_chance]]/100),0)</f>
        <v>143</v>
      </c>
      <c r="H25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0" s="72">
        <v>1</v>
      </c>
      <c r="J250" s="72">
        <v>1</v>
      </c>
      <c r="K250" s="72" t="b">
        <v>0</v>
      </c>
      <c r="AI250" t="s">
        <v>388</v>
      </c>
      <c r="AJ250">
        <v>1</v>
      </c>
      <c r="AK250">
        <v>220</v>
      </c>
      <c r="AL250">
        <v>100</v>
      </c>
      <c r="AM250" s="75">
        <f ca="1">INDIRECT(ADDRESS(11+(MATCH(RIGHT(Table2[[#This Row],[spawner_sku]],LEN(Table2[[#This Row],[spawner_sku]])-FIND("/",Table2[[#This Row],[spawner_sku]])),Table1[Entity Prefab],0)),10,1,1,"Entities"))</f>
        <v>75</v>
      </c>
      <c r="AN250" s="75">
        <f ca="1">ROUND((Table2[[#This Row],[XP]]*Table2[[#This Row],[entity_spawned (AVG)]])*(Table2[[#This Row],[activating_chance]]/100),0)</f>
        <v>75</v>
      </c>
      <c r="AO25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50" s="72">
        <v>1</v>
      </c>
      <c r="AQ250" s="72">
        <v>1</v>
      </c>
      <c r="AR250" s="72" t="b">
        <v>0</v>
      </c>
      <c r="BP250" t="s">
        <v>470</v>
      </c>
      <c r="BQ250">
        <v>1</v>
      </c>
      <c r="BR250">
        <v>240</v>
      </c>
      <c r="BS250">
        <v>100</v>
      </c>
      <c r="BT250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250" s="75">
        <f ca="1">ROUND((Table61011[[#This Row],[XP]]*Table61011[[#This Row],[entity_spawned (AVG)]])*(Table61011[[#This Row],[activating_chance]]/100),0)</f>
        <v>83</v>
      </c>
      <c r="BV25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0" s="72">
        <v>1</v>
      </c>
      <c r="BX250" s="72">
        <v>1</v>
      </c>
      <c r="BY250" s="72" t="b">
        <v>0</v>
      </c>
      <c r="CA250" t="s">
        <v>537</v>
      </c>
      <c r="CB250">
        <v>1</v>
      </c>
      <c r="CC250">
        <v>150</v>
      </c>
      <c r="CD250">
        <v>100</v>
      </c>
      <c r="CE250" s="75">
        <f ca="1">INDIRECT(ADDRESS(11+(MATCH(RIGHT(Table11[[#This Row],[spawner_sku]],LEN(Table11[[#This Row],[spawner_sku]])-FIND("/",Table11[[#This Row],[spawner_sku]])),Table1[Entity Prefab],0)),10,1,1,"Entities"))</f>
        <v>75</v>
      </c>
      <c r="CF250">
        <f ca="1">ROUND((Table11[[#This Row],[XP]]*Table11[[#This Row],[entity_spawned (AVG)]])*(Table11[[#This Row],[activating_chance]]/100),0)</f>
        <v>75</v>
      </c>
      <c r="CG250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250" s="72">
        <v>1</v>
      </c>
      <c r="CI250" s="72">
        <v>1</v>
      </c>
      <c r="CJ250" s="72" t="b">
        <v>0</v>
      </c>
      <c r="CW250" t="s">
        <v>256</v>
      </c>
      <c r="CX250">
        <v>1</v>
      </c>
      <c r="CY250">
        <v>150</v>
      </c>
      <c r="CZ250">
        <v>100</v>
      </c>
      <c r="DA250" s="75">
        <f ca="1">INDIRECT(ADDRESS(11+(MATCH(RIGHT(Table13[[#This Row],[spawner_sku]],LEN(Table13[[#This Row],[spawner_sku]])-FIND("/",Table13[[#This Row],[spawner_sku]])),Table1[Entity Prefab],0)),10,1,1,"Entities"))</f>
        <v>25</v>
      </c>
      <c r="DB250" s="75">
        <f ca="1">ROUND((Table13[[#This Row],[XP]]*Table13[[#This Row],[entity_spawned (AVG)]])*(Table13[[#This Row],[activating_chance]]/100),0)</f>
        <v>25</v>
      </c>
      <c r="DC250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50" s="72">
        <v>1</v>
      </c>
      <c r="DE250" s="72">
        <v>1</v>
      </c>
      <c r="DF250" s="72" t="b">
        <v>0</v>
      </c>
      <c r="DH250" t="s">
        <v>243</v>
      </c>
      <c r="DI250">
        <v>1</v>
      </c>
      <c r="DJ250">
        <v>100</v>
      </c>
      <c r="DK250">
        <v>100</v>
      </c>
      <c r="DL250" s="75">
        <f ca="1">INDIRECT(ADDRESS(11+(MATCH(RIGHT(Table14[[#This Row],[spawner_sku]],LEN(Table14[[#This Row],[spawner_sku]])-FIND("/",Table14[[#This Row],[spawner_sku]])),Table1[Entity Prefab],0)),10,1,1,"Entities"))</f>
        <v>28</v>
      </c>
      <c r="DM250" s="75">
        <f ca="1">ROUND((Table14[[#This Row],[XP]]*Table14[[#This Row],[entity_spawned (AVG)]])*(Table14[[#This Row],[activating_chance]]/100),0)</f>
        <v>28</v>
      </c>
      <c r="DN25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250" s="72">
        <v>1</v>
      </c>
      <c r="DP250" s="72">
        <v>1</v>
      </c>
      <c r="DQ250" s="72" t="b">
        <v>0</v>
      </c>
      <c r="DS250" t="s">
        <v>609</v>
      </c>
      <c r="DT250">
        <v>1</v>
      </c>
      <c r="DU250">
        <v>160</v>
      </c>
      <c r="DV250">
        <v>80</v>
      </c>
      <c r="DW250" s="75">
        <f ca="1">INDIRECT(ADDRESS(11+(MATCH(RIGHT(Table18[[#This Row],[spawner_sku]],LEN(Table18[[#This Row],[spawner_sku]])-FIND("/",Table18[[#This Row],[spawner_sku]])),Table1[Entity Prefab],0)),10,1,1,"Entities"))</f>
        <v>25</v>
      </c>
      <c r="DX250" s="75">
        <f ca="1">ROUND((Table18[[#This Row],[XP]]*Table18[[#This Row],[entity_spawned (AVG)]])*(Table18[[#This Row],[activating_chance]]/100),0)</f>
        <v>20</v>
      </c>
      <c r="DY25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50">
        <v>1</v>
      </c>
      <c r="EA250">
        <v>1</v>
      </c>
      <c r="EB250" t="b">
        <v>0</v>
      </c>
      <c r="ED250" t="s">
        <v>396</v>
      </c>
      <c r="EE250">
        <v>1</v>
      </c>
      <c r="EF250">
        <v>70</v>
      </c>
      <c r="EG250">
        <v>30</v>
      </c>
      <c r="EH250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50" s="75">
        <f ca="1">ROUND((Table1820[[#This Row],[XP]]*Table1820[[#This Row],[entity_spawned (AVG)]])*(Table1820[[#This Row],[activating_chance]]/100),0)</f>
        <v>8</v>
      </c>
      <c r="EJ25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50">
        <v>1</v>
      </c>
      <c r="EL250">
        <v>1</v>
      </c>
      <c r="EM250" t="b">
        <v>0</v>
      </c>
    </row>
    <row r="251" spans="2:143" x14ac:dyDescent="0.25">
      <c r="B251" s="73" t="s">
        <v>335</v>
      </c>
      <c r="C251">
        <v>1</v>
      </c>
      <c r="D251">
        <v>180</v>
      </c>
      <c r="E251">
        <v>100</v>
      </c>
      <c r="F251" s="75">
        <f ca="1">INDIRECT(ADDRESS(11+(MATCH(RIGHT(Table245[[#This Row],[spawner_sku]],LEN(Table245[[#This Row],[spawner_sku]])-FIND("/",Table245[[#This Row],[spawner_sku]])),Table1[Entity Prefab],0)),10,1,1,"Entities"))</f>
        <v>143</v>
      </c>
      <c r="G251" s="75">
        <f ca="1">ROUND((Table245[[#This Row],[XP]]*Table245[[#This Row],[entity_spawned (AVG)]])*(Table245[[#This Row],[activating_chance]]/100),0)</f>
        <v>143</v>
      </c>
      <c r="H25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1" s="72">
        <v>1</v>
      </c>
      <c r="J251" s="72">
        <v>1</v>
      </c>
      <c r="K251" s="72" t="b">
        <v>0</v>
      </c>
      <c r="AI251" t="s">
        <v>388</v>
      </c>
      <c r="AJ251">
        <v>1</v>
      </c>
      <c r="AK251">
        <v>220</v>
      </c>
      <c r="AL251">
        <v>100</v>
      </c>
      <c r="AM251" s="75">
        <f ca="1">INDIRECT(ADDRESS(11+(MATCH(RIGHT(Table2[[#This Row],[spawner_sku]],LEN(Table2[[#This Row],[spawner_sku]])-FIND("/",Table2[[#This Row],[spawner_sku]])),Table1[Entity Prefab],0)),10,1,1,"Entities"))</f>
        <v>75</v>
      </c>
      <c r="AN251" s="75">
        <f ca="1">ROUND((Table2[[#This Row],[XP]]*Table2[[#This Row],[entity_spawned (AVG)]])*(Table2[[#This Row],[activating_chance]]/100),0)</f>
        <v>75</v>
      </c>
      <c r="AO251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51" s="72">
        <v>1</v>
      </c>
      <c r="AQ251" s="72">
        <v>1</v>
      </c>
      <c r="AR251" s="72" t="b">
        <v>0</v>
      </c>
      <c r="BP251" t="s">
        <v>470</v>
      </c>
      <c r="BQ251">
        <v>1</v>
      </c>
      <c r="BR251">
        <v>240</v>
      </c>
      <c r="BS251">
        <v>100</v>
      </c>
      <c r="BT251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251" s="75">
        <f ca="1">ROUND((Table61011[[#This Row],[XP]]*Table61011[[#This Row],[entity_spawned (AVG)]])*(Table61011[[#This Row],[activating_chance]]/100),0)</f>
        <v>83</v>
      </c>
      <c r="BV25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1" s="72">
        <v>1</v>
      </c>
      <c r="BX251" s="72">
        <v>1</v>
      </c>
      <c r="BY251" s="72" t="b">
        <v>0</v>
      </c>
      <c r="CA251" t="s">
        <v>537</v>
      </c>
      <c r="CB251">
        <v>1</v>
      </c>
      <c r="CC251">
        <v>150</v>
      </c>
      <c r="CD251">
        <v>100</v>
      </c>
      <c r="CE251" s="75">
        <f ca="1">INDIRECT(ADDRESS(11+(MATCH(RIGHT(Table11[[#This Row],[spawner_sku]],LEN(Table11[[#This Row],[spawner_sku]])-FIND("/",Table11[[#This Row],[spawner_sku]])),Table1[Entity Prefab],0)),10,1,1,"Entities"))</f>
        <v>75</v>
      </c>
      <c r="CF251">
        <f ca="1">ROUND((Table11[[#This Row],[XP]]*Table11[[#This Row],[entity_spawned (AVG)]])*(Table11[[#This Row],[activating_chance]]/100),0)</f>
        <v>75</v>
      </c>
      <c r="CG251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251" s="72">
        <v>1</v>
      </c>
      <c r="CI251" s="72">
        <v>1</v>
      </c>
      <c r="CJ251" s="72" t="b">
        <v>0</v>
      </c>
      <c r="CW251" t="s">
        <v>256</v>
      </c>
      <c r="CX251">
        <v>1</v>
      </c>
      <c r="CY251">
        <v>150</v>
      </c>
      <c r="CZ251">
        <v>80</v>
      </c>
      <c r="DA251" s="75">
        <f ca="1">INDIRECT(ADDRESS(11+(MATCH(RIGHT(Table13[[#This Row],[spawner_sku]],LEN(Table13[[#This Row],[spawner_sku]])-FIND("/",Table13[[#This Row],[spawner_sku]])),Table1[Entity Prefab],0)),10,1,1,"Entities"))</f>
        <v>25</v>
      </c>
      <c r="DB251" s="75">
        <f ca="1">ROUND((Table13[[#This Row],[XP]]*Table13[[#This Row],[entity_spawned (AVG)]])*(Table13[[#This Row],[activating_chance]]/100),0)</f>
        <v>20</v>
      </c>
      <c r="DC251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51" s="72">
        <v>1</v>
      </c>
      <c r="DE251" s="72">
        <v>1</v>
      </c>
      <c r="DF251" s="72" t="b">
        <v>0</v>
      </c>
      <c r="DH251" t="s">
        <v>517</v>
      </c>
      <c r="DI251">
        <v>1</v>
      </c>
      <c r="DJ251">
        <v>140</v>
      </c>
      <c r="DK251">
        <v>100</v>
      </c>
      <c r="DL251" s="75">
        <f ca="1">INDIRECT(ADDRESS(11+(MATCH(RIGHT(Table14[[#This Row],[spawner_sku]],LEN(Table14[[#This Row],[spawner_sku]])-FIND("/",Table14[[#This Row],[spawner_sku]])),Table1[Entity Prefab],0)),10,1,1,"Entities"))</f>
        <v>95</v>
      </c>
      <c r="DM251" s="75">
        <f ca="1">ROUND((Table14[[#This Row],[XP]]*Table14[[#This Row],[entity_spawned (AVG)]])*(Table14[[#This Row],[activating_chance]]/100),0)</f>
        <v>95</v>
      </c>
      <c r="DN25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51" s="72">
        <v>1</v>
      </c>
      <c r="DP251" s="72">
        <v>1</v>
      </c>
      <c r="DQ251" s="72" t="b">
        <v>0</v>
      </c>
      <c r="DS251" t="s">
        <v>609</v>
      </c>
      <c r="DT251">
        <v>1</v>
      </c>
      <c r="DU251">
        <v>160</v>
      </c>
      <c r="DV251">
        <v>70</v>
      </c>
      <c r="DW251" s="75">
        <f ca="1">INDIRECT(ADDRESS(11+(MATCH(RIGHT(Table18[[#This Row],[spawner_sku]],LEN(Table18[[#This Row],[spawner_sku]])-FIND("/",Table18[[#This Row],[spawner_sku]])),Table1[Entity Prefab],0)),10,1,1,"Entities"))</f>
        <v>25</v>
      </c>
      <c r="DX251" s="75">
        <f ca="1">ROUND((Table18[[#This Row],[XP]]*Table18[[#This Row],[entity_spawned (AVG)]])*(Table18[[#This Row],[activating_chance]]/100),0)</f>
        <v>18</v>
      </c>
      <c r="DY25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51">
        <v>1</v>
      </c>
      <c r="EA251">
        <v>1</v>
      </c>
      <c r="EB251" t="b">
        <v>0</v>
      </c>
      <c r="ED251" t="s">
        <v>396</v>
      </c>
      <c r="EE251">
        <v>1</v>
      </c>
      <c r="EF251">
        <v>80</v>
      </c>
      <c r="EG251">
        <v>30</v>
      </c>
      <c r="EH251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51" s="75">
        <f ca="1">ROUND((Table1820[[#This Row],[XP]]*Table1820[[#This Row],[entity_spawned (AVG)]])*(Table1820[[#This Row],[activating_chance]]/100),0)</f>
        <v>8</v>
      </c>
      <c r="EJ25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51">
        <v>1</v>
      </c>
      <c r="EL251">
        <v>1</v>
      </c>
      <c r="EM251" t="b">
        <v>0</v>
      </c>
    </row>
    <row r="252" spans="2:143" x14ac:dyDescent="0.25">
      <c r="B252" s="73" t="s">
        <v>335</v>
      </c>
      <c r="C252">
        <v>1</v>
      </c>
      <c r="D252">
        <v>180</v>
      </c>
      <c r="E252">
        <v>100</v>
      </c>
      <c r="F252" s="75">
        <f ca="1">INDIRECT(ADDRESS(11+(MATCH(RIGHT(Table245[[#This Row],[spawner_sku]],LEN(Table245[[#This Row],[spawner_sku]])-FIND("/",Table245[[#This Row],[spawner_sku]])),Table1[Entity Prefab],0)),10,1,1,"Entities"))</f>
        <v>143</v>
      </c>
      <c r="G252" s="75">
        <f ca="1">ROUND((Table245[[#This Row],[XP]]*Table245[[#This Row],[entity_spawned (AVG)]])*(Table245[[#This Row],[activating_chance]]/100),0)</f>
        <v>143</v>
      </c>
      <c r="H25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2" s="72">
        <v>1</v>
      </c>
      <c r="J252" s="72">
        <v>1</v>
      </c>
      <c r="K252" s="72" t="b">
        <v>0</v>
      </c>
      <c r="AI252" t="s">
        <v>388</v>
      </c>
      <c r="AJ252">
        <v>1</v>
      </c>
      <c r="AK252">
        <v>220</v>
      </c>
      <c r="AL252">
        <v>100</v>
      </c>
      <c r="AM252" s="75">
        <f ca="1">INDIRECT(ADDRESS(11+(MATCH(RIGHT(Table2[[#This Row],[spawner_sku]],LEN(Table2[[#This Row],[spawner_sku]])-FIND("/",Table2[[#This Row],[spawner_sku]])),Table1[Entity Prefab],0)),10,1,1,"Entities"))</f>
        <v>75</v>
      </c>
      <c r="AN252" s="75">
        <f ca="1">ROUND((Table2[[#This Row],[XP]]*Table2[[#This Row],[entity_spawned (AVG)]])*(Table2[[#This Row],[activating_chance]]/100),0)</f>
        <v>75</v>
      </c>
      <c r="AO252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52" s="72">
        <v>1</v>
      </c>
      <c r="AQ252" s="72">
        <v>1</v>
      </c>
      <c r="AR252" s="72" t="b">
        <v>0</v>
      </c>
      <c r="BP252" t="s">
        <v>470</v>
      </c>
      <c r="BQ252">
        <v>1</v>
      </c>
      <c r="BR252">
        <v>240</v>
      </c>
      <c r="BS252">
        <v>100</v>
      </c>
      <c r="BT252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252" s="75">
        <f ca="1">ROUND((Table61011[[#This Row],[XP]]*Table61011[[#This Row],[entity_spawned (AVG)]])*(Table61011[[#This Row],[activating_chance]]/100),0)</f>
        <v>83</v>
      </c>
      <c r="BV25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2" s="72">
        <v>1</v>
      </c>
      <c r="BX252" s="72">
        <v>1</v>
      </c>
      <c r="BY252" s="72" t="b">
        <v>0</v>
      </c>
      <c r="CA252" t="s">
        <v>445</v>
      </c>
      <c r="CB252">
        <v>1.5</v>
      </c>
      <c r="CC252">
        <v>200</v>
      </c>
      <c r="CD252">
        <v>30</v>
      </c>
      <c r="CE252" s="75">
        <f ca="1">INDIRECT(ADDRESS(11+(MATCH(RIGHT(Table11[[#This Row],[spawner_sku]],LEN(Table11[[#This Row],[spawner_sku]])-FIND("/",Table11[[#This Row],[spawner_sku]])),Table1[Entity Prefab],0)),10,1,1,"Entities"))</f>
        <v>0</v>
      </c>
      <c r="CF252">
        <f ca="1">ROUND((Table11[[#This Row],[XP]]*Table11[[#This Row],[entity_spawned (AVG)]])*(Table11[[#This Row],[activating_chance]]/100),0)</f>
        <v>0</v>
      </c>
      <c r="CG252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52" s="72">
        <v>1</v>
      </c>
      <c r="CI252" s="72">
        <v>2</v>
      </c>
      <c r="CJ252" s="72" t="b">
        <v>0</v>
      </c>
      <c r="CW252" t="s">
        <v>256</v>
      </c>
      <c r="CX252">
        <v>1</v>
      </c>
      <c r="CY252">
        <v>150</v>
      </c>
      <c r="CZ252">
        <v>80</v>
      </c>
      <c r="DA252" s="75">
        <f ca="1">INDIRECT(ADDRESS(11+(MATCH(RIGHT(Table13[[#This Row],[spawner_sku]],LEN(Table13[[#This Row],[spawner_sku]])-FIND("/",Table13[[#This Row],[spawner_sku]])),Table1[Entity Prefab],0)),10,1,1,"Entities"))</f>
        <v>25</v>
      </c>
      <c r="DB252" s="75">
        <f ca="1">ROUND((Table13[[#This Row],[XP]]*Table13[[#This Row],[entity_spawned (AVG)]])*(Table13[[#This Row],[activating_chance]]/100),0)</f>
        <v>20</v>
      </c>
      <c r="DC252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52" s="72">
        <v>1</v>
      </c>
      <c r="DE252" s="72">
        <v>1</v>
      </c>
      <c r="DF252" s="72" t="b">
        <v>0</v>
      </c>
      <c r="DH252" t="s">
        <v>517</v>
      </c>
      <c r="DI252">
        <v>1</v>
      </c>
      <c r="DJ252">
        <v>100</v>
      </c>
      <c r="DK252">
        <v>50</v>
      </c>
      <c r="DL252" s="75">
        <f ca="1">INDIRECT(ADDRESS(11+(MATCH(RIGHT(Table14[[#This Row],[spawner_sku]],LEN(Table14[[#This Row],[spawner_sku]])-FIND("/",Table14[[#This Row],[spawner_sku]])),Table1[Entity Prefab],0)),10,1,1,"Entities"))</f>
        <v>95</v>
      </c>
      <c r="DM252" s="75">
        <f ca="1">ROUND((Table14[[#This Row],[XP]]*Table14[[#This Row],[entity_spawned (AVG)]])*(Table14[[#This Row],[activating_chance]]/100),0)</f>
        <v>48</v>
      </c>
      <c r="DN25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52" s="72">
        <v>1</v>
      </c>
      <c r="DP252" s="72">
        <v>1</v>
      </c>
      <c r="DQ252" s="72" t="b">
        <v>0</v>
      </c>
      <c r="DS252" t="s">
        <v>609</v>
      </c>
      <c r="DT252">
        <v>1</v>
      </c>
      <c r="DU252">
        <v>160</v>
      </c>
      <c r="DV252">
        <v>100</v>
      </c>
      <c r="DW252" s="75">
        <f ca="1">INDIRECT(ADDRESS(11+(MATCH(RIGHT(Table18[[#This Row],[spawner_sku]],LEN(Table18[[#This Row],[spawner_sku]])-FIND("/",Table18[[#This Row],[spawner_sku]])),Table1[Entity Prefab],0)),10,1,1,"Entities"))</f>
        <v>25</v>
      </c>
      <c r="DX252" s="75">
        <f ca="1">ROUND((Table18[[#This Row],[XP]]*Table18[[#This Row],[entity_spawned (AVG)]])*(Table18[[#This Row],[activating_chance]]/100),0)</f>
        <v>25</v>
      </c>
      <c r="DY25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52">
        <v>1</v>
      </c>
      <c r="EA252">
        <v>1</v>
      </c>
      <c r="EB252" t="b">
        <v>0</v>
      </c>
      <c r="ED252" t="s">
        <v>396</v>
      </c>
      <c r="EE252">
        <v>1</v>
      </c>
      <c r="EF252">
        <v>70</v>
      </c>
      <c r="EG252">
        <v>100</v>
      </c>
      <c r="EH25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52" s="75">
        <f ca="1">ROUND((Table1820[[#This Row],[XP]]*Table1820[[#This Row],[entity_spawned (AVG)]])*(Table1820[[#This Row],[activating_chance]]/100),0)</f>
        <v>25</v>
      </c>
      <c r="EJ25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52">
        <v>1</v>
      </c>
      <c r="EL252">
        <v>2</v>
      </c>
      <c r="EM252" t="b">
        <v>0</v>
      </c>
    </row>
    <row r="253" spans="2:143" x14ac:dyDescent="0.25">
      <c r="B253" s="73" t="s">
        <v>335</v>
      </c>
      <c r="C253">
        <v>1</v>
      </c>
      <c r="D253">
        <v>270</v>
      </c>
      <c r="E253">
        <v>100</v>
      </c>
      <c r="F253" s="75">
        <f ca="1">INDIRECT(ADDRESS(11+(MATCH(RIGHT(Table245[[#This Row],[spawner_sku]],LEN(Table245[[#This Row],[spawner_sku]])-FIND("/",Table245[[#This Row],[spawner_sku]])),Table1[Entity Prefab],0)),10,1,1,"Entities"))</f>
        <v>143</v>
      </c>
      <c r="G253" s="75">
        <f ca="1">ROUND((Table245[[#This Row],[XP]]*Table245[[#This Row],[entity_spawned (AVG)]])*(Table245[[#This Row],[activating_chance]]/100),0)</f>
        <v>143</v>
      </c>
      <c r="H25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3" s="72">
        <v>1</v>
      </c>
      <c r="J253" s="72">
        <v>1</v>
      </c>
      <c r="K253" s="72" t="b">
        <v>0</v>
      </c>
      <c r="AI253" t="s">
        <v>388</v>
      </c>
      <c r="AJ253">
        <v>1</v>
      </c>
      <c r="AK253">
        <v>170</v>
      </c>
      <c r="AL253">
        <v>100</v>
      </c>
      <c r="AM253" s="75">
        <f ca="1">INDIRECT(ADDRESS(11+(MATCH(RIGHT(Table2[[#This Row],[spawner_sku]],LEN(Table2[[#This Row],[spawner_sku]])-FIND("/",Table2[[#This Row],[spawner_sku]])),Table1[Entity Prefab],0)),10,1,1,"Entities"))</f>
        <v>75</v>
      </c>
      <c r="AN253" s="75">
        <f ca="1">ROUND((Table2[[#This Row],[XP]]*Table2[[#This Row],[entity_spawned (AVG)]])*(Table2[[#This Row],[activating_chance]]/100),0)</f>
        <v>75</v>
      </c>
      <c r="AO25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53" s="72">
        <v>1</v>
      </c>
      <c r="AQ253" s="72">
        <v>1</v>
      </c>
      <c r="AR253" s="72" t="b">
        <v>0</v>
      </c>
      <c r="BP253" t="s">
        <v>470</v>
      </c>
      <c r="BQ253">
        <v>1</v>
      </c>
      <c r="BR253">
        <v>240</v>
      </c>
      <c r="BS253">
        <v>100</v>
      </c>
      <c r="BT253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253" s="75">
        <f ca="1">ROUND((Table61011[[#This Row],[XP]]*Table61011[[#This Row],[entity_spawned (AVG)]])*(Table61011[[#This Row],[activating_chance]]/100),0)</f>
        <v>83</v>
      </c>
      <c r="BV25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3" s="72">
        <v>1</v>
      </c>
      <c r="BX253" s="72">
        <v>1</v>
      </c>
      <c r="BY253" s="72" t="b">
        <v>0</v>
      </c>
      <c r="CA253" t="s">
        <v>445</v>
      </c>
      <c r="CB253">
        <v>1</v>
      </c>
      <c r="CC253">
        <v>200</v>
      </c>
      <c r="CD253">
        <v>30</v>
      </c>
      <c r="CE253" s="75">
        <f ca="1">INDIRECT(ADDRESS(11+(MATCH(RIGHT(Table11[[#This Row],[spawner_sku]],LEN(Table11[[#This Row],[spawner_sku]])-FIND("/",Table11[[#This Row],[spawner_sku]])),Table1[Entity Prefab],0)),10,1,1,"Entities"))</f>
        <v>0</v>
      </c>
      <c r="CF253">
        <f ca="1">ROUND((Table11[[#This Row],[XP]]*Table11[[#This Row],[entity_spawned (AVG)]])*(Table11[[#This Row],[activating_chance]]/100),0)</f>
        <v>0</v>
      </c>
      <c r="CG253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53" s="72">
        <v>1</v>
      </c>
      <c r="CI253" s="72">
        <v>1</v>
      </c>
      <c r="CJ253" s="72" t="b">
        <v>0</v>
      </c>
      <c r="CW253" t="s">
        <v>256</v>
      </c>
      <c r="CX253">
        <v>1</v>
      </c>
      <c r="CY253">
        <v>150</v>
      </c>
      <c r="CZ253">
        <v>100</v>
      </c>
      <c r="DA253" s="75">
        <f ca="1">INDIRECT(ADDRESS(11+(MATCH(RIGHT(Table13[[#This Row],[spawner_sku]],LEN(Table13[[#This Row],[spawner_sku]])-FIND("/",Table13[[#This Row],[spawner_sku]])),Table1[Entity Prefab],0)),10,1,1,"Entities"))</f>
        <v>25</v>
      </c>
      <c r="DB253" s="75">
        <f ca="1">ROUND((Table13[[#This Row],[XP]]*Table13[[#This Row],[entity_spawned (AVG)]])*(Table13[[#This Row],[activating_chance]]/100),0)</f>
        <v>25</v>
      </c>
      <c r="DC253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53" s="72">
        <v>1</v>
      </c>
      <c r="DE253" s="72">
        <v>1</v>
      </c>
      <c r="DF253" s="72" t="b">
        <v>0</v>
      </c>
      <c r="DH253" t="s">
        <v>517</v>
      </c>
      <c r="DI253">
        <v>1</v>
      </c>
      <c r="DJ253">
        <v>60</v>
      </c>
      <c r="DK253">
        <v>10</v>
      </c>
      <c r="DL253" s="75">
        <f ca="1">INDIRECT(ADDRESS(11+(MATCH(RIGHT(Table14[[#This Row],[spawner_sku]],LEN(Table14[[#This Row],[spawner_sku]])-FIND("/",Table14[[#This Row],[spawner_sku]])),Table1[Entity Prefab],0)),10,1,1,"Entities"))</f>
        <v>95</v>
      </c>
      <c r="DM253" s="75">
        <f ca="1">ROUND((Table14[[#This Row],[XP]]*Table14[[#This Row],[entity_spawned (AVG)]])*(Table14[[#This Row],[activating_chance]]/100),0)</f>
        <v>10</v>
      </c>
      <c r="DN25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53" s="72">
        <v>1</v>
      </c>
      <c r="DP253" s="72">
        <v>1</v>
      </c>
      <c r="DQ253" s="72" t="b">
        <v>0</v>
      </c>
      <c r="DS253" t="s">
        <v>609</v>
      </c>
      <c r="DT253">
        <v>1</v>
      </c>
      <c r="DU253">
        <v>160</v>
      </c>
      <c r="DV253">
        <v>100</v>
      </c>
      <c r="DW253" s="75">
        <f ca="1">INDIRECT(ADDRESS(11+(MATCH(RIGHT(Table18[[#This Row],[spawner_sku]],LEN(Table18[[#This Row],[spawner_sku]])-FIND("/",Table18[[#This Row],[spawner_sku]])),Table1[Entity Prefab],0)),10,1,1,"Entities"))</f>
        <v>25</v>
      </c>
      <c r="DX253" s="75">
        <f ca="1">ROUND((Table18[[#This Row],[XP]]*Table18[[#This Row],[entity_spawned (AVG)]])*(Table18[[#This Row],[activating_chance]]/100),0)</f>
        <v>25</v>
      </c>
      <c r="DY25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53">
        <v>1</v>
      </c>
      <c r="EA253">
        <v>1</v>
      </c>
      <c r="EB253" t="b">
        <v>0</v>
      </c>
      <c r="ED253" t="s">
        <v>396</v>
      </c>
      <c r="EE253">
        <v>1</v>
      </c>
      <c r="EF253">
        <v>80</v>
      </c>
      <c r="EG253">
        <v>10</v>
      </c>
      <c r="EH253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53" s="75">
        <f ca="1">ROUND((Table1820[[#This Row],[XP]]*Table1820[[#This Row],[entity_spawned (AVG)]])*(Table1820[[#This Row],[activating_chance]]/100),0)</f>
        <v>3</v>
      </c>
      <c r="EJ25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53">
        <v>1</v>
      </c>
      <c r="EL253">
        <v>1</v>
      </c>
      <c r="EM253" t="b">
        <v>0</v>
      </c>
    </row>
    <row r="254" spans="2:143" x14ac:dyDescent="0.25">
      <c r="B254" s="73" t="s">
        <v>335</v>
      </c>
      <c r="C254">
        <v>1</v>
      </c>
      <c r="D254">
        <v>240</v>
      </c>
      <c r="E254">
        <v>80</v>
      </c>
      <c r="F254" s="75">
        <f ca="1">INDIRECT(ADDRESS(11+(MATCH(RIGHT(Table245[[#This Row],[spawner_sku]],LEN(Table245[[#This Row],[spawner_sku]])-FIND("/",Table245[[#This Row],[spawner_sku]])),Table1[Entity Prefab],0)),10,1,1,"Entities"))</f>
        <v>143</v>
      </c>
      <c r="G254" s="75">
        <f ca="1">ROUND((Table245[[#This Row],[XP]]*Table245[[#This Row],[entity_spawned (AVG)]])*(Table245[[#This Row],[activating_chance]]/100),0)</f>
        <v>114</v>
      </c>
      <c r="H25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4" s="72">
        <v>1</v>
      </c>
      <c r="J254" s="72">
        <v>1</v>
      </c>
      <c r="K254" s="72" t="b">
        <v>0</v>
      </c>
      <c r="AI254" t="s">
        <v>388</v>
      </c>
      <c r="AJ254">
        <v>1</v>
      </c>
      <c r="AK254">
        <v>220</v>
      </c>
      <c r="AL254">
        <v>60</v>
      </c>
      <c r="AM254" s="75">
        <f ca="1">INDIRECT(ADDRESS(11+(MATCH(RIGHT(Table2[[#This Row],[spawner_sku]],LEN(Table2[[#This Row],[spawner_sku]])-FIND("/",Table2[[#This Row],[spawner_sku]])),Table1[Entity Prefab],0)),10,1,1,"Entities"))</f>
        <v>75</v>
      </c>
      <c r="AN254" s="75">
        <f ca="1">ROUND((Table2[[#This Row],[XP]]*Table2[[#This Row],[entity_spawned (AVG)]])*(Table2[[#This Row],[activating_chance]]/100),0)</f>
        <v>45</v>
      </c>
      <c r="AO254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54" s="72">
        <v>1</v>
      </c>
      <c r="AQ254" s="72">
        <v>1</v>
      </c>
      <c r="AR254" s="72" t="b">
        <v>0</v>
      </c>
      <c r="BP254" t="s">
        <v>471</v>
      </c>
      <c r="BQ254">
        <v>1</v>
      </c>
      <c r="BR254">
        <v>260</v>
      </c>
      <c r="BS254">
        <v>100</v>
      </c>
      <c r="BT254" s="75">
        <f ca="1">INDIRECT(ADDRESS(11+(MATCH(RIGHT(Table61011[[#This Row],[spawner_sku]],LEN(Table61011[[#This Row],[spawner_sku]])-FIND("/",Table61011[[#This Row],[spawner_sku]])),Table1[Entity Prefab],0)),10,1,1,"Entities"))</f>
        <v>105</v>
      </c>
      <c r="BU254" s="75">
        <f ca="1">ROUND((Table61011[[#This Row],[XP]]*Table61011[[#This Row],[entity_spawned (AVG)]])*(Table61011[[#This Row],[activating_chance]]/100),0)</f>
        <v>105</v>
      </c>
      <c r="BV25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4" s="72">
        <v>1</v>
      </c>
      <c r="BX254" s="72">
        <v>1</v>
      </c>
      <c r="BY254" s="72" t="b">
        <v>0</v>
      </c>
      <c r="CA254" t="s">
        <v>445</v>
      </c>
      <c r="CB254">
        <v>1</v>
      </c>
      <c r="CC254">
        <v>200</v>
      </c>
      <c r="CD254">
        <v>100</v>
      </c>
      <c r="CE254" s="75">
        <f ca="1">INDIRECT(ADDRESS(11+(MATCH(RIGHT(Table11[[#This Row],[spawner_sku]],LEN(Table11[[#This Row],[spawner_sku]])-FIND("/",Table11[[#This Row],[spawner_sku]])),Table1[Entity Prefab],0)),10,1,1,"Entities"))</f>
        <v>0</v>
      </c>
      <c r="CF254">
        <f ca="1">ROUND((Table11[[#This Row],[XP]]*Table11[[#This Row],[entity_spawned (AVG)]])*(Table11[[#This Row],[activating_chance]]/100),0)</f>
        <v>0</v>
      </c>
      <c r="CG254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54" s="72">
        <v>1</v>
      </c>
      <c r="CI254" s="72">
        <v>1</v>
      </c>
      <c r="CJ254" s="72" t="b">
        <v>0</v>
      </c>
      <c r="CW254" t="s">
        <v>256</v>
      </c>
      <c r="CX254">
        <v>1</v>
      </c>
      <c r="CY254">
        <v>150</v>
      </c>
      <c r="CZ254">
        <v>10</v>
      </c>
      <c r="DA254" s="75">
        <f ca="1">INDIRECT(ADDRESS(11+(MATCH(RIGHT(Table13[[#This Row],[spawner_sku]],LEN(Table13[[#This Row],[spawner_sku]])-FIND("/",Table13[[#This Row],[spawner_sku]])),Table1[Entity Prefab],0)),10,1,1,"Entities"))</f>
        <v>25</v>
      </c>
      <c r="DB254" s="75">
        <f ca="1">ROUND((Table13[[#This Row],[XP]]*Table13[[#This Row],[entity_spawned (AVG)]])*(Table13[[#This Row],[activating_chance]]/100),0)</f>
        <v>3</v>
      </c>
      <c r="DC254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54" s="72">
        <v>1</v>
      </c>
      <c r="DE254" s="72">
        <v>1</v>
      </c>
      <c r="DF254" s="72" t="b">
        <v>0</v>
      </c>
      <c r="DH254" t="s">
        <v>517</v>
      </c>
      <c r="DI254">
        <v>1</v>
      </c>
      <c r="DJ254">
        <v>60</v>
      </c>
      <c r="DK254">
        <v>30</v>
      </c>
      <c r="DL254" s="75">
        <f ca="1">INDIRECT(ADDRESS(11+(MATCH(RIGHT(Table14[[#This Row],[spawner_sku]],LEN(Table14[[#This Row],[spawner_sku]])-FIND("/",Table14[[#This Row],[spawner_sku]])),Table1[Entity Prefab],0)),10,1,1,"Entities"))</f>
        <v>95</v>
      </c>
      <c r="DM254" s="75">
        <f ca="1">ROUND((Table14[[#This Row],[XP]]*Table14[[#This Row],[entity_spawned (AVG)]])*(Table14[[#This Row],[activating_chance]]/100),0)</f>
        <v>29</v>
      </c>
      <c r="DN25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54" s="72">
        <v>1</v>
      </c>
      <c r="DP254" s="72">
        <v>1</v>
      </c>
      <c r="DQ254" s="72" t="b">
        <v>0</v>
      </c>
      <c r="DS254" t="s">
        <v>609</v>
      </c>
      <c r="DT254">
        <v>1</v>
      </c>
      <c r="DU254">
        <v>160</v>
      </c>
      <c r="DV254">
        <v>80</v>
      </c>
      <c r="DW254" s="75">
        <f ca="1">INDIRECT(ADDRESS(11+(MATCH(RIGHT(Table18[[#This Row],[spawner_sku]],LEN(Table18[[#This Row],[spawner_sku]])-FIND("/",Table18[[#This Row],[spawner_sku]])),Table1[Entity Prefab],0)),10,1,1,"Entities"))</f>
        <v>25</v>
      </c>
      <c r="DX254" s="75">
        <f ca="1">ROUND((Table18[[#This Row],[XP]]*Table18[[#This Row],[entity_spawned (AVG)]])*(Table18[[#This Row],[activating_chance]]/100),0)</f>
        <v>20</v>
      </c>
      <c r="DY25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54">
        <v>1</v>
      </c>
      <c r="EA254">
        <v>1</v>
      </c>
      <c r="EB254" t="b">
        <v>0</v>
      </c>
      <c r="ED254" t="s">
        <v>396</v>
      </c>
      <c r="EE254">
        <v>1</v>
      </c>
      <c r="EF254">
        <v>70</v>
      </c>
      <c r="EG254">
        <v>80</v>
      </c>
      <c r="EH254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54" s="75">
        <f ca="1">ROUND((Table1820[[#This Row],[XP]]*Table1820[[#This Row],[entity_spawned (AVG)]])*(Table1820[[#This Row],[activating_chance]]/100),0)</f>
        <v>20</v>
      </c>
      <c r="EJ25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54">
        <v>1</v>
      </c>
      <c r="EL254">
        <v>1</v>
      </c>
      <c r="EM254" t="b">
        <v>0</v>
      </c>
    </row>
    <row r="255" spans="2:143" x14ac:dyDescent="0.25">
      <c r="B255" s="73" t="s">
        <v>335</v>
      </c>
      <c r="C255">
        <v>1</v>
      </c>
      <c r="D255">
        <v>250</v>
      </c>
      <c r="E255">
        <v>100</v>
      </c>
      <c r="F255" s="75">
        <f ca="1">INDIRECT(ADDRESS(11+(MATCH(RIGHT(Table245[[#This Row],[spawner_sku]],LEN(Table245[[#This Row],[spawner_sku]])-FIND("/",Table245[[#This Row],[spawner_sku]])),Table1[Entity Prefab],0)),10,1,1,"Entities"))</f>
        <v>143</v>
      </c>
      <c r="G255" s="75">
        <f ca="1">ROUND((Table245[[#This Row],[XP]]*Table245[[#This Row],[entity_spawned (AVG)]])*(Table245[[#This Row],[activating_chance]]/100),0)</f>
        <v>143</v>
      </c>
      <c r="H25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5" s="72">
        <v>1</v>
      </c>
      <c r="J255" s="72">
        <v>1</v>
      </c>
      <c r="K255" s="72" t="b">
        <v>0</v>
      </c>
      <c r="AI255" t="s">
        <v>388</v>
      </c>
      <c r="AJ255">
        <v>1</v>
      </c>
      <c r="AK255">
        <v>220</v>
      </c>
      <c r="AL255">
        <v>100</v>
      </c>
      <c r="AM255" s="75">
        <f ca="1">INDIRECT(ADDRESS(11+(MATCH(RIGHT(Table2[[#This Row],[spawner_sku]],LEN(Table2[[#This Row],[spawner_sku]])-FIND("/",Table2[[#This Row],[spawner_sku]])),Table1[Entity Prefab],0)),10,1,1,"Entities"))</f>
        <v>75</v>
      </c>
      <c r="AN255" s="75">
        <f ca="1">ROUND((Table2[[#This Row],[XP]]*Table2[[#This Row],[entity_spawned (AVG)]])*(Table2[[#This Row],[activating_chance]]/100),0)</f>
        <v>75</v>
      </c>
      <c r="AO255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55" s="72">
        <v>1</v>
      </c>
      <c r="AQ255" s="72">
        <v>1</v>
      </c>
      <c r="AR255" s="72" t="b">
        <v>0</v>
      </c>
      <c r="BP255" t="s">
        <v>471</v>
      </c>
      <c r="BQ255">
        <v>1</v>
      </c>
      <c r="BR255">
        <v>260</v>
      </c>
      <c r="BS255">
        <v>100</v>
      </c>
      <c r="BT255" s="75">
        <f ca="1">INDIRECT(ADDRESS(11+(MATCH(RIGHT(Table61011[[#This Row],[spawner_sku]],LEN(Table61011[[#This Row],[spawner_sku]])-FIND("/",Table61011[[#This Row],[spawner_sku]])),Table1[Entity Prefab],0)),10,1,1,"Entities"))</f>
        <v>105</v>
      </c>
      <c r="BU255" s="75">
        <f ca="1">ROUND((Table61011[[#This Row],[XP]]*Table61011[[#This Row],[entity_spawned (AVG)]])*(Table61011[[#This Row],[activating_chance]]/100),0)</f>
        <v>105</v>
      </c>
      <c r="BV25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5" s="72">
        <v>1</v>
      </c>
      <c r="BX255" s="72">
        <v>1</v>
      </c>
      <c r="BY255" s="72" t="b">
        <v>0</v>
      </c>
      <c r="CA255" t="s">
        <v>445</v>
      </c>
      <c r="CB255">
        <v>1.5</v>
      </c>
      <c r="CC255">
        <v>120</v>
      </c>
      <c r="CD255">
        <v>80</v>
      </c>
      <c r="CE255" s="75">
        <f ca="1">INDIRECT(ADDRESS(11+(MATCH(RIGHT(Table11[[#This Row],[spawner_sku]],LEN(Table11[[#This Row],[spawner_sku]])-FIND("/",Table11[[#This Row],[spawner_sku]])),Table1[Entity Prefab],0)),10,1,1,"Entities"))</f>
        <v>0</v>
      </c>
      <c r="CF255">
        <f ca="1">ROUND((Table11[[#This Row],[XP]]*Table11[[#This Row],[entity_spawned (AVG)]])*(Table11[[#This Row],[activating_chance]]/100),0)</f>
        <v>0</v>
      </c>
      <c r="CG255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55" s="72">
        <v>1</v>
      </c>
      <c r="CI255" s="72">
        <v>2</v>
      </c>
      <c r="CJ255" s="72" t="b">
        <v>0</v>
      </c>
      <c r="CW255" t="s">
        <v>256</v>
      </c>
      <c r="CX255">
        <v>1</v>
      </c>
      <c r="CY255">
        <v>150</v>
      </c>
      <c r="CZ255">
        <v>100</v>
      </c>
      <c r="DA255" s="75">
        <f ca="1">INDIRECT(ADDRESS(11+(MATCH(RIGHT(Table13[[#This Row],[spawner_sku]],LEN(Table13[[#This Row],[spawner_sku]])-FIND("/",Table13[[#This Row],[spawner_sku]])),Table1[Entity Prefab],0)),10,1,1,"Entities"))</f>
        <v>25</v>
      </c>
      <c r="DB255" s="75">
        <f ca="1">ROUND((Table13[[#This Row],[XP]]*Table13[[#This Row],[entity_spawned (AVG)]])*(Table13[[#This Row],[activating_chance]]/100),0)</f>
        <v>25</v>
      </c>
      <c r="DC255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55" s="72">
        <v>1</v>
      </c>
      <c r="DE255" s="72">
        <v>1</v>
      </c>
      <c r="DF255" s="72" t="b">
        <v>0</v>
      </c>
      <c r="DH255" t="s">
        <v>517</v>
      </c>
      <c r="DI255">
        <v>1</v>
      </c>
      <c r="DJ255">
        <v>180</v>
      </c>
      <c r="DK255">
        <v>50</v>
      </c>
      <c r="DL255" s="75">
        <f ca="1">INDIRECT(ADDRESS(11+(MATCH(RIGHT(Table14[[#This Row],[spawner_sku]],LEN(Table14[[#This Row],[spawner_sku]])-FIND("/",Table14[[#This Row],[spawner_sku]])),Table1[Entity Prefab],0)),10,1,1,"Entities"))</f>
        <v>95</v>
      </c>
      <c r="DM255" s="75">
        <f ca="1">ROUND((Table14[[#This Row],[XP]]*Table14[[#This Row],[entity_spawned (AVG)]])*(Table14[[#This Row],[activating_chance]]/100),0)</f>
        <v>48</v>
      </c>
      <c r="DN25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55" s="72">
        <v>1</v>
      </c>
      <c r="DP255" s="72">
        <v>1</v>
      </c>
      <c r="DQ255" s="72" t="b">
        <v>0</v>
      </c>
      <c r="DS255" t="s">
        <v>609</v>
      </c>
      <c r="DT255">
        <v>1</v>
      </c>
      <c r="DU255">
        <v>160</v>
      </c>
      <c r="DV255">
        <v>100</v>
      </c>
      <c r="DW255" s="75">
        <f ca="1">INDIRECT(ADDRESS(11+(MATCH(RIGHT(Table18[[#This Row],[spawner_sku]],LEN(Table18[[#This Row],[spawner_sku]])-FIND("/",Table18[[#This Row],[spawner_sku]])),Table1[Entity Prefab],0)),10,1,1,"Entities"))</f>
        <v>25</v>
      </c>
      <c r="DX255" s="75">
        <f ca="1">ROUND((Table18[[#This Row],[XP]]*Table18[[#This Row],[entity_spawned (AVG)]])*(Table18[[#This Row],[activating_chance]]/100),0)</f>
        <v>25</v>
      </c>
      <c r="DY25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55">
        <v>1</v>
      </c>
      <c r="EA255">
        <v>1</v>
      </c>
      <c r="EB255" t="b">
        <v>0</v>
      </c>
      <c r="ED255" t="s">
        <v>451</v>
      </c>
      <c r="EE255">
        <v>1</v>
      </c>
      <c r="EF255">
        <v>70</v>
      </c>
      <c r="EG255">
        <v>100</v>
      </c>
      <c r="EH255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55" s="75">
        <f ca="1">ROUND((Table1820[[#This Row],[XP]]*Table1820[[#This Row],[entity_spawned (AVG)]])*(Table1820[[#This Row],[activating_chance]]/100),0)</f>
        <v>25</v>
      </c>
      <c r="EJ25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55">
        <v>1</v>
      </c>
      <c r="EL255">
        <v>1</v>
      </c>
      <c r="EM255" t="b">
        <v>0</v>
      </c>
    </row>
    <row r="256" spans="2:143" x14ac:dyDescent="0.25">
      <c r="B256" s="73" t="s">
        <v>233</v>
      </c>
      <c r="C256">
        <v>1</v>
      </c>
      <c r="D256">
        <v>300</v>
      </c>
      <c r="E256">
        <v>100</v>
      </c>
      <c r="F256" s="75">
        <f ca="1">INDIRECT(ADDRESS(11+(MATCH(RIGHT(Table245[[#This Row],[spawner_sku]],LEN(Table245[[#This Row],[spawner_sku]])-FIND("/",Table245[[#This Row],[spawner_sku]])),Table1[Entity Prefab],0)),10,1,1,"Entities"))</f>
        <v>195</v>
      </c>
      <c r="G256" s="75">
        <f ca="1">ROUND((Table245[[#This Row],[XP]]*Table245[[#This Row],[entity_spawned (AVG)]])*(Table245[[#This Row],[activating_chance]]/100),0)</f>
        <v>195</v>
      </c>
      <c r="H25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6" s="72">
        <v>1</v>
      </c>
      <c r="J256" s="72">
        <v>1</v>
      </c>
      <c r="K256" s="72" t="b">
        <v>0</v>
      </c>
      <c r="AI256" t="s">
        <v>390</v>
      </c>
      <c r="AJ256">
        <v>1</v>
      </c>
      <c r="AK256">
        <v>130</v>
      </c>
      <c r="AL256">
        <v>100</v>
      </c>
      <c r="AM256" s="75">
        <f ca="1">INDIRECT(ADDRESS(11+(MATCH(RIGHT(Table2[[#This Row],[spawner_sku]],LEN(Table2[[#This Row],[spawner_sku]])-FIND("/",Table2[[#This Row],[spawner_sku]])),Table1[Entity Prefab],0)),10,1,1,"Entities"))</f>
        <v>75</v>
      </c>
      <c r="AN256" s="75">
        <f ca="1">ROUND((Table2[[#This Row],[XP]]*Table2[[#This Row],[entity_spawned (AVG)]])*(Table2[[#This Row],[activating_chance]]/100),0)</f>
        <v>75</v>
      </c>
      <c r="AO25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56" s="72">
        <v>1</v>
      </c>
      <c r="AQ256" s="72">
        <v>1</v>
      </c>
      <c r="AR256" s="72" t="b">
        <v>0</v>
      </c>
      <c r="BP256" t="s">
        <v>471</v>
      </c>
      <c r="BQ256">
        <v>1</v>
      </c>
      <c r="BR256">
        <v>260</v>
      </c>
      <c r="BS256">
        <v>100</v>
      </c>
      <c r="BT256" s="75">
        <f ca="1">INDIRECT(ADDRESS(11+(MATCH(RIGHT(Table61011[[#This Row],[spawner_sku]],LEN(Table61011[[#This Row],[spawner_sku]])-FIND("/",Table61011[[#This Row],[spawner_sku]])),Table1[Entity Prefab],0)),10,1,1,"Entities"))</f>
        <v>105</v>
      </c>
      <c r="BU256" s="75">
        <f ca="1">ROUND((Table61011[[#This Row],[XP]]*Table61011[[#This Row],[entity_spawned (AVG)]])*(Table61011[[#This Row],[activating_chance]]/100),0)</f>
        <v>105</v>
      </c>
      <c r="BV25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6" s="72">
        <v>1</v>
      </c>
      <c r="BX256" s="72">
        <v>1</v>
      </c>
      <c r="BY256" s="72" t="b">
        <v>0</v>
      </c>
      <c r="CA256" t="s">
        <v>445</v>
      </c>
      <c r="CB256">
        <v>1</v>
      </c>
      <c r="CC256">
        <v>200</v>
      </c>
      <c r="CD256">
        <v>100</v>
      </c>
      <c r="CE256" s="75">
        <f ca="1">INDIRECT(ADDRESS(11+(MATCH(RIGHT(Table11[[#This Row],[spawner_sku]],LEN(Table11[[#This Row],[spawner_sku]])-FIND("/",Table11[[#This Row],[spawner_sku]])),Table1[Entity Prefab],0)),10,1,1,"Entities"))</f>
        <v>0</v>
      </c>
      <c r="CF256">
        <f ca="1">ROUND((Table11[[#This Row],[XP]]*Table11[[#This Row],[entity_spawned (AVG)]])*(Table11[[#This Row],[activating_chance]]/100),0)</f>
        <v>0</v>
      </c>
      <c r="CG256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56" s="72">
        <v>1</v>
      </c>
      <c r="CI256" s="72">
        <v>1</v>
      </c>
      <c r="CJ256" s="72" t="b">
        <v>0</v>
      </c>
      <c r="CW256" t="s">
        <v>256</v>
      </c>
      <c r="CX256">
        <v>1</v>
      </c>
      <c r="CY256">
        <v>150</v>
      </c>
      <c r="CZ256">
        <v>100</v>
      </c>
      <c r="DA256" s="75">
        <f ca="1">INDIRECT(ADDRESS(11+(MATCH(RIGHT(Table13[[#This Row],[spawner_sku]],LEN(Table13[[#This Row],[spawner_sku]])-FIND("/",Table13[[#This Row],[spawner_sku]])),Table1[Entity Prefab],0)),10,1,1,"Entities"))</f>
        <v>25</v>
      </c>
      <c r="DB256" s="75">
        <f ca="1">ROUND((Table13[[#This Row],[XP]]*Table13[[#This Row],[entity_spawned (AVG)]])*(Table13[[#This Row],[activating_chance]]/100),0)</f>
        <v>25</v>
      </c>
      <c r="DC256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56" s="72">
        <v>1</v>
      </c>
      <c r="DE256" s="72">
        <v>1</v>
      </c>
      <c r="DF256" s="72" t="b">
        <v>0</v>
      </c>
      <c r="DH256" t="s">
        <v>517</v>
      </c>
      <c r="DI256">
        <v>1</v>
      </c>
      <c r="DJ256">
        <v>100</v>
      </c>
      <c r="DK256">
        <v>50</v>
      </c>
      <c r="DL256" s="75">
        <f ca="1">INDIRECT(ADDRESS(11+(MATCH(RIGHT(Table14[[#This Row],[spawner_sku]],LEN(Table14[[#This Row],[spawner_sku]])-FIND("/",Table14[[#This Row],[spawner_sku]])),Table1[Entity Prefab],0)),10,1,1,"Entities"))</f>
        <v>95</v>
      </c>
      <c r="DM256" s="75">
        <f ca="1">ROUND((Table14[[#This Row],[XP]]*Table14[[#This Row],[entity_spawned (AVG)]])*(Table14[[#This Row],[activating_chance]]/100),0)</f>
        <v>48</v>
      </c>
      <c r="DN25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56" s="72">
        <v>1</v>
      </c>
      <c r="DP256" s="72">
        <v>1</v>
      </c>
      <c r="DQ256" s="72" t="b">
        <v>0</v>
      </c>
      <c r="DS256" t="s">
        <v>609</v>
      </c>
      <c r="DT256">
        <v>1</v>
      </c>
      <c r="DU256">
        <v>160</v>
      </c>
      <c r="DV256">
        <v>100</v>
      </c>
      <c r="DW256" s="75">
        <f ca="1">INDIRECT(ADDRESS(11+(MATCH(RIGHT(Table18[[#This Row],[spawner_sku]],LEN(Table18[[#This Row],[spawner_sku]])-FIND("/",Table18[[#This Row],[spawner_sku]])),Table1[Entity Prefab],0)),10,1,1,"Entities"))</f>
        <v>25</v>
      </c>
      <c r="DX256" s="75">
        <f ca="1">ROUND((Table18[[#This Row],[XP]]*Table18[[#This Row],[entity_spawned (AVG)]])*(Table18[[#This Row],[activating_chance]]/100),0)</f>
        <v>25</v>
      </c>
      <c r="DY25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56">
        <v>1</v>
      </c>
      <c r="EA256">
        <v>1</v>
      </c>
      <c r="EB256" t="b">
        <v>0</v>
      </c>
      <c r="ED256" t="s">
        <v>451</v>
      </c>
      <c r="EE256">
        <v>1</v>
      </c>
      <c r="EF256">
        <v>120</v>
      </c>
      <c r="EG256">
        <v>100</v>
      </c>
      <c r="EH256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56" s="75">
        <f ca="1">ROUND((Table1820[[#This Row],[XP]]*Table1820[[#This Row],[entity_spawned (AVG)]])*(Table1820[[#This Row],[activating_chance]]/100),0)</f>
        <v>25</v>
      </c>
      <c r="EJ25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56">
        <v>1</v>
      </c>
      <c r="EL256">
        <v>1</v>
      </c>
      <c r="EM256" t="b">
        <v>0</v>
      </c>
    </row>
    <row r="257" spans="2:143" x14ac:dyDescent="0.25">
      <c r="B257" s="73" t="s">
        <v>233</v>
      </c>
      <c r="C257">
        <v>1</v>
      </c>
      <c r="D257">
        <v>300</v>
      </c>
      <c r="E257">
        <v>100</v>
      </c>
      <c r="F257" s="75">
        <f ca="1">INDIRECT(ADDRESS(11+(MATCH(RIGHT(Table245[[#This Row],[spawner_sku]],LEN(Table245[[#This Row],[spawner_sku]])-FIND("/",Table245[[#This Row],[spawner_sku]])),Table1[Entity Prefab],0)),10,1,1,"Entities"))</f>
        <v>195</v>
      </c>
      <c r="G257" s="75">
        <f ca="1">ROUND((Table245[[#This Row],[XP]]*Table245[[#This Row],[entity_spawned (AVG)]])*(Table245[[#This Row],[activating_chance]]/100),0)</f>
        <v>195</v>
      </c>
      <c r="H25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7" s="72">
        <v>1</v>
      </c>
      <c r="J257" s="72">
        <v>1</v>
      </c>
      <c r="K257" s="72" t="b">
        <v>0</v>
      </c>
      <c r="AI257" t="s">
        <v>390</v>
      </c>
      <c r="AJ257">
        <v>1</v>
      </c>
      <c r="AK257">
        <v>150</v>
      </c>
      <c r="AL257">
        <v>100</v>
      </c>
      <c r="AM257" s="75">
        <f ca="1">INDIRECT(ADDRESS(11+(MATCH(RIGHT(Table2[[#This Row],[spawner_sku]],LEN(Table2[[#This Row],[spawner_sku]])-FIND("/",Table2[[#This Row],[spawner_sku]])),Table1[Entity Prefab],0)),10,1,1,"Entities"))</f>
        <v>75</v>
      </c>
      <c r="AN257" s="75">
        <f ca="1">ROUND((Table2[[#This Row],[XP]]*Table2[[#This Row],[entity_spawned (AVG)]])*(Table2[[#This Row],[activating_chance]]/100),0)</f>
        <v>75</v>
      </c>
      <c r="AO25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57" s="72">
        <v>1</v>
      </c>
      <c r="AQ257" s="72">
        <v>1</v>
      </c>
      <c r="AR257" s="72" t="b">
        <v>0</v>
      </c>
      <c r="BP257" t="s">
        <v>471</v>
      </c>
      <c r="BQ257">
        <v>1</v>
      </c>
      <c r="BR257">
        <v>260</v>
      </c>
      <c r="BS257">
        <v>100</v>
      </c>
      <c r="BT257" s="75">
        <f ca="1">INDIRECT(ADDRESS(11+(MATCH(RIGHT(Table61011[[#This Row],[spawner_sku]],LEN(Table61011[[#This Row],[spawner_sku]])-FIND("/",Table61011[[#This Row],[spawner_sku]])),Table1[Entity Prefab],0)),10,1,1,"Entities"))</f>
        <v>105</v>
      </c>
      <c r="BU257" s="75">
        <f ca="1">ROUND((Table61011[[#This Row],[XP]]*Table61011[[#This Row],[entity_spawned (AVG)]])*(Table61011[[#This Row],[activating_chance]]/100),0)</f>
        <v>105</v>
      </c>
      <c r="BV25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7" s="72">
        <v>1</v>
      </c>
      <c r="BX257" s="72">
        <v>1</v>
      </c>
      <c r="BY257" s="72" t="b">
        <v>0</v>
      </c>
      <c r="CA257" t="s">
        <v>445</v>
      </c>
      <c r="CB257">
        <v>1.5</v>
      </c>
      <c r="CC257">
        <v>120</v>
      </c>
      <c r="CD257">
        <v>100</v>
      </c>
      <c r="CE257" s="75">
        <f ca="1">INDIRECT(ADDRESS(11+(MATCH(RIGHT(Table11[[#This Row],[spawner_sku]],LEN(Table11[[#This Row],[spawner_sku]])-FIND("/",Table11[[#This Row],[spawner_sku]])),Table1[Entity Prefab],0)),10,1,1,"Entities"))</f>
        <v>0</v>
      </c>
      <c r="CF257">
        <f ca="1">ROUND((Table11[[#This Row],[XP]]*Table11[[#This Row],[entity_spawned (AVG)]])*(Table11[[#This Row],[activating_chance]]/100),0)</f>
        <v>0</v>
      </c>
      <c r="CG257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57" s="72">
        <v>1</v>
      </c>
      <c r="CI257" s="72">
        <v>2</v>
      </c>
      <c r="CJ257" s="72" t="b">
        <v>0</v>
      </c>
      <c r="CW257" t="s">
        <v>256</v>
      </c>
      <c r="CX257">
        <v>1</v>
      </c>
      <c r="CY257">
        <v>150</v>
      </c>
      <c r="CZ257">
        <v>80</v>
      </c>
      <c r="DA257" s="75">
        <f ca="1">INDIRECT(ADDRESS(11+(MATCH(RIGHT(Table13[[#This Row],[spawner_sku]],LEN(Table13[[#This Row],[spawner_sku]])-FIND("/",Table13[[#This Row],[spawner_sku]])),Table1[Entity Prefab],0)),10,1,1,"Entities"))</f>
        <v>25</v>
      </c>
      <c r="DB257" s="75">
        <f ca="1">ROUND((Table13[[#This Row],[XP]]*Table13[[#This Row],[entity_spawned (AVG)]])*(Table13[[#This Row],[activating_chance]]/100),0)</f>
        <v>20</v>
      </c>
      <c r="DC257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57" s="72">
        <v>1</v>
      </c>
      <c r="DE257" s="72">
        <v>1</v>
      </c>
      <c r="DF257" s="72" t="b">
        <v>0</v>
      </c>
      <c r="DH257" t="s">
        <v>517</v>
      </c>
      <c r="DI257">
        <v>1</v>
      </c>
      <c r="DJ257">
        <v>180</v>
      </c>
      <c r="DK257">
        <v>100</v>
      </c>
      <c r="DL257" s="75">
        <f ca="1">INDIRECT(ADDRESS(11+(MATCH(RIGHT(Table14[[#This Row],[spawner_sku]],LEN(Table14[[#This Row],[spawner_sku]])-FIND("/",Table14[[#This Row],[spawner_sku]])),Table1[Entity Prefab],0)),10,1,1,"Entities"))</f>
        <v>95</v>
      </c>
      <c r="DM257" s="75">
        <f ca="1">ROUND((Table14[[#This Row],[XP]]*Table14[[#This Row],[entity_spawned (AVG)]])*(Table14[[#This Row],[activating_chance]]/100),0)</f>
        <v>95</v>
      </c>
      <c r="DN25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57" s="72">
        <v>1</v>
      </c>
      <c r="DP257" s="72">
        <v>1</v>
      </c>
      <c r="DQ257" s="72" t="b">
        <v>0</v>
      </c>
      <c r="DS257" t="s">
        <v>609</v>
      </c>
      <c r="DT257">
        <v>1</v>
      </c>
      <c r="DU257">
        <v>160</v>
      </c>
      <c r="DV257">
        <v>100</v>
      </c>
      <c r="DW257" s="75">
        <f ca="1">INDIRECT(ADDRESS(11+(MATCH(RIGHT(Table18[[#This Row],[spawner_sku]],LEN(Table18[[#This Row],[spawner_sku]])-FIND("/",Table18[[#This Row],[spawner_sku]])),Table1[Entity Prefab],0)),10,1,1,"Entities"))</f>
        <v>25</v>
      </c>
      <c r="DX257" s="75">
        <f ca="1">ROUND((Table18[[#This Row],[XP]]*Table18[[#This Row],[entity_spawned (AVG)]])*(Table18[[#This Row],[activating_chance]]/100),0)</f>
        <v>25</v>
      </c>
      <c r="DY25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57">
        <v>1</v>
      </c>
      <c r="EA257">
        <v>1</v>
      </c>
      <c r="EB257" t="b">
        <v>0</v>
      </c>
      <c r="ED257" t="s">
        <v>451</v>
      </c>
      <c r="EE257">
        <v>1</v>
      </c>
      <c r="EF257">
        <v>80</v>
      </c>
      <c r="EG257">
        <v>30</v>
      </c>
      <c r="EH257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57" s="75">
        <f ca="1">ROUND((Table1820[[#This Row],[XP]]*Table1820[[#This Row],[entity_spawned (AVG)]])*(Table1820[[#This Row],[activating_chance]]/100),0)</f>
        <v>8</v>
      </c>
      <c r="EJ25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57">
        <v>1</v>
      </c>
      <c r="EL257">
        <v>1</v>
      </c>
      <c r="EM257" t="b">
        <v>0</v>
      </c>
    </row>
    <row r="258" spans="2:143" x14ac:dyDescent="0.25">
      <c r="B258" s="73" t="s">
        <v>233</v>
      </c>
      <c r="C258">
        <v>1</v>
      </c>
      <c r="D258">
        <v>300</v>
      </c>
      <c r="E258">
        <v>100</v>
      </c>
      <c r="F258" s="75">
        <f ca="1">INDIRECT(ADDRESS(11+(MATCH(RIGHT(Table245[[#This Row],[spawner_sku]],LEN(Table245[[#This Row],[spawner_sku]])-FIND("/",Table245[[#This Row],[spawner_sku]])),Table1[Entity Prefab],0)),10,1,1,"Entities"))</f>
        <v>195</v>
      </c>
      <c r="G258" s="75">
        <f ca="1">ROUND((Table245[[#This Row],[XP]]*Table245[[#This Row],[entity_spawned (AVG)]])*(Table245[[#This Row],[activating_chance]]/100),0)</f>
        <v>195</v>
      </c>
      <c r="H25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8" s="72">
        <v>1</v>
      </c>
      <c r="J258" s="72">
        <v>1</v>
      </c>
      <c r="K258" s="72" t="b">
        <v>0</v>
      </c>
      <c r="AI258" t="s">
        <v>390</v>
      </c>
      <c r="AJ258">
        <v>1</v>
      </c>
      <c r="AK258">
        <v>130</v>
      </c>
      <c r="AL258">
        <v>100</v>
      </c>
      <c r="AM258" s="75">
        <f ca="1">INDIRECT(ADDRESS(11+(MATCH(RIGHT(Table2[[#This Row],[spawner_sku]],LEN(Table2[[#This Row],[spawner_sku]])-FIND("/",Table2[[#This Row],[spawner_sku]])),Table1[Entity Prefab],0)),10,1,1,"Entities"))</f>
        <v>75</v>
      </c>
      <c r="AN258" s="75">
        <f ca="1">ROUND((Table2[[#This Row],[XP]]*Table2[[#This Row],[entity_spawned (AVG)]])*(Table2[[#This Row],[activating_chance]]/100),0)</f>
        <v>75</v>
      </c>
      <c r="AO25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58" s="72">
        <v>1</v>
      </c>
      <c r="AQ258" s="72">
        <v>1</v>
      </c>
      <c r="AR258" s="72" t="b">
        <v>0</v>
      </c>
      <c r="BP258" t="s">
        <v>472</v>
      </c>
      <c r="BQ258">
        <v>1</v>
      </c>
      <c r="BR258">
        <v>280</v>
      </c>
      <c r="BS258">
        <v>100</v>
      </c>
      <c r="BT258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258" s="75">
        <f ca="1">ROUND((Table61011[[#This Row],[XP]]*Table61011[[#This Row],[entity_spawned (AVG)]])*(Table61011[[#This Row],[activating_chance]]/100),0)</f>
        <v>143</v>
      </c>
      <c r="BV25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8" s="72">
        <v>1</v>
      </c>
      <c r="BX258" s="72">
        <v>1</v>
      </c>
      <c r="BY258" s="72" t="b">
        <v>0</v>
      </c>
      <c r="CA258" t="s">
        <v>445</v>
      </c>
      <c r="CB258">
        <v>1</v>
      </c>
      <c r="CC258">
        <v>200</v>
      </c>
      <c r="CD258">
        <v>100</v>
      </c>
      <c r="CE258" s="75">
        <f ca="1">INDIRECT(ADDRESS(11+(MATCH(RIGHT(Table11[[#This Row],[spawner_sku]],LEN(Table11[[#This Row],[spawner_sku]])-FIND("/",Table11[[#This Row],[spawner_sku]])),Table1[Entity Prefab],0)),10,1,1,"Entities"))</f>
        <v>0</v>
      </c>
      <c r="CF258">
        <f ca="1">ROUND((Table11[[#This Row],[XP]]*Table11[[#This Row],[entity_spawned (AVG)]])*(Table11[[#This Row],[activating_chance]]/100),0)</f>
        <v>0</v>
      </c>
      <c r="CG258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58" s="72">
        <v>1</v>
      </c>
      <c r="CI258" s="72">
        <v>1</v>
      </c>
      <c r="CJ258" s="72" t="b">
        <v>0</v>
      </c>
      <c r="CW258" t="s">
        <v>256</v>
      </c>
      <c r="CX258">
        <v>1</v>
      </c>
      <c r="CY258">
        <v>150</v>
      </c>
      <c r="CZ258">
        <v>30</v>
      </c>
      <c r="DA258" s="75">
        <f ca="1">INDIRECT(ADDRESS(11+(MATCH(RIGHT(Table13[[#This Row],[spawner_sku]],LEN(Table13[[#This Row],[spawner_sku]])-FIND("/",Table13[[#This Row],[spawner_sku]])),Table1[Entity Prefab],0)),10,1,1,"Entities"))</f>
        <v>25</v>
      </c>
      <c r="DB258" s="75">
        <f ca="1">ROUND((Table13[[#This Row],[XP]]*Table13[[#This Row],[entity_spawned (AVG)]])*(Table13[[#This Row],[activating_chance]]/100),0)</f>
        <v>8</v>
      </c>
      <c r="DC258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58" s="72">
        <v>1</v>
      </c>
      <c r="DE258" s="72">
        <v>1</v>
      </c>
      <c r="DF258" s="72" t="b">
        <v>0</v>
      </c>
      <c r="DH258" t="s">
        <v>517</v>
      </c>
      <c r="DI258">
        <v>1</v>
      </c>
      <c r="DJ258">
        <v>100</v>
      </c>
      <c r="DK258">
        <v>100</v>
      </c>
      <c r="DL258" s="75">
        <f ca="1">INDIRECT(ADDRESS(11+(MATCH(RIGHT(Table14[[#This Row],[spawner_sku]],LEN(Table14[[#This Row],[spawner_sku]])-FIND("/",Table14[[#This Row],[spawner_sku]])),Table1[Entity Prefab],0)),10,1,1,"Entities"))</f>
        <v>95</v>
      </c>
      <c r="DM258" s="75">
        <f ca="1">ROUND((Table14[[#This Row],[XP]]*Table14[[#This Row],[entity_spawned (AVG)]])*(Table14[[#This Row],[activating_chance]]/100),0)</f>
        <v>95</v>
      </c>
      <c r="DN25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58" s="72">
        <v>1</v>
      </c>
      <c r="DP258" s="72">
        <v>1</v>
      </c>
      <c r="DQ258" s="72" t="b">
        <v>0</v>
      </c>
      <c r="DS258" t="s">
        <v>609</v>
      </c>
      <c r="DT258">
        <v>1</v>
      </c>
      <c r="DU258">
        <v>160</v>
      </c>
      <c r="DV258">
        <v>80</v>
      </c>
      <c r="DW258" s="75">
        <f ca="1">INDIRECT(ADDRESS(11+(MATCH(RIGHT(Table18[[#This Row],[spawner_sku]],LEN(Table18[[#This Row],[spawner_sku]])-FIND("/",Table18[[#This Row],[spawner_sku]])),Table1[Entity Prefab],0)),10,1,1,"Entities"))</f>
        <v>25</v>
      </c>
      <c r="DX258" s="75">
        <f ca="1">ROUND((Table18[[#This Row],[XP]]*Table18[[#This Row],[entity_spawned (AVG)]])*(Table18[[#This Row],[activating_chance]]/100),0)</f>
        <v>20</v>
      </c>
      <c r="DY25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58">
        <v>1</v>
      </c>
      <c r="EA258">
        <v>1</v>
      </c>
      <c r="EB258" t="b">
        <v>0</v>
      </c>
      <c r="ED258" t="s">
        <v>451</v>
      </c>
      <c r="EE258">
        <v>1</v>
      </c>
      <c r="EF258">
        <v>80</v>
      </c>
      <c r="EG258">
        <v>80</v>
      </c>
      <c r="EH258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58" s="75">
        <f ca="1">ROUND((Table1820[[#This Row],[XP]]*Table1820[[#This Row],[entity_spawned (AVG)]])*(Table1820[[#This Row],[activating_chance]]/100),0)</f>
        <v>20</v>
      </c>
      <c r="EJ25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58">
        <v>1</v>
      </c>
      <c r="EL258">
        <v>1</v>
      </c>
      <c r="EM258" t="b">
        <v>0</v>
      </c>
    </row>
    <row r="259" spans="2:143" x14ac:dyDescent="0.25">
      <c r="B259" s="73" t="s">
        <v>233</v>
      </c>
      <c r="C259">
        <v>1</v>
      </c>
      <c r="D259">
        <v>300</v>
      </c>
      <c r="E259">
        <v>100</v>
      </c>
      <c r="F259" s="75">
        <f ca="1">INDIRECT(ADDRESS(11+(MATCH(RIGHT(Table245[[#This Row],[spawner_sku]],LEN(Table245[[#This Row],[spawner_sku]])-FIND("/",Table245[[#This Row],[spawner_sku]])),Table1[Entity Prefab],0)),10,1,1,"Entities"))</f>
        <v>195</v>
      </c>
      <c r="G259" s="75">
        <f ca="1">ROUND((Table245[[#This Row],[XP]]*Table245[[#This Row],[entity_spawned (AVG)]])*(Table245[[#This Row],[activating_chance]]/100),0)</f>
        <v>195</v>
      </c>
      <c r="H25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9" s="72">
        <v>1</v>
      </c>
      <c r="J259" s="72">
        <v>1</v>
      </c>
      <c r="K259" s="72" t="b">
        <v>0</v>
      </c>
      <c r="AI259" t="s">
        <v>390</v>
      </c>
      <c r="AJ259">
        <v>1</v>
      </c>
      <c r="AK259">
        <v>150</v>
      </c>
      <c r="AL259">
        <v>100</v>
      </c>
      <c r="AM259" s="75">
        <f ca="1">INDIRECT(ADDRESS(11+(MATCH(RIGHT(Table2[[#This Row],[spawner_sku]],LEN(Table2[[#This Row],[spawner_sku]])-FIND("/",Table2[[#This Row],[spawner_sku]])),Table1[Entity Prefab],0)),10,1,1,"Entities"))</f>
        <v>75</v>
      </c>
      <c r="AN259" s="75">
        <f ca="1">ROUND((Table2[[#This Row],[XP]]*Table2[[#This Row],[entity_spawned (AVG)]])*(Table2[[#This Row],[activating_chance]]/100),0)</f>
        <v>75</v>
      </c>
      <c r="AO25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59" s="72">
        <v>1</v>
      </c>
      <c r="AQ259" s="72">
        <v>1</v>
      </c>
      <c r="AR259" s="72" t="b">
        <v>0</v>
      </c>
      <c r="BP259" t="s">
        <v>472</v>
      </c>
      <c r="BQ259">
        <v>1</v>
      </c>
      <c r="BR259">
        <v>280</v>
      </c>
      <c r="BS259">
        <v>100</v>
      </c>
      <c r="BT259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259" s="75">
        <f ca="1">ROUND((Table61011[[#This Row],[XP]]*Table61011[[#This Row],[entity_spawned (AVG)]])*(Table61011[[#This Row],[activating_chance]]/100),0)</f>
        <v>143</v>
      </c>
      <c r="BV25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9" s="72">
        <v>1</v>
      </c>
      <c r="BX259" s="72">
        <v>1</v>
      </c>
      <c r="BY259" s="72" t="b">
        <v>0</v>
      </c>
      <c r="CA259" t="s">
        <v>445</v>
      </c>
      <c r="CB259">
        <v>1</v>
      </c>
      <c r="CC259">
        <v>200</v>
      </c>
      <c r="CD259">
        <v>100</v>
      </c>
      <c r="CE259" s="75">
        <f ca="1">INDIRECT(ADDRESS(11+(MATCH(RIGHT(Table11[[#This Row],[spawner_sku]],LEN(Table11[[#This Row],[spawner_sku]])-FIND("/",Table11[[#This Row],[spawner_sku]])),Table1[Entity Prefab],0)),10,1,1,"Entities"))</f>
        <v>0</v>
      </c>
      <c r="CF259">
        <f ca="1">ROUND((Table11[[#This Row],[XP]]*Table11[[#This Row],[entity_spawned (AVG)]])*(Table11[[#This Row],[activating_chance]]/100),0)</f>
        <v>0</v>
      </c>
      <c r="CG259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59" s="72">
        <v>1</v>
      </c>
      <c r="CI259" s="72">
        <v>1</v>
      </c>
      <c r="CJ259" s="72" t="b">
        <v>0</v>
      </c>
      <c r="CW259" t="s">
        <v>256</v>
      </c>
      <c r="CX259">
        <v>1</v>
      </c>
      <c r="CY259">
        <v>150</v>
      </c>
      <c r="CZ259">
        <v>80</v>
      </c>
      <c r="DA259" s="75">
        <f ca="1">INDIRECT(ADDRESS(11+(MATCH(RIGHT(Table13[[#This Row],[spawner_sku]],LEN(Table13[[#This Row],[spawner_sku]])-FIND("/",Table13[[#This Row],[spawner_sku]])),Table1[Entity Prefab],0)),10,1,1,"Entities"))</f>
        <v>25</v>
      </c>
      <c r="DB259" s="75">
        <f ca="1">ROUND((Table13[[#This Row],[XP]]*Table13[[#This Row],[entity_spawned (AVG)]])*(Table13[[#This Row],[activating_chance]]/100),0)</f>
        <v>20</v>
      </c>
      <c r="DC259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59" s="72">
        <v>1</v>
      </c>
      <c r="DE259" s="72">
        <v>1</v>
      </c>
      <c r="DF259" s="72" t="b">
        <v>0</v>
      </c>
      <c r="DH259" t="s">
        <v>517</v>
      </c>
      <c r="DI259">
        <v>1</v>
      </c>
      <c r="DJ259">
        <v>100</v>
      </c>
      <c r="DK259">
        <v>100</v>
      </c>
      <c r="DL259" s="75">
        <f ca="1">INDIRECT(ADDRESS(11+(MATCH(RIGHT(Table14[[#This Row],[spawner_sku]],LEN(Table14[[#This Row],[spawner_sku]])-FIND("/",Table14[[#This Row],[spawner_sku]])),Table1[Entity Prefab],0)),10,1,1,"Entities"))</f>
        <v>95</v>
      </c>
      <c r="DM259" s="75">
        <f ca="1">ROUND((Table14[[#This Row],[XP]]*Table14[[#This Row],[entity_spawned (AVG)]])*(Table14[[#This Row],[activating_chance]]/100),0)</f>
        <v>95</v>
      </c>
      <c r="DN25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59" s="72">
        <v>1</v>
      </c>
      <c r="DP259" s="72">
        <v>1</v>
      </c>
      <c r="DQ259" s="72" t="b">
        <v>0</v>
      </c>
      <c r="DS259" t="s">
        <v>609</v>
      </c>
      <c r="DT259">
        <v>1</v>
      </c>
      <c r="DU259">
        <v>160</v>
      </c>
      <c r="DV259">
        <v>100</v>
      </c>
      <c r="DW259" s="75">
        <f ca="1">INDIRECT(ADDRESS(11+(MATCH(RIGHT(Table18[[#This Row],[spawner_sku]],LEN(Table18[[#This Row],[spawner_sku]])-FIND("/",Table18[[#This Row],[spawner_sku]])),Table1[Entity Prefab],0)),10,1,1,"Entities"))</f>
        <v>25</v>
      </c>
      <c r="DX259" s="75">
        <f ca="1">ROUND((Table18[[#This Row],[XP]]*Table18[[#This Row],[entity_spawned (AVG)]])*(Table18[[#This Row],[activating_chance]]/100),0)</f>
        <v>25</v>
      </c>
      <c r="DY25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59">
        <v>1</v>
      </c>
      <c r="EA259">
        <v>1</v>
      </c>
      <c r="EB259" t="b">
        <v>0</v>
      </c>
      <c r="ED259" t="s">
        <v>450</v>
      </c>
      <c r="EE259">
        <v>1</v>
      </c>
      <c r="EF259">
        <v>80</v>
      </c>
      <c r="EG259">
        <v>80</v>
      </c>
      <c r="EH25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59" s="75">
        <f ca="1">ROUND((Table1820[[#This Row],[XP]]*Table1820[[#This Row],[entity_spawned (AVG)]])*(Table1820[[#This Row],[activating_chance]]/100),0)</f>
        <v>20</v>
      </c>
      <c r="EJ25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59">
        <v>1</v>
      </c>
      <c r="EL259">
        <v>1</v>
      </c>
      <c r="EM259" t="b">
        <v>0</v>
      </c>
    </row>
    <row r="260" spans="2:143" x14ac:dyDescent="0.25">
      <c r="B260" s="73" t="s">
        <v>233</v>
      </c>
      <c r="C260">
        <v>1</v>
      </c>
      <c r="D260">
        <v>300</v>
      </c>
      <c r="E260">
        <v>100</v>
      </c>
      <c r="F260" s="75">
        <f ca="1">INDIRECT(ADDRESS(11+(MATCH(RIGHT(Table245[[#This Row],[spawner_sku]],LEN(Table245[[#This Row],[spawner_sku]])-FIND("/",Table245[[#This Row],[spawner_sku]])),Table1[Entity Prefab],0)),10,1,1,"Entities"))</f>
        <v>195</v>
      </c>
      <c r="G260" s="75">
        <f ca="1">ROUND((Table245[[#This Row],[XP]]*Table245[[#This Row],[entity_spawned (AVG)]])*(Table245[[#This Row],[activating_chance]]/100),0)</f>
        <v>195</v>
      </c>
      <c r="H26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0" s="72">
        <v>1</v>
      </c>
      <c r="J260" s="72">
        <v>1</v>
      </c>
      <c r="K260" s="72" t="b">
        <v>0</v>
      </c>
      <c r="AI260" t="s">
        <v>390</v>
      </c>
      <c r="AJ260">
        <v>1</v>
      </c>
      <c r="AK260">
        <v>150</v>
      </c>
      <c r="AL260">
        <v>100</v>
      </c>
      <c r="AM260" s="75">
        <f ca="1">INDIRECT(ADDRESS(11+(MATCH(RIGHT(Table2[[#This Row],[spawner_sku]],LEN(Table2[[#This Row],[spawner_sku]])-FIND("/",Table2[[#This Row],[spawner_sku]])),Table1[Entity Prefab],0)),10,1,1,"Entities"))</f>
        <v>75</v>
      </c>
      <c r="AN260" s="75">
        <f ca="1">ROUND((Table2[[#This Row],[XP]]*Table2[[#This Row],[entity_spawned (AVG)]])*(Table2[[#This Row],[activating_chance]]/100),0)</f>
        <v>75</v>
      </c>
      <c r="AO26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60" s="72">
        <v>1</v>
      </c>
      <c r="AQ260" s="72">
        <v>1</v>
      </c>
      <c r="AR260" s="72" t="b">
        <v>0</v>
      </c>
      <c r="BP260" t="s">
        <v>472</v>
      </c>
      <c r="BQ260">
        <v>1</v>
      </c>
      <c r="BR260">
        <v>280</v>
      </c>
      <c r="BS260">
        <v>100</v>
      </c>
      <c r="BT260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260" s="75">
        <f ca="1">ROUND((Table61011[[#This Row],[XP]]*Table61011[[#This Row],[entity_spawned (AVG)]])*(Table61011[[#This Row],[activating_chance]]/100),0)</f>
        <v>143</v>
      </c>
      <c r="BV26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0" s="72">
        <v>1</v>
      </c>
      <c r="BX260" s="72">
        <v>1</v>
      </c>
      <c r="BY260" s="72" t="b">
        <v>0</v>
      </c>
      <c r="CA260" t="s">
        <v>445</v>
      </c>
      <c r="CB260">
        <v>2</v>
      </c>
      <c r="CC260">
        <v>200</v>
      </c>
      <c r="CD260">
        <v>100</v>
      </c>
      <c r="CE260" s="75">
        <f ca="1">INDIRECT(ADDRESS(11+(MATCH(RIGHT(Table11[[#This Row],[spawner_sku]],LEN(Table11[[#This Row],[spawner_sku]])-FIND("/",Table11[[#This Row],[spawner_sku]])),Table1[Entity Prefab],0)),10,1,1,"Entities"))</f>
        <v>0</v>
      </c>
      <c r="CF260">
        <f ca="1">ROUND((Table11[[#This Row],[XP]]*Table11[[#This Row],[entity_spawned (AVG)]])*(Table11[[#This Row],[activating_chance]]/100),0)</f>
        <v>0</v>
      </c>
      <c r="CG260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60" s="72">
        <v>1</v>
      </c>
      <c r="CI260" s="72">
        <v>3</v>
      </c>
      <c r="CJ260" s="72" t="b">
        <v>0</v>
      </c>
      <c r="CW260" t="s">
        <v>256</v>
      </c>
      <c r="CX260">
        <v>1</v>
      </c>
      <c r="CY260">
        <v>150</v>
      </c>
      <c r="CZ260">
        <v>100</v>
      </c>
      <c r="DA260" s="75">
        <f ca="1">INDIRECT(ADDRESS(11+(MATCH(RIGHT(Table13[[#This Row],[spawner_sku]],LEN(Table13[[#This Row],[spawner_sku]])-FIND("/",Table13[[#This Row],[spawner_sku]])),Table1[Entity Prefab],0)),10,1,1,"Entities"))</f>
        <v>25</v>
      </c>
      <c r="DB260" s="75">
        <f ca="1">ROUND((Table13[[#This Row],[XP]]*Table13[[#This Row],[entity_spawned (AVG)]])*(Table13[[#This Row],[activating_chance]]/100),0)</f>
        <v>25</v>
      </c>
      <c r="DC260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60" s="72">
        <v>1</v>
      </c>
      <c r="DE260" s="72">
        <v>1</v>
      </c>
      <c r="DF260" s="72" t="b">
        <v>0</v>
      </c>
      <c r="DH260" t="s">
        <v>517</v>
      </c>
      <c r="DI260">
        <v>1</v>
      </c>
      <c r="DJ260">
        <v>90</v>
      </c>
      <c r="DK260">
        <v>10</v>
      </c>
      <c r="DL260" s="75">
        <f ca="1">INDIRECT(ADDRESS(11+(MATCH(RIGHT(Table14[[#This Row],[spawner_sku]],LEN(Table14[[#This Row],[spawner_sku]])-FIND("/",Table14[[#This Row],[spawner_sku]])),Table1[Entity Prefab],0)),10,1,1,"Entities"))</f>
        <v>95</v>
      </c>
      <c r="DM260" s="75">
        <f ca="1">ROUND((Table14[[#This Row],[XP]]*Table14[[#This Row],[entity_spawned (AVG)]])*(Table14[[#This Row],[activating_chance]]/100),0)</f>
        <v>10</v>
      </c>
      <c r="DN26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60" s="72">
        <v>1</v>
      </c>
      <c r="DP260" s="72">
        <v>1</v>
      </c>
      <c r="DQ260" s="72" t="b">
        <v>0</v>
      </c>
      <c r="DS260" t="s">
        <v>609</v>
      </c>
      <c r="DT260">
        <v>1</v>
      </c>
      <c r="DU260">
        <v>160</v>
      </c>
      <c r="DV260">
        <v>80</v>
      </c>
      <c r="DW260" s="75">
        <f ca="1">INDIRECT(ADDRESS(11+(MATCH(RIGHT(Table18[[#This Row],[spawner_sku]],LEN(Table18[[#This Row],[spawner_sku]])-FIND("/",Table18[[#This Row],[spawner_sku]])),Table1[Entity Prefab],0)),10,1,1,"Entities"))</f>
        <v>25</v>
      </c>
      <c r="DX260" s="75">
        <f ca="1">ROUND((Table18[[#This Row],[XP]]*Table18[[#This Row],[entity_spawned (AVG)]])*(Table18[[#This Row],[activating_chance]]/100),0)</f>
        <v>20</v>
      </c>
      <c r="DY26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60">
        <v>1</v>
      </c>
      <c r="EA260">
        <v>1</v>
      </c>
      <c r="EB260" t="b">
        <v>0</v>
      </c>
      <c r="ED260" t="s">
        <v>450</v>
      </c>
      <c r="EE260">
        <v>1</v>
      </c>
      <c r="EF260">
        <v>80</v>
      </c>
      <c r="EG260">
        <v>100</v>
      </c>
      <c r="EH260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60" s="75">
        <f ca="1">ROUND((Table1820[[#This Row],[XP]]*Table1820[[#This Row],[entity_spawned (AVG)]])*(Table1820[[#This Row],[activating_chance]]/100),0)</f>
        <v>25</v>
      </c>
      <c r="EJ26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60">
        <v>1</v>
      </c>
      <c r="EL260">
        <v>2</v>
      </c>
      <c r="EM260" t="b">
        <v>0</v>
      </c>
    </row>
    <row r="261" spans="2:143" x14ac:dyDescent="0.25">
      <c r="B261" s="73" t="s">
        <v>233</v>
      </c>
      <c r="C261">
        <v>1</v>
      </c>
      <c r="D261">
        <v>300</v>
      </c>
      <c r="E261">
        <v>100</v>
      </c>
      <c r="F261" s="75">
        <f ca="1">INDIRECT(ADDRESS(11+(MATCH(RIGHT(Table245[[#This Row],[spawner_sku]],LEN(Table245[[#This Row],[spawner_sku]])-FIND("/",Table245[[#This Row],[spawner_sku]])),Table1[Entity Prefab],0)),10,1,1,"Entities"))</f>
        <v>195</v>
      </c>
      <c r="G261" s="75">
        <f ca="1">ROUND((Table245[[#This Row],[XP]]*Table245[[#This Row],[entity_spawned (AVG)]])*(Table245[[#This Row],[activating_chance]]/100),0)</f>
        <v>195</v>
      </c>
      <c r="H26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1" s="72">
        <v>1</v>
      </c>
      <c r="J261" s="72">
        <v>1</v>
      </c>
      <c r="K261" s="72" t="b">
        <v>0</v>
      </c>
      <c r="AI261" t="s">
        <v>390</v>
      </c>
      <c r="AJ261">
        <v>1</v>
      </c>
      <c r="AK261">
        <v>140</v>
      </c>
      <c r="AL261">
        <v>100</v>
      </c>
      <c r="AM261" s="75">
        <f ca="1">INDIRECT(ADDRESS(11+(MATCH(RIGHT(Table2[[#This Row],[spawner_sku]],LEN(Table2[[#This Row],[spawner_sku]])-FIND("/",Table2[[#This Row],[spawner_sku]])),Table1[Entity Prefab],0)),10,1,1,"Entities"))</f>
        <v>75</v>
      </c>
      <c r="AN261" s="75">
        <f ca="1">ROUND((Table2[[#This Row],[XP]]*Table2[[#This Row],[entity_spawned (AVG)]])*(Table2[[#This Row],[activating_chance]]/100),0)</f>
        <v>75</v>
      </c>
      <c r="AO261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61" s="72">
        <v>1</v>
      </c>
      <c r="AQ261" s="72">
        <v>1</v>
      </c>
      <c r="AR261" s="72" t="b">
        <v>0</v>
      </c>
      <c r="BP261" t="s">
        <v>472</v>
      </c>
      <c r="BQ261">
        <v>1</v>
      </c>
      <c r="BR261">
        <v>280</v>
      </c>
      <c r="BS261">
        <v>100</v>
      </c>
      <c r="BT261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261" s="75">
        <f ca="1">ROUND((Table61011[[#This Row],[XP]]*Table61011[[#This Row],[entity_spawned (AVG)]])*(Table61011[[#This Row],[activating_chance]]/100),0)</f>
        <v>143</v>
      </c>
      <c r="BV26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1" s="72">
        <v>1</v>
      </c>
      <c r="BX261" s="72">
        <v>1</v>
      </c>
      <c r="BY261" s="72" t="b">
        <v>0</v>
      </c>
      <c r="CA261" t="s">
        <v>445</v>
      </c>
      <c r="CB261">
        <v>1</v>
      </c>
      <c r="CC261">
        <v>200</v>
      </c>
      <c r="CD261">
        <v>10</v>
      </c>
      <c r="CE261" s="75">
        <f ca="1">INDIRECT(ADDRESS(11+(MATCH(RIGHT(Table11[[#This Row],[spawner_sku]],LEN(Table11[[#This Row],[spawner_sku]])-FIND("/",Table11[[#This Row],[spawner_sku]])),Table1[Entity Prefab],0)),10,1,1,"Entities"))</f>
        <v>0</v>
      </c>
      <c r="CF261">
        <f ca="1">ROUND((Table11[[#This Row],[XP]]*Table11[[#This Row],[entity_spawned (AVG)]])*(Table11[[#This Row],[activating_chance]]/100),0)</f>
        <v>0</v>
      </c>
      <c r="CG261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61" s="72">
        <v>1</v>
      </c>
      <c r="CI261" s="72">
        <v>1</v>
      </c>
      <c r="CJ261" s="72" t="b">
        <v>0</v>
      </c>
      <c r="CW261" t="s">
        <v>256</v>
      </c>
      <c r="CX261">
        <v>1</v>
      </c>
      <c r="CY261">
        <v>150</v>
      </c>
      <c r="CZ261">
        <v>80</v>
      </c>
      <c r="DA261" s="75">
        <f ca="1">INDIRECT(ADDRESS(11+(MATCH(RIGHT(Table13[[#This Row],[spawner_sku]],LEN(Table13[[#This Row],[spawner_sku]])-FIND("/",Table13[[#This Row],[spawner_sku]])),Table1[Entity Prefab],0)),10,1,1,"Entities"))</f>
        <v>25</v>
      </c>
      <c r="DB261" s="75">
        <f ca="1">ROUND((Table13[[#This Row],[XP]]*Table13[[#This Row],[entity_spawned (AVG)]])*(Table13[[#This Row],[activating_chance]]/100),0)</f>
        <v>20</v>
      </c>
      <c r="DC261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61" s="72">
        <v>1</v>
      </c>
      <c r="DE261" s="72">
        <v>1</v>
      </c>
      <c r="DF261" s="72" t="b">
        <v>0</v>
      </c>
      <c r="DH261" t="s">
        <v>517</v>
      </c>
      <c r="DI261">
        <v>1</v>
      </c>
      <c r="DJ261">
        <v>100</v>
      </c>
      <c r="DK261">
        <v>100</v>
      </c>
      <c r="DL261" s="75">
        <f ca="1">INDIRECT(ADDRESS(11+(MATCH(RIGHT(Table14[[#This Row],[spawner_sku]],LEN(Table14[[#This Row],[spawner_sku]])-FIND("/",Table14[[#This Row],[spawner_sku]])),Table1[Entity Prefab],0)),10,1,1,"Entities"))</f>
        <v>95</v>
      </c>
      <c r="DM261" s="75">
        <f ca="1">ROUND((Table14[[#This Row],[XP]]*Table14[[#This Row],[entity_spawned (AVG)]])*(Table14[[#This Row],[activating_chance]]/100),0)</f>
        <v>95</v>
      </c>
      <c r="DN26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61" s="72">
        <v>1</v>
      </c>
      <c r="DP261" s="72">
        <v>1</v>
      </c>
      <c r="DQ261" s="72" t="b">
        <v>0</v>
      </c>
      <c r="DS261" t="s">
        <v>6766</v>
      </c>
      <c r="DT261">
        <v>1</v>
      </c>
      <c r="DU261">
        <v>160</v>
      </c>
      <c r="DV261">
        <v>100</v>
      </c>
      <c r="DW261" s="75">
        <f ca="1">INDIRECT(ADDRESS(11+(MATCH(RIGHT(Table18[[#This Row],[spawner_sku]],LEN(Table18[[#This Row],[spawner_sku]])-FIND("/",Table18[[#This Row],[spawner_sku]])),Table1[Entity Prefab],0)),10,1,1,"Entities"))</f>
        <v>95</v>
      </c>
      <c r="DX261" s="75">
        <f ca="1">ROUND((Table18[[#This Row],[XP]]*Table18[[#This Row],[entity_spawned (AVG)]])*(Table18[[#This Row],[activating_chance]]/100),0)</f>
        <v>95</v>
      </c>
      <c r="DY26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61">
        <v>1</v>
      </c>
      <c r="EA261">
        <v>1</v>
      </c>
      <c r="EB261" t="b">
        <v>0</v>
      </c>
      <c r="ED261" t="s">
        <v>253</v>
      </c>
      <c r="EE261">
        <v>1</v>
      </c>
      <c r="EF261">
        <v>170</v>
      </c>
      <c r="EG261">
        <v>100</v>
      </c>
      <c r="EH261" s="75">
        <f ca="1">INDIRECT(ADDRESS(11+(MATCH(RIGHT(Table1820[[#This Row],[spawner_sku]],LEN(Table1820[[#This Row],[spawner_sku]])-FIND("/",Table1820[[#This Row],[spawner_sku]])),Table1[Entity Prefab],0)),10,1,1,"Entities"))</f>
        <v>70</v>
      </c>
      <c r="EI261" s="75">
        <f ca="1">ROUND((Table1820[[#This Row],[XP]]*Table1820[[#This Row],[entity_spawned (AVG)]])*(Table1820[[#This Row],[activating_chance]]/100),0)</f>
        <v>70</v>
      </c>
      <c r="EJ261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61">
        <v>1</v>
      </c>
      <c r="EL261">
        <v>1</v>
      </c>
      <c r="EM261" t="b">
        <v>0</v>
      </c>
    </row>
    <row r="262" spans="2:143" x14ac:dyDescent="0.25">
      <c r="B262" s="73" t="s">
        <v>233</v>
      </c>
      <c r="C262">
        <v>1</v>
      </c>
      <c r="D262">
        <v>300</v>
      </c>
      <c r="E262">
        <v>100</v>
      </c>
      <c r="F262" s="75">
        <f ca="1">INDIRECT(ADDRESS(11+(MATCH(RIGHT(Table245[[#This Row],[spawner_sku]],LEN(Table245[[#This Row],[spawner_sku]])-FIND("/",Table245[[#This Row],[spawner_sku]])),Table1[Entity Prefab],0)),10,1,1,"Entities"))</f>
        <v>195</v>
      </c>
      <c r="G262" s="75">
        <f ca="1">ROUND((Table245[[#This Row],[XP]]*Table245[[#This Row],[entity_spawned (AVG)]])*(Table245[[#This Row],[activating_chance]]/100),0)</f>
        <v>195</v>
      </c>
      <c r="H26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2" s="72">
        <v>1</v>
      </c>
      <c r="J262" s="72">
        <v>1</v>
      </c>
      <c r="K262" s="72" t="b">
        <v>0</v>
      </c>
      <c r="AI262" t="s">
        <v>390</v>
      </c>
      <c r="AJ262">
        <v>1</v>
      </c>
      <c r="AK262">
        <v>130</v>
      </c>
      <c r="AL262">
        <v>100</v>
      </c>
      <c r="AM262" s="75">
        <f ca="1">INDIRECT(ADDRESS(11+(MATCH(RIGHT(Table2[[#This Row],[spawner_sku]],LEN(Table2[[#This Row],[spawner_sku]])-FIND("/",Table2[[#This Row],[spawner_sku]])),Table1[Entity Prefab],0)),10,1,1,"Entities"))</f>
        <v>75</v>
      </c>
      <c r="AN262" s="75">
        <f ca="1">ROUND((Table2[[#This Row],[XP]]*Table2[[#This Row],[entity_spawned (AVG)]])*(Table2[[#This Row],[activating_chance]]/100),0)</f>
        <v>75</v>
      </c>
      <c r="AO262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62" s="72">
        <v>1</v>
      </c>
      <c r="AQ262" s="72">
        <v>1</v>
      </c>
      <c r="AR262" s="72" t="b">
        <v>0</v>
      </c>
      <c r="BP262" t="s">
        <v>472</v>
      </c>
      <c r="BQ262">
        <v>1</v>
      </c>
      <c r="BR262">
        <v>280</v>
      </c>
      <c r="BS262">
        <v>100</v>
      </c>
      <c r="BT262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262" s="75">
        <f ca="1">ROUND((Table61011[[#This Row],[XP]]*Table61011[[#This Row],[entity_spawned (AVG)]])*(Table61011[[#This Row],[activating_chance]]/100),0)</f>
        <v>143</v>
      </c>
      <c r="BV26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2" s="72">
        <v>1</v>
      </c>
      <c r="BX262" s="72">
        <v>1</v>
      </c>
      <c r="BY262" s="72" t="b">
        <v>0</v>
      </c>
      <c r="CA262" t="s">
        <v>445</v>
      </c>
      <c r="CB262">
        <v>1.5</v>
      </c>
      <c r="CC262">
        <v>200</v>
      </c>
      <c r="CD262">
        <v>70</v>
      </c>
      <c r="CE262" s="75">
        <f ca="1">INDIRECT(ADDRESS(11+(MATCH(RIGHT(Table11[[#This Row],[spawner_sku]],LEN(Table11[[#This Row],[spawner_sku]])-FIND("/",Table11[[#This Row],[spawner_sku]])),Table1[Entity Prefab],0)),10,1,1,"Entities"))</f>
        <v>0</v>
      </c>
      <c r="CF262">
        <f ca="1">ROUND((Table11[[#This Row],[XP]]*Table11[[#This Row],[entity_spawned (AVG)]])*(Table11[[#This Row],[activating_chance]]/100),0)</f>
        <v>0</v>
      </c>
      <c r="CG262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62" s="72">
        <v>1</v>
      </c>
      <c r="CI262" s="72">
        <v>2</v>
      </c>
      <c r="CJ262" s="72" t="b">
        <v>0</v>
      </c>
      <c r="CW262" t="s">
        <v>256</v>
      </c>
      <c r="CX262">
        <v>1</v>
      </c>
      <c r="CY262">
        <v>150</v>
      </c>
      <c r="CZ262">
        <v>30</v>
      </c>
      <c r="DA262" s="75">
        <f ca="1">INDIRECT(ADDRESS(11+(MATCH(RIGHT(Table13[[#This Row],[spawner_sku]],LEN(Table13[[#This Row],[spawner_sku]])-FIND("/",Table13[[#This Row],[spawner_sku]])),Table1[Entity Prefab],0)),10,1,1,"Entities"))</f>
        <v>25</v>
      </c>
      <c r="DB262" s="75">
        <f ca="1">ROUND((Table13[[#This Row],[XP]]*Table13[[#This Row],[entity_spawned (AVG)]])*(Table13[[#This Row],[activating_chance]]/100),0)</f>
        <v>8</v>
      </c>
      <c r="DC262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62" s="72">
        <v>1</v>
      </c>
      <c r="DE262" s="72">
        <v>1</v>
      </c>
      <c r="DF262" s="72" t="b">
        <v>0</v>
      </c>
      <c r="DH262" t="s">
        <v>517</v>
      </c>
      <c r="DI262">
        <v>1</v>
      </c>
      <c r="DJ262">
        <v>140</v>
      </c>
      <c r="DK262">
        <v>100</v>
      </c>
      <c r="DL262" s="75">
        <f ca="1">INDIRECT(ADDRESS(11+(MATCH(RIGHT(Table14[[#This Row],[spawner_sku]],LEN(Table14[[#This Row],[spawner_sku]])-FIND("/",Table14[[#This Row],[spawner_sku]])),Table1[Entity Prefab],0)),10,1,1,"Entities"))</f>
        <v>95</v>
      </c>
      <c r="DM262" s="75">
        <f ca="1">ROUND((Table14[[#This Row],[XP]]*Table14[[#This Row],[entity_spawned (AVG)]])*(Table14[[#This Row],[activating_chance]]/100),0)</f>
        <v>95</v>
      </c>
      <c r="DN26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62" s="72">
        <v>1</v>
      </c>
      <c r="DP262" s="72">
        <v>1</v>
      </c>
      <c r="DQ262" s="72" t="b">
        <v>0</v>
      </c>
      <c r="DS262" t="s">
        <v>6766</v>
      </c>
      <c r="DT262">
        <v>1</v>
      </c>
      <c r="DU262">
        <v>160</v>
      </c>
      <c r="DV262">
        <v>30</v>
      </c>
      <c r="DW262" s="75">
        <f ca="1">INDIRECT(ADDRESS(11+(MATCH(RIGHT(Table18[[#This Row],[spawner_sku]],LEN(Table18[[#This Row],[spawner_sku]])-FIND("/",Table18[[#This Row],[spawner_sku]])),Table1[Entity Prefab],0)),10,1,1,"Entities"))</f>
        <v>95</v>
      </c>
      <c r="DX262" s="75">
        <f ca="1">ROUND((Table18[[#This Row],[XP]]*Table18[[#This Row],[entity_spawned (AVG)]])*(Table18[[#This Row],[activating_chance]]/100),0)</f>
        <v>29</v>
      </c>
      <c r="DY26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62">
        <v>1</v>
      </c>
      <c r="EA262">
        <v>1</v>
      </c>
      <c r="EB262" t="b">
        <v>0</v>
      </c>
      <c r="ED262" t="s">
        <v>255</v>
      </c>
      <c r="EE262">
        <v>1</v>
      </c>
      <c r="EF262">
        <v>150</v>
      </c>
      <c r="EG262">
        <v>100</v>
      </c>
      <c r="EH26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62" s="75">
        <f ca="1">ROUND((Table1820[[#This Row],[XP]]*Table1820[[#This Row],[entity_spawned (AVG)]])*(Table1820[[#This Row],[activating_chance]]/100),0)</f>
        <v>25</v>
      </c>
      <c r="EJ26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62">
        <v>1</v>
      </c>
      <c r="EL262">
        <v>1</v>
      </c>
      <c r="EM262" t="b">
        <v>0</v>
      </c>
    </row>
    <row r="263" spans="2:143" x14ac:dyDescent="0.25">
      <c r="B263" s="73" t="s">
        <v>233</v>
      </c>
      <c r="C263">
        <v>1</v>
      </c>
      <c r="D263">
        <v>300</v>
      </c>
      <c r="E263">
        <v>100</v>
      </c>
      <c r="F263" s="75">
        <f ca="1">INDIRECT(ADDRESS(11+(MATCH(RIGHT(Table245[[#This Row],[spawner_sku]],LEN(Table245[[#This Row],[spawner_sku]])-FIND("/",Table245[[#This Row],[spawner_sku]])),Table1[Entity Prefab],0)),10,1,1,"Entities"))</f>
        <v>195</v>
      </c>
      <c r="G263" s="75">
        <f ca="1">ROUND((Table245[[#This Row],[XP]]*Table245[[#This Row],[entity_spawned (AVG)]])*(Table245[[#This Row],[activating_chance]]/100),0)</f>
        <v>195</v>
      </c>
      <c r="H26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3" s="72">
        <v>1</v>
      </c>
      <c r="J263" s="72">
        <v>1</v>
      </c>
      <c r="K263" s="72" t="b">
        <v>0</v>
      </c>
      <c r="AI263" t="s">
        <v>390</v>
      </c>
      <c r="AJ263">
        <v>1</v>
      </c>
      <c r="AK263">
        <v>150</v>
      </c>
      <c r="AL263">
        <v>100</v>
      </c>
      <c r="AM263" s="75">
        <f ca="1">INDIRECT(ADDRESS(11+(MATCH(RIGHT(Table2[[#This Row],[spawner_sku]],LEN(Table2[[#This Row],[spawner_sku]])-FIND("/",Table2[[#This Row],[spawner_sku]])),Table1[Entity Prefab],0)),10,1,1,"Entities"))</f>
        <v>75</v>
      </c>
      <c r="AN263" s="75">
        <f ca="1">ROUND((Table2[[#This Row],[XP]]*Table2[[#This Row],[entity_spawned (AVG)]])*(Table2[[#This Row],[activating_chance]]/100),0)</f>
        <v>75</v>
      </c>
      <c r="AO26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63" s="72">
        <v>1</v>
      </c>
      <c r="AQ263" s="72">
        <v>1</v>
      </c>
      <c r="AR263" s="72" t="b">
        <v>0</v>
      </c>
      <c r="BP263" t="s">
        <v>472</v>
      </c>
      <c r="BQ263">
        <v>1</v>
      </c>
      <c r="BR263">
        <v>280</v>
      </c>
      <c r="BS263">
        <v>100</v>
      </c>
      <c r="BT263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263" s="75">
        <f ca="1">ROUND((Table61011[[#This Row],[XP]]*Table61011[[#This Row],[entity_spawned (AVG)]])*(Table61011[[#This Row],[activating_chance]]/100),0)</f>
        <v>143</v>
      </c>
      <c r="BV26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3" s="72">
        <v>1</v>
      </c>
      <c r="BX263" s="72">
        <v>1</v>
      </c>
      <c r="BY263" s="72" t="b">
        <v>0</v>
      </c>
      <c r="CA263" t="s">
        <v>445</v>
      </c>
      <c r="CB263">
        <v>1</v>
      </c>
      <c r="CC263">
        <v>120</v>
      </c>
      <c r="CD263">
        <v>100</v>
      </c>
      <c r="CE263" s="75">
        <f ca="1">INDIRECT(ADDRESS(11+(MATCH(RIGHT(Table11[[#This Row],[spawner_sku]],LEN(Table11[[#This Row],[spawner_sku]])-FIND("/",Table11[[#This Row],[spawner_sku]])),Table1[Entity Prefab],0)),10,1,1,"Entities"))</f>
        <v>0</v>
      </c>
      <c r="CF263">
        <f ca="1">ROUND((Table11[[#This Row],[XP]]*Table11[[#This Row],[entity_spawned (AVG)]])*(Table11[[#This Row],[activating_chance]]/100),0)</f>
        <v>0</v>
      </c>
      <c r="CG263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63" s="72">
        <v>1</v>
      </c>
      <c r="CI263" s="72">
        <v>1</v>
      </c>
      <c r="CJ263" s="72" t="b">
        <v>0</v>
      </c>
      <c r="CW263" t="s">
        <v>256</v>
      </c>
      <c r="CX263">
        <v>1</v>
      </c>
      <c r="CY263">
        <v>150</v>
      </c>
      <c r="CZ263">
        <v>80</v>
      </c>
      <c r="DA263" s="75">
        <f ca="1">INDIRECT(ADDRESS(11+(MATCH(RIGHT(Table13[[#This Row],[spawner_sku]],LEN(Table13[[#This Row],[spawner_sku]])-FIND("/",Table13[[#This Row],[spawner_sku]])),Table1[Entity Prefab],0)),10,1,1,"Entities"))</f>
        <v>25</v>
      </c>
      <c r="DB263" s="75">
        <f ca="1">ROUND((Table13[[#This Row],[XP]]*Table13[[#This Row],[entity_spawned (AVG)]])*(Table13[[#This Row],[activating_chance]]/100),0)</f>
        <v>20</v>
      </c>
      <c r="DC263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63" s="72">
        <v>1</v>
      </c>
      <c r="DE263" s="72">
        <v>1</v>
      </c>
      <c r="DF263" s="72" t="b">
        <v>0</v>
      </c>
      <c r="DH263" t="s">
        <v>517</v>
      </c>
      <c r="DI263">
        <v>1</v>
      </c>
      <c r="DJ263">
        <v>140</v>
      </c>
      <c r="DK263">
        <v>50</v>
      </c>
      <c r="DL263" s="75">
        <f ca="1">INDIRECT(ADDRESS(11+(MATCH(RIGHT(Table14[[#This Row],[spawner_sku]],LEN(Table14[[#This Row],[spawner_sku]])-FIND("/",Table14[[#This Row],[spawner_sku]])),Table1[Entity Prefab],0)),10,1,1,"Entities"))</f>
        <v>95</v>
      </c>
      <c r="DM263" s="75">
        <f ca="1">ROUND((Table14[[#This Row],[XP]]*Table14[[#This Row],[entity_spawned (AVG)]])*(Table14[[#This Row],[activating_chance]]/100),0)</f>
        <v>48</v>
      </c>
      <c r="DN26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63" s="72">
        <v>1</v>
      </c>
      <c r="DP263" s="72">
        <v>1</v>
      </c>
      <c r="DQ263" s="72" t="b">
        <v>0</v>
      </c>
      <c r="DS263" t="s">
        <v>396</v>
      </c>
      <c r="DT263">
        <v>1</v>
      </c>
      <c r="DU263">
        <v>90</v>
      </c>
      <c r="DV263">
        <v>30</v>
      </c>
      <c r="DW263" s="75">
        <f ca="1">INDIRECT(ADDRESS(11+(MATCH(RIGHT(Table18[[#This Row],[spawner_sku]],LEN(Table18[[#This Row],[spawner_sku]])-FIND("/",Table18[[#This Row],[spawner_sku]])),Table1[Entity Prefab],0)),10,1,1,"Entities"))</f>
        <v>25</v>
      </c>
      <c r="DX263" s="75">
        <f ca="1">ROUND((Table18[[#This Row],[XP]]*Table18[[#This Row],[entity_spawned (AVG)]])*(Table18[[#This Row],[activating_chance]]/100),0)</f>
        <v>8</v>
      </c>
      <c r="DY26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63">
        <v>1</v>
      </c>
      <c r="EA263">
        <v>1</v>
      </c>
      <c r="EB263" t="b">
        <v>0</v>
      </c>
      <c r="ED263" t="s">
        <v>255</v>
      </c>
      <c r="EE263">
        <v>1</v>
      </c>
      <c r="EF263">
        <v>150</v>
      </c>
      <c r="EG263">
        <v>30</v>
      </c>
      <c r="EH263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63" s="75">
        <f ca="1">ROUND((Table1820[[#This Row],[XP]]*Table1820[[#This Row],[entity_spawned (AVG)]])*(Table1820[[#This Row],[activating_chance]]/100),0)</f>
        <v>8</v>
      </c>
      <c r="EJ26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63">
        <v>1</v>
      </c>
      <c r="EL263">
        <v>1</v>
      </c>
      <c r="EM263" t="b">
        <v>0</v>
      </c>
    </row>
    <row r="264" spans="2:143" x14ac:dyDescent="0.25">
      <c r="B264" s="73" t="s">
        <v>233</v>
      </c>
      <c r="C264">
        <v>1</v>
      </c>
      <c r="D264">
        <v>300</v>
      </c>
      <c r="E264">
        <v>100</v>
      </c>
      <c r="F264" s="75">
        <f ca="1">INDIRECT(ADDRESS(11+(MATCH(RIGHT(Table245[[#This Row],[spawner_sku]],LEN(Table245[[#This Row],[spawner_sku]])-FIND("/",Table245[[#This Row],[spawner_sku]])),Table1[Entity Prefab],0)),10,1,1,"Entities"))</f>
        <v>195</v>
      </c>
      <c r="G264" s="75">
        <f ca="1">ROUND((Table245[[#This Row],[XP]]*Table245[[#This Row],[entity_spawned (AVG)]])*(Table245[[#This Row],[activating_chance]]/100),0)</f>
        <v>195</v>
      </c>
      <c r="H26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4" s="72">
        <v>1</v>
      </c>
      <c r="J264" s="72">
        <v>1</v>
      </c>
      <c r="K264" s="72" t="b">
        <v>0</v>
      </c>
      <c r="AI264" t="s">
        <v>390</v>
      </c>
      <c r="AJ264">
        <v>1</v>
      </c>
      <c r="AK264">
        <v>130</v>
      </c>
      <c r="AL264">
        <v>100</v>
      </c>
      <c r="AM264" s="75">
        <f ca="1">INDIRECT(ADDRESS(11+(MATCH(RIGHT(Table2[[#This Row],[spawner_sku]],LEN(Table2[[#This Row],[spawner_sku]])-FIND("/",Table2[[#This Row],[spawner_sku]])),Table1[Entity Prefab],0)),10,1,1,"Entities"))</f>
        <v>75</v>
      </c>
      <c r="AN264" s="75">
        <f ca="1">ROUND((Table2[[#This Row],[XP]]*Table2[[#This Row],[entity_spawned (AVG)]])*(Table2[[#This Row],[activating_chance]]/100),0)</f>
        <v>75</v>
      </c>
      <c r="AO264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64" s="72">
        <v>1</v>
      </c>
      <c r="AQ264" s="72">
        <v>1</v>
      </c>
      <c r="AR264" s="72" t="b">
        <v>0</v>
      </c>
      <c r="BP264" t="s">
        <v>472</v>
      </c>
      <c r="BQ264">
        <v>1</v>
      </c>
      <c r="BR264">
        <v>280</v>
      </c>
      <c r="BS264">
        <v>100</v>
      </c>
      <c r="BT264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264" s="75">
        <f ca="1">ROUND((Table61011[[#This Row],[XP]]*Table61011[[#This Row],[entity_spawned (AVG)]])*(Table61011[[#This Row],[activating_chance]]/100),0)</f>
        <v>143</v>
      </c>
      <c r="BV26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4" s="72">
        <v>1</v>
      </c>
      <c r="BX264" s="72">
        <v>1</v>
      </c>
      <c r="BY264" s="72" t="b">
        <v>0</v>
      </c>
      <c r="CA264" t="s">
        <v>445</v>
      </c>
      <c r="CB264">
        <v>1</v>
      </c>
      <c r="CC264">
        <v>200</v>
      </c>
      <c r="CD264">
        <v>100</v>
      </c>
      <c r="CE264" s="75">
        <f ca="1">INDIRECT(ADDRESS(11+(MATCH(RIGHT(Table11[[#This Row],[spawner_sku]],LEN(Table11[[#This Row],[spawner_sku]])-FIND("/",Table11[[#This Row],[spawner_sku]])),Table1[Entity Prefab],0)),10,1,1,"Entities"))</f>
        <v>0</v>
      </c>
      <c r="CF264">
        <f ca="1">ROUND((Table11[[#This Row],[XP]]*Table11[[#This Row],[entity_spawned (AVG)]])*(Table11[[#This Row],[activating_chance]]/100),0)</f>
        <v>0</v>
      </c>
      <c r="CG264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64" s="72">
        <v>1</v>
      </c>
      <c r="CI264" s="72">
        <v>1</v>
      </c>
      <c r="CJ264" s="72" t="b">
        <v>0</v>
      </c>
      <c r="CW264" t="s">
        <v>256</v>
      </c>
      <c r="CX264">
        <v>1</v>
      </c>
      <c r="CY264">
        <v>150</v>
      </c>
      <c r="CZ264">
        <v>80</v>
      </c>
      <c r="DA264" s="75">
        <f ca="1">INDIRECT(ADDRESS(11+(MATCH(RIGHT(Table13[[#This Row],[spawner_sku]],LEN(Table13[[#This Row],[spawner_sku]])-FIND("/",Table13[[#This Row],[spawner_sku]])),Table1[Entity Prefab],0)),10,1,1,"Entities"))</f>
        <v>25</v>
      </c>
      <c r="DB264" s="75">
        <f ca="1">ROUND((Table13[[#This Row],[XP]]*Table13[[#This Row],[entity_spawned (AVG)]])*(Table13[[#This Row],[activating_chance]]/100),0)</f>
        <v>20</v>
      </c>
      <c r="DC264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64" s="72">
        <v>1</v>
      </c>
      <c r="DE264" s="72">
        <v>1</v>
      </c>
      <c r="DF264" s="72" t="b">
        <v>0</v>
      </c>
      <c r="DH264" t="s">
        <v>517</v>
      </c>
      <c r="DI264">
        <v>1</v>
      </c>
      <c r="DJ264">
        <v>100</v>
      </c>
      <c r="DK264">
        <v>100</v>
      </c>
      <c r="DL264" s="75">
        <f ca="1">INDIRECT(ADDRESS(11+(MATCH(RIGHT(Table14[[#This Row],[spawner_sku]],LEN(Table14[[#This Row],[spawner_sku]])-FIND("/",Table14[[#This Row],[spawner_sku]])),Table1[Entity Prefab],0)),10,1,1,"Entities"))</f>
        <v>95</v>
      </c>
      <c r="DM264" s="75">
        <f ca="1">ROUND((Table14[[#This Row],[XP]]*Table14[[#This Row],[entity_spawned (AVG)]])*(Table14[[#This Row],[activating_chance]]/100),0)</f>
        <v>95</v>
      </c>
      <c r="DN26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64" s="72">
        <v>1</v>
      </c>
      <c r="DP264" s="72">
        <v>1</v>
      </c>
      <c r="DQ264" s="72" t="b">
        <v>0</v>
      </c>
      <c r="DS264" t="s">
        <v>396</v>
      </c>
      <c r="DT264">
        <v>3</v>
      </c>
      <c r="DU264">
        <v>120</v>
      </c>
      <c r="DV264">
        <v>100</v>
      </c>
      <c r="DW264" s="75">
        <f ca="1">INDIRECT(ADDRESS(11+(MATCH(RIGHT(Table18[[#This Row],[spawner_sku]],LEN(Table18[[#This Row],[spawner_sku]])-FIND("/",Table18[[#This Row],[spawner_sku]])),Table1[Entity Prefab],0)),10,1,1,"Entities"))</f>
        <v>25</v>
      </c>
      <c r="DX264" s="75">
        <f ca="1">ROUND((Table18[[#This Row],[XP]]*Table18[[#This Row],[entity_spawned (AVG)]])*(Table18[[#This Row],[activating_chance]]/100),0)</f>
        <v>75</v>
      </c>
      <c r="DY26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64">
        <v>3</v>
      </c>
      <c r="EA264">
        <v>4</v>
      </c>
      <c r="EB264" t="b">
        <v>0</v>
      </c>
      <c r="ED264" t="s">
        <v>255</v>
      </c>
      <c r="EE264">
        <v>1</v>
      </c>
      <c r="EF264">
        <v>150</v>
      </c>
      <c r="EG264">
        <v>80</v>
      </c>
      <c r="EH264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64" s="75">
        <f ca="1">ROUND((Table1820[[#This Row],[XP]]*Table1820[[#This Row],[entity_spawned (AVG)]])*(Table1820[[#This Row],[activating_chance]]/100),0)</f>
        <v>20</v>
      </c>
      <c r="EJ26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64">
        <v>1</v>
      </c>
      <c r="EL264">
        <v>1</v>
      </c>
      <c r="EM264" t="b">
        <v>0</v>
      </c>
    </row>
    <row r="265" spans="2:143" x14ac:dyDescent="0.25">
      <c r="B265" s="73" t="s">
        <v>336</v>
      </c>
      <c r="C265">
        <v>1</v>
      </c>
      <c r="D265">
        <v>280</v>
      </c>
      <c r="E265">
        <v>100</v>
      </c>
      <c r="F265" s="75">
        <f ca="1">INDIRECT(ADDRESS(11+(MATCH(RIGHT(Table245[[#This Row],[spawner_sku]],LEN(Table245[[#This Row],[spawner_sku]])-FIND("/",Table245[[#This Row],[spawner_sku]])),Table1[Entity Prefab],0)),10,1,1,"Entities"))</f>
        <v>195</v>
      </c>
      <c r="G265" s="75">
        <f ca="1">ROUND((Table245[[#This Row],[XP]]*Table245[[#This Row],[entity_spawned (AVG)]])*(Table245[[#This Row],[activating_chance]]/100),0)</f>
        <v>195</v>
      </c>
      <c r="H26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5" s="72">
        <v>1</v>
      </c>
      <c r="J265" s="72">
        <v>1</v>
      </c>
      <c r="K265" s="72" t="b">
        <v>0</v>
      </c>
      <c r="AI265" t="s">
        <v>390</v>
      </c>
      <c r="AJ265">
        <v>1</v>
      </c>
      <c r="AK265">
        <v>110</v>
      </c>
      <c r="AL265">
        <v>100</v>
      </c>
      <c r="AM265" s="75">
        <f ca="1">INDIRECT(ADDRESS(11+(MATCH(RIGHT(Table2[[#This Row],[spawner_sku]],LEN(Table2[[#This Row],[spawner_sku]])-FIND("/",Table2[[#This Row],[spawner_sku]])),Table1[Entity Prefab],0)),10,1,1,"Entities"))</f>
        <v>75</v>
      </c>
      <c r="AN265" s="75">
        <f ca="1">ROUND((Table2[[#This Row],[XP]]*Table2[[#This Row],[entity_spawned (AVG)]])*(Table2[[#This Row],[activating_chance]]/100),0)</f>
        <v>75</v>
      </c>
      <c r="AO265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65" s="72">
        <v>1</v>
      </c>
      <c r="AQ265" s="72">
        <v>1</v>
      </c>
      <c r="AR265" s="72" t="b">
        <v>0</v>
      </c>
      <c r="BP265" t="s">
        <v>472</v>
      </c>
      <c r="BQ265">
        <v>1</v>
      </c>
      <c r="BR265">
        <v>280</v>
      </c>
      <c r="BS265">
        <v>100</v>
      </c>
      <c r="BT265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265" s="75">
        <f ca="1">ROUND((Table61011[[#This Row],[XP]]*Table61011[[#This Row],[entity_spawned (AVG)]])*(Table61011[[#This Row],[activating_chance]]/100),0)</f>
        <v>143</v>
      </c>
      <c r="BV26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5" s="72">
        <v>1</v>
      </c>
      <c r="BX265" s="72">
        <v>1</v>
      </c>
      <c r="BY265" s="72" t="b">
        <v>0</v>
      </c>
      <c r="CA265" t="s">
        <v>445</v>
      </c>
      <c r="CB265">
        <v>1</v>
      </c>
      <c r="CC265">
        <v>200</v>
      </c>
      <c r="CD265">
        <v>100</v>
      </c>
      <c r="CE265" s="75">
        <f ca="1">INDIRECT(ADDRESS(11+(MATCH(RIGHT(Table11[[#This Row],[spawner_sku]],LEN(Table11[[#This Row],[spawner_sku]])-FIND("/",Table11[[#This Row],[spawner_sku]])),Table1[Entity Prefab],0)),10,1,1,"Entities"))</f>
        <v>0</v>
      </c>
      <c r="CF265">
        <f ca="1">ROUND((Table11[[#This Row],[XP]]*Table11[[#This Row],[entity_spawned (AVG)]])*(Table11[[#This Row],[activating_chance]]/100),0)</f>
        <v>0</v>
      </c>
      <c r="CG265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65" s="72">
        <v>1</v>
      </c>
      <c r="CI265" s="72">
        <v>1</v>
      </c>
      <c r="CJ265" s="72" t="b">
        <v>0</v>
      </c>
      <c r="CW265" t="s">
        <v>256</v>
      </c>
      <c r="CX265">
        <v>1</v>
      </c>
      <c r="CY265">
        <v>150</v>
      </c>
      <c r="CZ265">
        <v>100</v>
      </c>
      <c r="DA265" s="75">
        <f ca="1">INDIRECT(ADDRESS(11+(MATCH(RIGHT(Table13[[#This Row],[spawner_sku]],LEN(Table13[[#This Row],[spawner_sku]])-FIND("/",Table13[[#This Row],[spawner_sku]])),Table1[Entity Prefab],0)),10,1,1,"Entities"))</f>
        <v>25</v>
      </c>
      <c r="DB265" s="75">
        <f ca="1">ROUND((Table13[[#This Row],[XP]]*Table13[[#This Row],[entity_spawned (AVG)]])*(Table13[[#This Row],[activating_chance]]/100),0)</f>
        <v>25</v>
      </c>
      <c r="DC265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65" s="72">
        <v>1</v>
      </c>
      <c r="DE265" s="72">
        <v>1</v>
      </c>
      <c r="DF265" s="72" t="b">
        <v>0</v>
      </c>
      <c r="DH265" t="s">
        <v>517</v>
      </c>
      <c r="DI265">
        <v>1</v>
      </c>
      <c r="DJ265">
        <v>100</v>
      </c>
      <c r="DK265">
        <v>100</v>
      </c>
      <c r="DL265" s="75">
        <f ca="1">INDIRECT(ADDRESS(11+(MATCH(RIGHT(Table14[[#This Row],[spawner_sku]],LEN(Table14[[#This Row],[spawner_sku]])-FIND("/",Table14[[#This Row],[spawner_sku]])),Table1[Entity Prefab],0)),10,1,1,"Entities"))</f>
        <v>95</v>
      </c>
      <c r="DM265" s="75">
        <f ca="1">ROUND((Table14[[#This Row],[XP]]*Table14[[#This Row],[entity_spawned (AVG)]])*(Table14[[#This Row],[activating_chance]]/100),0)</f>
        <v>95</v>
      </c>
      <c r="DN26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65" s="72">
        <v>1</v>
      </c>
      <c r="DP265" s="72">
        <v>1</v>
      </c>
      <c r="DQ265" s="72" t="b">
        <v>0</v>
      </c>
      <c r="DS265" t="s">
        <v>396</v>
      </c>
      <c r="DT265">
        <v>1</v>
      </c>
      <c r="DU265">
        <v>90</v>
      </c>
      <c r="DV265">
        <v>100</v>
      </c>
      <c r="DW265" s="75">
        <f ca="1">INDIRECT(ADDRESS(11+(MATCH(RIGHT(Table18[[#This Row],[spawner_sku]],LEN(Table18[[#This Row],[spawner_sku]])-FIND("/",Table18[[#This Row],[spawner_sku]])),Table1[Entity Prefab],0)),10,1,1,"Entities"))</f>
        <v>25</v>
      </c>
      <c r="DX265" s="75">
        <f ca="1">ROUND((Table18[[#This Row],[XP]]*Table18[[#This Row],[entity_spawned (AVG)]])*(Table18[[#This Row],[activating_chance]]/100),0)</f>
        <v>25</v>
      </c>
      <c r="DY26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65">
        <v>1</v>
      </c>
      <c r="EA265">
        <v>1</v>
      </c>
      <c r="EB265" t="b">
        <v>0</v>
      </c>
      <c r="ED265" t="s">
        <v>255</v>
      </c>
      <c r="EE265">
        <v>1</v>
      </c>
      <c r="EF265">
        <v>150</v>
      </c>
      <c r="EG265">
        <v>100</v>
      </c>
      <c r="EH265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65" s="75">
        <f ca="1">ROUND((Table1820[[#This Row],[XP]]*Table1820[[#This Row],[entity_spawned (AVG)]])*(Table1820[[#This Row],[activating_chance]]/100),0)</f>
        <v>25</v>
      </c>
      <c r="EJ26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65">
        <v>1</v>
      </c>
      <c r="EL265">
        <v>1</v>
      </c>
      <c r="EM265" t="b">
        <v>0</v>
      </c>
    </row>
    <row r="266" spans="2:143" x14ac:dyDescent="0.25">
      <c r="B266" s="73" t="s">
        <v>336</v>
      </c>
      <c r="C266">
        <v>1</v>
      </c>
      <c r="D266">
        <v>300</v>
      </c>
      <c r="E266">
        <v>100</v>
      </c>
      <c r="F266" s="75">
        <f ca="1">INDIRECT(ADDRESS(11+(MATCH(RIGHT(Table245[[#This Row],[spawner_sku]],LEN(Table245[[#This Row],[spawner_sku]])-FIND("/",Table245[[#This Row],[spawner_sku]])),Table1[Entity Prefab],0)),10,1,1,"Entities"))</f>
        <v>195</v>
      </c>
      <c r="G266" s="75">
        <f ca="1">ROUND((Table245[[#This Row],[XP]]*Table245[[#This Row],[entity_spawned (AVG)]])*(Table245[[#This Row],[activating_chance]]/100),0)</f>
        <v>195</v>
      </c>
      <c r="H26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6" s="72">
        <v>1</v>
      </c>
      <c r="J266" s="72">
        <v>1</v>
      </c>
      <c r="K266" s="72" t="b">
        <v>0</v>
      </c>
      <c r="AI266" t="s">
        <v>390</v>
      </c>
      <c r="AJ266">
        <v>1</v>
      </c>
      <c r="AK266">
        <v>150</v>
      </c>
      <c r="AL266">
        <v>100</v>
      </c>
      <c r="AM266" s="75">
        <f ca="1">INDIRECT(ADDRESS(11+(MATCH(RIGHT(Table2[[#This Row],[spawner_sku]],LEN(Table2[[#This Row],[spawner_sku]])-FIND("/",Table2[[#This Row],[spawner_sku]])),Table1[Entity Prefab],0)),10,1,1,"Entities"))</f>
        <v>75</v>
      </c>
      <c r="AN266" s="75">
        <f ca="1">ROUND((Table2[[#This Row],[XP]]*Table2[[#This Row],[entity_spawned (AVG)]])*(Table2[[#This Row],[activating_chance]]/100),0)</f>
        <v>75</v>
      </c>
      <c r="AO26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66" s="72">
        <v>1</v>
      </c>
      <c r="AQ266" s="72">
        <v>1</v>
      </c>
      <c r="AR266" s="72" t="b">
        <v>0</v>
      </c>
      <c r="BP266" t="s">
        <v>472</v>
      </c>
      <c r="BQ266">
        <v>1</v>
      </c>
      <c r="BR266">
        <v>280</v>
      </c>
      <c r="BS266">
        <v>100</v>
      </c>
      <c r="BT266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266" s="75">
        <f ca="1">ROUND((Table61011[[#This Row],[XP]]*Table61011[[#This Row],[entity_spawned (AVG)]])*(Table61011[[#This Row],[activating_chance]]/100),0)</f>
        <v>143</v>
      </c>
      <c r="BV26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6" s="72">
        <v>1</v>
      </c>
      <c r="BX266" s="72">
        <v>1</v>
      </c>
      <c r="BY266" s="72" t="b">
        <v>0</v>
      </c>
      <c r="CA266" t="s">
        <v>445</v>
      </c>
      <c r="CB266">
        <v>1.5</v>
      </c>
      <c r="CC266">
        <v>200</v>
      </c>
      <c r="CD266">
        <v>30</v>
      </c>
      <c r="CE266" s="75">
        <f ca="1">INDIRECT(ADDRESS(11+(MATCH(RIGHT(Table11[[#This Row],[spawner_sku]],LEN(Table11[[#This Row],[spawner_sku]])-FIND("/",Table11[[#This Row],[spawner_sku]])),Table1[Entity Prefab],0)),10,1,1,"Entities"))</f>
        <v>0</v>
      </c>
      <c r="CF266">
        <f ca="1">ROUND((Table11[[#This Row],[XP]]*Table11[[#This Row],[entity_spawned (AVG)]])*(Table11[[#This Row],[activating_chance]]/100),0)</f>
        <v>0</v>
      </c>
      <c r="CG266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66" s="72">
        <v>1</v>
      </c>
      <c r="CI266" s="72">
        <v>2</v>
      </c>
      <c r="CJ266" s="72" t="b">
        <v>0</v>
      </c>
      <c r="CW266" t="s">
        <v>256</v>
      </c>
      <c r="CX266">
        <v>1</v>
      </c>
      <c r="CY266">
        <v>150</v>
      </c>
      <c r="CZ266">
        <v>100</v>
      </c>
      <c r="DA266" s="75">
        <f ca="1">INDIRECT(ADDRESS(11+(MATCH(RIGHT(Table13[[#This Row],[spawner_sku]],LEN(Table13[[#This Row],[spawner_sku]])-FIND("/",Table13[[#This Row],[spawner_sku]])),Table1[Entity Prefab],0)),10,1,1,"Entities"))</f>
        <v>25</v>
      </c>
      <c r="DB266" s="75">
        <f ca="1">ROUND((Table13[[#This Row],[XP]]*Table13[[#This Row],[entity_spawned (AVG)]])*(Table13[[#This Row],[activating_chance]]/100),0)</f>
        <v>25</v>
      </c>
      <c r="DC266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66" s="72">
        <v>1</v>
      </c>
      <c r="DE266" s="72">
        <v>1</v>
      </c>
      <c r="DF266" s="72" t="b">
        <v>0</v>
      </c>
      <c r="DH266" t="s">
        <v>517</v>
      </c>
      <c r="DI266">
        <v>1</v>
      </c>
      <c r="DJ266">
        <v>100</v>
      </c>
      <c r="DK266">
        <v>100</v>
      </c>
      <c r="DL266" s="75">
        <f ca="1">INDIRECT(ADDRESS(11+(MATCH(RIGHT(Table14[[#This Row],[spawner_sku]],LEN(Table14[[#This Row],[spawner_sku]])-FIND("/",Table14[[#This Row],[spawner_sku]])),Table1[Entity Prefab],0)),10,1,1,"Entities"))</f>
        <v>95</v>
      </c>
      <c r="DM266" s="75">
        <f ca="1">ROUND((Table14[[#This Row],[XP]]*Table14[[#This Row],[entity_spawned (AVG)]])*(Table14[[#This Row],[activating_chance]]/100),0)</f>
        <v>95</v>
      </c>
      <c r="DN26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66" s="72">
        <v>1</v>
      </c>
      <c r="DP266" s="72">
        <v>1</v>
      </c>
      <c r="DQ266" s="72" t="b">
        <v>0</v>
      </c>
      <c r="DS266" t="s">
        <v>396</v>
      </c>
      <c r="DT266">
        <v>1</v>
      </c>
      <c r="DU266">
        <v>90</v>
      </c>
      <c r="DV266">
        <v>80</v>
      </c>
      <c r="DW266" s="75">
        <f ca="1">INDIRECT(ADDRESS(11+(MATCH(RIGHT(Table18[[#This Row],[spawner_sku]],LEN(Table18[[#This Row],[spawner_sku]])-FIND("/",Table18[[#This Row],[spawner_sku]])),Table1[Entity Prefab],0)),10,1,1,"Entities"))</f>
        <v>25</v>
      </c>
      <c r="DX266" s="75">
        <f ca="1">ROUND((Table18[[#This Row],[XP]]*Table18[[#This Row],[entity_spawned (AVG)]])*(Table18[[#This Row],[activating_chance]]/100),0)</f>
        <v>20</v>
      </c>
      <c r="DY26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66">
        <v>1</v>
      </c>
      <c r="EA266">
        <v>1</v>
      </c>
      <c r="EB266" t="b">
        <v>0</v>
      </c>
      <c r="ED266" t="s">
        <v>255</v>
      </c>
      <c r="EE266">
        <v>1</v>
      </c>
      <c r="EF266">
        <v>150</v>
      </c>
      <c r="EG266">
        <v>80</v>
      </c>
      <c r="EH266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66" s="75">
        <f ca="1">ROUND((Table1820[[#This Row],[XP]]*Table1820[[#This Row],[entity_spawned (AVG)]])*(Table1820[[#This Row],[activating_chance]]/100),0)</f>
        <v>20</v>
      </c>
      <c r="EJ26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66">
        <v>1</v>
      </c>
      <c r="EL266">
        <v>1</v>
      </c>
      <c r="EM266" t="b">
        <v>0</v>
      </c>
    </row>
    <row r="267" spans="2:143" x14ac:dyDescent="0.25">
      <c r="B267" s="73" t="s">
        <v>336</v>
      </c>
      <c r="C267">
        <v>1</v>
      </c>
      <c r="D267">
        <v>280</v>
      </c>
      <c r="E267">
        <v>100</v>
      </c>
      <c r="F267" s="75">
        <f ca="1">INDIRECT(ADDRESS(11+(MATCH(RIGHT(Table245[[#This Row],[spawner_sku]],LEN(Table245[[#This Row],[spawner_sku]])-FIND("/",Table245[[#This Row],[spawner_sku]])),Table1[Entity Prefab],0)),10,1,1,"Entities"))</f>
        <v>195</v>
      </c>
      <c r="G267" s="75">
        <f ca="1">ROUND((Table245[[#This Row],[XP]]*Table245[[#This Row],[entity_spawned (AVG)]])*(Table245[[#This Row],[activating_chance]]/100),0)</f>
        <v>195</v>
      </c>
      <c r="H26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7" s="72">
        <v>1</v>
      </c>
      <c r="J267" s="72">
        <v>1</v>
      </c>
      <c r="K267" s="72" t="b">
        <v>0</v>
      </c>
      <c r="AI267" t="s">
        <v>390</v>
      </c>
      <c r="AJ267">
        <v>1</v>
      </c>
      <c r="AK267">
        <v>130</v>
      </c>
      <c r="AL267">
        <v>100</v>
      </c>
      <c r="AM267" s="75">
        <f ca="1">INDIRECT(ADDRESS(11+(MATCH(RIGHT(Table2[[#This Row],[spawner_sku]],LEN(Table2[[#This Row],[spawner_sku]])-FIND("/",Table2[[#This Row],[spawner_sku]])),Table1[Entity Prefab],0)),10,1,1,"Entities"))</f>
        <v>75</v>
      </c>
      <c r="AN267" s="75">
        <f ca="1">ROUND((Table2[[#This Row],[XP]]*Table2[[#This Row],[entity_spawned (AVG)]])*(Table2[[#This Row],[activating_chance]]/100),0)</f>
        <v>75</v>
      </c>
      <c r="AO26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67" s="72">
        <v>1</v>
      </c>
      <c r="AQ267" s="72">
        <v>1</v>
      </c>
      <c r="AR267" s="72" t="b">
        <v>0</v>
      </c>
      <c r="BP267" t="s">
        <v>473</v>
      </c>
      <c r="BQ267">
        <v>1</v>
      </c>
      <c r="BR267">
        <v>300</v>
      </c>
      <c r="BS267">
        <v>100</v>
      </c>
      <c r="BT267" s="75">
        <f ca="1">INDIRECT(ADDRESS(11+(MATCH(RIGHT(Table61011[[#This Row],[spawner_sku]],LEN(Table61011[[#This Row],[spawner_sku]])-FIND("/",Table61011[[#This Row],[spawner_sku]])),Table1[Entity Prefab],0)),10,1,1,"Entities"))</f>
        <v>130</v>
      </c>
      <c r="BU267" s="75">
        <f ca="1">ROUND((Table61011[[#This Row],[XP]]*Table61011[[#This Row],[entity_spawned (AVG)]])*(Table61011[[#This Row],[activating_chance]]/100),0)</f>
        <v>130</v>
      </c>
      <c r="BV26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7" s="72">
        <v>1</v>
      </c>
      <c r="BX267" s="72">
        <v>1</v>
      </c>
      <c r="BY267" s="72" t="b">
        <v>0</v>
      </c>
      <c r="CA267" t="s">
        <v>445</v>
      </c>
      <c r="CB267">
        <v>1</v>
      </c>
      <c r="CC267">
        <v>200</v>
      </c>
      <c r="CD267">
        <v>100</v>
      </c>
      <c r="CE267" s="75">
        <f ca="1">INDIRECT(ADDRESS(11+(MATCH(RIGHT(Table11[[#This Row],[spawner_sku]],LEN(Table11[[#This Row],[spawner_sku]])-FIND("/",Table11[[#This Row],[spawner_sku]])),Table1[Entity Prefab],0)),10,1,1,"Entities"))</f>
        <v>0</v>
      </c>
      <c r="CF267">
        <f ca="1">ROUND((Table11[[#This Row],[XP]]*Table11[[#This Row],[entity_spawned (AVG)]])*(Table11[[#This Row],[activating_chance]]/100),0)</f>
        <v>0</v>
      </c>
      <c r="CG267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67" s="72">
        <v>1</v>
      </c>
      <c r="CI267" s="72">
        <v>1</v>
      </c>
      <c r="CJ267" s="72" t="b">
        <v>0</v>
      </c>
      <c r="CW267" t="s">
        <v>256</v>
      </c>
      <c r="CX267">
        <v>1</v>
      </c>
      <c r="CY267">
        <v>150</v>
      </c>
      <c r="CZ267">
        <v>100</v>
      </c>
      <c r="DA267" s="75">
        <f ca="1">INDIRECT(ADDRESS(11+(MATCH(RIGHT(Table13[[#This Row],[spawner_sku]],LEN(Table13[[#This Row],[spawner_sku]])-FIND("/",Table13[[#This Row],[spawner_sku]])),Table1[Entity Prefab],0)),10,1,1,"Entities"))</f>
        <v>25</v>
      </c>
      <c r="DB267" s="75">
        <f ca="1">ROUND((Table13[[#This Row],[XP]]*Table13[[#This Row],[entity_spawned (AVG)]])*(Table13[[#This Row],[activating_chance]]/100),0)</f>
        <v>25</v>
      </c>
      <c r="DC267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67" s="72">
        <v>1</v>
      </c>
      <c r="DE267" s="72">
        <v>1</v>
      </c>
      <c r="DF267" s="72" t="b">
        <v>0</v>
      </c>
      <c r="DH267" t="s">
        <v>517</v>
      </c>
      <c r="DI267">
        <v>1</v>
      </c>
      <c r="DJ267">
        <v>100</v>
      </c>
      <c r="DK267">
        <v>100</v>
      </c>
      <c r="DL267" s="75">
        <f ca="1">INDIRECT(ADDRESS(11+(MATCH(RIGHT(Table14[[#This Row],[spawner_sku]],LEN(Table14[[#This Row],[spawner_sku]])-FIND("/",Table14[[#This Row],[spawner_sku]])),Table1[Entity Prefab],0)),10,1,1,"Entities"))</f>
        <v>95</v>
      </c>
      <c r="DM267" s="75">
        <f ca="1">ROUND((Table14[[#This Row],[XP]]*Table14[[#This Row],[entity_spawned (AVG)]])*(Table14[[#This Row],[activating_chance]]/100),0)</f>
        <v>95</v>
      </c>
      <c r="DN26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67" s="72">
        <v>1</v>
      </c>
      <c r="DP267" s="72">
        <v>1</v>
      </c>
      <c r="DQ267" s="72" t="b">
        <v>0</v>
      </c>
      <c r="DS267" t="s">
        <v>396</v>
      </c>
      <c r="DT267">
        <v>1</v>
      </c>
      <c r="DU267">
        <v>90</v>
      </c>
      <c r="DV267">
        <v>10</v>
      </c>
      <c r="DW267" s="75">
        <f ca="1">INDIRECT(ADDRESS(11+(MATCH(RIGHT(Table18[[#This Row],[spawner_sku]],LEN(Table18[[#This Row],[spawner_sku]])-FIND("/",Table18[[#This Row],[spawner_sku]])),Table1[Entity Prefab],0)),10,1,1,"Entities"))</f>
        <v>25</v>
      </c>
      <c r="DX267" s="75">
        <f ca="1">ROUND((Table18[[#This Row],[XP]]*Table18[[#This Row],[entity_spawned (AVG)]])*(Table18[[#This Row],[activating_chance]]/100),0)</f>
        <v>3</v>
      </c>
      <c r="DY26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67">
        <v>1</v>
      </c>
      <c r="EA267">
        <v>1</v>
      </c>
      <c r="EB267" t="b">
        <v>0</v>
      </c>
      <c r="ED267" t="s">
        <v>255</v>
      </c>
      <c r="EE267">
        <v>1</v>
      </c>
      <c r="EF267">
        <v>150</v>
      </c>
      <c r="EG267">
        <v>10</v>
      </c>
      <c r="EH267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67" s="75">
        <f ca="1">ROUND((Table1820[[#This Row],[XP]]*Table1820[[#This Row],[entity_spawned (AVG)]])*(Table1820[[#This Row],[activating_chance]]/100),0)</f>
        <v>3</v>
      </c>
      <c r="EJ26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67">
        <v>1</v>
      </c>
      <c r="EL267">
        <v>1</v>
      </c>
      <c r="EM267" t="b">
        <v>0</v>
      </c>
    </row>
    <row r="268" spans="2:143" x14ac:dyDescent="0.25">
      <c r="B268" s="73" t="s">
        <v>336</v>
      </c>
      <c r="C268">
        <v>1</v>
      </c>
      <c r="D268">
        <v>280</v>
      </c>
      <c r="E268">
        <v>80</v>
      </c>
      <c r="F268" s="75">
        <f ca="1">INDIRECT(ADDRESS(11+(MATCH(RIGHT(Table245[[#This Row],[spawner_sku]],LEN(Table245[[#This Row],[spawner_sku]])-FIND("/",Table245[[#This Row],[spawner_sku]])),Table1[Entity Prefab],0)),10,1,1,"Entities"))</f>
        <v>195</v>
      </c>
      <c r="G268" s="75">
        <f ca="1">ROUND((Table245[[#This Row],[XP]]*Table245[[#This Row],[entity_spawned (AVG)]])*(Table245[[#This Row],[activating_chance]]/100),0)</f>
        <v>156</v>
      </c>
      <c r="H26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8" s="72">
        <v>1</v>
      </c>
      <c r="J268" s="72">
        <v>1</v>
      </c>
      <c r="K268" s="72" t="b">
        <v>0</v>
      </c>
      <c r="AI268" t="s">
        <v>390</v>
      </c>
      <c r="AJ268">
        <v>1</v>
      </c>
      <c r="AK268">
        <v>130</v>
      </c>
      <c r="AL268">
        <v>100</v>
      </c>
      <c r="AM268" s="75">
        <f ca="1">INDIRECT(ADDRESS(11+(MATCH(RIGHT(Table2[[#This Row],[spawner_sku]],LEN(Table2[[#This Row],[spawner_sku]])-FIND("/",Table2[[#This Row],[spawner_sku]])),Table1[Entity Prefab],0)),10,1,1,"Entities"))</f>
        <v>75</v>
      </c>
      <c r="AN268" s="75">
        <f ca="1">ROUND((Table2[[#This Row],[XP]]*Table2[[#This Row],[entity_spawned (AVG)]])*(Table2[[#This Row],[activating_chance]]/100),0)</f>
        <v>75</v>
      </c>
      <c r="AO26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68" s="72">
        <v>1</v>
      </c>
      <c r="AQ268" s="72">
        <v>1</v>
      </c>
      <c r="AR268" s="72" t="b">
        <v>0</v>
      </c>
      <c r="BP268" t="s">
        <v>473</v>
      </c>
      <c r="BQ268">
        <v>1</v>
      </c>
      <c r="BR268">
        <v>300</v>
      </c>
      <c r="BS268">
        <v>100</v>
      </c>
      <c r="BT268" s="75">
        <f ca="1">INDIRECT(ADDRESS(11+(MATCH(RIGHT(Table61011[[#This Row],[spawner_sku]],LEN(Table61011[[#This Row],[spawner_sku]])-FIND("/",Table61011[[#This Row],[spawner_sku]])),Table1[Entity Prefab],0)),10,1,1,"Entities"))</f>
        <v>130</v>
      </c>
      <c r="BU268" s="75">
        <f ca="1">ROUND((Table61011[[#This Row],[XP]]*Table61011[[#This Row],[entity_spawned (AVG)]])*(Table61011[[#This Row],[activating_chance]]/100),0)</f>
        <v>130</v>
      </c>
      <c r="BV26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8" s="72">
        <v>1</v>
      </c>
      <c r="BX268" s="72">
        <v>1</v>
      </c>
      <c r="BY268" s="72" t="b">
        <v>0</v>
      </c>
      <c r="CA268" t="s">
        <v>445</v>
      </c>
      <c r="CB268">
        <v>1.5</v>
      </c>
      <c r="CC268">
        <v>200</v>
      </c>
      <c r="CD268">
        <v>35</v>
      </c>
      <c r="CE268" s="75">
        <f ca="1">INDIRECT(ADDRESS(11+(MATCH(RIGHT(Table11[[#This Row],[spawner_sku]],LEN(Table11[[#This Row],[spawner_sku]])-FIND("/",Table11[[#This Row],[spawner_sku]])),Table1[Entity Prefab],0)),10,1,1,"Entities"))</f>
        <v>0</v>
      </c>
      <c r="CF268">
        <f ca="1">ROUND((Table11[[#This Row],[XP]]*Table11[[#This Row],[entity_spawned (AVG)]])*(Table11[[#This Row],[activating_chance]]/100),0)</f>
        <v>0</v>
      </c>
      <c r="CG268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68" s="72">
        <v>1</v>
      </c>
      <c r="CI268" s="72">
        <v>2</v>
      </c>
      <c r="CJ268" s="72" t="b">
        <v>0</v>
      </c>
      <c r="CW268" t="s">
        <v>256</v>
      </c>
      <c r="CX268">
        <v>1</v>
      </c>
      <c r="CY268">
        <v>150</v>
      </c>
      <c r="CZ268">
        <v>80</v>
      </c>
      <c r="DA268" s="75">
        <f ca="1">INDIRECT(ADDRESS(11+(MATCH(RIGHT(Table13[[#This Row],[spawner_sku]],LEN(Table13[[#This Row],[spawner_sku]])-FIND("/",Table13[[#This Row],[spawner_sku]])),Table1[Entity Prefab],0)),10,1,1,"Entities"))</f>
        <v>25</v>
      </c>
      <c r="DB268" s="75">
        <f ca="1">ROUND((Table13[[#This Row],[XP]]*Table13[[#This Row],[entity_spawned (AVG)]])*(Table13[[#This Row],[activating_chance]]/100),0)</f>
        <v>20</v>
      </c>
      <c r="DC268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68" s="72">
        <v>1</v>
      </c>
      <c r="DE268" s="72">
        <v>1</v>
      </c>
      <c r="DF268" s="72" t="b">
        <v>0</v>
      </c>
      <c r="DH268" t="s">
        <v>517</v>
      </c>
      <c r="DI268">
        <v>1</v>
      </c>
      <c r="DJ268">
        <v>100</v>
      </c>
      <c r="DK268">
        <v>100</v>
      </c>
      <c r="DL268" s="75">
        <f ca="1">INDIRECT(ADDRESS(11+(MATCH(RIGHT(Table14[[#This Row],[spawner_sku]],LEN(Table14[[#This Row],[spawner_sku]])-FIND("/",Table14[[#This Row],[spawner_sku]])),Table1[Entity Prefab],0)),10,1,1,"Entities"))</f>
        <v>95</v>
      </c>
      <c r="DM268" s="75">
        <f ca="1">ROUND((Table14[[#This Row],[XP]]*Table14[[#This Row],[entity_spawned (AVG)]])*(Table14[[#This Row],[activating_chance]]/100),0)</f>
        <v>95</v>
      </c>
      <c r="DN26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68" s="72">
        <v>1</v>
      </c>
      <c r="DP268" s="72">
        <v>1</v>
      </c>
      <c r="DQ268" s="72" t="b">
        <v>0</v>
      </c>
      <c r="DS268" t="s">
        <v>396</v>
      </c>
      <c r="DT268">
        <v>1</v>
      </c>
      <c r="DU268">
        <v>90</v>
      </c>
      <c r="DV268">
        <v>30</v>
      </c>
      <c r="DW268" s="75">
        <f ca="1">INDIRECT(ADDRESS(11+(MATCH(RIGHT(Table18[[#This Row],[spawner_sku]],LEN(Table18[[#This Row],[spawner_sku]])-FIND("/",Table18[[#This Row],[spawner_sku]])),Table1[Entity Prefab],0)),10,1,1,"Entities"))</f>
        <v>25</v>
      </c>
      <c r="DX268" s="75">
        <f ca="1">ROUND((Table18[[#This Row],[XP]]*Table18[[#This Row],[entity_spawned (AVG)]])*(Table18[[#This Row],[activating_chance]]/100),0)</f>
        <v>8</v>
      </c>
      <c r="DY26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68">
        <v>1</v>
      </c>
      <c r="EA268">
        <v>1</v>
      </c>
      <c r="EB268" t="b">
        <v>0</v>
      </c>
      <c r="ED268" t="s">
        <v>255</v>
      </c>
      <c r="EE268">
        <v>1</v>
      </c>
      <c r="EF268">
        <v>150</v>
      </c>
      <c r="EG268">
        <v>80</v>
      </c>
      <c r="EH268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68" s="75">
        <f ca="1">ROUND((Table1820[[#This Row],[XP]]*Table1820[[#This Row],[entity_spawned (AVG)]])*(Table1820[[#This Row],[activating_chance]]/100),0)</f>
        <v>20</v>
      </c>
      <c r="EJ26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68">
        <v>1</v>
      </c>
      <c r="EL268">
        <v>1</v>
      </c>
      <c r="EM268" t="b">
        <v>0</v>
      </c>
    </row>
    <row r="269" spans="2:143" x14ac:dyDescent="0.25">
      <c r="B269" s="73" t="s">
        <v>234</v>
      </c>
      <c r="C269">
        <v>1</v>
      </c>
      <c r="D269">
        <v>340</v>
      </c>
      <c r="E269">
        <v>100</v>
      </c>
      <c r="F269" s="75">
        <f ca="1">INDIRECT(ADDRESS(11+(MATCH(RIGHT(Table245[[#This Row],[spawner_sku]],LEN(Table245[[#This Row],[spawner_sku]])-FIND("/",Table245[[#This Row],[spawner_sku]])),Table1[Entity Prefab],0)),10,1,1,"Entities"))</f>
        <v>263</v>
      </c>
      <c r="G269" s="75">
        <f ca="1">ROUND((Table245[[#This Row],[XP]]*Table245[[#This Row],[entity_spawned (AVG)]])*(Table245[[#This Row],[activating_chance]]/100),0)</f>
        <v>263</v>
      </c>
      <c r="H26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9" s="72">
        <v>1</v>
      </c>
      <c r="J269" s="72">
        <v>1</v>
      </c>
      <c r="K269" s="72" t="b">
        <v>0</v>
      </c>
      <c r="AI269" t="s">
        <v>390</v>
      </c>
      <c r="AJ269">
        <v>1</v>
      </c>
      <c r="AK269">
        <v>120</v>
      </c>
      <c r="AL269">
        <v>100</v>
      </c>
      <c r="AM269" s="75">
        <f ca="1">INDIRECT(ADDRESS(11+(MATCH(RIGHT(Table2[[#This Row],[spawner_sku]],LEN(Table2[[#This Row],[spawner_sku]])-FIND("/",Table2[[#This Row],[spawner_sku]])),Table1[Entity Prefab],0)),10,1,1,"Entities"))</f>
        <v>75</v>
      </c>
      <c r="AN269" s="75">
        <f ca="1">ROUND((Table2[[#This Row],[XP]]*Table2[[#This Row],[entity_spawned (AVG)]])*(Table2[[#This Row],[activating_chance]]/100),0)</f>
        <v>75</v>
      </c>
      <c r="AO26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69" s="72">
        <v>1</v>
      </c>
      <c r="AQ269" s="72">
        <v>1</v>
      </c>
      <c r="AR269" s="72" t="b">
        <v>0</v>
      </c>
      <c r="BP269" t="s">
        <v>473</v>
      </c>
      <c r="BQ269">
        <v>1</v>
      </c>
      <c r="BR269">
        <v>300</v>
      </c>
      <c r="BS269">
        <v>100</v>
      </c>
      <c r="BT269" s="75">
        <f ca="1">INDIRECT(ADDRESS(11+(MATCH(RIGHT(Table61011[[#This Row],[spawner_sku]],LEN(Table61011[[#This Row],[spawner_sku]])-FIND("/",Table61011[[#This Row],[spawner_sku]])),Table1[Entity Prefab],0)),10,1,1,"Entities"))</f>
        <v>130</v>
      </c>
      <c r="BU269" s="75">
        <f ca="1">ROUND((Table61011[[#This Row],[XP]]*Table61011[[#This Row],[entity_spawned (AVG)]])*(Table61011[[#This Row],[activating_chance]]/100),0)</f>
        <v>130</v>
      </c>
      <c r="BV26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9" s="72">
        <v>1</v>
      </c>
      <c r="BX269" s="72">
        <v>1</v>
      </c>
      <c r="BY269" s="72" t="b">
        <v>0</v>
      </c>
      <c r="CA269" t="s">
        <v>445</v>
      </c>
      <c r="CB269">
        <v>1</v>
      </c>
      <c r="CC269">
        <v>200</v>
      </c>
      <c r="CD269">
        <v>100</v>
      </c>
      <c r="CE269" s="75">
        <f ca="1">INDIRECT(ADDRESS(11+(MATCH(RIGHT(Table11[[#This Row],[spawner_sku]],LEN(Table11[[#This Row],[spawner_sku]])-FIND("/",Table11[[#This Row],[spawner_sku]])),Table1[Entity Prefab],0)),10,1,1,"Entities"))</f>
        <v>0</v>
      </c>
      <c r="CF269">
        <f ca="1">ROUND((Table11[[#This Row],[XP]]*Table11[[#This Row],[entity_spawned (AVG)]])*(Table11[[#This Row],[activating_chance]]/100),0)</f>
        <v>0</v>
      </c>
      <c r="CG269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69" s="72">
        <v>1</v>
      </c>
      <c r="CI269" s="72">
        <v>1</v>
      </c>
      <c r="CJ269" s="72" t="b">
        <v>0</v>
      </c>
      <c r="CW269" t="s">
        <v>256</v>
      </c>
      <c r="CX269">
        <v>1</v>
      </c>
      <c r="CY269">
        <v>150</v>
      </c>
      <c r="CZ269">
        <v>100</v>
      </c>
      <c r="DA269" s="75">
        <f ca="1">INDIRECT(ADDRESS(11+(MATCH(RIGHT(Table13[[#This Row],[spawner_sku]],LEN(Table13[[#This Row],[spawner_sku]])-FIND("/",Table13[[#This Row],[spawner_sku]])),Table1[Entity Prefab],0)),10,1,1,"Entities"))</f>
        <v>25</v>
      </c>
      <c r="DB269" s="75">
        <f ca="1">ROUND((Table13[[#This Row],[XP]]*Table13[[#This Row],[entity_spawned (AVG)]])*(Table13[[#This Row],[activating_chance]]/100),0)</f>
        <v>25</v>
      </c>
      <c r="DC269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69" s="72">
        <v>1</v>
      </c>
      <c r="DE269" s="72">
        <v>1</v>
      </c>
      <c r="DF269" s="72" t="b">
        <v>0</v>
      </c>
      <c r="DH269" t="s">
        <v>517</v>
      </c>
      <c r="DI269">
        <v>1</v>
      </c>
      <c r="DJ269">
        <v>140</v>
      </c>
      <c r="DK269">
        <v>50</v>
      </c>
      <c r="DL269" s="75">
        <f ca="1">INDIRECT(ADDRESS(11+(MATCH(RIGHT(Table14[[#This Row],[spawner_sku]],LEN(Table14[[#This Row],[spawner_sku]])-FIND("/",Table14[[#This Row],[spawner_sku]])),Table1[Entity Prefab],0)),10,1,1,"Entities"))</f>
        <v>95</v>
      </c>
      <c r="DM269" s="75">
        <f ca="1">ROUND((Table14[[#This Row],[XP]]*Table14[[#This Row],[entity_spawned (AVG)]])*(Table14[[#This Row],[activating_chance]]/100),0)</f>
        <v>48</v>
      </c>
      <c r="DN26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69" s="72">
        <v>1</v>
      </c>
      <c r="DP269" s="72">
        <v>1</v>
      </c>
      <c r="DQ269" s="72" t="b">
        <v>0</v>
      </c>
      <c r="DS269" t="s">
        <v>396</v>
      </c>
      <c r="DT269">
        <v>1</v>
      </c>
      <c r="DU269">
        <v>90</v>
      </c>
      <c r="DV269">
        <v>100</v>
      </c>
      <c r="DW269" s="75">
        <f ca="1">INDIRECT(ADDRESS(11+(MATCH(RIGHT(Table18[[#This Row],[spawner_sku]],LEN(Table18[[#This Row],[spawner_sku]])-FIND("/",Table18[[#This Row],[spawner_sku]])),Table1[Entity Prefab],0)),10,1,1,"Entities"))</f>
        <v>25</v>
      </c>
      <c r="DX269" s="75">
        <f ca="1">ROUND((Table18[[#This Row],[XP]]*Table18[[#This Row],[entity_spawned (AVG)]])*(Table18[[#This Row],[activating_chance]]/100),0)</f>
        <v>25</v>
      </c>
      <c r="DY26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69">
        <v>1</v>
      </c>
      <c r="EA269">
        <v>1</v>
      </c>
      <c r="EB269" t="b">
        <v>0</v>
      </c>
      <c r="ED269" t="s">
        <v>255</v>
      </c>
      <c r="EE269">
        <v>1</v>
      </c>
      <c r="EF269">
        <v>150</v>
      </c>
      <c r="EG269">
        <v>80</v>
      </c>
      <c r="EH26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69" s="75">
        <f ca="1">ROUND((Table1820[[#This Row],[XP]]*Table1820[[#This Row],[entity_spawned (AVG)]])*(Table1820[[#This Row],[activating_chance]]/100),0)</f>
        <v>20</v>
      </c>
      <c r="EJ26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69">
        <v>1</v>
      </c>
      <c r="EL269">
        <v>1</v>
      </c>
      <c r="EM269" t="b">
        <v>0</v>
      </c>
    </row>
    <row r="270" spans="2:143" x14ac:dyDescent="0.25">
      <c r="B270" s="73" t="s">
        <v>234</v>
      </c>
      <c r="C270">
        <v>1</v>
      </c>
      <c r="D270">
        <v>340</v>
      </c>
      <c r="E270">
        <v>100</v>
      </c>
      <c r="F270" s="75">
        <f ca="1">INDIRECT(ADDRESS(11+(MATCH(RIGHT(Table245[[#This Row],[spawner_sku]],LEN(Table245[[#This Row],[spawner_sku]])-FIND("/",Table245[[#This Row],[spawner_sku]])),Table1[Entity Prefab],0)),10,1,1,"Entities"))</f>
        <v>263</v>
      </c>
      <c r="G270" s="75">
        <f ca="1">ROUND((Table245[[#This Row],[XP]]*Table245[[#This Row],[entity_spawned (AVG)]])*(Table245[[#This Row],[activating_chance]]/100),0)</f>
        <v>263</v>
      </c>
      <c r="H27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0" s="72">
        <v>1</v>
      </c>
      <c r="J270" s="72">
        <v>1</v>
      </c>
      <c r="K270" s="72" t="b">
        <v>0</v>
      </c>
      <c r="AI270" t="s">
        <v>386</v>
      </c>
      <c r="AJ270">
        <v>1</v>
      </c>
      <c r="AK270">
        <v>180</v>
      </c>
      <c r="AL270">
        <v>100</v>
      </c>
      <c r="AM270" s="75">
        <f ca="1">INDIRECT(ADDRESS(11+(MATCH(RIGHT(Table2[[#This Row],[spawner_sku]],LEN(Table2[[#This Row],[spawner_sku]])-FIND("/",Table2[[#This Row],[spawner_sku]])),Table1[Entity Prefab],0)),10,1,1,"Entities"))</f>
        <v>75</v>
      </c>
      <c r="AN270" s="75">
        <f ca="1">ROUND((Table2[[#This Row],[XP]]*Table2[[#This Row],[entity_spawned (AVG)]])*(Table2[[#This Row],[activating_chance]]/100),0)</f>
        <v>75</v>
      </c>
      <c r="AO27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70" s="72">
        <v>1</v>
      </c>
      <c r="AQ270" s="72">
        <v>1</v>
      </c>
      <c r="AR270" s="72" t="b">
        <v>0</v>
      </c>
      <c r="BP270" t="s">
        <v>390</v>
      </c>
      <c r="BQ270">
        <v>1</v>
      </c>
      <c r="BR270">
        <v>80</v>
      </c>
      <c r="BS270">
        <v>100</v>
      </c>
      <c r="BT270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70" s="75">
        <f ca="1">ROUND((Table61011[[#This Row],[XP]]*Table61011[[#This Row],[entity_spawned (AVG)]])*(Table61011[[#This Row],[activating_chance]]/100),0)</f>
        <v>75</v>
      </c>
      <c r="BV27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70" s="72">
        <v>1</v>
      </c>
      <c r="BX270" s="72">
        <v>1</v>
      </c>
      <c r="BY270" s="72" t="b">
        <v>0</v>
      </c>
      <c r="CA270" t="s">
        <v>445</v>
      </c>
      <c r="CB270">
        <v>1</v>
      </c>
      <c r="CC270">
        <v>200</v>
      </c>
      <c r="CD270">
        <v>30</v>
      </c>
      <c r="CE270" s="75">
        <f ca="1">INDIRECT(ADDRESS(11+(MATCH(RIGHT(Table11[[#This Row],[spawner_sku]],LEN(Table11[[#This Row],[spawner_sku]])-FIND("/",Table11[[#This Row],[spawner_sku]])),Table1[Entity Prefab],0)),10,1,1,"Entities"))</f>
        <v>0</v>
      </c>
      <c r="CF270">
        <f ca="1">ROUND((Table11[[#This Row],[XP]]*Table11[[#This Row],[entity_spawned (AVG)]])*(Table11[[#This Row],[activating_chance]]/100),0)</f>
        <v>0</v>
      </c>
      <c r="CG270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70" s="72">
        <v>1</v>
      </c>
      <c r="CI270" s="72">
        <v>1</v>
      </c>
      <c r="CJ270" s="72" t="b">
        <v>0</v>
      </c>
      <c r="CW270" t="s">
        <v>256</v>
      </c>
      <c r="CX270">
        <v>1</v>
      </c>
      <c r="CY270">
        <v>150</v>
      </c>
      <c r="CZ270">
        <v>100</v>
      </c>
      <c r="DA270" s="75">
        <f ca="1">INDIRECT(ADDRESS(11+(MATCH(RIGHT(Table13[[#This Row],[spawner_sku]],LEN(Table13[[#This Row],[spawner_sku]])-FIND("/",Table13[[#This Row],[spawner_sku]])),Table1[Entity Prefab],0)),10,1,1,"Entities"))</f>
        <v>25</v>
      </c>
      <c r="DB270" s="75">
        <f ca="1">ROUND((Table13[[#This Row],[XP]]*Table13[[#This Row],[entity_spawned (AVG)]])*(Table13[[#This Row],[activating_chance]]/100),0)</f>
        <v>25</v>
      </c>
      <c r="DC270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70" s="72">
        <v>1</v>
      </c>
      <c r="DE270" s="72">
        <v>1</v>
      </c>
      <c r="DF270" s="72" t="b">
        <v>0</v>
      </c>
      <c r="DH270" t="s">
        <v>517</v>
      </c>
      <c r="DI270">
        <v>1</v>
      </c>
      <c r="DJ270">
        <v>100</v>
      </c>
      <c r="DK270">
        <v>100</v>
      </c>
      <c r="DL270" s="75">
        <f ca="1">INDIRECT(ADDRESS(11+(MATCH(RIGHT(Table14[[#This Row],[spawner_sku]],LEN(Table14[[#This Row],[spawner_sku]])-FIND("/",Table14[[#This Row],[spawner_sku]])),Table1[Entity Prefab],0)),10,1,1,"Entities"))</f>
        <v>95</v>
      </c>
      <c r="DM270" s="75">
        <f ca="1">ROUND((Table14[[#This Row],[XP]]*Table14[[#This Row],[entity_spawned (AVG)]])*(Table14[[#This Row],[activating_chance]]/100),0)</f>
        <v>95</v>
      </c>
      <c r="DN27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70" s="72">
        <v>1</v>
      </c>
      <c r="DP270" s="72">
        <v>1</v>
      </c>
      <c r="DQ270" s="72" t="b">
        <v>0</v>
      </c>
      <c r="DS270" t="s">
        <v>396</v>
      </c>
      <c r="DT270">
        <v>1</v>
      </c>
      <c r="DU270">
        <v>80</v>
      </c>
      <c r="DV270">
        <v>10</v>
      </c>
      <c r="DW270" s="75">
        <f ca="1">INDIRECT(ADDRESS(11+(MATCH(RIGHT(Table18[[#This Row],[spawner_sku]],LEN(Table18[[#This Row],[spawner_sku]])-FIND("/",Table18[[#This Row],[spawner_sku]])),Table1[Entity Prefab],0)),10,1,1,"Entities"))</f>
        <v>25</v>
      </c>
      <c r="DX270" s="75">
        <f ca="1">ROUND((Table18[[#This Row],[XP]]*Table18[[#This Row],[entity_spawned (AVG)]])*(Table18[[#This Row],[activating_chance]]/100),0)</f>
        <v>3</v>
      </c>
      <c r="DY27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70">
        <v>1</v>
      </c>
      <c r="EA270">
        <v>1</v>
      </c>
      <c r="EB270" t="b">
        <v>0</v>
      </c>
      <c r="ED270" t="s">
        <v>255</v>
      </c>
      <c r="EE270">
        <v>1</v>
      </c>
      <c r="EF270">
        <v>150</v>
      </c>
      <c r="EG270">
        <v>100</v>
      </c>
      <c r="EH270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70" s="75">
        <f ca="1">ROUND((Table1820[[#This Row],[XP]]*Table1820[[#This Row],[entity_spawned (AVG)]])*(Table1820[[#This Row],[activating_chance]]/100),0)</f>
        <v>25</v>
      </c>
      <c r="EJ27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70">
        <v>1</v>
      </c>
      <c r="EL270">
        <v>1</v>
      </c>
      <c r="EM270" t="b">
        <v>0</v>
      </c>
    </row>
    <row r="271" spans="2:143" x14ac:dyDescent="0.25">
      <c r="B271" s="73" t="s">
        <v>234</v>
      </c>
      <c r="C271">
        <v>1</v>
      </c>
      <c r="D271">
        <v>340</v>
      </c>
      <c r="E271">
        <v>100</v>
      </c>
      <c r="F271" s="75">
        <f ca="1">INDIRECT(ADDRESS(11+(MATCH(RIGHT(Table245[[#This Row],[spawner_sku]],LEN(Table245[[#This Row],[spawner_sku]])-FIND("/",Table245[[#This Row],[spawner_sku]])),Table1[Entity Prefab],0)),10,1,1,"Entities"))</f>
        <v>263</v>
      </c>
      <c r="G271" s="75">
        <f ca="1">ROUND((Table245[[#This Row],[XP]]*Table245[[#This Row],[entity_spawned (AVG)]])*(Table245[[#This Row],[activating_chance]]/100),0)</f>
        <v>263</v>
      </c>
      <c r="H27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1" s="72">
        <v>1</v>
      </c>
      <c r="J271" s="72">
        <v>1</v>
      </c>
      <c r="K271" s="72" t="b">
        <v>0</v>
      </c>
      <c r="AI271" t="s">
        <v>386</v>
      </c>
      <c r="AJ271">
        <v>1</v>
      </c>
      <c r="AK271">
        <v>220</v>
      </c>
      <c r="AL271">
        <v>100</v>
      </c>
      <c r="AM271" s="75">
        <f ca="1">INDIRECT(ADDRESS(11+(MATCH(RIGHT(Table2[[#This Row],[spawner_sku]],LEN(Table2[[#This Row],[spawner_sku]])-FIND("/",Table2[[#This Row],[spawner_sku]])),Table1[Entity Prefab],0)),10,1,1,"Entities"))</f>
        <v>75</v>
      </c>
      <c r="AN271" s="75">
        <f ca="1">ROUND((Table2[[#This Row],[XP]]*Table2[[#This Row],[entity_spawned (AVG)]])*(Table2[[#This Row],[activating_chance]]/100),0)</f>
        <v>75</v>
      </c>
      <c r="AO271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71" s="72">
        <v>1</v>
      </c>
      <c r="AQ271" s="72">
        <v>1</v>
      </c>
      <c r="AR271" s="72" t="b">
        <v>0</v>
      </c>
      <c r="BP271" t="s">
        <v>386</v>
      </c>
      <c r="BQ271">
        <v>1</v>
      </c>
      <c r="BR271">
        <v>110</v>
      </c>
      <c r="BS271">
        <v>100</v>
      </c>
      <c r="BT271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71" s="75">
        <f ca="1">ROUND((Table61011[[#This Row],[XP]]*Table61011[[#This Row],[entity_spawned (AVG)]])*(Table61011[[#This Row],[activating_chance]]/100),0)</f>
        <v>75</v>
      </c>
      <c r="BV27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71" s="72">
        <v>1</v>
      </c>
      <c r="BX271" s="72">
        <v>1</v>
      </c>
      <c r="BY271" s="72" t="b">
        <v>0</v>
      </c>
      <c r="CA271" t="s">
        <v>445</v>
      </c>
      <c r="CB271">
        <v>1</v>
      </c>
      <c r="CC271">
        <v>200</v>
      </c>
      <c r="CD271">
        <v>100</v>
      </c>
      <c r="CE271" s="75">
        <f ca="1">INDIRECT(ADDRESS(11+(MATCH(RIGHT(Table11[[#This Row],[spawner_sku]],LEN(Table11[[#This Row],[spawner_sku]])-FIND("/",Table11[[#This Row],[spawner_sku]])),Table1[Entity Prefab],0)),10,1,1,"Entities"))</f>
        <v>0</v>
      </c>
      <c r="CF271">
        <f ca="1">ROUND((Table11[[#This Row],[XP]]*Table11[[#This Row],[entity_spawned (AVG)]])*(Table11[[#This Row],[activating_chance]]/100),0)</f>
        <v>0</v>
      </c>
      <c r="CG271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71" s="72">
        <v>1</v>
      </c>
      <c r="CI271" s="72">
        <v>1</v>
      </c>
      <c r="CJ271" s="72" t="b">
        <v>0</v>
      </c>
      <c r="CW271" t="s">
        <v>256</v>
      </c>
      <c r="CX271">
        <v>1</v>
      </c>
      <c r="CY271">
        <v>150</v>
      </c>
      <c r="CZ271">
        <v>30</v>
      </c>
      <c r="DA271" s="75">
        <f ca="1">INDIRECT(ADDRESS(11+(MATCH(RIGHT(Table13[[#This Row],[spawner_sku]],LEN(Table13[[#This Row],[spawner_sku]])-FIND("/",Table13[[#This Row],[spawner_sku]])),Table1[Entity Prefab],0)),10,1,1,"Entities"))</f>
        <v>25</v>
      </c>
      <c r="DB271" s="75">
        <f ca="1">ROUND((Table13[[#This Row],[XP]]*Table13[[#This Row],[entity_spawned (AVG)]])*(Table13[[#This Row],[activating_chance]]/100),0)</f>
        <v>8</v>
      </c>
      <c r="DC271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71" s="72">
        <v>1</v>
      </c>
      <c r="DE271" s="72">
        <v>1</v>
      </c>
      <c r="DF271" s="72" t="b">
        <v>0</v>
      </c>
      <c r="DH271" t="s">
        <v>517</v>
      </c>
      <c r="DI271">
        <v>1</v>
      </c>
      <c r="DJ271">
        <v>90</v>
      </c>
      <c r="DK271">
        <v>40</v>
      </c>
      <c r="DL271" s="75">
        <f ca="1">INDIRECT(ADDRESS(11+(MATCH(RIGHT(Table14[[#This Row],[spawner_sku]],LEN(Table14[[#This Row],[spawner_sku]])-FIND("/",Table14[[#This Row],[spawner_sku]])),Table1[Entity Prefab],0)),10,1,1,"Entities"))</f>
        <v>95</v>
      </c>
      <c r="DM271" s="75">
        <f ca="1">ROUND((Table14[[#This Row],[XP]]*Table14[[#This Row],[entity_spawned (AVG)]])*(Table14[[#This Row],[activating_chance]]/100),0)</f>
        <v>38</v>
      </c>
      <c r="DN27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71" s="72">
        <v>1</v>
      </c>
      <c r="DP271" s="72">
        <v>1</v>
      </c>
      <c r="DQ271" s="72" t="b">
        <v>0</v>
      </c>
      <c r="DS271" t="s">
        <v>396</v>
      </c>
      <c r="DT271">
        <v>2</v>
      </c>
      <c r="DU271">
        <v>120</v>
      </c>
      <c r="DV271">
        <v>30</v>
      </c>
      <c r="DW271" s="75">
        <f ca="1">INDIRECT(ADDRESS(11+(MATCH(RIGHT(Table18[[#This Row],[spawner_sku]],LEN(Table18[[#This Row],[spawner_sku]])-FIND("/",Table18[[#This Row],[spawner_sku]])),Table1[Entity Prefab],0)),10,1,1,"Entities"))</f>
        <v>25</v>
      </c>
      <c r="DX271" s="75">
        <f ca="1">ROUND((Table18[[#This Row],[XP]]*Table18[[#This Row],[entity_spawned (AVG)]])*(Table18[[#This Row],[activating_chance]]/100),0)</f>
        <v>15</v>
      </c>
      <c r="DY27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71">
        <v>2</v>
      </c>
      <c r="EA271">
        <v>3</v>
      </c>
      <c r="EB271" t="b">
        <v>0</v>
      </c>
      <c r="ED271" t="s">
        <v>255</v>
      </c>
      <c r="EE271">
        <v>1</v>
      </c>
      <c r="EF271">
        <v>150</v>
      </c>
      <c r="EG271">
        <v>10</v>
      </c>
      <c r="EH271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71" s="75">
        <f ca="1">ROUND((Table1820[[#This Row],[XP]]*Table1820[[#This Row],[entity_spawned (AVG)]])*(Table1820[[#This Row],[activating_chance]]/100),0)</f>
        <v>3</v>
      </c>
      <c r="EJ27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71">
        <v>1</v>
      </c>
      <c r="EL271">
        <v>1</v>
      </c>
      <c r="EM271" t="b">
        <v>0</v>
      </c>
    </row>
    <row r="272" spans="2:143" x14ac:dyDescent="0.25">
      <c r="B272" s="73" t="s">
        <v>234</v>
      </c>
      <c r="C272">
        <v>1</v>
      </c>
      <c r="D272">
        <v>340</v>
      </c>
      <c r="E272">
        <v>100</v>
      </c>
      <c r="F272" s="75">
        <f ca="1">INDIRECT(ADDRESS(11+(MATCH(RIGHT(Table245[[#This Row],[spawner_sku]],LEN(Table245[[#This Row],[spawner_sku]])-FIND("/",Table245[[#This Row],[spawner_sku]])),Table1[Entity Prefab],0)),10,1,1,"Entities"))</f>
        <v>263</v>
      </c>
      <c r="G272" s="75">
        <f ca="1">ROUND((Table245[[#This Row],[XP]]*Table245[[#This Row],[entity_spawned (AVG)]])*(Table245[[#This Row],[activating_chance]]/100),0)</f>
        <v>263</v>
      </c>
      <c r="H27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2" s="72">
        <v>1</v>
      </c>
      <c r="J272" s="72">
        <v>1</v>
      </c>
      <c r="K272" s="72" t="b">
        <v>0</v>
      </c>
      <c r="AI272" t="s">
        <v>386</v>
      </c>
      <c r="AJ272">
        <v>1</v>
      </c>
      <c r="AK272">
        <v>180</v>
      </c>
      <c r="AL272">
        <v>100</v>
      </c>
      <c r="AM272" s="75">
        <f ca="1">INDIRECT(ADDRESS(11+(MATCH(RIGHT(Table2[[#This Row],[spawner_sku]],LEN(Table2[[#This Row],[spawner_sku]])-FIND("/",Table2[[#This Row],[spawner_sku]])),Table1[Entity Prefab],0)),10,1,1,"Entities"))</f>
        <v>75</v>
      </c>
      <c r="AN272" s="75">
        <f ca="1">ROUND((Table2[[#This Row],[XP]]*Table2[[#This Row],[entity_spawned (AVG)]])*(Table2[[#This Row],[activating_chance]]/100),0)</f>
        <v>75</v>
      </c>
      <c r="AO272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72" s="72">
        <v>1</v>
      </c>
      <c r="AQ272" s="72">
        <v>1</v>
      </c>
      <c r="AR272" s="72" t="b">
        <v>0</v>
      </c>
      <c r="BP272" t="s">
        <v>386</v>
      </c>
      <c r="BQ272">
        <v>1</v>
      </c>
      <c r="BR272">
        <v>130</v>
      </c>
      <c r="BS272">
        <v>100</v>
      </c>
      <c r="BT272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72" s="75">
        <f ca="1">ROUND((Table61011[[#This Row],[XP]]*Table61011[[#This Row],[entity_spawned (AVG)]])*(Table61011[[#This Row],[activating_chance]]/100),0)</f>
        <v>75</v>
      </c>
      <c r="BV27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72" s="72">
        <v>1</v>
      </c>
      <c r="BX272" s="72">
        <v>1</v>
      </c>
      <c r="BY272" s="72" t="b">
        <v>0</v>
      </c>
      <c r="CA272" t="s">
        <v>445</v>
      </c>
      <c r="CB272">
        <v>1</v>
      </c>
      <c r="CC272">
        <v>200</v>
      </c>
      <c r="CD272">
        <v>70</v>
      </c>
      <c r="CE272" s="75">
        <f ca="1">INDIRECT(ADDRESS(11+(MATCH(RIGHT(Table11[[#This Row],[spawner_sku]],LEN(Table11[[#This Row],[spawner_sku]])-FIND("/",Table11[[#This Row],[spawner_sku]])),Table1[Entity Prefab],0)),10,1,1,"Entities"))</f>
        <v>0</v>
      </c>
      <c r="CF272">
        <f ca="1">ROUND((Table11[[#This Row],[XP]]*Table11[[#This Row],[entity_spawned (AVG)]])*(Table11[[#This Row],[activating_chance]]/100),0)</f>
        <v>0</v>
      </c>
      <c r="CG272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72" s="72">
        <v>1</v>
      </c>
      <c r="CI272" s="72">
        <v>1</v>
      </c>
      <c r="CJ272" s="72" t="b">
        <v>0</v>
      </c>
      <c r="CW272" t="s">
        <v>256</v>
      </c>
      <c r="CX272">
        <v>1</v>
      </c>
      <c r="CY272">
        <v>150</v>
      </c>
      <c r="CZ272">
        <v>100</v>
      </c>
      <c r="DA272" s="75">
        <f ca="1">INDIRECT(ADDRESS(11+(MATCH(RIGHT(Table13[[#This Row],[spawner_sku]],LEN(Table13[[#This Row],[spawner_sku]])-FIND("/",Table13[[#This Row],[spawner_sku]])),Table1[Entity Prefab],0)),10,1,1,"Entities"))</f>
        <v>25</v>
      </c>
      <c r="DB272" s="75">
        <f ca="1">ROUND((Table13[[#This Row],[XP]]*Table13[[#This Row],[entity_spawned (AVG)]])*(Table13[[#This Row],[activating_chance]]/100),0)</f>
        <v>25</v>
      </c>
      <c r="DC272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72" s="72">
        <v>1</v>
      </c>
      <c r="DE272" s="72">
        <v>1</v>
      </c>
      <c r="DF272" s="72" t="b">
        <v>0</v>
      </c>
      <c r="DH272" t="s">
        <v>517</v>
      </c>
      <c r="DI272">
        <v>1</v>
      </c>
      <c r="DJ272">
        <v>100</v>
      </c>
      <c r="DK272">
        <v>100</v>
      </c>
      <c r="DL272" s="75">
        <f ca="1">INDIRECT(ADDRESS(11+(MATCH(RIGHT(Table14[[#This Row],[spawner_sku]],LEN(Table14[[#This Row],[spawner_sku]])-FIND("/",Table14[[#This Row],[spawner_sku]])),Table1[Entity Prefab],0)),10,1,1,"Entities"))</f>
        <v>95</v>
      </c>
      <c r="DM272" s="75">
        <f ca="1">ROUND((Table14[[#This Row],[XP]]*Table14[[#This Row],[entity_spawned (AVG)]])*(Table14[[#This Row],[activating_chance]]/100),0)</f>
        <v>95</v>
      </c>
      <c r="DN27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72" s="72">
        <v>1</v>
      </c>
      <c r="DP272" s="72">
        <v>1</v>
      </c>
      <c r="DQ272" s="72" t="b">
        <v>0</v>
      </c>
      <c r="DS272" t="s">
        <v>396</v>
      </c>
      <c r="DT272">
        <v>1</v>
      </c>
      <c r="DU272">
        <v>120</v>
      </c>
      <c r="DV272">
        <v>80</v>
      </c>
      <c r="DW272" s="75">
        <f ca="1">INDIRECT(ADDRESS(11+(MATCH(RIGHT(Table18[[#This Row],[spawner_sku]],LEN(Table18[[#This Row],[spawner_sku]])-FIND("/",Table18[[#This Row],[spawner_sku]])),Table1[Entity Prefab],0)),10,1,1,"Entities"))</f>
        <v>25</v>
      </c>
      <c r="DX272" s="75">
        <f ca="1">ROUND((Table18[[#This Row],[XP]]*Table18[[#This Row],[entity_spawned (AVG)]])*(Table18[[#This Row],[activating_chance]]/100),0)</f>
        <v>20</v>
      </c>
      <c r="DY27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72">
        <v>1</v>
      </c>
      <c r="EA272">
        <v>2</v>
      </c>
      <c r="EB272" t="b">
        <v>0</v>
      </c>
      <c r="ED272" t="s">
        <v>255</v>
      </c>
      <c r="EE272">
        <v>1</v>
      </c>
      <c r="EF272">
        <v>150</v>
      </c>
      <c r="EG272">
        <v>100</v>
      </c>
      <c r="EH27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72" s="75">
        <f ca="1">ROUND((Table1820[[#This Row],[XP]]*Table1820[[#This Row],[entity_spawned (AVG)]])*(Table1820[[#This Row],[activating_chance]]/100),0)</f>
        <v>25</v>
      </c>
      <c r="EJ27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72">
        <v>1</v>
      </c>
      <c r="EL272">
        <v>1</v>
      </c>
      <c r="EM272" t="b">
        <v>0</v>
      </c>
    </row>
    <row r="273" spans="2:143" x14ac:dyDescent="0.25">
      <c r="B273" s="73" t="s">
        <v>234</v>
      </c>
      <c r="C273">
        <v>1</v>
      </c>
      <c r="D273">
        <v>340</v>
      </c>
      <c r="E273">
        <v>100</v>
      </c>
      <c r="F273" s="75">
        <f ca="1">INDIRECT(ADDRESS(11+(MATCH(RIGHT(Table245[[#This Row],[spawner_sku]],LEN(Table245[[#This Row],[spawner_sku]])-FIND("/",Table245[[#This Row],[spawner_sku]])),Table1[Entity Prefab],0)),10,1,1,"Entities"))</f>
        <v>263</v>
      </c>
      <c r="G273" s="75">
        <f ca="1">ROUND((Table245[[#This Row],[XP]]*Table245[[#This Row],[entity_spawned (AVG)]])*(Table245[[#This Row],[activating_chance]]/100),0)</f>
        <v>263</v>
      </c>
      <c r="H27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3" s="72">
        <v>1</v>
      </c>
      <c r="J273" s="72">
        <v>1</v>
      </c>
      <c r="K273" s="72" t="b">
        <v>0</v>
      </c>
      <c r="AI273" t="s">
        <v>386</v>
      </c>
      <c r="AJ273">
        <v>1</v>
      </c>
      <c r="AK273">
        <v>220</v>
      </c>
      <c r="AL273">
        <v>100</v>
      </c>
      <c r="AM273" s="75">
        <f ca="1">INDIRECT(ADDRESS(11+(MATCH(RIGHT(Table2[[#This Row],[spawner_sku]],LEN(Table2[[#This Row],[spawner_sku]])-FIND("/",Table2[[#This Row],[spawner_sku]])),Table1[Entity Prefab],0)),10,1,1,"Entities"))</f>
        <v>75</v>
      </c>
      <c r="AN273" s="75">
        <f ca="1">ROUND((Table2[[#This Row],[XP]]*Table2[[#This Row],[entity_spawned (AVG)]])*(Table2[[#This Row],[activating_chance]]/100),0)</f>
        <v>75</v>
      </c>
      <c r="AO27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73" s="72">
        <v>1</v>
      </c>
      <c r="AQ273" s="72">
        <v>1</v>
      </c>
      <c r="AR273" s="72" t="b">
        <v>0</v>
      </c>
      <c r="BP273" t="s">
        <v>386</v>
      </c>
      <c r="BQ273">
        <v>1</v>
      </c>
      <c r="BR273">
        <v>200</v>
      </c>
      <c r="BS273">
        <v>100</v>
      </c>
      <c r="BT273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73" s="75">
        <f ca="1">ROUND((Table61011[[#This Row],[XP]]*Table61011[[#This Row],[entity_spawned (AVG)]])*(Table61011[[#This Row],[activating_chance]]/100),0)</f>
        <v>75</v>
      </c>
      <c r="BV27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73" s="72">
        <v>1</v>
      </c>
      <c r="BX273" s="72">
        <v>1</v>
      </c>
      <c r="BY273" s="72" t="b">
        <v>0</v>
      </c>
      <c r="CA273" t="s">
        <v>445</v>
      </c>
      <c r="CB273">
        <v>1</v>
      </c>
      <c r="CC273">
        <v>120</v>
      </c>
      <c r="CD273">
        <v>100</v>
      </c>
      <c r="CE273" s="75">
        <f ca="1">INDIRECT(ADDRESS(11+(MATCH(RIGHT(Table11[[#This Row],[spawner_sku]],LEN(Table11[[#This Row],[spawner_sku]])-FIND("/",Table11[[#This Row],[spawner_sku]])),Table1[Entity Prefab],0)),10,1,1,"Entities"))</f>
        <v>0</v>
      </c>
      <c r="CF273">
        <f ca="1">ROUND((Table11[[#This Row],[XP]]*Table11[[#This Row],[entity_spawned (AVG)]])*(Table11[[#This Row],[activating_chance]]/100),0)</f>
        <v>0</v>
      </c>
      <c r="CG273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73" s="72">
        <v>1</v>
      </c>
      <c r="CI273" s="72">
        <v>1</v>
      </c>
      <c r="CJ273" s="72" t="b">
        <v>0</v>
      </c>
      <c r="CW273" t="s">
        <v>256</v>
      </c>
      <c r="CX273">
        <v>1</v>
      </c>
      <c r="CY273">
        <v>150</v>
      </c>
      <c r="CZ273">
        <v>10</v>
      </c>
      <c r="DA273" s="75">
        <f ca="1">INDIRECT(ADDRESS(11+(MATCH(RIGHT(Table13[[#This Row],[spawner_sku]],LEN(Table13[[#This Row],[spawner_sku]])-FIND("/",Table13[[#This Row],[spawner_sku]])),Table1[Entity Prefab],0)),10,1,1,"Entities"))</f>
        <v>25</v>
      </c>
      <c r="DB273" s="75">
        <f ca="1">ROUND((Table13[[#This Row],[XP]]*Table13[[#This Row],[entity_spawned (AVG)]])*(Table13[[#This Row],[activating_chance]]/100),0)</f>
        <v>3</v>
      </c>
      <c r="DC273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73" s="72">
        <v>1</v>
      </c>
      <c r="DE273" s="72">
        <v>1</v>
      </c>
      <c r="DF273" s="72" t="b">
        <v>0</v>
      </c>
      <c r="DH273" t="s">
        <v>517</v>
      </c>
      <c r="DI273">
        <v>1</v>
      </c>
      <c r="DJ273">
        <v>180</v>
      </c>
      <c r="DK273">
        <v>100</v>
      </c>
      <c r="DL273" s="75">
        <f ca="1">INDIRECT(ADDRESS(11+(MATCH(RIGHT(Table14[[#This Row],[spawner_sku]],LEN(Table14[[#This Row],[spawner_sku]])-FIND("/",Table14[[#This Row],[spawner_sku]])),Table1[Entity Prefab],0)),10,1,1,"Entities"))</f>
        <v>95</v>
      </c>
      <c r="DM273" s="75">
        <f ca="1">ROUND((Table14[[#This Row],[XP]]*Table14[[#This Row],[entity_spawned (AVG)]])*(Table14[[#This Row],[activating_chance]]/100),0)</f>
        <v>95</v>
      </c>
      <c r="DN27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73" s="72">
        <v>1</v>
      </c>
      <c r="DP273" s="72">
        <v>1</v>
      </c>
      <c r="DQ273" s="72" t="b">
        <v>0</v>
      </c>
      <c r="DS273" t="s">
        <v>396</v>
      </c>
      <c r="DT273">
        <v>1</v>
      </c>
      <c r="DU273">
        <v>90</v>
      </c>
      <c r="DV273">
        <v>10</v>
      </c>
      <c r="DW273" s="75">
        <f ca="1">INDIRECT(ADDRESS(11+(MATCH(RIGHT(Table18[[#This Row],[spawner_sku]],LEN(Table18[[#This Row],[spawner_sku]])-FIND("/",Table18[[#This Row],[spawner_sku]])),Table1[Entity Prefab],0)),10,1,1,"Entities"))</f>
        <v>25</v>
      </c>
      <c r="DX273" s="75">
        <f ca="1">ROUND((Table18[[#This Row],[XP]]*Table18[[#This Row],[entity_spawned (AVG)]])*(Table18[[#This Row],[activating_chance]]/100),0)</f>
        <v>3</v>
      </c>
      <c r="DY27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73">
        <v>1</v>
      </c>
      <c r="EA273">
        <v>1</v>
      </c>
      <c r="EB273" t="b">
        <v>0</v>
      </c>
      <c r="ED273" t="s">
        <v>255</v>
      </c>
      <c r="EE273">
        <v>1</v>
      </c>
      <c r="EF273">
        <v>150</v>
      </c>
      <c r="EG273">
        <v>100</v>
      </c>
      <c r="EH273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73" s="75">
        <f ca="1">ROUND((Table1820[[#This Row],[XP]]*Table1820[[#This Row],[entity_spawned (AVG)]])*(Table1820[[#This Row],[activating_chance]]/100),0)</f>
        <v>25</v>
      </c>
      <c r="EJ27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73">
        <v>1</v>
      </c>
      <c r="EL273">
        <v>1</v>
      </c>
      <c r="EM273" t="b">
        <v>0</v>
      </c>
    </row>
    <row r="274" spans="2:143" x14ac:dyDescent="0.25">
      <c r="B274" s="73" t="s">
        <v>234</v>
      </c>
      <c r="C274">
        <v>1</v>
      </c>
      <c r="D274">
        <v>340</v>
      </c>
      <c r="E274">
        <v>100</v>
      </c>
      <c r="F274" s="75">
        <f ca="1">INDIRECT(ADDRESS(11+(MATCH(RIGHT(Table245[[#This Row],[spawner_sku]],LEN(Table245[[#This Row],[spawner_sku]])-FIND("/",Table245[[#This Row],[spawner_sku]])),Table1[Entity Prefab],0)),10,1,1,"Entities"))</f>
        <v>263</v>
      </c>
      <c r="G274" s="75">
        <f ca="1">ROUND((Table245[[#This Row],[XP]]*Table245[[#This Row],[entity_spawned (AVG)]])*(Table245[[#This Row],[activating_chance]]/100),0)</f>
        <v>263</v>
      </c>
      <c r="H27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4" s="72">
        <v>1</v>
      </c>
      <c r="J274" s="72">
        <v>1</v>
      </c>
      <c r="K274" s="72" t="b">
        <v>0</v>
      </c>
      <c r="AI274" t="s">
        <v>386</v>
      </c>
      <c r="AJ274">
        <v>1</v>
      </c>
      <c r="AK274">
        <v>220</v>
      </c>
      <c r="AL274">
        <v>100</v>
      </c>
      <c r="AM274" s="75">
        <f ca="1">INDIRECT(ADDRESS(11+(MATCH(RIGHT(Table2[[#This Row],[spawner_sku]],LEN(Table2[[#This Row],[spawner_sku]])-FIND("/",Table2[[#This Row],[spawner_sku]])),Table1[Entity Prefab],0)),10,1,1,"Entities"))</f>
        <v>75</v>
      </c>
      <c r="AN274" s="75">
        <f ca="1">ROUND((Table2[[#This Row],[XP]]*Table2[[#This Row],[entity_spawned (AVG)]])*(Table2[[#This Row],[activating_chance]]/100),0)</f>
        <v>75</v>
      </c>
      <c r="AO274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74" s="72">
        <v>1</v>
      </c>
      <c r="AQ274" s="72">
        <v>1</v>
      </c>
      <c r="AR274" s="72" t="b">
        <v>0</v>
      </c>
      <c r="BP274" t="s">
        <v>385</v>
      </c>
      <c r="BQ274">
        <v>1</v>
      </c>
      <c r="BR274">
        <v>200</v>
      </c>
      <c r="BS274">
        <v>80</v>
      </c>
      <c r="BT274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74" s="75">
        <f ca="1">ROUND((Table61011[[#This Row],[XP]]*Table61011[[#This Row],[entity_spawned (AVG)]])*(Table61011[[#This Row],[activating_chance]]/100),0)</f>
        <v>60</v>
      </c>
      <c r="BV27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74" s="72">
        <v>1</v>
      </c>
      <c r="BX274" s="72">
        <v>1</v>
      </c>
      <c r="BY274" s="72" t="b">
        <v>0</v>
      </c>
      <c r="CA274" t="s">
        <v>445</v>
      </c>
      <c r="CB274">
        <v>1</v>
      </c>
      <c r="CC274">
        <v>200</v>
      </c>
      <c r="CD274">
        <v>30</v>
      </c>
      <c r="CE274" s="75">
        <f ca="1">INDIRECT(ADDRESS(11+(MATCH(RIGHT(Table11[[#This Row],[spawner_sku]],LEN(Table11[[#This Row],[spawner_sku]])-FIND("/",Table11[[#This Row],[spawner_sku]])),Table1[Entity Prefab],0)),10,1,1,"Entities"))</f>
        <v>0</v>
      </c>
      <c r="CF274">
        <f ca="1">ROUND((Table11[[#This Row],[XP]]*Table11[[#This Row],[entity_spawned (AVG)]])*(Table11[[#This Row],[activating_chance]]/100),0)</f>
        <v>0</v>
      </c>
      <c r="CG274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74" s="72">
        <v>1</v>
      </c>
      <c r="CI274" s="72">
        <v>1</v>
      </c>
      <c r="CJ274" s="72" t="b">
        <v>0</v>
      </c>
      <c r="CW274" t="s">
        <v>256</v>
      </c>
      <c r="CX274">
        <v>1</v>
      </c>
      <c r="CY274">
        <v>150</v>
      </c>
      <c r="CZ274">
        <v>80</v>
      </c>
      <c r="DA274" s="75">
        <f ca="1">INDIRECT(ADDRESS(11+(MATCH(RIGHT(Table13[[#This Row],[spawner_sku]],LEN(Table13[[#This Row],[spawner_sku]])-FIND("/",Table13[[#This Row],[spawner_sku]])),Table1[Entity Prefab],0)),10,1,1,"Entities"))</f>
        <v>25</v>
      </c>
      <c r="DB274" s="75">
        <f ca="1">ROUND((Table13[[#This Row],[XP]]*Table13[[#This Row],[entity_spawned (AVG)]])*(Table13[[#This Row],[activating_chance]]/100),0)</f>
        <v>20</v>
      </c>
      <c r="DC274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74" s="72">
        <v>1</v>
      </c>
      <c r="DE274" s="72">
        <v>1</v>
      </c>
      <c r="DF274" s="72" t="b">
        <v>0</v>
      </c>
      <c r="DH274" t="s">
        <v>517</v>
      </c>
      <c r="DI274">
        <v>1</v>
      </c>
      <c r="DJ274">
        <v>100</v>
      </c>
      <c r="DK274">
        <v>100</v>
      </c>
      <c r="DL274" s="75">
        <f ca="1">INDIRECT(ADDRESS(11+(MATCH(RIGHT(Table14[[#This Row],[spawner_sku]],LEN(Table14[[#This Row],[spawner_sku]])-FIND("/",Table14[[#This Row],[spawner_sku]])),Table1[Entity Prefab],0)),10,1,1,"Entities"))</f>
        <v>95</v>
      </c>
      <c r="DM274" s="75">
        <f ca="1">ROUND((Table14[[#This Row],[XP]]*Table14[[#This Row],[entity_spawned (AVG)]])*(Table14[[#This Row],[activating_chance]]/100),0)</f>
        <v>95</v>
      </c>
      <c r="DN27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74" s="72">
        <v>1</v>
      </c>
      <c r="DP274" s="72">
        <v>1</v>
      </c>
      <c r="DQ274" s="72" t="b">
        <v>0</v>
      </c>
      <c r="DS274" t="s">
        <v>396</v>
      </c>
      <c r="DT274">
        <v>2</v>
      </c>
      <c r="DU274">
        <v>80</v>
      </c>
      <c r="DV274">
        <v>100</v>
      </c>
      <c r="DW274" s="75">
        <f ca="1">INDIRECT(ADDRESS(11+(MATCH(RIGHT(Table18[[#This Row],[spawner_sku]],LEN(Table18[[#This Row],[spawner_sku]])-FIND("/",Table18[[#This Row],[spawner_sku]])),Table1[Entity Prefab],0)),10,1,1,"Entities"))</f>
        <v>25</v>
      </c>
      <c r="DX274" s="75">
        <f ca="1">ROUND((Table18[[#This Row],[XP]]*Table18[[#This Row],[entity_spawned (AVG)]])*(Table18[[#This Row],[activating_chance]]/100),0)</f>
        <v>50</v>
      </c>
      <c r="DY27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74">
        <v>2</v>
      </c>
      <c r="EA274">
        <v>3</v>
      </c>
      <c r="EB274" t="b">
        <v>0</v>
      </c>
      <c r="ED274" t="s">
        <v>255</v>
      </c>
      <c r="EE274">
        <v>1</v>
      </c>
      <c r="EF274">
        <v>150</v>
      </c>
      <c r="EG274">
        <v>80</v>
      </c>
      <c r="EH274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74" s="75">
        <f ca="1">ROUND((Table1820[[#This Row],[XP]]*Table1820[[#This Row],[entity_spawned (AVG)]])*(Table1820[[#This Row],[activating_chance]]/100),0)</f>
        <v>20</v>
      </c>
      <c r="EJ27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74">
        <v>1</v>
      </c>
      <c r="EL274">
        <v>1</v>
      </c>
      <c r="EM274" t="b">
        <v>0</v>
      </c>
    </row>
    <row r="275" spans="2:143" x14ac:dyDescent="0.25">
      <c r="B275" s="73" t="s">
        <v>234</v>
      </c>
      <c r="C275">
        <v>1</v>
      </c>
      <c r="D275">
        <v>340</v>
      </c>
      <c r="E275">
        <v>100</v>
      </c>
      <c r="F275" s="75">
        <f ca="1">INDIRECT(ADDRESS(11+(MATCH(RIGHT(Table245[[#This Row],[spawner_sku]],LEN(Table245[[#This Row],[spawner_sku]])-FIND("/",Table245[[#This Row],[spawner_sku]])),Table1[Entity Prefab],0)),10,1,1,"Entities"))</f>
        <v>263</v>
      </c>
      <c r="G275" s="75">
        <f ca="1">ROUND((Table245[[#This Row],[XP]]*Table245[[#This Row],[entity_spawned (AVG)]])*(Table245[[#This Row],[activating_chance]]/100),0)</f>
        <v>263</v>
      </c>
      <c r="H27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5" s="72">
        <v>1</v>
      </c>
      <c r="J275" s="72">
        <v>1</v>
      </c>
      <c r="K275" s="72" t="b">
        <v>0</v>
      </c>
      <c r="AI275" t="s">
        <v>386</v>
      </c>
      <c r="AJ275">
        <v>1</v>
      </c>
      <c r="AK275">
        <v>220</v>
      </c>
      <c r="AL275">
        <v>100</v>
      </c>
      <c r="AM275" s="75">
        <f ca="1">INDIRECT(ADDRESS(11+(MATCH(RIGHT(Table2[[#This Row],[spawner_sku]],LEN(Table2[[#This Row],[spawner_sku]])-FIND("/",Table2[[#This Row],[spawner_sku]])),Table1[Entity Prefab],0)),10,1,1,"Entities"))</f>
        <v>75</v>
      </c>
      <c r="AN275" s="75">
        <f ca="1">ROUND((Table2[[#This Row],[XP]]*Table2[[#This Row],[entity_spawned (AVG)]])*(Table2[[#This Row],[activating_chance]]/100),0)</f>
        <v>75</v>
      </c>
      <c r="AO275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75" s="72">
        <v>1</v>
      </c>
      <c r="AQ275" s="72">
        <v>1</v>
      </c>
      <c r="AR275" s="72" t="b">
        <v>0</v>
      </c>
      <c r="BP275" t="s">
        <v>385</v>
      </c>
      <c r="BQ275">
        <v>1</v>
      </c>
      <c r="BR275">
        <v>150</v>
      </c>
      <c r="BS275">
        <v>100</v>
      </c>
      <c r="BT275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75" s="75">
        <f ca="1">ROUND((Table61011[[#This Row],[XP]]*Table61011[[#This Row],[entity_spawned (AVG)]])*(Table61011[[#This Row],[activating_chance]]/100),0)</f>
        <v>75</v>
      </c>
      <c r="BV27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75" s="72">
        <v>1</v>
      </c>
      <c r="BX275" s="72">
        <v>1</v>
      </c>
      <c r="BY275" s="72" t="b">
        <v>0</v>
      </c>
      <c r="CA275" t="s">
        <v>445</v>
      </c>
      <c r="CB275">
        <v>1</v>
      </c>
      <c r="CC275">
        <v>120</v>
      </c>
      <c r="CD275">
        <v>100</v>
      </c>
      <c r="CE275" s="75">
        <f ca="1">INDIRECT(ADDRESS(11+(MATCH(RIGHT(Table11[[#This Row],[spawner_sku]],LEN(Table11[[#This Row],[spawner_sku]])-FIND("/",Table11[[#This Row],[spawner_sku]])),Table1[Entity Prefab],0)),10,1,1,"Entities"))</f>
        <v>0</v>
      </c>
      <c r="CF275">
        <f ca="1">ROUND((Table11[[#This Row],[XP]]*Table11[[#This Row],[entity_spawned (AVG)]])*(Table11[[#This Row],[activating_chance]]/100),0)</f>
        <v>0</v>
      </c>
      <c r="CG275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75" s="72">
        <v>1</v>
      </c>
      <c r="CI275" s="72">
        <v>1</v>
      </c>
      <c r="CJ275" s="72" t="b">
        <v>0</v>
      </c>
      <c r="CW275" t="s">
        <v>256</v>
      </c>
      <c r="CX275">
        <v>1</v>
      </c>
      <c r="CY275">
        <v>150</v>
      </c>
      <c r="CZ275">
        <v>80</v>
      </c>
      <c r="DA275" s="75">
        <f ca="1">INDIRECT(ADDRESS(11+(MATCH(RIGHT(Table13[[#This Row],[spawner_sku]],LEN(Table13[[#This Row],[spawner_sku]])-FIND("/",Table13[[#This Row],[spawner_sku]])),Table1[Entity Prefab],0)),10,1,1,"Entities"))</f>
        <v>25</v>
      </c>
      <c r="DB275" s="75">
        <f ca="1">ROUND((Table13[[#This Row],[XP]]*Table13[[#This Row],[entity_spawned (AVG)]])*(Table13[[#This Row],[activating_chance]]/100),0)</f>
        <v>20</v>
      </c>
      <c r="DC275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75" s="72">
        <v>1</v>
      </c>
      <c r="DE275" s="72">
        <v>1</v>
      </c>
      <c r="DF275" s="72" t="b">
        <v>0</v>
      </c>
      <c r="DH275" t="s">
        <v>517</v>
      </c>
      <c r="DI275">
        <v>1</v>
      </c>
      <c r="DJ275">
        <v>150</v>
      </c>
      <c r="DK275">
        <v>100</v>
      </c>
      <c r="DL275" s="75">
        <f ca="1">INDIRECT(ADDRESS(11+(MATCH(RIGHT(Table14[[#This Row],[spawner_sku]],LEN(Table14[[#This Row],[spawner_sku]])-FIND("/",Table14[[#This Row],[spawner_sku]])),Table1[Entity Prefab],0)),10,1,1,"Entities"))</f>
        <v>95</v>
      </c>
      <c r="DM275" s="75">
        <f ca="1">ROUND((Table14[[#This Row],[XP]]*Table14[[#This Row],[entity_spawned (AVG)]])*(Table14[[#This Row],[activating_chance]]/100),0)</f>
        <v>95</v>
      </c>
      <c r="DN27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75" s="72">
        <v>1</v>
      </c>
      <c r="DP275" s="72">
        <v>1</v>
      </c>
      <c r="DQ275" s="72" t="b">
        <v>0</v>
      </c>
      <c r="DS275" t="s">
        <v>396</v>
      </c>
      <c r="DT275">
        <v>1</v>
      </c>
      <c r="DU275">
        <v>80</v>
      </c>
      <c r="DV275">
        <v>30</v>
      </c>
      <c r="DW275" s="75">
        <f ca="1">INDIRECT(ADDRESS(11+(MATCH(RIGHT(Table18[[#This Row],[spawner_sku]],LEN(Table18[[#This Row],[spawner_sku]])-FIND("/",Table18[[#This Row],[spawner_sku]])),Table1[Entity Prefab],0)),10,1,1,"Entities"))</f>
        <v>25</v>
      </c>
      <c r="DX275" s="75">
        <f ca="1">ROUND((Table18[[#This Row],[XP]]*Table18[[#This Row],[entity_spawned (AVG)]])*(Table18[[#This Row],[activating_chance]]/100),0)</f>
        <v>8</v>
      </c>
      <c r="DY27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75">
        <v>1</v>
      </c>
      <c r="EA275">
        <v>2</v>
      </c>
      <c r="EB275" t="b">
        <v>0</v>
      </c>
      <c r="ED275" t="s">
        <v>255</v>
      </c>
      <c r="EE275">
        <v>1</v>
      </c>
      <c r="EF275">
        <v>150</v>
      </c>
      <c r="EG275">
        <v>80</v>
      </c>
      <c r="EH275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75" s="75">
        <f ca="1">ROUND((Table1820[[#This Row],[XP]]*Table1820[[#This Row],[entity_spawned (AVG)]])*(Table1820[[#This Row],[activating_chance]]/100),0)</f>
        <v>20</v>
      </c>
      <c r="EJ27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75">
        <v>1</v>
      </c>
      <c r="EL275">
        <v>1</v>
      </c>
      <c r="EM275" t="b">
        <v>0</v>
      </c>
    </row>
    <row r="276" spans="2:143" x14ac:dyDescent="0.25">
      <c r="B276" s="73" t="s">
        <v>234</v>
      </c>
      <c r="C276">
        <v>1</v>
      </c>
      <c r="D276">
        <v>340</v>
      </c>
      <c r="E276">
        <v>100</v>
      </c>
      <c r="F276" s="75">
        <f ca="1">INDIRECT(ADDRESS(11+(MATCH(RIGHT(Table245[[#This Row],[spawner_sku]],LEN(Table245[[#This Row],[spawner_sku]])-FIND("/",Table245[[#This Row],[spawner_sku]])),Table1[Entity Prefab],0)),10,1,1,"Entities"))</f>
        <v>263</v>
      </c>
      <c r="G276" s="75">
        <f ca="1">ROUND((Table245[[#This Row],[XP]]*Table245[[#This Row],[entity_spawned (AVG)]])*(Table245[[#This Row],[activating_chance]]/100),0)</f>
        <v>263</v>
      </c>
      <c r="H27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6" s="72">
        <v>1</v>
      </c>
      <c r="J276" s="72">
        <v>1</v>
      </c>
      <c r="K276" s="72" t="b">
        <v>0</v>
      </c>
      <c r="AI276" t="s">
        <v>386</v>
      </c>
      <c r="AJ276">
        <v>1</v>
      </c>
      <c r="AK276">
        <v>220</v>
      </c>
      <c r="AL276">
        <v>100</v>
      </c>
      <c r="AM276" s="75">
        <f ca="1">INDIRECT(ADDRESS(11+(MATCH(RIGHT(Table2[[#This Row],[spawner_sku]],LEN(Table2[[#This Row],[spawner_sku]])-FIND("/",Table2[[#This Row],[spawner_sku]])),Table1[Entity Prefab],0)),10,1,1,"Entities"))</f>
        <v>75</v>
      </c>
      <c r="AN276" s="75">
        <f ca="1">ROUND((Table2[[#This Row],[XP]]*Table2[[#This Row],[entity_spawned (AVG)]])*(Table2[[#This Row],[activating_chance]]/100),0)</f>
        <v>75</v>
      </c>
      <c r="AO27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76" s="72">
        <v>1</v>
      </c>
      <c r="AQ276" s="72">
        <v>1</v>
      </c>
      <c r="AR276" s="72" t="b">
        <v>0</v>
      </c>
      <c r="BP276" t="s">
        <v>385</v>
      </c>
      <c r="BQ276">
        <v>1</v>
      </c>
      <c r="BR276">
        <v>200</v>
      </c>
      <c r="BS276">
        <v>100</v>
      </c>
      <c r="BT276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76" s="75">
        <f ca="1">ROUND((Table61011[[#This Row],[XP]]*Table61011[[#This Row],[entity_spawned (AVG)]])*(Table61011[[#This Row],[activating_chance]]/100),0)</f>
        <v>75</v>
      </c>
      <c r="BV27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76" s="72">
        <v>1</v>
      </c>
      <c r="BX276" s="72">
        <v>1</v>
      </c>
      <c r="BY276" s="72" t="b">
        <v>0</v>
      </c>
      <c r="CA276" t="s">
        <v>445</v>
      </c>
      <c r="CB276">
        <v>1</v>
      </c>
      <c r="CC276">
        <v>200</v>
      </c>
      <c r="CD276">
        <v>80</v>
      </c>
      <c r="CE276" s="75">
        <f ca="1">INDIRECT(ADDRESS(11+(MATCH(RIGHT(Table11[[#This Row],[spawner_sku]],LEN(Table11[[#This Row],[spawner_sku]])-FIND("/",Table11[[#This Row],[spawner_sku]])),Table1[Entity Prefab],0)),10,1,1,"Entities"))</f>
        <v>0</v>
      </c>
      <c r="CF276">
        <f ca="1">ROUND((Table11[[#This Row],[XP]]*Table11[[#This Row],[entity_spawned (AVG)]])*(Table11[[#This Row],[activating_chance]]/100),0)</f>
        <v>0</v>
      </c>
      <c r="CG276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76" s="72">
        <v>1</v>
      </c>
      <c r="CI276" s="72">
        <v>1</v>
      </c>
      <c r="CJ276" s="72" t="b">
        <v>0</v>
      </c>
      <c r="CW276" t="s">
        <v>256</v>
      </c>
      <c r="CX276">
        <v>1</v>
      </c>
      <c r="CY276">
        <v>150</v>
      </c>
      <c r="CZ276">
        <v>80</v>
      </c>
      <c r="DA276" s="75">
        <f ca="1">INDIRECT(ADDRESS(11+(MATCH(RIGHT(Table13[[#This Row],[spawner_sku]],LEN(Table13[[#This Row],[spawner_sku]])-FIND("/",Table13[[#This Row],[spawner_sku]])),Table1[Entity Prefab],0)),10,1,1,"Entities"))</f>
        <v>25</v>
      </c>
      <c r="DB276" s="75">
        <f ca="1">ROUND((Table13[[#This Row],[XP]]*Table13[[#This Row],[entity_spawned (AVG)]])*(Table13[[#This Row],[activating_chance]]/100),0)</f>
        <v>20</v>
      </c>
      <c r="DC276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76" s="72">
        <v>1</v>
      </c>
      <c r="DE276" s="72">
        <v>1</v>
      </c>
      <c r="DF276" s="72" t="b">
        <v>0</v>
      </c>
      <c r="DH276" t="s">
        <v>517</v>
      </c>
      <c r="DI276">
        <v>1</v>
      </c>
      <c r="DJ276">
        <v>180</v>
      </c>
      <c r="DK276">
        <v>50</v>
      </c>
      <c r="DL276" s="75">
        <f ca="1">INDIRECT(ADDRESS(11+(MATCH(RIGHT(Table14[[#This Row],[spawner_sku]],LEN(Table14[[#This Row],[spawner_sku]])-FIND("/",Table14[[#This Row],[spawner_sku]])),Table1[Entity Prefab],0)),10,1,1,"Entities"))</f>
        <v>95</v>
      </c>
      <c r="DM276" s="75">
        <f ca="1">ROUND((Table14[[#This Row],[XP]]*Table14[[#This Row],[entity_spawned (AVG)]])*(Table14[[#This Row],[activating_chance]]/100),0)</f>
        <v>48</v>
      </c>
      <c r="DN27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76" s="72">
        <v>1</v>
      </c>
      <c r="DP276" s="72">
        <v>1</v>
      </c>
      <c r="DQ276" s="72" t="b">
        <v>0</v>
      </c>
      <c r="DS276" t="s">
        <v>396</v>
      </c>
      <c r="DT276">
        <v>1</v>
      </c>
      <c r="DU276">
        <v>80</v>
      </c>
      <c r="DV276">
        <v>80</v>
      </c>
      <c r="DW276" s="75">
        <f ca="1">INDIRECT(ADDRESS(11+(MATCH(RIGHT(Table18[[#This Row],[spawner_sku]],LEN(Table18[[#This Row],[spawner_sku]])-FIND("/",Table18[[#This Row],[spawner_sku]])),Table1[Entity Prefab],0)),10,1,1,"Entities"))</f>
        <v>25</v>
      </c>
      <c r="DX276" s="75">
        <f ca="1">ROUND((Table18[[#This Row],[XP]]*Table18[[#This Row],[entity_spawned (AVG)]])*(Table18[[#This Row],[activating_chance]]/100),0)</f>
        <v>20</v>
      </c>
      <c r="DY27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76">
        <v>1</v>
      </c>
      <c r="EA276">
        <v>1</v>
      </c>
      <c r="EB276" t="b">
        <v>0</v>
      </c>
      <c r="ED276" t="s">
        <v>255</v>
      </c>
      <c r="EE276">
        <v>1</v>
      </c>
      <c r="EF276">
        <v>150</v>
      </c>
      <c r="EG276">
        <v>80</v>
      </c>
      <c r="EH276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76" s="75">
        <f ca="1">ROUND((Table1820[[#This Row],[XP]]*Table1820[[#This Row],[entity_spawned (AVG)]])*(Table1820[[#This Row],[activating_chance]]/100),0)</f>
        <v>20</v>
      </c>
      <c r="EJ27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76">
        <v>1</v>
      </c>
      <c r="EL276">
        <v>1</v>
      </c>
      <c r="EM276" t="b">
        <v>0</v>
      </c>
    </row>
    <row r="277" spans="2:143" x14ac:dyDescent="0.25">
      <c r="B277" s="73" t="s">
        <v>234</v>
      </c>
      <c r="C277">
        <v>1</v>
      </c>
      <c r="D277">
        <v>340</v>
      </c>
      <c r="E277">
        <v>100</v>
      </c>
      <c r="F277" s="75">
        <f ca="1">INDIRECT(ADDRESS(11+(MATCH(RIGHT(Table245[[#This Row],[spawner_sku]],LEN(Table245[[#This Row],[spawner_sku]])-FIND("/",Table245[[#This Row],[spawner_sku]])),Table1[Entity Prefab],0)),10,1,1,"Entities"))</f>
        <v>263</v>
      </c>
      <c r="G277" s="75">
        <f ca="1">ROUND((Table245[[#This Row],[XP]]*Table245[[#This Row],[entity_spawned (AVG)]])*(Table245[[#This Row],[activating_chance]]/100),0)</f>
        <v>263</v>
      </c>
      <c r="H27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7" s="72">
        <v>1</v>
      </c>
      <c r="J277" s="72">
        <v>1</v>
      </c>
      <c r="K277" s="72" t="b">
        <v>0</v>
      </c>
      <c r="AI277" t="s">
        <v>386</v>
      </c>
      <c r="AJ277">
        <v>1</v>
      </c>
      <c r="AK277">
        <v>180</v>
      </c>
      <c r="AL277">
        <v>100</v>
      </c>
      <c r="AM277" s="75">
        <f ca="1">INDIRECT(ADDRESS(11+(MATCH(RIGHT(Table2[[#This Row],[spawner_sku]],LEN(Table2[[#This Row],[spawner_sku]])-FIND("/",Table2[[#This Row],[spawner_sku]])),Table1[Entity Prefab],0)),10,1,1,"Entities"))</f>
        <v>75</v>
      </c>
      <c r="AN277" s="75">
        <f ca="1">ROUND((Table2[[#This Row],[XP]]*Table2[[#This Row],[entity_spawned (AVG)]])*(Table2[[#This Row],[activating_chance]]/100),0)</f>
        <v>75</v>
      </c>
      <c r="AO27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77" s="72">
        <v>1</v>
      </c>
      <c r="AQ277" s="72">
        <v>1</v>
      </c>
      <c r="AR277" s="72" t="b">
        <v>0</v>
      </c>
      <c r="BP277" t="s">
        <v>385</v>
      </c>
      <c r="BQ277">
        <v>1</v>
      </c>
      <c r="BR277">
        <v>200</v>
      </c>
      <c r="BS277">
        <v>100</v>
      </c>
      <c r="BT277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77" s="75">
        <f ca="1">ROUND((Table61011[[#This Row],[XP]]*Table61011[[#This Row],[entity_spawned (AVG)]])*(Table61011[[#This Row],[activating_chance]]/100),0)</f>
        <v>75</v>
      </c>
      <c r="BV27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77" s="72">
        <v>1</v>
      </c>
      <c r="BX277" s="72">
        <v>1</v>
      </c>
      <c r="BY277" s="72" t="b">
        <v>0</v>
      </c>
      <c r="CA277" t="s">
        <v>445</v>
      </c>
      <c r="CB277">
        <v>1</v>
      </c>
      <c r="CC277">
        <v>200</v>
      </c>
      <c r="CD277">
        <v>15</v>
      </c>
      <c r="CE277" s="75">
        <f ca="1">INDIRECT(ADDRESS(11+(MATCH(RIGHT(Table11[[#This Row],[spawner_sku]],LEN(Table11[[#This Row],[spawner_sku]])-FIND("/",Table11[[#This Row],[spawner_sku]])),Table1[Entity Prefab],0)),10,1,1,"Entities"))</f>
        <v>0</v>
      </c>
      <c r="CF277">
        <f ca="1">ROUND((Table11[[#This Row],[XP]]*Table11[[#This Row],[entity_spawned (AVG)]])*(Table11[[#This Row],[activating_chance]]/100),0)</f>
        <v>0</v>
      </c>
      <c r="CG277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77" s="72">
        <v>1</v>
      </c>
      <c r="CI277" s="72">
        <v>1</v>
      </c>
      <c r="CJ277" s="72" t="b">
        <v>0</v>
      </c>
      <c r="CW277" t="s">
        <v>256</v>
      </c>
      <c r="CX277">
        <v>1</v>
      </c>
      <c r="CY277">
        <v>150</v>
      </c>
      <c r="CZ277">
        <v>80</v>
      </c>
      <c r="DA277" s="75">
        <f ca="1">INDIRECT(ADDRESS(11+(MATCH(RIGHT(Table13[[#This Row],[spawner_sku]],LEN(Table13[[#This Row],[spawner_sku]])-FIND("/",Table13[[#This Row],[spawner_sku]])),Table1[Entity Prefab],0)),10,1,1,"Entities"))</f>
        <v>25</v>
      </c>
      <c r="DB277" s="75">
        <f ca="1">ROUND((Table13[[#This Row],[XP]]*Table13[[#This Row],[entity_spawned (AVG)]])*(Table13[[#This Row],[activating_chance]]/100),0)</f>
        <v>20</v>
      </c>
      <c r="DC277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77" s="72">
        <v>1</v>
      </c>
      <c r="DE277" s="72">
        <v>1</v>
      </c>
      <c r="DF277" s="72" t="b">
        <v>0</v>
      </c>
      <c r="DH277" t="s">
        <v>517</v>
      </c>
      <c r="DI277">
        <v>1</v>
      </c>
      <c r="DJ277">
        <v>100</v>
      </c>
      <c r="DK277">
        <v>100</v>
      </c>
      <c r="DL277" s="75">
        <f ca="1">INDIRECT(ADDRESS(11+(MATCH(RIGHT(Table14[[#This Row],[spawner_sku]],LEN(Table14[[#This Row],[spawner_sku]])-FIND("/",Table14[[#This Row],[spawner_sku]])),Table1[Entity Prefab],0)),10,1,1,"Entities"))</f>
        <v>95</v>
      </c>
      <c r="DM277" s="75">
        <f ca="1">ROUND((Table14[[#This Row],[XP]]*Table14[[#This Row],[entity_spawned (AVG)]])*(Table14[[#This Row],[activating_chance]]/100),0)</f>
        <v>95</v>
      </c>
      <c r="DN27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77" s="72">
        <v>1</v>
      </c>
      <c r="DP277" s="72">
        <v>1</v>
      </c>
      <c r="DQ277" s="72" t="b">
        <v>0</v>
      </c>
      <c r="DS277" t="s">
        <v>396</v>
      </c>
      <c r="DT277">
        <v>1</v>
      </c>
      <c r="DU277">
        <v>80</v>
      </c>
      <c r="DV277">
        <v>100</v>
      </c>
      <c r="DW277" s="75">
        <f ca="1">INDIRECT(ADDRESS(11+(MATCH(RIGHT(Table18[[#This Row],[spawner_sku]],LEN(Table18[[#This Row],[spawner_sku]])-FIND("/",Table18[[#This Row],[spawner_sku]])),Table1[Entity Prefab],0)),10,1,1,"Entities"))</f>
        <v>25</v>
      </c>
      <c r="DX277" s="75">
        <f ca="1">ROUND((Table18[[#This Row],[XP]]*Table18[[#This Row],[entity_spawned (AVG)]])*(Table18[[#This Row],[activating_chance]]/100),0)</f>
        <v>25</v>
      </c>
      <c r="DY27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77">
        <v>1</v>
      </c>
      <c r="EA277">
        <v>1</v>
      </c>
      <c r="EB277" t="b">
        <v>0</v>
      </c>
      <c r="ED277" t="s">
        <v>255</v>
      </c>
      <c r="EE277">
        <v>1</v>
      </c>
      <c r="EF277">
        <v>150</v>
      </c>
      <c r="EG277">
        <v>80</v>
      </c>
      <c r="EH277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77" s="75">
        <f ca="1">ROUND((Table1820[[#This Row],[XP]]*Table1820[[#This Row],[entity_spawned (AVG)]])*(Table1820[[#This Row],[activating_chance]]/100),0)</f>
        <v>20</v>
      </c>
      <c r="EJ27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77">
        <v>1</v>
      </c>
      <c r="EL277">
        <v>1</v>
      </c>
      <c r="EM277" t="b">
        <v>0</v>
      </c>
    </row>
    <row r="278" spans="2:143" x14ac:dyDescent="0.25">
      <c r="B278" s="73" t="s">
        <v>234</v>
      </c>
      <c r="C278">
        <v>1</v>
      </c>
      <c r="D278">
        <v>340</v>
      </c>
      <c r="E278">
        <v>100</v>
      </c>
      <c r="F278" s="75">
        <f ca="1">INDIRECT(ADDRESS(11+(MATCH(RIGHT(Table245[[#This Row],[spawner_sku]],LEN(Table245[[#This Row],[spawner_sku]])-FIND("/",Table245[[#This Row],[spawner_sku]])),Table1[Entity Prefab],0)),10,1,1,"Entities"))</f>
        <v>263</v>
      </c>
      <c r="G278" s="75">
        <f ca="1">ROUND((Table245[[#This Row],[XP]]*Table245[[#This Row],[entity_spawned (AVG)]])*(Table245[[#This Row],[activating_chance]]/100),0)</f>
        <v>263</v>
      </c>
      <c r="H27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8" s="72">
        <v>1</v>
      </c>
      <c r="J278" s="72">
        <v>1</v>
      </c>
      <c r="K278" s="72" t="b">
        <v>0</v>
      </c>
      <c r="AI278" t="s">
        <v>386</v>
      </c>
      <c r="AJ278">
        <v>1</v>
      </c>
      <c r="AK278">
        <v>180</v>
      </c>
      <c r="AL278">
        <v>100</v>
      </c>
      <c r="AM278" s="75">
        <f ca="1">INDIRECT(ADDRESS(11+(MATCH(RIGHT(Table2[[#This Row],[spawner_sku]],LEN(Table2[[#This Row],[spawner_sku]])-FIND("/",Table2[[#This Row],[spawner_sku]])),Table1[Entity Prefab],0)),10,1,1,"Entities"))</f>
        <v>75</v>
      </c>
      <c r="AN278" s="75">
        <f ca="1">ROUND((Table2[[#This Row],[XP]]*Table2[[#This Row],[entity_spawned (AVG)]])*(Table2[[#This Row],[activating_chance]]/100),0)</f>
        <v>75</v>
      </c>
      <c r="AO27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78" s="72">
        <v>1</v>
      </c>
      <c r="AQ278" s="72">
        <v>1</v>
      </c>
      <c r="AR278" s="72" t="b">
        <v>0</v>
      </c>
      <c r="BP278" t="s">
        <v>385</v>
      </c>
      <c r="BQ278">
        <v>1</v>
      </c>
      <c r="BR278">
        <v>200</v>
      </c>
      <c r="BS278">
        <v>100</v>
      </c>
      <c r="BT278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78" s="75">
        <f ca="1">ROUND((Table61011[[#This Row],[XP]]*Table61011[[#This Row],[entity_spawned (AVG)]])*(Table61011[[#This Row],[activating_chance]]/100),0)</f>
        <v>75</v>
      </c>
      <c r="BV27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78" s="72">
        <v>1</v>
      </c>
      <c r="BX278" s="72">
        <v>1</v>
      </c>
      <c r="BY278" s="72" t="b">
        <v>0</v>
      </c>
      <c r="CA278" t="s">
        <v>445</v>
      </c>
      <c r="CB278">
        <v>1</v>
      </c>
      <c r="CC278">
        <v>120</v>
      </c>
      <c r="CD278">
        <v>90</v>
      </c>
      <c r="CE278" s="75">
        <f ca="1">INDIRECT(ADDRESS(11+(MATCH(RIGHT(Table11[[#This Row],[spawner_sku]],LEN(Table11[[#This Row],[spawner_sku]])-FIND("/",Table11[[#This Row],[spawner_sku]])),Table1[Entity Prefab],0)),10,1,1,"Entities"))</f>
        <v>0</v>
      </c>
      <c r="CF278">
        <f ca="1">ROUND((Table11[[#This Row],[XP]]*Table11[[#This Row],[entity_spawned (AVG)]])*(Table11[[#This Row],[activating_chance]]/100),0)</f>
        <v>0</v>
      </c>
      <c r="CG278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78" s="72">
        <v>1</v>
      </c>
      <c r="CI278" s="72">
        <v>1</v>
      </c>
      <c r="CJ278" s="72" t="b">
        <v>0</v>
      </c>
      <c r="CW278" t="s">
        <v>256</v>
      </c>
      <c r="CX278">
        <v>1</v>
      </c>
      <c r="CY278">
        <v>150</v>
      </c>
      <c r="CZ278">
        <v>80</v>
      </c>
      <c r="DA278" s="75">
        <f ca="1">INDIRECT(ADDRESS(11+(MATCH(RIGHT(Table13[[#This Row],[spawner_sku]],LEN(Table13[[#This Row],[spawner_sku]])-FIND("/",Table13[[#This Row],[spawner_sku]])),Table1[Entity Prefab],0)),10,1,1,"Entities"))</f>
        <v>25</v>
      </c>
      <c r="DB278" s="75">
        <f ca="1">ROUND((Table13[[#This Row],[XP]]*Table13[[#This Row],[entity_spawned (AVG)]])*(Table13[[#This Row],[activating_chance]]/100),0)</f>
        <v>20</v>
      </c>
      <c r="DC278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78" s="72">
        <v>1</v>
      </c>
      <c r="DE278" s="72">
        <v>1</v>
      </c>
      <c r="DF278" s="72" t="b">
        <v>0</v>
      </c>
      <c r="DH278" t="s">
        <v>517</v>
      </c>
      <c r="DI278">
        <v>1</v>
      </c>
      <c r="DJ278">
        <v>180</v>
      </c>
      <c r="DK278">
        <v>100</v>
      </c>
      <c r="DL278" s="75">
        <f ca="1">INDIRECT(ADDRESS(11+(MATCH(RIGHT(Table14[[#This Row],[spawner_sku]],LEN(Table14[[#This Row],[spawner_sku]])-FIND("/",Table14[[#This Row],[spawner_sku]])),Table1[Entity Prefab],0)),10,1,1,"Entities"))</f>
        <v>95</v>
      </c>
      <c r="DM278" s="75">
        <f ca="1">ROUND((Table14[[#This Row],[XP]]*Table14[[#This Row],[entity_spawned (AVG)]])*(Table14[[#This Row],[activating_chance]]/100),0)</f>
        <v>95</v>
      </c>
      <c r="DN27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78" s="72">
        <v>1</v>
      </c>
      <c r="DP278" s="72">
        <v>1</v>
      </c>
      <c r="DQ278" s="72" t="b">
        <v>0</v>
      </c>
      <c r="DS278" t="s">
        <v>396</v>
      </c>
      <c r="DT278">
        <v>1</v>
      </c>
      <c r="DU278">
        <v>90</v>
      </c>
      <c r="DV278">
        <v>100</v>
      </c>
      <c r="DW278" s="75">
        <f ca="1">INDIRECT(ADDRESS(11+(MATCH(RIGHT(Table18[[#This Row],[spawner_sku]],LEN(Table18[[#This Row],[spawner_sku]])-FIND("/",Table18[[#This Row],[spawner_sku]])),Table1[Entity Prefab],0)),10,1,1,"Entities"))</f>
        <v>25</v>
      </c>
      <c r="DX278" s="75">
        <f ca="1">ROUND((Table18[[#This Row],[XP]]*Table18[[#This Row],[entity_spawned (AVG)]])*(Table18[[#This Row],[activating_chance]]/100),0)</f>
        <v>25</v>
      </c>
      <c r="DY27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78">
        <v>1</v>
      </c>
      <c r="EA278">
        <v>1</v>
      </c>
      <c r="EB278" t="b">
        <v>0</v>
      </c>
    </row>
    <row r="279" spans="2:143" x14ac:dyDescent="0.25">
      <c r="B279" s="73" t="s">
        <v>402</v>
      </c>
      <c r="C279">
        <v>1</v>
      </c>
      <c r="D279">
        <v>340</v>
      </c>
      <c r="E279">
        <v>100</v>
      </c>
      <c r="F279" s="75">
        <f ca="1">INDIRECT(ADDRESS(11+(MATCH(RIGHT(Table245[[#This Row],[spawner_sku]],LEN(Table245[[#This Row],[spawner_sku]])-FIND("/",Table245[[#This Row],[spawner_sku]])),Table1[Entity Prefab],0)),10,1,1,"Entities"))</f>
        <v>263</v>
      </c>
      <c r="G279" s="75">
        <f ca="1">ROUND((Table245[[#This Row],[XP]]*Table245[[#This Row],[entity_spawned (AVG)]])*(Table245[[#This Row],[activating_chance]]/100),0)</f>
        <v>263</v>
      </c>
      <c r="H27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9" s="72">
        <v>1</v>
      </c>
      <c r="J279" s="72">
        <v>1</v>
      </c>
      <c r="K279" s="72" t="b">
        <v>0</v>
      </c>
      <c r="AI279" t="s">
        <v>386</v>
      </c>
      <c r="AJ279">
        <v>1</v>
      </c>
      <c r="AK279">
        <v>180</v>
      </c>
      <c r="AL279">
        <v>100</v>
      </c>
      <c r="AM279" s="75">
        <f ca="1">INDIRECT(ADDRESS(11+(MATCH(RIGHT(Table2[[#This Row],[spawner_sku]],LEN(Table2[[#This Row],[spawner_sku]])-FIND("/",Table2[[#This Row],[spawner_sku]])),Table1[Entity Prefab],0)),10,1,1,"Entities"))</f>
        <v>75</v>
      </c>
      <c r="AN279" s="75">
        <f ca="1">ROUND((Table2[[#This Row],[XP]]*Table2[[#This Row],[entity_spawned (AVG)]])*(Table2[[#This Row],[activating_chance]]/100),0)</f>
        <v>75</v>
      </c>
      <c r="AO27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79" s="72">
        <v>1</v>
      </c>
      <c r="AQ279" s="72">
        <v>1</v>
      </c>
      <c r="AR279" s="72" t="b">
        <v>0</v>
      </c>
      <c r="BP279" t="s">
        <v>385</v>
      </c>
      <c r="BQ279">
        <v>1</v>
      </c>
      <c r="BR279">
        <v>120</v>
      </c>
      <c r="BS279">
        <v>100</v>
      </c>
      <c r="BT279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79" s="75">
        <f ca="1">ROUND((Table61011[[#This Row],[XP]]*Table61011[[#This Row],[entity_spawned (AVG)]])*(Table61011[[#This Row],[activating_chance]]/100),0)</f>
        <v>75</v>
      </c>
      <c r="BV27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79" s="72">
        <v>1</v>
      </c>
      <c r="BX279" s="72">
        <v>1</v>
      </c>
      <c r="BY279" s="72" t="b">
        <v>0</v>
      </c>
      <c r="CA279" t="s">
        <v>445</v>
      </c>
      <c r="CB279">
        <v>1.5</v>
      </c>
      <c r="CC279">
        <v>200</v>
      </c>
      <c r="CD279">
        <v>30</v>
      </c>
      <c r="CE279" s="75">
        <f ca="1">INDIRECT(ADDRESS(11+(MATCH(RIGHT(Table11[[#This Row],[spawner_sku]],LEN(Table11[[#This Row],[spawner_sku]])-FIND("/",Table11[[#This Row],[spawner_sku]])),Table1[Entity Prefab],0)),10,1,1,"Entities"))</f>
        <v>0</v>
      </c>
      <c r="CF279">
        <f ca="1">ROUND((Table11[[#This Row],[XP]]*Table11[[#This Row],[entity_spawned (AVG)]])*(Table11[[#This Row],[activating_chance]]/100),0)</f>
        <v>0</v>
      </c>
      <c r="CG279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79" s="72">
        <v>1</v>
      </c>
      <c r="CI279" s="72">
        <v>2</v>
      </c>
      <c r="CJ279" s="72" t="b">
        <v>0</v>
      </c>
      <c r="CW279" t="s">
        <v>256</v>
      </c>
      <c r="CX279">
        <v>1</v>
      </c>
      <c r="CY279">
        <v>150</v>
      </c>
      <c r="CZ279">
        <v>100</v>
      </c>
      <c r="DA279" s="75">
        <f ca="1">INDIRECT(ADDRESS(11+(MATCH(RIGHT(Table13[[#This Row],[spawner_sku]],LEN(Table13[[#This Row],[spawner_sku]])-FIND("/",Table13[[#This Row],[spawner_sku]])),Table1[Entity Prefab],0)),10,1,1,"Entities"))</f>
        <v>25</v>
      </c>
      <c r="DB279" s="75">
        <f ca="1">ROUND((Table13[[#This Row],[XP]]*Table13[[#This Row],[entity_spawned (AVG)]])*(Table13[[#This Row],[activating_chance]]/100),0)</f>
        <v>25</v>
      </c>
      <c r="DC279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79" s="72">
        <v>1</v>
      </c>
      <c r="DE279" s="72">
        <v>1</v>
      </c>
      <c r="DF279" s="72" t="b">
        <v>0</v>
      </c>
      <c r="DH279" t="s">
        <v>517</v>
      </c>
      <c r="DI279">
        <v>1</v>
      </c>
      <c r="DJ279">
        <v>90</v>
      </c>
      <c r="DK279">
        <v>10</v>
      </c>
      <c r="DL279" s="75">
        <f ca="1">INDIRECT(ADDRESS(11+(MATCH(RIGHT(Table14[[#This Row],[spawner_sku]],LEN(Table14[[#This Row],[spawner_sku]])-FIND("/",Table14[[#This Row],[spawner_sku]])),Table1[Entity Prefab],0)),10,1,1,"Entities"))</f>
        <v>95</v>
      </c>
      <c r="DM279" s="75">
        <f ca="1">ROUND((Table14[[#This Row],[XP]]*Table14[[#This Row],[entity_spawned (AVG)]])*(Table14[[#This Row],[activating_chance]]/100),0)</f>
        <v>10</v>
      </c>
      <c r="DN27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79" s="72">
        <v>1</v>
      </c>
      <c r="DP279" s="72">
        <v>1</v>
      </c>
      <c r="DQ279" s="72" t="b">
        <v>0</v>
      </c>
      <c r="DS279" t="s">
        <v>396</v>
      </c>
      <c r="DT279">
        <v>1</v>
      </c>
      <c r="DU279">
        <v>90</v>
      </c>
      <c r="DV279">
        <v>80</v>
      </c>
      <c r="DW279" s="75">
        <f ca="1">INDIRECT(ADDRESS(11+(MATCH(RIGHT(Table18[[#This Row],[spawner_sku]],LEN(Table18[[#This Row],[spawner_sku]])-FIND("/",Table18[[#This Row],[spawner_sku]])),Table1[Entity Prefab],0)),10,1,1,"Entities"))</f>
        <v>25</v>
      </c>
      <c r="DX279" s="75">
        <f ca="1">ROUND((Table18[[#This Row],[XP]]*Table18[[#This Row],[entity_spawned (AVG)]])*(Table18[[#This Row],[activating_chance]]/100),0)</f>
        <v>20</v>
      </c>
      <c r="DY27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79">
        <v>1</v>
      </c>
      <c r="EA279">
        <v>1</v>
      </c>
      <c r="EB279" t="b">
        <v>0</v>
      </c>
    </row>
    <row r="280" spans="2:143" x14ac:dyDescent="0.25">
      <c r="B280" s="73" t="s">
        <v>235</v>
      </c>
      <c r="C280">
        <v>1</v>
      </c>
      <c r="D280">
        <v>180</v>
      </c>
      <c r="E280">
        <v>100</v>
      </c>
      <c r="F280" s="75">
        <f ca="1">INDIRECT(ADDRESS(11+(MATCH(RIGHT(Table245[[#This Row],[spawner_sku]],LEN(Table245[[#This Row],[spawner_sku]])-FIND("/",Table245[[#This Row],[spawner_sku]])),Table1[Entity Prefab],0)),10,1,1,"Entities"))</f>
        <v>25</v>
      </c>
      <c r="G280" s="75">
        <f ca="1">ROUND((Table245[[#This Row],[XP]]*Table245[[#This Row],[entity_spawned (AVG)]])*(Table245[[#This Row],[activating_chance]]/100),0)</f>
        <v>25</v>
      </c>
      <c r="H28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0" s="72">
        <v>1</v>
      </c>
      <c r="J280" s="72">
        <v>1</v>
      </c>
      <c r="K280" s="72" t="b">
        <v>0</v>
      </c>
      <c r="AI280" t="s">
        <v>386</v>
      </c>
      <c r="AJ280">
        <v>1</v>
      </c>
      <c r="AK280">
        <v>220</v>
      </c>
      <c r="AL280">
        <v>100</v>
      </c>
      <c r="AM280" s="75">
        <f ca="1">INDIRECT(ADDRESS(11+(MATCH(RIGHT(Table2[[#This Row],[spawner_sku]],LEN(Table2[[#This Row],[spawner_sku]])-FIND("/",Table2[[#This Row],[spawner_sku]])),Table1[Entity Prefab],0)),10,1,1,"Entities"))</f>
        <v>75</v>
      </c>
      <c r="AN280" s="75">
        <f ca="1">ROUND((Table2[[#This Row],[XP]]*Table2[[#This Row],[entity_spawned (AVG)]])*(Table2[[#This Row],[activating_chance]]/100),0)</f>
        <v>75</v>
      </c>
      <c r="AO28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80" s="72">
        <v>1</v>
      </c>
      <c r="AQ280" s="72">
        <v>1</v>
      </c>
      <c r="AR280" s="72" t="b">
        <v>0</v>
      </c>
      <c r="BP280" t="s">
        <v>385</v>
      </c>
      <c r="BQ280">
        <v>1</v>
      </c>
      <c r="BR280">
        <v>120</v>
      </c>
      <c r="BS280">
        <v>100</v>
      </c>
      <c r="BT280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80" s="75">
        <f ca="1">ROUND((Table61011[[#This Row],[XP]]*Table61011[[#This Row],[entity_spawned (AVG)]])*(Table61011[[#This Row],[activating_chance]]/100),0)</f>
        <v>75</v>
      </c>
      <c r="BV28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0" s="72">
        <v>1</v>
      </c>
      <c r="BX280" s="72">
        <v>1</v>
      </c>
      <c r="BY280" s="72" t="b">
        <v>0</v>
      </c>
      <c r="CA280" t="s">
        <v>445</v>
      </c>
      <c r="CB280">
        <v>1</v>
      </c>
      <c r="CC280">
        <v>200</v>
      </c>
      <c r="CD280">
        <v>100</v>
      </c>
      <c r="CE280" s="75">
        <f ca="1">INDIRECT(ADDRESS(11+(MATCH(RIGHT(Table11[[#This Row],[spawner_sku]],LEN(Table11[[#This Row],[spawner_sku]])-FIND("/",Table11[[#This Row],[spawner_sku]])),Table1[Entity Prefab],0)),10,1,1,"Entities"))</f>
        <v>0</v>
      </c>
      <c r="CF280">
        <f ca="1">ROUND((Table11[[#This Row],[XP]]*Table11[[#This Row],[entity_spawned (AVG)]])*(Table11[[#This Row],[activating_chance]]/100),0)</f>
        <v>0</v>
      </c>
      <c r="CG280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80" s="72">
        <v>1</v>
      </c>
      <c r="CI280" s="72">
        <v>1</v>
      </c>
      <c r="CJ280" s="72" t="b">
        <v>0</v>
      </c>
      <c r="CW280" t="s">
        <v>256</v>
      </c>
      <c r="CX280">
        <v>1</v>
      </c>
      <c r="CY280">
        <v>150</v>
      </c>
      <c r="CZ280">
        <v>10</v>
      </c>
      <c r="DA280" s="75">
        <f ca="1">INDIRECT(ADDRESS(11+(MATCH(RIGHT(Table13[[#This Row],[spawner_sku]],LEN(Table13[[#This Row],[spawner_sku]])-FIND("/",Table13[[#This Row],[spawner_sku]])),Table1[Entity Prefab],0)),10,1,1,"Entities"))</f>
        <v>25</v>
      </c>
      <c r="DB280" s="75">
        <f ca="1">ROUND((Table13[[#This Row],[XP]]*Table13[[#This Row],[entity_spawned (AVG)]])*(Table13[[#This Row],[activating_chance]]/100),0)</f>
        <v>3</v>
      </c>
      <c r="DC280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80" s="72">
        <v>1</v>
      </c>
      <c r="DE280" s="72">
        <v>1</v>
      </c>
      <c r="DF280" s="72" t="b">
        <v>0</v>
      </c>
      <c r="DH280" t="s">
        <v>517</v>
      </c>
      <c r="DI280">
        <v>1</v>
      </c>
      <c r="DJ280">
        <v>140</v>
      </c>
      <c r="DK280">
        <v>100</v>
      </c>
      <c r="DL280" s="75">
        <f ca="1">INDIRECT(ADDRESS(11+(MATCH(RIGHT(Table14[[#This Row],[spawner_sku]],LEN(Table14[[#This Row],[spawner_sku]])-FIND("/",Table14[[#This Row],[spawner_sku]])),Table1[Entity Prefab],0)),10,1,1,"Entities"))</f>
        <v>95</v>
      </c>
      <c r="DM280" s="75">
        <f ca="1">ROUND((Table14[[#This Row],[XP]]*Table14[[#This Row],[entity_spawned (AVG)]])*(Table14[[#This Row],[activating_chance]]/100),0)</f>
        <v>95</v>
      </c>
      <c r="DN28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80" s="72">
        <v>1</v>
      </c>
      <c r="DP280" s="72">
        <v>1</v>
      </c>
      <c r="DQ280" s="72" t="b">
        <v>0</v>
      </c>
      <c r="DS280" t="s">
        <v>396</v>
      </c>
      <c r="DT280">
        <v>1</v>
      </c>
      <c r="DU280">
        <v>70</v>
      </c>
      <c r="DV280">
        <v>80</v>
      </c>
      <c r="DW280" s="75">
        <f ca="1">INDIRECT(ADDRESS(11+(MATCH(RIGHT(Table18[[#This Row],[spawner_sku]],LEN(Table18[[#This Row],[spawner_sku]])-FIND("/",Table18[[#This Row],[spawner_sku]])),Table1[Entity Prefab],0)),10,1,1,"Entities"))</f>
        <v>25</v>
      </c>
      <c r="DX280" s="75">
        <f ca="1">ROUND((Table18[[#This Row],[XP]]*Table18[[#This Row],[entity_spawned (AVG)]])*(Table18[[#This Row],[activating_chance]]/100),0)</f>
        <v>20</v>
      </c>
      <c r="DY28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80">
        <v>1</v>
      </c>
      <c r="EA280">
        <v>1</v>
      </c>
      <c r="EB280" t="b">
        <v>0</v>
      </c>
    </row>
    <row r="281" spans="2:143" x14ac:dyDescent="0.25">
      <c r="B281" s="73" t="s">
        <v>235</v>
      </c>
      <c r="C281">
        <v>1</v>
      </c>
      <c r="D281">
        <v>180</v>
      </c>
      <c r="E281">
        <v>100</v>
      </c>
      <c r="F281" s="75">
        <f ca="1">INDIRECT(ADDRESS(11+(MATCH(RIGHT(Table245[[#This Row],[spawner_sku]],LEN(Table245[[#This Row],[spawner_sku]])-FIND("/",Table245[[#This Row],[spawner_sku]])),Table1[Entity Prefab],0)),10,1,1,"Entities"))</f>
        <v>25</v>
      </c>
      <c r="G281" s="75">
        <f ca="1">ROUND((Table245[[#This Row],[XP]]*Table245[[#This Row],[entity_spawned (AVG)]])*(Table245[[#This Row],[activating_chance]]/100),0)</f>
        <v>25</v>
      </c>
      <c r="H28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1" s="72">
        <v>1</v>
      </c>
      <c r="J281" s="72">
        <v>1</v>
      </c>
      <c r="K281" s="72" t="b">
        <v>0</v>
      </c>
      <c r="AI281" t="s">
        <v>385</v>
      </c>
      <c r="AJ281">
        <v>1</v>
      </c>
      <c r="AK281">
        <v>200</v>
      </c>
      <c r="AL281">
        <v>100</v>
      </c>
      <c r="AM281" s="75">
        <f ca="1">INDIRECT(ADDRESS(11+(MATCH(RIGHT(Table2[[#This Row],[spawner_sku]],LEN(Table2[[#This Row],[spawner_sku]])-FIND("/",Table2[[#This Row],[spawner_sku]])),Table1[Entity Prefab],0)),10,1,1,"Entities"))</f>
        <v>75</v>
      </c>
      <c r="AN281" s="75">
        <f ca="1">ROUND((Table2[[#This Row],[XP]]*Table2[[#This Row],[entity_spawned (AVG)]])*(Table2[[#This Row],[activating_chance]]/100),0)</f>
        <v>75</v>
      </c>
      <c r="AO28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81" s="72">
        <v>1</v>
      </c>
      <c r="AQ281" s="72">
        <v>1</v>
      </c>
      <c r="AR281" s="72" t="b">
        <v>0</v>
      </c>
      <c r="BP281" t="s">
        <v>385</v>
      </c>
      <c r="BQ281">
        <v>1</v>
      </c>
      <c r="BR281">
        <v>200</v>
      </c>
      <c r="BS281">
        <v>100</v>
      </c>
      <c r="BT281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81" s="75">
        <f ca="1">ROUND((Table61011[[#This Row],[XP]]*Table61011[[#This Row],[entity_spawned (AVG)]])*(Table61011[[#This Row],[activating_chance]]/100),0)</f>
        <v>75</v>
      </c>
      <c r="BV28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1" s="72">
        <v>1</v>
      </c>
      <c r="BX281" s="72">
        <v>1</v>
      </c>
      <c r="BY281" s="72" t="b">
        <v>0</v>
      </c>
      <c r="CA281" t="s">
        <v>445</v>
      </c>
      <c r="CB281">
        <v>1</v>
      </c>
      <c r="CC281">
        <v>200</v>
      </c>
      <c r="CD281">
        <v>100</v>
      </c>
      <c r="CE281" s="75">
        <f ca="1">INDIRECT(ADDRESS(11+(MATCH(RIGHT(Table11[[#This Row],[spawner_sku]],LEN(Table11[[#This Row],[spawner_sku]])-FIND("/",Table11[[#This Row],[spawner_sku]])),Table1[Entity Prefab],0)),10,1,1,"Entities"))</f>
        <v>0</v>
      </c>
      <c r="CF281">
        <f ca="1">ROUND((Table11[[#This Row],[XP]]*Table11[[#This Row],[entity_spawned (AVG)]])*(Table11[[#This Row],[activating_chance]]/100),0)</f>
        <v>0</v>
      </c>
      <c r="CG281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81" s="72">
        <v>1</v>
      </c>
      <c r="CI281" s="72">
        <v>1</v>
      </c>
      <c r="CJ281" s="72" t="b">
        <v>0</v>
      </c>
      <c r="CW281" t="s">
        <v>256</v>
      </c>
      <c r="CX281">
        <v>1</v>
      </c>
      <c r="CY281">
        <v>150</v>
      </c>
      <c r="CZ281">
        <v>100</v>
      </c>
      <c r="DA281" s="75">
        <f ca="1">INDIRECT(ADDRESS(11+(MATCH(RIGHT(Table13[[#This Row],[spawner_sku]],LEN(Table13[[#This Row],[spawner_sku]])-FIND("/",Table13[[#This Row],[spawner_sku]])),Table1[Entity Prefab],0)),10,1,1,"Entities"))</f>
        <v>25</v>
      </c>
      <c r="DB281" s="75">
        <f ca="1">ROUND((Table13[[#This Row],[XP]]*Table13[[#This Row],[entity_spawned (AVG)]])*(Table13[[#This Row],[activating_chance]]/100),0)</f>
        <v>25</v>
      </c>
      <c r="DC281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81" s="72">
        <v>1</v>
      </c>
      <c r="DE281" s="72">
        <v>1</v>
      </c>
      <c r="DF281" s="72" t="b">
        <v>0</v>
      </c>
      <c r="DH281" t="s">
        <v>517</v>
      </c>
      <c r="DI281">
        <v>1</v>
      </c>
      <c r="DJ281">
        <v>140</v>
      </c>
      <c r="DK281">
        <v>100</v>
      </c>
      <c r="DL281" s="75">
        <f ca="1">INDIRECT(ADDRESS(11+(MATCH(RIGHT(Table14[[#This Row],[spawner_sku]],LEN(Table14[[#This Row],[spawner_sku]])-FIND("/",Table14[[#This Row],[spawner_sku]])),Table1[Entity Prefab],0)),10,1,1,"Entities"))</f>
        <v>95</v>
      </c>
      <c r="DM281" s="75">
        <f ca="1">ROUND((Table14[[#This Row],[XP]]*Table14[[#This Row],[entity_spawned (AVG)]])*(Table14[[#This Row],[activating_chance]]/100),0)</f>
        <v>95</v>
      </c>
      <c r="DN28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81" s="72">
        <v>1</v>
      </c>
      <c r="DP281" s="72">
        <v>1</v>
      </c>
      <c r="DQ281" s="72" t="b">
        <v>0</v>
      </c>
      <c r="DS281" t="s">
        <v>396</v>
      </c>
      <c r="DT281">
        <v>1</v>
      </c>
      <c r="DU281">
        <v>80</v>
      </c>
      <c r="DV281">
        <v>100</v>
      </c>
      <c r="DW281" s="75">
        <f ca="1">INDIRECT(ADDRESS(11+(MATCH(RIGHT(Table18[[#This Row],[spawner_sku]],LEN(Table18[[#This Row],[spawner_sku]])-FIND("/",Table18[[#This Row],[spawner_sku]])),Table1[Entity Prefab],0)),10,1,1,"Entities"))</f>
        <v>25</v>
      </c>
      <c r="DX281" s="75">
        <f ca="1">ROUND((Table18[[#This Row],[XP]]*Table18[[#This Row],[entity_spawned (AVG)]])*(Table18[[#This Row],[activating_chance]]/100),0)</f>
        <v>25</v>
      </c>
      <c r="DY28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81">
        <v>1</v>
      </c>
      <c r="EA281">
        <v>1</v>
      </c>
      <c r="EB281" t="b">
        <v>0</v>
      </c>
    </row>
    <row r="282" spans="2:143" x14ac:dyDescent="0.25">
      <c r="B282" s="73" t="s">
        <v>235</v>
      </c>
      <c r="C282">
        <v>1</v>
      </c>
      <c r="D282">
        <v>180</v>
      </c>
      <c r="E282">
        <v>100</v>
      </c>
      <c r="F282" s="75">
        <f ca="1">INDIRECT(ADDRESS(11+(MATCH(RIGHT(Table245[[#This Row],[spawner_sku]],LEN(Table245[[#This Row],[spawner_sku]])-FIND("/",Table245[[#This Row],[spawner_sku]])),Table1[Entity Prefab],0)),10,1,1,"Entities"))</f>
        <v>25</v>
      </c>
      <c r="G282" s="75">
        <f ca="1">ROUND((Table245[[#This Row],[XP]]*Table245[[#This Row],[entity_spawned (AVG)]])*(Table245[[#This Row],[activating_chance]]/100),0)</f>
        <v>25</v>
      </c>
      <c r="H28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2" s="72">
        <v>1</v>
      </c>
      <c r="J282" s="72">
        <v>1</v>
      </c>
      <c r="K282" s="72" t="b">
        <v>0</v>
      </c>
      <c r="AI282" t="s">
        <v>385</v>
      </c>
      <c r="AJ282">
        <v>1</v>
      </c>
      <c r="AK282">
        <v>220</v>
      </c>
      <c r="AL282">
        <v>100</v>
      </c>
      <c r="AM282" s="75">
        <f ca="1">INDIRECT(ADDRESS(11+(MATCH(RIGHT(Table2[[#This Row],[spawner_sku]],LEN(Table2[[#This Row],[spawner_sku]])-FIND("/",Table2[[#This Row],[spawner_sku]])),Table1[Entity Prefab],0)),10,1,1,"Entities"))</f>
        <v>75</v>
      </c>
      <c r="AN282" s="75">
        <f ca="1">ROUND((Table2[[#This Row],[XP]]*Table2[[#This Row],[entity_spawned (AVG)]])*(Table2[[#This Row],[activating_chance]]/100),0)</f>
        <v>75</v>
      </c>
      <c r="AO28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82" s="72">
        <v>1</v>
      </c>
      <c r="AQ282" s="72">
        <v>1</v>
      </c>
      <c r="AR282" s="72" t="b">
        <v>0</v>
      </c>
      <c r="BP282" t="s">
        <v>385</v>
      </c>
      <c r="BQ282">
        <v>1</v>
      </c>
      <c r="BR282">
        <v>120</v>
      </c>
      <c r="BS282">
        <v>100</v>
      </c>
      <c r="BT282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82" s="75">
        <f ca="1">ROUND((Table61011[[#This Row],[XP]]*Table61011[[#This Row],[entity_spawned (AVG)]])*(Table61011[[#This Row],[activating_chance]]/100),0)</f>
        <v>75</v>
      </c>
      <c r="BV28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2" s="72">
        <v>1</v>
      </c>
      <c r="BX282" s="72">
        <v>1</v>
      </c>
      <c r="BY282" s="72" t="b">
        <v>0</v>
      </c>
      <c r="CA282" t="s">
        <v>445</v>
      </c>
      <c r="CB282">
        <v>1</v>
      </c>
      <c r="CC282">
        <v>200</v>
      </c>
      <c r="CD282">
        <v>100</v>
      </c>
      <c r="CE282" s="75">
        <f ca="1">INDIRECT(ADDRESS(11+(MATCH(RIGHT(Table11[[#This Row],[spawner_sku]],LEN(Table11[[#This Row],[spawner_sku]])-FIND("/",Table11[[#This Row],[spawner_sku]])),Table1[Entity Prefab],0)),10,1,1,"Entities"))</f>
        <v>0</v>
      </c>
      <c r="CF282">
        <f ca="1">ROUND((Table11[[#This Row],[XP]]*Table11[[#This Row],[entity_spawned (AVG)]])*(Table11[[#This Row],[activating_chance]]/100),0)</f>
        <v>0</v>
      </c>
      <c r="CG282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82" s="72">
        <v>1</v>
      </c>
      <c r="CI282" s="72">
        <v>1</v>
      </c>
      <c r="CJ282" s="72" t="b">
        <v>0</v>
      </c>
      <c r="CW282" t="s">
        <v>512</v>
      </c>
      <c r="CX282">
        <v>1</v>
      </c>
      <c r="CY282">
        <v>300</v>
      </c>
      <c r="CZ282">
        <v>100</v>
      </c>
      <c r="DA282" s="75">
        <f ca="1">INDIRECT(ADDRESS(11+(MATCH(RIGHT(Table13[[#This Row],[spawner_sku]],LEN(Table13[[#This Row],[spawner_sku]])-FIND("/",Table13[[#This Row],[spawner_sku]])),Table1[Entity Prefab],0)),10,1,1,"Entities"))</f>
        <v>83</v>
      </c>
      <c r="DB282" s="75">
        <f ca="1">ROUND((Table13[[#This Row],[XP]]*Table13[[#This Row],[entity_spawned (AVG)]])*(Table13[[#This Row],[activating_chance]]/100),0)</f>
        <v>83</v>
      </c>
      <c r="DC282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282" s="72">
        <v>1</v>
      </c>
      <c r="DE282" s="72">
        <v>1</v>
      </c>
      <c r="DF282" s="72" t="b">
        <v>0</v>
      </c>
      <c r="DH282" t="s">
        <v>517</v>
      </c>
      <c r="DI282">
        <v>1</v>
      </c>
      <c r="DJ282">
        <v>140</v>
      </c>
      <c r="DK282">
        <v>50</v>
      </c>
      <c r="DL282" s="75">
        <f ca="1">INDIRECT(ADDRESS(11+(MATCH(RIGHT(Table14[[#This Row],[spawner_sku]],LEN(Table14[[#This Row],[spawner_sku]])-FIND("/",Table14[[#This Row],[spawner_sku]])),Table1[Entity Prefab],0)),10,1,1,"Entities"))</f>
        <v>95</v>
      </c>
      <c r="DM282" s="75">
        <f ca="1">ROUND((Table14[[#This Row],[XP]]*Table14[[#This Row],[entity_spawned (AVG)]])*(Table14[[#This Row],[activating_chance]]/100),0)</f>
        <v>48</v>
      </c>
      <c r="DN28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82" s="72">
        <v>1</v>
      </c>
      <c r="DP282" s="72">
        <v>1</v>
      </c>
      <c r="DQ282" s="72" t="b">
        <v>0</v>
      </c>
      <c r="DS282" t="s">
        <v>396</v>
      </c>
      <c r="DT282">
        <v>1</v>
      </c>
      <c r="DU282">
        <v>90</v>
      </c>
      <c r="DV282">
        <v>100</v>
      </c>
      <c r="DW282" s="75">
        <f ca="1">INDIRECT(ADDRESS(11+(MATCH(RIGHT(Table18[[#This Row],[spawner_sku]],LEN(Table18[[#This Row],[spawner_sku]])-FIND("/",Table18[[#This Row],[spawner_sku]])),Table1[Entity Prefab],0)),10,1,1,"Entities"))</f>
        <v>25</v>
      </c>
      <c r="DX282" s="75">
        <f ca="1">ROUND((Table18[[#This Row],[XP]]*Table18[[#This Row],[entity_spawned (AVG)]])*(Table18[[#This Row],[activating_chance]]/100),0)</f>
        <v>25</v>
      </c>
      <c r="DY28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82">
        <v>1</v>
      </c>
      <c r="EA282">
        <v>1</v>
      </c>
      <c r="EB282" t="b">
        <v>0</v>
      </c>
    </row>
    <row r="283" spans="2:143" x14ac:dyDescent="0.25">
      <c r="B283" s="73" t="s">
        <v>235</v>
      </c>
      <c r="C283">
        <v>1</v>
      </c>
      <c r="D283">
        <v>180</v>
      </c>
      <c r="E283">
        <v>100</v>
      </c>
      <c r="F283" s="75">
        <f ca="1">INDIRECT(ADDRESS(11+(MATCH(RIGHT(Table245[[#This Row],[spawner_sku]],LEN(Table245[[#This Row],[spawner_sku]])-FIND("/",Table245[[#This Row],[spawner_sku]])),Table1[Entity Prefab],0)),10,1,1,"Entities"))</f>
        <v>25</v>
      </c>
      <c r="G283" s="75">
        <f ca="1">ROUND((Table245[[#This Row],[XP]]*Table245[[#This Row],[entity_spawned (AVG)]])*(Table245[[#This Row],[activating_chance]]/100),0)</f>
        <v>25</v>
      </c>
      <c r="H28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3" s="72">
        <v>1</v>
      </c>
      <c r="J283" s="72">
        <v>1</v>
      </c>
      <c r="K283" s="72" t="b">
        <v>0</v>
      </c>
      <c r="AI283" t="s">
        <v>385</v>
      </c>
      <c r="AJ283">
        <v>1</v>
      </c>
      <c r="AK283">
        <v>220</v>
      </c>
      <c r="AL283">
        <v>100</v>
      </c>
      <c r="AM283" s="75">
        <f ca="1">INDIRECT(ADDRESS(11+(MATCH(RIGHT(Table2[[#This Row],[spawner_sku]],LEN(Table2[[#This Row],[spawner_sku]])-FIND("/",Table2[[#This Row],[spawner_sku]])),Table1[Entity Prefab],0)),10,1,1,"Entities"))</f>
        <v>75</v>
      </c>
      <c r="AN283" s="75">
        <f ca="1">ROUND((Table2[[#This Row],[XP]]*Table2[[#This Row],[entity_spawned (AVG)]])*(Table2[[#This Row],[activating_chance]]/100),0)</f>
        <v>75</v>
      </c>
      <c r="AO28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83" s="72">
        <v>1</v>
      </c>
      <c r="AQ283" s="72">
        <v>1</v>
      </c>
      <c r="AR283" s="72" t="b">
        <v>0</v>
      </c>
      <c r="BP283" t="s">
        <v>385</v>
      </c>
      <c r="BQ283">
        <v>1</v>
      </c>
      <c r="BR283">
        <v>200</v>
      </c>
      <c r="BS283">
        <v>100</v>
      </c>
      <c r="BT283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83" s="75">
        <f ca="1">ROUND((Table61011[[#This Row],[XP]]*Table61011[[#This Row],[entity_spawned (AVG)]])*(Table61011[[#This Row],[activating_chance]]/100),0)</f>
        <v>75</v>
      </c>
      <c r="BV28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3" s="72">
        <v>1</v>
      </c>
      <c r="BX283" s="72">
        <v>1</v>
      </c>
      <c r="BY283" s="72" t="b">
        <v>0</v>
      </c>
      <c r="CA283" t="s">
        <v>445</v>
      </c>
      <c r="CB283">
        <v>1</v>
      </c>
      <c r="CC283">
        <v>120</v>
      </c>
      <c r="CD283">
        <v>100</v>
      </c>
      <c r="CE283" s="75">
        <f ca="1">INDIRECT(ADDRESS(11+(MATCH(RIGHT(Table11[[#This Row],[spawner_sku]],LEN(Table11[[#This Row],[spawner_sku]])-FIND("/",Table11[[#This Row],[spawner_sku]])),Table1[Entity Prefab],0)),10,1,1,"Entities"))</f>
        <v>0</v>
      </c>
      <c r="CF283">
        <f ca="1">ROUND((Table11[[#This Row],[XP]]*Table11[[#This Row],[entity_spawned (AVG)]])*(Table11[[#This Row],[activating_chance]]/100),0)</f>
        <v>0</v>
      </c>
      <c r="CG283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83" s="72">
        <v>1</v>
      </c>
      <c r="CI283" s="72">
        <v>1</v>
      </c>
      <c r="CJ283" s="72" t="b">
        <v>0</v>
      </c>
      <c r="CW283" t="s">
        <v>530</v>
      </c>
      <c r="CX283">
        <v>1</v>
      </c>
      <c r="CY283">
        <v>240</v>
      </c>
      <c r="CZ283">
        <v>30</v>
      </c>
      <c r="DA283" s="75">
        <f ca="1">INDIRECT(ADDRESS(11+(MATCH(RIGHT(Table13[[#This Row],[spawner_sku]],LEN(Table13[[#This Row],[spawner_sku]])-FIND("/",Table13[[#This Row],[spawner_sku]])),Table1[Entity Prefab],0)),10,1,1,"Entities"))</f>
        <v>55</v>
      </c>
      <c r="DB283" s="75">
        <f ca="1">ROUND((Table13[[#This Row],[XP]]*Table13[[#This Row],[entity_spawned (AVG)]])*(Table13[[#This Row],[activating_chance]]/100),0)</f>
        <v>17</v>
      </c>
      <c r="DC283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283" s="72">
        <v>1</v>
      </c>
      <c r="DE283" s="72">
        <v>1</v>
      </c>
      <c r="DF283" s="72" t="b">
        <v>0</v>
      </c>
      <c r="DH283" t="s">
        <v>517</v>
      </c>
      <c r="DI283">
        <v>1</v>
      </c>
      <c r="DJ283">
        <v>90</v>
      </c>
      <c r="DK283">
        <v>10</v>
      </c>
      <c r="DL283" s="75">
        <f ca="1">INDIRECT(ADDRESS(11+(MATCH(RIGHT(Table14[[#This Row],[spawner_sku]],LEN(Table14[[#This Row],[spawner_sku]])-FIND("/",Table14[[#This Row],[spawner_sku]])),Table1[Entity Prefab],0)),10,1,1,"Entities"))</f>
        <v>95</v>
      </c>
      <c r="DM283" s="75">
        <f ca="1">ROUND((Table14[[#This Row],[XP]]*Table14[[#This Row],[entity_spawned (AVG)]])*(Table14[[#This Row],[activating_chance]]/100),0)</f>
        <v>10</v>
      </c>
      <c r="DN28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83" s="72">
        <v>1</v>
      </c>
      <c r="DP283" s="72">
        <v>1</v>
      </c>
      <c r="DQ283" s="72" t="b">
        <v>0</v>
      </c>
      <c r="DS283" t="s">
        <v>396</v>
      </c>
      <c r="DT283">
        <v>1</v>
      </c>
      <c r="DU283">
        <v>90</v>
      </c>
      <c r="DV283">
        <v>10</v>
      </c>
      <c r="DW283" s="75">
        <f ca="1">INDIRECT(ADDRESS(11+(MATCH(RIGHT(Table18[[#This Row],[spawner_sku]],LEN(Table18[[#This Row],[spawner_sku]])-FIND("/",Table18[[#This Row],[spawner_sku]])),Table1[Entity Prefab],0)),10,1,1,"Entities"))</f>
        <v>25</v>
      </c>
      <c r="DX283" s="75">
        <f ca="1">ROUND((Table18[[#This Row],[XP]]*Table18[[#This Row],[entity_spawned (AVG)]])*(Table18[[#This Row],[activating_chance]]/100),0)</f>
        <v>3</v>
      </c>
      <c r="DY28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83">
        <v>1</v>
      </c>
      <c r="EA283">
        <v>1</v>
      </c>
      <c r="EB283" t="b">
        <v>0</v>
      </c>
    </row>
    <row r="284" spans="2:143" x14ac:dyDescent="0.25">
      <c r="B284" s="73" t="s">
        <v>235</v>
      </c>
      <c r="C284">
        <v>1</v>
      </c>
      <c r="D284">
        <v>180</v>
      </c>
      <c r="E284">
        <v>100</v>
      </c>
      <c r="F284" s="75">
        <f ca="1">INDIRECT(ADDRESS(11+(MATCH(RIGHT(Table245[[#This Row],[spawner_sku]],LEN(Table245[[#This Row],[spawner_sku]])-FIND("/",Table245[[#This Row],[spawner_sku]])),Table1[Entity Prefab],0)),10,1,1,"Entities"))</f>
        <v>25</v>
      </c>
      <c r="G284" s="75">
        <f ca="1">ROUND((Table245[[#This Row],[XP]]*Table245[[#This Row],[entity_spawned (AVG)]])*(Table245[[#This Row],[activating_chance]]/100),0)</f>
        <v>25</v>
      </c>
      <c r="H28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4" s="72">
        <v>1</v>
      </c>
      <c r="J284" s="72">
        <v>1</v>
      </c>
      <c r="K284" s="72" t="b">
        <v>0</v>
      </c>
      <c r="AI284" t="s">
        <v>385</v>
      </c>
      <c r="AJ284">
        <v>1</v>
      </c>
      <c r="AK284">
        <v>220</v>
      </c>
      <c r="AL284">
        <v>100</v>
      </c>
      <c r="AM284" s="75">
        <f ca="1">INDIRECT(ADDRESS(11+(MATCH(RIGHT(Table2[[#This Row],[spawner_sku]],LEN(Table2[[#This Row],[spawner_sku]])-FIND("/",Table2[[#This Row],[spawner_sku]])),Table1[Entity Prefab],0)),10,1,1,"Entities"))</f>
        <v>75</v>
      </c>
      <c r="AN284" s="75">
        <f ca="1">ROUND((Table2[[#This Row],[XP]]*Table2[[#This Row],[entity_spawned (AVG)]])*(Table2[[#This Row],[activating_chance]]/100),0)</f>
        <v>75</v>
      </c>
      <c r="AO28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84" s="72">
        <v>1</v>
      </c>
      <c r="AQ284" s="72">
        <v>1</v>
      </c>
      <c r="AR284" s="72" t="b">
        <v>0</v>
      </c>
      <c r="BP284" t="s">
        <v>385</v>
      </c>
      <c r="BQ284">
        <v>1</v>
      </c>
      <c r="BR284">
        <v>120</v>
      </c>
      <c r="BS284">
        <v>100</v>
      </c>
      <c r="BT284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84" s="75">
        <f ca="1">ROUND((Table61011[[#This Row],[XP]]*Table61011[[#This Row],[entity_spawned (AVG)]])*(Table61011[[#This Row],[activating_chance]]/100),0)</f>
        <v>75</v>
      </c>
      <c r="BV28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4" s="72">
        <v>1</v>
      </c>
      <c r="BX284" s="72">
        <v>1</v>
      </c>
      <c r="BY284" s="72" t="b">
        <v>0</v>
      </c>
      <c r="CA284" t="s">
        <v>445</v>
      </c>
      <c r="CB284">
        <v>1</v>
      </c>
      <c r="CC284">
        <v>120</v>
      </c>
      <c r="CD284">
        <v>100</v>
      </c>
      <c r="CE284" s="75">
        <f ca="1">INDIRECT(ADDRESS(11+(MATCH(RIGHT(Table11[[#This Row],[spawner_sku]],LEN(Table11[[#This Row],[spawner_sku]])-FIND("/",Table11[[#This Row],[spawner_sku]])),Table1[Entity Prefab],0)),10,1,1,"Entities"))</f>
        <v>0</v>
      </c>
      <c r="CF284">
        <f ca="1">ROUND((Table11[[#This Row],[XP]]*Table11[[#This Row],[entity_spawned (AVG)]])*(Table11[[#This Row],[activating_chance]]/100),0)</f>
        <v>0</v>
      </c>
      <c r="CG284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84" s="72">
        <v>1</v>
      </c>
      <c r="CI284" s="72">
        <v>1</v>
      </c>
      <c r="CJ284" s="72" t="b">
        <v>0</v>
      </c>
      <c r="CW284" t="s">
        <v>530</v>
      </c>
      <c r="CX284">
        <v>1</v>
      </c>
      <c r="CY284">
        <v>240</v>
      </c>
      <c r="CZ284">
        <v>100</v>
      </c>
      <c r="DA284" s="75">
        <f ca="1">INDIRECT(ADDRESS(11+(MATCH(RIGHT(Table13[[#This Row],[spawner_sku]],LEN(Table13[[#This Row],[spawner_sku]])-FIND("/",Table13[[#This Row],[spawner_sku]])),Table1[Entity Prefab],0)),10,1,1,"Entities"))</f>
        <v>55</v>
      </c>
      <c r="DB284" s="75">
        <f ca="1">ROUND((Table13[[#This Row],[XP]]*Table13[[#This Row],[entity_spawned (AVG)]])*(Table13[[#This Row],[activating_chance]]/100),0)</f>
        <v>55</v>
      </c>
      <c r="DC284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284" s="72">
        <v>1</v>
      </c>
      <c r="DE284" s="72">
        <v>1</v>
      </c>
      <c r="DF284" s="72" t="b">
        <v>0</v>
      </c>
      <c r="DH284" t="s">
        <v>517</v>
      </c>
      <c r="DI284">
        <v>1</v>
      </c>
      <c r="DJ284">
        <v>90</v>
      </c>
      <c r="DK284">
        <v>10</v>
      </c>
      <c r="DL284" s="75">
        <f ca="1">INDIRECT(ADDRESS(11+(MATCH(RIGHT(Table14[[#This Row],[spawner_sku]],LEN(Table14[[#This Row],[spawner_sku]])-FIND("/",Table14[[#This Row],[spawner_sku]])),Table1[Entity Prefab],0)),10,1,1,"Entities"))</f>
        <v>95</v>
      </c>
      <c r="DM284" s="75">
        <f ca="1">ROUND((Table14[[#This Row],[XP]]*Table14[[#This Row],[entity_spawned (AVG)]])*(Table14[[#This Row],[activating_chance]]/100),0)</f>
        <v>10</v>
      </c>
      <c r="DN28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84" s="72">
        <v>1</v>
      </c>
      <c r="DP284" s="72">
        <v>1</v>
      </c>
      <c r="DQ284" s="72" t="b">
        <v>0</v>
      </c>
      <c r="DS284" t="s">
        <v>396</v>
      </c>
      <c r="DT284">
        <v>1</v>
      </c>
      <c r="DU284">
        <v>90</v>
      </c>
      <c r="DV284">
        <v>30</v>
      </c>
      <c r="DW284" s="75">
        <f ca="1">INDIRECT(ADDRESS(11+(MATCH(RIGHT(Table18[[#This Row],[spawner_sku]],LEN(Table18[[#This Row],[spawner_sku]])-FIND("/",Table18[[#This Row],[spawner_sku]])),Table1[Entity Prefab],0)),10,1,1,"Entities"))</f>
        <v>25</v>
      </c>
      <c r="DX284" s="75">
        <f ca="1">ROUND((Table18[[#This Row],[XP]]*Table18[[#This Row],[entity_spawned (AVG)]])*(Table18[[#This Row],[activating_chance]]/100),0)</f>
        <v>8</v>
      </c>
      <c r="DY28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84">
        <v>1</v>
      </c>
      <c r="EA284">
        <v>1</v>
      </c>
      <c r="EB284" t="b">
        <v>0</v>
      </c>
    </row>
    <row r="285" spans="2:143" x14ac:dyDescent="0.25">
      <c r="B285" s="73" t="s">
        <v>236</v>
      </c>
      <c r="C285">
        <v>1</v>
      </c>
      <c r="D285">
        <v>190</v>
      </c>
      <c r="E285">
        <v>100</v>
      </c>
      <c r="F285" s="75">
        <f ca="1">INDIRECT(ADDRESS(11+(MATCH(RIGHT(Table245[[#This Row],[spawner_sku]],LEN(Table245[[#This Row],[spawner_sku]])-FIND("/",Table245[[#This Row],[spawner_sku]])),Table1[Entity Prefab],0)),10,1,1,"Entities"))</f>
        <v>70</v>
      </c>
      <c r="G285" s="75">
        <f ca="1">ROUND((Table245[[#This Row],[XP]]*Table245[[#This Row],[entity_spawned (AVG)]])*(Table245[[#This Row],[activating_chance]]/100),0)</f>
        <v>70</v>
      </c>
      <c r="H28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5" s="72">
        <v>1</v>
      </c>
      <c r="J285" s="72">
        <v>1</v>
      </c>
      <c r="K285" s="72" t="b">
        <v>0</v>
      </c>
      <c r="AI285" t="s">
        <v>385</v>
      </c>
      <c r="AJ285">
        <v>1</v>
      </c>
      <c r="AK285">
        <v>180</v>
      </c>
      <c r="AL285">
        <v>100</v>
      </c>
      <c r="AM285" s="75">
        <f ca="1">INDIRECT(ADDRESS(11+(MATCH(RIGHT(Table2[[#This Row],[spawner_sku]],LEN(Table2[[#This Row],[spawner_sku]])-FIND("/",Table2[[#This Row],[spawner_sku]])),Table1[Entity Prefab],0)),10,1,1,"Entities"))</f>
        <v>75</v>
      </c>
      <c r="AN285" s="75">
        <f ca="1">ROUND((Table2[[#This Row],[XP]]*Table2[[#This Row],[entity_spawned (AVG)]])*(Table2[[#This Row],[activating_chance]]/100),0)</f>
        <v>75</v>
      </c>
      <c r="AO28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85" s="72">
        <v>1</v>
      </c>
      <c r="AQ285" s="72">
        <v>1</v>
      </c>
      <c r="AR285" s="72" t="b">
        <v>0</v>
      </c>
      <c r="BP285" t="s">
        <v>385</v>
      </c>
      <c r="BQ285">
        <v>1</v>
      </c>
      <c r="BR285">
        <v>200</v>
      </c>
      <c r="BS285">
        <v>80</v>
      </c>
      <c r="BT285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85" s="75">
        <f ca="1">ROUND((Table61011[[#This Row],[XP]]*Table61011[[#This Row],[entity_spawned (AVG)]])*(Table61011[[#This Row],[activating_chance]]/100),0)</f>
        <v>60</v>
      </c>
      <c r="BV28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5" s="72">
        <v>1</v>
      </c>
      <c r="BX285" s="72">
        <v>1</v>
      </c>
      <c r="BY285" s="72" t="b">
        <v>0</v>
      </c>
      <c r="CA285" t="s">
        <v>445</v>
      </c>
      <c r="CB285">
        <v>1</v>
      </c>
      <c r="CC285">
        <v>120</v>
      </c>
      <c r="CD285">
        <v>100</v>
      </c>
      <c r="CE285" s="75">
        <f ca="1">INDIRECT(ADDRESS(11+(MATCH(RIGHT(Table11[[#This Row],[spawner_sku]],LEN(Table11[[#This Row],[spawner_sku]])-FIND("/",Table11[[#This Row],[spawner_sku]])),Table1[Entity Prefab],0)),10,1,1,"Entities"))</f>
        <v>0</v>
      </c>
      <c r="CF285">
        <f ca="1">ROUND((Table11[[#This Row],[XP]]*Table11[[#This Row],[entity_spawned (AVG)]])*(Table11[[#This Row],[activating_chance]]/100),0)</f>
        <v>0</v>
      </c>
      <c r="CG285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85" s="72">
        <v>1</v>
      </c>
      <c r="CI285" s="72">
        <v>1</v>
      </c>
      <c r="CJ285" s="72" t="b">
        <v>0</v>
      </c>
      <c r="CW285" t="s">
        <v>530</v>
      </c>
      <c r="CX285">
        <v>1</v>
      </c>
      <c r="CY285">
        <v>240</v>
      </c>
      <c r="CZ285">
        <v>100</v>
      </c>
      <c r="DA285" s="75">
        <f ca="1">INDIRECT(ADDRESS(11+(MATCH(RIGHT(Table13[[#This Row],[spawner_sku]],LEN(Table13[[#This Row],[spawner_sku]])-FIND("/",Table13[[#This Row],[spawner_sku]])),Table1[Entity Prefab],0)),10,1,1,"Entities"))</f>
        <v>55</v>
      </c>
      <c r="DB285" s="75">
        <f ca="1">ROUND((Table13[[#This Row],[XP]]*Table13[[#This Row],[entity_spawned (AVG)]])*(Table13[[#This Row],[activating_chance]]/100),0)</f>
        <v>55</v>
      </c>
      <c r="DC285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285" s="72">
        <v>1</v>
      </c>
      <c r="DE285" s="72">
        <v>1</v>
      </c>
      <c r="DF285" s="72" t="b">
        <v>0</v>
      </c>
      <c r="DH285" t="s">
        <v>517</v>
      </c>
      <c r="DI285">
        <v>1</v>
      </c>
      <c r="DJ285">
        <v>140</v>
      </c>
      <c r="DK285">
        <v>50</v>
      </c>
      <c r="DL285" s="75">
        <f ca="1">INDIRECT(ADDRESS(11+(MATCH(RIGHT(Table14[[#This Row],[spawner_sku]],LEN(Table14[[#This Row],[spawner_sku]])-FIND("/",Table14[[#This Row],[spawner_sku]])),Table1[Entity Prefab],0)),10,1,1,"Entities"))</f>
        <v>95</v>
      </c>
      <c r="DM285" s="75">
        <f ca="1">ROUND((Table14[[#This Row],[XP]]*Table14[[#This Row],[entity_spawned (AVG)]])*(Table14[[#This Row],[activating_chance]]/100),0)</f>
        <v>48</v>
      </c>
      <c r="DN28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85" s="72">
        <v>1</v>
      </c>
      <c r="DP285" s="72">
        <v>1</v>
      </c>
      <c r="DQ285" s="72" t="b">
        <v>0</v>
      </c>
      <c r="DS285" t="s">
        <v>396</v>
      </c>
      <c r="DT285">
        <v>1</v>
      </c>
      <c r="DU285">
        <v>80</v>
      </c>
      <c r="DV285">
        <v>100</v>
      </c>
      <c r="DW285" s="75">
        <f ca="1">INDIRECT(ADDRESS(11+(MATCH(RIGHT(Table18[[#This Row],[spawner_sku]],LEN(Table18[[#This Row],[spawner_sku]])-FIND("/",Table18[[#This Row],[spawner_sku]])),Table1[Entity Prefab],0)),10,1,1,"Entities"))</f>
        <v>25</v>
      </c>
      <c r="DX285" s="75">
        <f ca="1">ROUND((Table18[[#This Row],[XP]]*Table18[[#This Row],[entity_spawned (AVG)]])*(Table18[[#This Row],[activating_chance]]/100),0)</f>
        <v>25</v>
      </c>
      <c r="DY28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85">
        <v>1</v>
      </c>
      <c r="EA285">
        <v>1</v>
      </c>
      <c r="EB285" t="b">
        <v>0</v>
      </c>
    </row>
    <row r="286" spans="2:143" x14ac:dyDescent="0.25">
      <c r="B286" s="73" t="s">
        <v>236</v>
      </c>
      <c r="C286">
        <v>1</v>
      </c>
      <c r="D286">
        <v>170</v>
      </c>
      <c r="E286">
        <v>100</v>
      </c>
      <c r="F286" s="75">
        <f ca="1">INDIRECT(ADDRESS(11+(MATCH(RIGHT(Table245[[#This Row],[spawner_sku]],LEN(Table245[[#This Row],[spawner_sku]])-FIND("/",Table245[[#This Row],[spawner_sku]])),Table1[Entity Prefab],0)),10,1,1,"Entities"))</f>
        <v>70</v>
      </c>
      <c r="G286" s="75">
        <f ca="1">ROUND((Table245[[#This Row],[XP]]*Table245[[#This Row],[entity_spawned (AVG)]])*(Table245[[#This Row],[activating_chance]]/100),0)</f>
        <v>70</v>
      </c>
      <c r="H28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6" s="72">
        <v>1</v>
      </c>
      <c r="J286" s="72">
        <v>1</v>
      </c>
      <c r="K286" s="72" t="b">
        <v>0</v>
      </c>
      <c r="AI286" t="s">
        <v>385</v>
      </c>
      <c r="AJ286">
        <v>1</v>
      </c>
      <c r="AK286">
        <v>220</v>
      </c>
      <c r="AL286">
        <v>100</v>
      </c>
      <c r="AM286" s="75">
        <f ca="1">INDIRECT(ADDRESS(11+(MATCH(RIGHT(Table2[[#This Row],[spawner_sku]],LEN(Table2[[#This Row],[spawner_sku]])-FIND("/",Table2[[#This Row],[spawner_sku]])),Table1[Entity Prefab],0)),10,1,1,"Entities"))</f>
        <v>75</v>
      </c>
      <c r="AN286" s="75">
        <f ca="1">ROUND((Table2[[#This Row],[XP]]*Table2[[#This Row],[entity_spawned (AVG)]])*(Table2[[#This Row],[activating_chance]]/100),0)</f>
        <v>75</v>
      </c>
      <c r="AO28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86" s="72">
        <v>1</v>
      </c>
      <c r="AQ286" s="72">
        <v>1</v>
      </c>
      <c r="AR286" s="72" t="b">
        <v>0</v>
      </c>
      <c r="BP286" t="s">
        <v>385</v>
      </c>
      <c r="BQ286">
        <v>1</v>
      </c>
      <c r="BR286">
        <v>120</v>
      </c>
      <c r="BS286">
        <v>100</v>
      </c>
      <c r="BT286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86" s="75">
        <f ca="1">ROUND((Table61011[[#This Row],[XP]]*Table61011[[#This Row],[entity_spawned (AVG)]])*(Table61011[[#This Row],[activating_chance]]/100),0)</f>
        <v>75</v>
      </c>
      <c r="BV28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6" s="72">
        <v>1</v>
      </c>
      <c r="BX286" s="72">
        <v>1</v>
      </c>
      <c r="BY286" s="72" t="b">
        <v>0</v>
      </c>
      <c r="CA286" t="s">
        <v>445</v>
      </c>
      <c r="CB286">
        <v>1.5</v>
      </c>
      <c r="CC286">
        <v>200</v>
      </c>
      <c r="CD286">
        <v>70</v>
      </c>
      <c r="CE286" s="75">
        <f ca="1">INDIRECT(ADDRESS(11+(MATCH(RIGHT(Table11[[#This Row],[spawner_sku]],LEN(Table11[[#This Row],[spawner_sku]])-FIND("/",Table11[[#This Row],[spawner_sku]])),Table1[Entity Prefab],0)),10,1,1,"Entities"))</f>
        <v>0</v>
      </c>
      <c r="CF286">
        <f ca="1">ROUND((Table11[[#This Row],[XP]]*Table11[[#This Row],[entity_spawned (AVG)]])*(Table11[[#This Row],[activating_chance]]/100),0)</f>
        <v>0</v>
      </c>
      <c r="CG286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86" s="72">
        <v>1</v>
      </c>
      <c r="CI286" s="72">
        <v>2</v>
      </c>
      <c r="CJ286" s="72" t="b">
        <v>0</v>
      </c>
      <c r="CW286" t="s">
        <v>530</v>
      </c>
      <c r="CX286">
        <v>1</v>
      </c>
      <c r="CY286">
        <v>240</v>
      </c>
      <c r="CZ286">
        <v>30</v>
      </c>
      <c r="DA286" s="75">
        <f ca="1">INDIRECT(ADDRESS(11+(MATCH(RIGHT(Table13[[#This Row],[spawner_sku]],LEN(Table13[[#This Row],[spawner_sku]])-FIND("/",Table13[[#This Row],[spawner_sku]])),Table1[Entity Prefab],0)),10,1,1,"Entities"))</f>
        <v>55</v>
      </c>
      <c r="DB286" s="75">
        <f ca="1">ROUND((Table13[[#This Row],[XP]]*Table13[[#This Row],[entity_spawned (AVG)]])*(Table13[[#This Row],[activating_chance]]/100),0)</f>
        <v>17</v>
      </c>
      <c r="DC286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286" s="72">
        <v>1</v>
      </c>
      <c r="DE286" s="72">
        <v>1</v>
      </c>
      <c r="DF286" s="72" t="b">
        <v>0</v>
      </c>
      <c r="DH286" t="s">
        <v>520</v>
      </c>
      <c r="DI286">
        <v>2</v>
      </c>
      <c r="DJ286">
        <v>100</v>
      </c>
      <c r="DK286">
        <v>100</v>
      </c>
      <c r="DL286" s="75">
        <f ca="1">INDIRECT(ADDRESS(11+(MATCH(RIGHT(Table14[[#This Row],[spawner_sku]],LEN(Table14[[#This Row],[spawner_sku]])-FIND("/",Table14[[#This Row],[spawner_sku]])),Table1[Entity Prefab],0)),10,1,1,"Entities"))</f>
        <v>35</v>
      </c>
      <c r="DM286" s="75">
        <f ca="1">ROUND((Table14[[#This Row],[XP]]*Table14[[#This Row],[entity_spawned (AVG)]])*(Table14[[#This Row],[activating_chance]]/100),0)</f>
        <v>70</v>
      </c>
      <c r="DN28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86" s="72">
        <v>2</v>
      </c>
      <c r="DP286" s="72">
        <v>2</v>
      </c>
      <c r="DQ286" s="72" t="b">
        <v>0</v>
      </c>
      <c r="DS286" t="s">
        <v>396</v>
      </c>
      <c r="DT286">
        <v>1</v>
      </c>
      <c r="DU286">
        <v>80</v>
      </c>
      <c r="DV286">
        <v>100</v>
      </c>
      <c r="DW286" s="75">
        <f ca="1">INDIRECT(ADDRESS(11+(MATCH(RIGHT(Table18[[#This Row],[spawner_sku]],LEN(Table18[[#This Row],[spawner_sku]])-FIND("/",Table18[[#This Row],[spawner_sku]])),Table1[Entity Prefab],0)),10,1,1,"Entities"))</f>
        <v>25</v>
      </c>
      <c r="DX286" s="75">
        <f ca="1">ROUND((Table18[[#This Row],[XP]]*Table18[[#This Row],[entity_spawned (AVG)]])*(Table18[[#This Row],[activating_chance]]/100),0)</f>
        <v>25</v>
      </c>
      <c r="DY28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86">
        <v>1</v>
      </c>
      <c r="EA286">
        <v>1</v>
      </c>
      <c r="EB286" t="b">
        <v>0</v>
      </c>
    </row>
    <row r="287" spans="2:143" x14ac:dyDescent="0.25">
      <c r="B287" s="73" t="s">
        <v>236</v>
      </c>
      <c r="C287">
        <v>1</v>
      </c>
      <c r="D287">
        <v>170</v>
      </c>
      <c r="E287">
        <v>100</v>
      </c>
      <c r="F287" s="75">
        <f ca="1">INDIRECT(ADDRESS(11+(MATCH(RIGHT(Table245[[#This Row],[spawner_sku]],LEN(Table245[[#This Row],[spawner_sku]])-FIND("/",Table245[[#This Row],[spawner_sku]])),Table1[Entity Prefab],0)),10,1,1,"Entities"))</f>
        <v>70</v>
      </c>
      <c r="G287" s="75">
        <f ca="1">ROUND((Table245[[#This Row],[XP]]*Table245[[#This Row],[entity_spawned (AVG)]])*(Table245[[#This Row],[activating_chance]]/100),0)</f>
        <v>70</v>
      </c>
      <c r="H28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7" s="72">
        <v>1</v>
      </c>
      <c r="J287" s="72">
        <v>1</v>
      </c>
      <c r="K287" s="72" t="b">
        <v>0</v>
      </c>
      <c r="AI287" t="s">
        <v>385</v>
      </c>
      <c r="AJ287">
        <v>1</v>
      </c>
      <c r="AK287">
        <v>200</v>
      </c>
      <c r="AL287">
        <v>100</v>
      </c>
      <c r="AM287" s="75">
        <f ca="1">INDIRECT(ADDRESS(11+(MATCH(RIGHT(Table2[[#This Row],[spawner_sku]],LEN(Table2[[#This Row],[spawner_sku]])-FIND("/",Table2[[#This Row],[spawner_sku]])),Table1[Entity Prefab],0)),10,1,1,"Entities"))</f>
        <v>75</v>
      </c>
      <c r="AN287" s="75">
        <f ca="1">ROUND((Table2[[#This Row],[XP]]*Table2[[#This Row],[entity_spawned (AVG)]])*(Table2[[#This Row],[activating_chance]]/100),0)</f>
        <v>75</v>
      </c>
      <c r="AO28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87" s="72">
        <v>1</v>
      </c>
      <c r="AQ287" s="72">
        <v>1</v>
      </c>
      <c r="AR287" s="72" t="b">
        <v>0</v>
      </c>
      <c r="BP287" t="s">
        <v>385</v>
      </c>
      <c r="BQ287">
        <v>1</v>
      </c>
      <c r="BR287">
        <v>220</v>
      </c>
      <c r="BS287">
        <v>100</v>
      </c>
      <c r="BT287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87" s="75">
        <f ca="1">ROUND((Table61011[[#This Row],[XP]]*Table61011[[#This Row],[entity_spawned (AVG)]])*(Table61011[[#This Row],[activating_chance]]/100),0)</f>
        <v>75</v>
      </c>
      <c r="BV28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7" s="72">
        <v>1</v>
      </c>
      <c r="BX287" s="72">
        <v>1</v>
      </c>
      <c r="BY287" s="72" t="b">
        <v>0</v>
      </c>
      <c r="CA287" t="s">
        <v>445</v>
      </c>
      <c r="CB287">
        <v>1</v>
      </c>
      <c r="CC287">
        <v>120</v>
      </c>
      <c r="CD287">
        <v>100</v>
      </c>
      <c r="CE287" s="75">
        <f ca="1">INDIRECT(ADDRESS(11+(MATCH(RIGHT(Table11[[#This Row],[spawner_sku]],LEN(Table11[[#This Row],[spawner_sku]])-FIND("/",Table11[[#This Row],[spawner_sku]])),Table1[Entity Prefab],0)),10,1,1,"Entities"))</f>
        <v>0</v>
      </c>
      <c r="CF287">
        <f ca="1">ROUND((Table11[[#This Row],[XP]]*Table11[[#This Row],[entity_spawned (AVG)]])*(Table11[[#This Row],[activating_chance]]/100),0)</f>
        <v>0</v>
      </c>
      <c r="CG287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87" s="72">
        <v>1</v>
      </c>
      <c r="CI287" s="72">
        <v>1</v>
      </c>
      <c r="CJ287" s="72" t="b">
        <v>0</v>
      </c>
      <c r="CW287" t="s">
        <v>530</v>
      </c>
      <c r="CX287">
        <v>1</v>
      </c>
      <c r="CY287">
        <v>240</v>
      </c>
      <c r="CZ287">
        <v>20</v>
      </c>
      <c r="DA287" s="75">
        <f ca="1">INDIRECT(ADDRESS(11+(MATCH(RIGHT(Table13[[#This Row],[spawner_sku]],LEN(Table13[[#This Row],[spawner_sku]])-FIND("/",Table13[[#This Row],[spawner_sku]])),Table1[Entity Prefab],0)),10,1,1,"Entities"))</f>
        <v>55</v>
      </c>
      <c r="DB287" s="75">
        <f ca="1">ROUND((Table13[[#This Row],[XP]]*Table13[[#This Row],[entity_spawned (AVG)]])*(Table13[[#This Row],[activating_chance]]/100),0)</f>
        <v>11</v>
      </c>
      <c r="DC287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287" s="72">
        <v>1</v>
      </c>
      <c r="DE287" s="72">
        <v>1</v>
      </c>
      <c r="DF287" s="72" t="b">
        <v>0</v>
      </c>
      <c r="DH287" t="s">
        <v>520</v>
      </c>
      <c r="DI287">
        <v>1</v>
      </c>
      <c r="DJ287">
        <v>120</v>
      </c>
      <c r="DK287">
        <v>100</v>
      </c>
      <c r="DL287" s="75">
        <f ca="1">INDIRECT(ADDRESS(11+(MATCH(RIGHT(Table14[[#This Row],[spawner_sku]],LEN(Table14[[#This Row],[spawner_sku]])-FIND("/",Table14[[#This Row],[spawner_sku]])),Table1[Entity Prefab],0)),10,1,1,"Entities"))</f>
        <v>35</v>
      </c>
      <c r="DM287" s="75">
        <f ca="1">ROUND((Table14[[#This Row],[XP]]*Table14[[#This Row],[entity_spawned (AVG)]])*(Table14[[#This Row],[activating_chance]]/100),0)</f>
        <v>35</v>
      </c>
      <c r="DN28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87" s="72">
        <v>1</v>
      </c>
      <c r="DP287" s="72">
        <v>1</v>
      </c>
      <c r="DQ287" s="72" t="b">
        <v>0</v>
      </c>
      <c r="DS287" t="s">
        <v>396</v>
      </c>
      <c r="DT287">
        <v>1</v>
      </c>
      <c r="DU287">
        <v>80</v>
      </c>
      <c r="DV287">
        <v>80</v>
      </c>
      <c r="DW287" s="75">
        <f ca="1">INDIRECT(ADDRESS(11+(MATCH(RIGHT(Table18[[#This Row],[spawner_sku]],LEN(Table18[[#This Row],[spawner_sku]])-FIND("/",Table18[[#This Row],[spawner_sku]])),Table1[Entity Prefab],0)),10,1,1,"Entities"))</f>
        <v>25</v>
      </c>
      <c r="DX287" s="75">
        <f ca="1">ROUND((Table18[[#This Row],[XP]]*Table18[[#This Row],[entity_spawned (AVG)]])*(Table18[[#This Row],[activating_chance]]/100),0)</f>
        <v>20</v>
      </c>
      <c r="DY28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87">
        <v>1</v>
      </c>
      <c r="EA287">
        <v>1</v>
      </c>
      <c r="EB287" t="b">
        <v>0</v>
      </c>
    </row>
    <row r="288" spans="2:143" x14ac:dyDescent="0.25">
      <c r="B288" s="73" t="s">
        <v>236</v>
      </c>
      <c r="C288">
        <v>1</v>
      </c>
      <c r="D288">
        <v>170</v>
      </c>
      <c r="E288">
        <v>100</v>
      </c>
      <c r="F288" s="75">
        <f ca="1">INDIRECT(ADDRESS(11+(MATCH(RIGHT(Table245[[#This Row],[spawner_sku]],LEN(Table245[[#This Row],[spawner_sku]])-FIND("/",Table245[[#This Row],[spawner_sku]])),Table1[Entity Prefab],0)),10,1,1,"Entities"))</f>
        <v>70</v>
      </c>
      <c r="G288" s="75">
        <f ca="1">ROUND((Table245[[#This Row],[XP]]*Table245[[#This Row],[entity_spawned (AVG)]])*(Table245[[#This Row],[activating_chance]]/100),0)</f>
        <v>70</v>
      </c>
      <c r="H28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8" s="72">
        <v>1</v>
      </c>
      <c r="J288" s="72">
        <v>1</v>
      </c>
      <c r="K288" s="72" t="b">
        <v>0</v>
      </c>
      <c r="AI288" t="s">
        <v>385</v>
      </c>
      <c r="AJ288">
        <v>1</v>
      </c>
      <c r="AK288">
        <v>200</v>
      </c>
      <c r="AL288">
        <v>100</v>
      </c>
      <c r="AM288" s="75">
        <f ca="1">INDIRECT(ADDRESS(11+(MATCH(RIGHT(Table2[[#This Row],[spawner_sku]],LEN(Table2[[#This Row],[spawner_sku]])-FIND("/",Table2[[#This Row],[spawner_sku]])),Table1[Entity Prefab],0)),10,1,1,"Entities"))</f>
        <v>75</v>
      </c>
      <c r="AN288" s="75">
        <f ca="1">ROUND((Table2[[#This Row],[XP]]*Table2[[#This Row],[entity_spawned (AVG)]])*(Table2[[#This Row],[activating_chance]]/100),0)</f>
        <v>75</v>
      </c>
      <c r="AO28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88" s="72">
        <v>1</v>
      </c>
      <c r="AQ288" s="72">
        <v>1</v>
      </c>
      <c r="AR288" s="72" t="b">
        <v>0</v>
      </c>
      <c r="BP288" t="s">
        <v>385</v>
      </c>
      <c r="BQ288">
        <v>1</v>
      </c>
      <c r="BR288">
        <v>200</v>
      </c>
      <c r="BS288">
        <v>100</v>
      </c>
      <c r="BT288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88" s="75">
        <f ca="1">ROUND((Table61011[[#This Row],[XP]]*Table61011[[#This Row],[entity_spawned (AVG)]])*(Table61011[[#This Row],[activating_chance]]/100),0)</f>
        <v>75</v>
      </c>
      <c r="BV28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8" s="72">
        <v>1</v>
      </c>
      <c r="BX288" s="72">
        <v>1</v>
      </c>
      <c r="BY288" s="72" t="b">
        <v>0</v>
      </c>
      <c r="CA288" t="s">
        <v>445</v>
      </c>
      <c r="CB288">
        <v>1</v>
      </c>
      <c r="CC288">
        <v>200</v>
      </c>
      <c r="CD288">
        <v>100</v>
      </c>
      <c r="CE288" s="75">
        <f ca="1">INDIRECT(ADDRESS(11+(MATCH(RIGHT(Table11[[#This Row],[spawner_sku]],LEN(Table11[[#This Row],[spawner_sku]])-FIND("/",Table11[[#This Row],[spawner_sku]])),Table1[Entity Prefab],0)),10,1,1,"Entities"))</f>
        <v>0</v>
      </c>
      <c r="CF288">
        <f ca="1">ROUND((Table11[[#This Row],[XP]]*Table11[[#This Row],[entity_spawned (AVG)]])*(Table11[[#This Row],[activating_chance]]/100),0)</f>
        <v>0</v>
      </c>
      <c r="CG288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88" s="72">
        <v>1</v>
      </c>
      <c r="CI288" s="72">
        <v>1</v>
      </c>
      <c r="CJ288" s="72" t="b">
        <v>0</v>
      </c>
      <c r="CW288" t="s">
        <v>530</v>
      </c>
      <c r="CX288">
        <v>1</v>
      </c>
      <c r="CY288">
        <v>240</v>
      </c>
      <c r="CZ288">
        <v>100</v>
      </c>
      <c r="DA288" s="75">
        <f ca="1">INDIRECT(ADDRESS(11+(MATCH(RIGHT(Table13[[#This Row],[spawner_sku]],LEN(Table13[[#This Row],[spawner_sku]])-FIND("/",Table13[[#This Row],[spawner_sku]])),Table1[Entity Prefab],0)),10,1,1,"Entities"))</f>
        <v>55</v>
      </c>
      <c r="DB288" s="75">
        <f ca="1">ROUND((Table13[[#This Row],[XP]]*Table13[[#This Row],[entity_spawned (AVG)]])*(Table13[[#This Row],[activating_chance]]/100),0)</f>
        <v>55</v>
      </c>
      <c r="DC288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288" s="72">
        <v>1</v>
      </c>
      <c r="DE288" s="72">
        <v>1</v>
      </c>
      <c r="DF288" s="72" t="b">
        <v>0</v>
      </c>
      <c r="DH288" t="s">
        <v>520</v>
      </c>
      <c r="DI288">
        <v>1</v>
      </c>
      <c r="DJ288">
        <v>100</v>
      </c>
      <c r="DK288">
        <v>100</v>
      </c>
      <c r="DL288" s="75">
        <f ca="1">INDIRECT(ADDRESS(11+(MATCH(RIGHT(Table14[[#This Row],[spawner_sku]],LEN(Table14[[#This Row],[spawner_sku]])-FIND("/",Table14[[#This Row],[spawner_sku]])),Table1[Entity Prefab],0)),10,1,1,"Entities"))</f>
        <v>35</v>
      </c>
      <c r="DM288" s="75">
        <f ca="1">ROUND((Table14[[#This Row],[XP]]*Table14[[#This Row],[entity_spawned (AVG)]])*(Table14[[#This Row],[activating_chance]]/100),0)</f>
        <v>35</v>
      </c>
      <c r="DN28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88" s="72">
        <v>1</v>
      </c>
      <c r="DP288" s="72">
        <v>1</v>
      </c>
      <c r="DQ288" s="72" t="b">
        <v>0</v>
      </c>
      <c r="DS288" t="s">
        <v>396</v>
      </c>
      <c r="DT288">
        <v>1</v>
      </c>
      <c r="DU288">
        <v>80</v>
      </c>
      <c r="DV288">
        <v>100</v>
      </c>
      <c r="DW288" s="75">
        <f ca="1">INDIRECT(ADDRESS(11+(MATCH(RIGHT(Table18[[#This Row],[spawner_sku]],LEN(Table18[[#This Row],[spawner_sku]])-FIND("/",Table18[[#This Row],[spawner_sku]])),Table1[Entity Prefab],0)),10,1,1,"Entities"))</f>
        <v>25</v>
      </c>
      <c r="DX288" s="75">
        <f ca="1">ROUND((Table18[[#This Row],[XP]]*Table18[[#This Row],[entity_spawned (AVG)]])*(Table18[[#This Row],[activating_chance]]/100),0)</f>
        <v>25</v>
      </c>
      <c r="DY28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88">
        <v>1</v>
      </c>
      <c r="EA288">
        <v>1</v>
      </c>
      <c r="EB288" t="b">
        <v>0</v>
      </c>
    </row>
    <row r="289" spans="2:132" x14ac:dyDescent="0.25">
      <c r="B289" s="73" t="s">
        <v>236</v>
      </c>
      <c r="C289">
        <v>1</v>
      </c>
      <c r="D289">
        <v>170</v>
      </c>
      <c r="E289">
        <v>100</v>
      </c>
      <c r="F289" s="75">
        <f ca="1">INDIRECT(ADDRESS(11+(MATCH(RIGHT(Table245[[#This Row],[spawner_sku]],LEN(Table245[[#This Row],[spawner_sku]])-FIND("/",Table245[[#This Row],[spawner_sku]])),Table1[Entity Prefab],0)),10,1,1,"Entities"))</f>
        <v>70</v>
      </c>
      <c r="G289" s="75">
        <f ca="1">ROUND((Table245[[#This Row],[XP]]*Table245[[#This Row],[entity_spawned (AVG)]])*(Table245[[#This Row],[activating_chance]]/100),0)</f>
        <v>70</v>
      </c>
      <c r="H28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9" s="72">
        <v>1</v>
      </c>
      <c r="J289" s="72">
        <v>1</v>
      </c>
      <c r="K289" s="72" t="b">
        <v>0</v>
      </c>
      <c r="AI289" t="s">
        <v>385</v>
      </c>
      <c r="AJ289">
        <v>1</v>
      </c>
      <c r="AK289">
        <v>220</v>
      </c>
      <c r="AL289">
        <v>100</v>
      </c>
      <c r="AM289" s="75">
        <f ca="1">INDIRECT(ADDRESS(11+(MATCH(RIGHT(Table2[[#This Row],[spawner_sku]],LEN(Table2[[#This Row],[spawner_sku]])-FIND("/",Table2[[#This Row],[spawner_sku]])),Table1[Entity Prefab],0)),10,1,1,"Entities"))</f>
        <v>75</v>
      </c>
      <c r="AN289" s="75">
        <f ca="1">ROUND((Table2[[#This Row],[XP]]*Table2[[#This Row],[entity_spawned (AVG)]])*(Table2[[#This Row],[activating_chance]]/100),0)</f>
        <v>75</v>
      </c>
      <c r="AO28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89" s="72">
        <v>1</v>
      </c>
      <c r="AQ289" s="72">
        <v>1</v>
      </c>
      <c r="AR289" s="72" t="b">
        <v>0</v>
      </c>
      <c r="BP289" t="s">
        <v>385</v>
      </c>
      <c r="BQ289">
        <v>1</v>
      </c>
      <c r="BR289">
        <v>200</v>
      </c>
      <c r="BS289">
        <v>100</v>
      </c>
      <c r="BT289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89" s="75">
        <f ca="1">ROUND((Table61011[[#This Row],[XP]]*Table61011[[#This Row],[entity_spawned (AVG)]])*(Table61011[[#This Row],[activating_chance]]/100),0)</f>
        <v>75</v>
      </c>
      <c r="BV28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9" s="72">
        <v>1</v>
      </c>
      <c r="BX289" s="72">
        <v>1</v>
      </c>
      <c r="BY289" s="72" t="b">
        <v>0</v>
      </c>
      <c r="CA289" t="s">
        <v>445</v>
      </c>
      <c r="CB289">
        <v>2.5</v>
      </c>
      <c r="CC289">
        <v>120</v>
      </c>
      <c r="CD289">
        <v>100</v>
      </c>
      <c r="CE289" s="75">
        <f ca="1">INDIRECT(ADDRESS(11+(MATCH(RIGHT(Table11[[#This Row],[spawner_sku]],LEN(Table11[[#This Row],[spawner_sku]])-FIND("/",Table11[[#This Row],[spawner_sku]])),Table1[Entity Prefab],0)),10,1,1,"Entities"))</f>
        <v>0</v>
      </c>
      <c r="CF289">
        <f ca="1">ROUND((Table11[[#This Row],[XP]]*Table11[[#This Row],[entity_spawned (AVG)]])*(Table11[[#This Row],[activating_chance]]/100),0)</f>
        <v>0</v>
      </c>
      <c r="CG289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89" s="72">
        <v>1</v>
      </c>
      <c r="CI289" s="72">
        <v>4</v>
      </c>
      <c r="CJ289" s="72" t="b">
        <v>0</v>
      </c>
      <c r="CW289" t="s">
        <v>384</v>
      </c>
      <c r="CX289">
        <v>3</v>
      </c>
      <c r="CY289">
        <v>100</v>
      </c>
      <c r="CZ289">
        <v>100</v>
      </c>
      <c r="DA289" s="75">
        <f ca="1">INDIRECT(ADDRESS(11+(MATCH(RIGHT(Table13[[#This Row],[spawner_sku]],LEN(Table13[[#This Row],[spawner_sku]])-FIND("/",Table13[[#This Row],[spawner_sku]])),Table1[Entity Prefab],0)),10,1,1,"Entities"))</f>
        <v>25</v>
      </c>
      <c r="DB289" s="75">
        <f ca="1">ROUND((Table13[[#This Row],[XP]]*Table13[[#This Row],[entity_spawned (AVG)]])*(Table13[[#This Row],[activating_chance]]/100),0)</f>
        <v>75</v>
      </c>
      <c r="DC289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89" s="72">
        <v>2</v>
      </c>
      <c r="DE289" s="72">
        <v>4</v>
      </c>
      <c r="DF289" s="72" t="b">
        <v>0</v>
      </c>
      <c r="DH289" t="s">
        <v>520</v>
      </c>
      <c r="DI289">
        <v>1.5</v>
      </c>
      <c r="DJ289">
        <v>120</v>
      </c>
      <c r="DK289">
        <v>80</v>
      </c>
      <c r="DL289" s="75">
        <f ca="1">INDIRECT(ADDRESS(11+(MATCH(RIGHT(Table14[[#This Row],[spawner_sku]],LEN(Table14[[#This Row],[spawner_sku]])-FIND("/",Table14[[#This Row],[spawner_sku]])),Table1[Entity Prefab],0)),10,1,1,"Entities"))</f>
        <v>35</v>
      </c>
      <c r="DM289" s="75">
        <f ca="1">ROUND((Table14[[#This Row],[XP]]*Table14[[#This Row],[entity_spawned (AVG)]])*(Table14[[#This Row],[activating_chance]]/100),0)</f>
        <v>42</v>
      </c>
      <c r="DN28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89" s="72">
        <v>1</v>
      </c>
      <c r="DP289" s="72">
        <v>2</v>
      </c>
      <c r="DQ289" s="72" t="b">
        <v>0</v>
      </c>
      <c r="DS289" t="s">
        <v>396</v>
      </c>
      <c r="DT289">
        <v>1</v>
      </c>
      <c r="DU289">
        <v>70</v>
      </c>
      <c r="DV289">
        <v>100</v>
      </c>
      <c r="DW289" s="75">
        <f ca="1">INDIRECT(ADDRESS(11+(MATCH(RIGHT(Table18[[#This Row],[spawner_sku]],LEN(Table18[[#This Row],[spawner_sku]])-FIND("/",Table18[[#This Row],[spawner_sku]])),Table1[Entity Prefab],0)),10,1,1,"Entities"))</f>
        <v>25</v>
      </c>
      <c r="DX289" s="75">
        <f ca="1">ROUND((Table18[[#This Row],[XP]]*Table18[[#This Row],[entity_spawned (AVG)]])*(Table18[[#This Row],[activating_chance]]/100),0)</f>
        <v>25</v>
      </c>
      <c r="DY28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89">
        <v>1</v>
      </c>
      <c r="EA289">
        <v>1</v>
      </c>
      <c r="EB289" t="b">
        <v>0</v>
      </c>
    </row>
    <row r="290" spans="2:132" x14ac:dyDescent="0.25">
      <c r="B290" s="73" t="s">
        <v>236</v>
      </c>
      <c r="C290">
        <v>1</v>
      </c>
      <c r="D290">
        <v>170</v>
      </c>
      <c r="E290">
        <v>100</v>
      </c>
      <c r="F290" s="75">
        <f ca="1">INDIRECT(ADDRESS(11+(MATCH(RIGHT(Table245[[#This Row],[spawner_sku]],LEN(Table245[[#This Row],[spawner_sku]])-FIND("/",Table245[[#This Row],[spawner_sku]])),Table1[Entity Prefab],0)),10,1,1,"Entities"))</f>
        <v>70</v>
      </c>
      <c r="G290" s="75">
        <f ca="1">ROUND((Table245[[#This Row],[XP]]*Table245[[#This Row],[entity_spawned (AVG)]])*(Table245[[#This Row],[activating_chance]]/100),0)</f>
        <v>70</v>
      </c>
      <c r="H29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0" s="72">
        <v>1</v>
      </c>
      <c r="J290" s="72">
        <v>1</v>
      </c>
      <c r="K290" s="72" t="b">
        <v>0</v>
      </c>
      <c r="AI290" t="s">
        <v>385</v>
      </c>
      <c r="AJ290">
        <v>1</v>
      </c>
      <c r="AK290">
        <v>200</v>
      </c>
      <c r="AL290">
        <v>100</v>
      </c>
      <c r="AM290" s="75">
        <f ca="1">INDIRECT(ADDRESS(11+(MATCH(RIGHT(Table2[[#This Row],[spawner_sku]],LEN(Table2[[#This Row],[spawner_sku]])-FIND("/",Table2[[#This Row],[spawner_sku]])),Table1[Entity Prefab],0)),10,1,1,"Entities"))</f>
        <v>75</v>
      </c>
      <c r="AN290" s="75">
        <f ca="1">ROUND((Table2[[#This Row],[XP]]*Table2[[#This Row],[entity_spawned (AVG)]])*(Table2[[#This Row],[activating_chance]]/100),0)</f>
        <v>75</v>
      </c>
      <c r="AO29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90" s="72">
        <v>1</v>
      </c>
      <c r="AQ290" s="72">
        <v>1</v>
      </c>
      <c r="AR290" s="72" t="b">
        <v>0</v>
      </c>
      <c r="BP290" t="s">
        <v>456</v>
      </c>
      <c r="BQ290">
        <v>1</v>
      </c>
      <c r="BR290">
        <v>120</v>
      </c>
      <c r="BS290">
        <v>100</v>
      </c>
      <c r="BT290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90" s="75">
        <f ca="1">ROUND((Table61011[[#This Row],[XP]]*Table61011[[#This Row],[entity_spawned (AVG)]])*(Table61011[[#This Row],[activating_chance]]/100),0)</f>
        <v>75</v>
      </c>
      <c r="BV29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90" s="72">
        <v>1</v>
      </c>
      <c r="BX290" s="72">
        <v>1</v>
      </c>
      <c r="BY290" s="72" t="b">
        <v>0</v>
      </c>
      <c r="CA290" t="s">
        <v>445</v>
      </c>
      <c r="CB290">
        <v>1</v>
      </c>
      <c r="CC290">
        <v>120</v>
      </c>
      <c r="CD290">
        <v>100</v>
      </c>
      <c r="CE290" s="75">
        <f ca="1">INDIRECT(ADDRESS(11+(MATCH(RIGHT(Table11[[#This Row],[spawner_sku]],LEN(Table11[[#This Row],[spawner_sku]])-FIND("/",Table11[[#This Row],[spawner_sku]])),Table1[Entity Prefab],0)),10,1,1,"Entities"))</f>
        <v>0</v>
      </c>
      <c r="CF290">
        <f ca="1">ROUND((Table11[[#This Row],[XP]]*Table11[[#This Row],[entity_spawned (AVG)]])*(Table11[[#This Row],[activating_chance]]/100),0)</f>
        <v>0</v>
      </c>
      <c r="CG290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90" s="72">
        <v>1</v>
      </c>
      <c r="CI290" s="72">
        <v>1</v>
      </c>
      <c r="CJ290" s="72" t="b">
        <v>0</v>
      </c>
      <c r="CW290" t="s">
        <v>384</v>
      </c>
      <c r="CX290">
        <v>5.5</v>
      </c>
      <c r="CY290">
        <v>100</v>
      </c>
      <c r="CZ290">
        <v>100</v>
      </c>
      <c r="DA290" s="75">
        <f ca="1">INDIRECT(ADDRESS(11+(MATCH(RIGHT(Table13[[#This Row],[spawner_sku]],LEN(Table13[[#This Row],[spawner_sku]])-FIND("/",Table13[[#This Row],[spawner_sku]])),Table1[Entity Prefab],0)),10,1,1,"Entities"))</f>
        <v>25</v>
      </c>
      <c r="DB290" s="75">
        <f ca="1">ROUND((Table13[[#This Row],[XP]]*Table13[[#This Row],[entity_spawned (AVG)]])*(Table13[[#This Row],[activating_chance]]/100),0)</f>
        <v>138</v>
      </c>
      <c r="DC290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90" s="72">
        <v>5</v>
      </c>
      <c r="DE290" s="72">
        <v>6</v>
      </c>
      <c r="DF290" s="72" t="b">
        <v>1</v>
      </c>
      <c r="DH290" t="s">
        <v>520</v>
      </c>
      <c r="DI290">
        <v>1</v>
      </c>
      <c r="DJ290">
        <v>120</v>
      </c>
      <c r="DK290">
        <v>80</v>
      </c>
      <c r="DL290" s="75">
        <f ca="1">INDIRECT(ADDRESS(11+(MATCH(RIGHT(Table14[[#This Row],[spawner_sku]],LEN(Table14[[#This Row],[spawner_sku]])-FIND("/",Table14[[#This Row],[spawner_sku]])),Table1[Entity Prefab],0)),10,1,1,"Entities"))</f>
        <v>35</v>
      </c>
      <c r="DM290" s="75">
        <f ca="1">ROUND((Table14[[#This Row],[XP]]*Table14[[#This Row],[entity_spawned (AVG)]])*(Table14[[#This Row],[activating_chance]]/100),0)</f>
        <v>28</v>
      </c>
      <c r="DN29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90" s="72">
        <v>1</v>
      </c>
      <c r="DP290" s="72">
        <v>1</v>
      </c>
      <c r="DQ290" s="72" t="b">
        <v>0</v>
      </c>
      <c r="DS290" t="s">
        <v>396</v>
      </c>
      <c r="DT290">
        <v>1</v>
      </c>
      <c r="DU290">
        <v>80</v>
      </c>
      <c r="DV290">
        <v>100</v>
      </c>
      <c r="DW290" s="75">
        <f ca="1">INDIRECT(ADDRESS(11+(MATCH(RIGHT(Table18[[#This Row],[spawner_sku]],LEN(Table18[[#This Row],[spawner_sku]])-FIND("/",Table18[[#This Row],[spawner_sku]])),Table1[Entity Prefab],0)),10,1,1,"Entities"))</f>
        <v>25</v>
      </c>
      <c r="DX290" s="75">
        <f ca="1">ROUND((Table18[[#This Row],[XP]]*Table18[[#This Row],[entity_spawned (AVG)]])*(Table18[[#This Row],[activating_chance]]/100),0)</f>
        <v>25</v>
      </c>
      <c r="DY29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90">
        <v>1</v>
      </c>
      <c r="EA290">
        <v>1</v>
      </c>
      <c r="EB290" t="b">
        <v>0</v>
      </c>
    </row>
    <row r="291" spans="2:132" x14ac:dyDescent="0.25">
      <c r="B291" s="73" t="s">
        <v>236</v>
      </c>
      <c r="C291">
        <v>1</v>
      </c>
      <c r="D291">
        <v>170</v>
      </c>
      <c r="E291">
        <v>100</v>
      </c>
      <c r="F291" s="75">
        <f ca="1">INDIRECT(ADDRESS(11+(MATCH(RIGHT(Table245[[#This Row],[spawner_sku]],LEN(Table245[[#This Row],[spawner_sku]])-FIND("/",Table245[[#This Row],[spawner_sku]])),Table1[Entity Prefab],0)),10,1,1,"Entities"))</f>
        <v>70</v>
      </c>
      <c r="G291" s="75">
        <f ca="1">ROUND((Table245[[#This Row],[XP]]*Table245[[#This Row],[entity_spawned (AVG)]])*(Table245[[#This Row],[activating_chance]]/100),0)</f>
        <v>70</v>
      </c>
      <c r="H29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1" s="72">
        <v>1</v>
      </c>
      <c r="J291" s="72">
        <v>1</v>
      </c>
      <c r="K291" s="72" t="b">
        <v>0</v>
      </c>
      <c r="AI291" t="s">
        <v>385</v>
      </c>
      <c r="AJ291">
        <v>1</v>
      </c>
      <c r="AK291">
        <v>200</v>
      </c>
      <c r="AL291">
        <v>100</v>
      </c>
      <c r="AM291" s="75">
        <f ca="1">INDIRECT(ADDRESS(11+(MATCH(RIGHT(Table2[[#This Row],[spawner_sku]],LEN(Table2[[#This Row],[spawner_sku]])-FIND("/",Table2[[#This Row],[spawner_sku]])),Table1[Entity Prefab],0)),10,1,1,"Entities"))</f>
        <v>75</v>
      </c>
      <c r="AN291" s="75">
        <f ca="1">ROUND((Table2[[#This Row],[XP]]*Table2[[#This Row],[entity_spawned (AVG)]])*(Table2[[#This Row],[activating_chance]]/100),0)</f>
        <v>75</v>
      </c>
      <c r="AO29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91" s="72">
        <v>1</v>
      </c>
      <c r="AQ291" s="72">
        <v>1</v>
      </c>
      <c r="AR291" s="72" t="b">
        <v>0</v>
      </c>
      <c r="BP291" t="s">
        <v>445</v>
      </c>
      <c r="BQ291">
        <v>1</v>
      </c>
      <c r="BR291">
        <v>200</v>
      </c>
      <c r="BS291">
        <v>100</v>
      </c>
      <c r="BT291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291" s="75">
        <f ca="1">ROUND((Table61011[[#This Row],[XP]]*Table61011[[#This Row],[entity_spawned (AVG)]])*(Table61011[[#This Row],[activating_chance]]/100),0)</f>
        <v>0</v>
      </c>
      <c r="BV29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91" s="72">
        <v>1</v>
      </c>
      <c r="BX291" s="72">
        <v>1</v>
      </c>
      <c r="BY291" s="72" t="b">
        <v>0</v>
      </c>
      <c r="CA291" t="s">
        <v>445</v>
      </c>
      <c r="CB291">
        <v>1</v>
      </c>
      <c r="CC291">
        <v>120</v>
      </c>
      <c r="CD291">
        <v>100</v>
      </c>
      <c r="CE291" s="75">
        <f ca="1">INDIRECT(ADDRESS(11+(MATCH(RIGHT(Table11[[#This Row],[spawner_sku]],LEN(Table11[[#This Row],[spawner_sku]])-FIND("/",Table11[[#This Row],[spawner_sku]])),Table1[Entity Prefab],0)),10,1,1,"Entities"))</f>
        <v>0</v>
      </c>
      <c r="CF291">
        <f ca="1">ROUND((Table11[[#This Row],[XP]]*Table11[[#This Row],[entity_spawned (AVG)]])*(Table11[[#This Row],[activating_chance]]/100),0)</f>
        <v>0</v>
      </c>
      <c r="CG291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91" s="72">
        <v>1</v>
      </c>
      <c r="CI291" s="72">
        <v>1</v>
      </c>
      <c r="CJ291" s="72" t="b">
        <v>0</v>
      </c>
      <c r="CW291" t="s">
        <v>384</v>
      </c>
      <c r="CX291">
        <v>2</v>
      </c>
      <c r="CY291">
        <v>100</v>
      </c>
      <c r="CZ291">
        <v>100</v>
      </c>
      <c r="DA291" s="75">
        <f ca="1">INDIRECT(ADDRESS(11+(MATCH(RIGHT(Table13[[#This Row],[spawner_sku]],LEN(Table13[[#This Row],[spawner_sku]])-FIND("/",Table13[[#This Row],[spawner_sku]])),Table1[Entity Prefab],0)),10,1,1,"Entities"))</f>
        <v>25</v>
      </c>
      <c r="DB291" s="75">
        <f ca="1">ROUND((Table13[[#This Row],[XP]]*Table13[[#This Row],[entity_spawned (AVG)]])*(Table13[[#This Row],[activating_chance]]/100),0)</f>
        <v>50</v>
      </c>
      <c r="DC291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91" s="72">
        <v>1</v>
      </c>
      <c r="DE291" s="72">
        <v>3</v>
      </c>
      <c r="DF291" s="72" t="b">
        <v>0</v>
      </c>
      <c r="DH291" t="s">
        <v>520</v>
      </c>
      <c r="DI291">
        <v>2</v>
      </c>
      <c r="DJ291">
        <v>120</v>
      </c>
      <c r="DK291">
        <v>100</v>
      </c>
      <c r="DL291" s="75">
        <f ca="1">INDIRECT(ADDRESS(11+(MATCH(RIGHT(Table14[[#This Row],[spawner_sku]],LEN(Table14[[#This Row],[spawner_sku]])-FIND("/",Table14[[#This Row],[spawner_sku]])),Table1[Entity Prefab],0)),10,1,1,"Entities"))</f>
        <v>35</v>
      </c>
      <c r="DM291" s="75">
        <f ca="1">ROUND((Table14[[#This Row],[XP]]*Table14[[#This Row],[entity_spawned (AVG)]])*(Table14[[#This Row],[activating_chance]]/100),0)</f>
        <v>70</v>
      </c>
      <c r="DN29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91" s="72">
        <v>2</v>
      </c>
      <c r="DP291" s="72">
        <v>2</v>
      </c>
      <c r="DQ291" s="72" t="b">
        <v>0</v>
      </c>
      <c r="DS291" t="s">
        <v>396</v>
      </c>
      <c r="DT291">
        <v>1</v>
      </c>
      <c r="DU291">
        <v>90</v>
      </c>
      <c r="DV291">
        <v>80</v>
      </c>
      <c r="DW291" s="75">
        <f ca="1">INDIRECT(ADDRESS(11+(MATCH(RIGHT(Table18[[#This Row],[spawner_sku]],LEN(Table18[[#This Row],[spawner_sku]])-FIND("/",Table18[[#This Row],[spawner_sku]])),Table1[Entity Prefab],0)),10,1,1,"Entities"))</f>
        <v>25</v>
      </c>
      <c r="DX291" s="75">
        <f ca="1">ROUND((Table18[[#This Row],[XP]]*Table18[[#This Row],[entity_spawned (AVG)]])*(Table18[[#This Row],[activating_chance]]/100),0)</f>
        <v>20</v>
      </c>
      <c r="DY29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91">
        <v>1</v>
      </c>
      <c r="EA291">
        <v>1</v>
      </c>
      <c r="EB291" t="b">
        <v>0</v>
      </c>
    </row>
    <row r="292" spans="2:132" x14ac:dyDescent="0.25">
      <c r="B292" s="73" t="s">
        <v>236</v>
      </c>
      <c r="C292">
        <v>1</v>
      </c>
      <c r="D292">
        <v>170</v>
      </c>
      <c r="E292">
        <v>100</v>
      </c>
      <c r="F292" s="75">
        <f ca="1">INDIRECT(ADDRESS(11+(MATCH(RIGHT(Table245[[#This Row],[spawner_sku]],LEN(Table245[[#This Row],[spawner_sku]])-FIND("/",Table245[[#This Row],[spawner_sku]])),Table1[Entity Prefab],0)),10,1,1,"Entities"))</f>
        <v>70</v>
      </c>
      <c r="G292" s="75">
        <f ca="1">ROUND((Table245[[#This Row],[XP]]*Table245[[#This Row],[entity_spawned (AVG)]])*(Table245[[#This Row],[activating_chance]]/100),0)</f>
        <v>70</v>
      </c>
      <c r="H29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2" s="72">
        <v>1</v>
      </c>
      <c r="J292" s="72">
        <v>1</v>
      </c>
      <c r="K292" s="72" t="b">
        <v>0</v>
      </c>
      <c r="AI292" t="s">
        <v>385</v>
      </c>
      <c r="AJ292">
        <v>1</v>
      </c>
      <c r="AK292">
        <v>170</v>
      </c>
      <c r="AL292">
        <v>100</v>
      </c>
      <c r="AM292" s="75">
        <f ca="1">INDIRECT(ADDRESS(11+(MATCH(RIGHT(Table2[[#This Row],[spawner_sku]],LEN(Table2[[#This Row],[spawner_sku]])-FIND("/",Table2[[#This Row],[spawner_sku]])),Table1[Entity Prefab],0)),10,1,1,"Entities"))</f>
        <v>75</v>
      </c>
      <c r="AN292" s="75">
        <f ca="1">ROUND((Table2[[#This Row],[XP]]*Table2[[#This Row],[entity_spawned (AVG)]])*(Table2[[#This Row],[activating_chance]]/100),0)</f>
        <v>75</v>
      </c>
      <c r="AO29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92" s="72">
        <v>1</v>
      </c>
      <c r="AQ292" s="72">
        <v>1</v>
      </c>
      <c r="AR292" s="72" t="b">
        <v>0</v>
      </c>
      <c r="BP292" t="s">
        <v>445</v>
      </c>
      <c r="BQ292">
        <v>1</v>
      </c>
      <c r="BR292">
        <v>200</v>
      </c>
      <c r="BS292">
        <v>100</v>
      </c>
      <c r="BT292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292" s="75">
        <f ca="1">ROUND((Table61011[[#This Row],[XP]]*Table61011[[#This Row],[entity_spawned (AVG)]])*(Table61011[[#This Row],[activating_chance]]/100),0)</f>
        <v>0</v>
      </c>
      <c r="BV29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92" s="72">
        <v>1</v>
      </c>
      <c r="BX292" s="72">
        <v>1</v>
      </c>
      <c r="BY292" s="72" t="b">
        <v>0</v>
      </c>
      <c r="CA292" t="s">
        <v>445</v>
      </c>
      <c r="CB292">
        <v>1</v>
      </c>
      <c r="CC292">
        <v>120</v>
      </c>
      <c r="CD292">
        <v>10</v>
      </c>
      <c r="CE292" s="75">
        <f ca="1">INDIRECT(ADDRESS(11+(MATCH(RIGHT(Table11[[#This Row],[spawner_sku]],LEN(Table11[[#This Row],[spawner_sku]])-FIND("/",Table11[[#This Row],[spawner_sku]])),Table1[Entity Prefab],0)),10,1,1,"Entities"))</f>
        <v>0</v>
      </c>
      <c r="CF292">
        <f ca="1">ROUND((Table11[[#This Row],[XP]]*Table11[[#This Row],[entity_spawned (AVG)]])*(Table11[[#This Row],[activating_chance]]/100),0)</f>
        <v>0</v>
      </c>
      <c r="CG292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92" s="72">
        <v>1</v>
      </c>
      <c r="CI292" s="72">
        <v>1</v>
      </c>
      <c r="CJ292" s="72" t="b">
        <v>0</v>
      </c>
      <c r="CW292" t="s">
        <v>384</v>
      </c>
      <c r="CX292">
        <v>1</v>
      </c>
      <c r="CY292">
        <v>100</v>
      </c>
      <c r="CZ292">
        <v>80</v>
      </c>
      <c r="DA292" s="75">
        <f ca="1">INDIRECT(ADDRESS(11+(MATCH(RIGHT(Table13[[#This Row],[spawner_sku]],LEN(Table13[[#This Row],[spawner_sku]])-FIND("/",Table13[[#This Row],[spawner_sku]])),Table1[Entity Prefab],0)),10,1,1,"Entities"))</f>
        <v>25</v>
      </c>
      <c r="DB292" s="75">
        <f ca="1">ROUND((Table13[[#This Row],[XP]]*Table13[[#This Row],[entity_spawned (AVG)]])*(Table13[[#This Row],[activating_chance]]/100),0)</f>
        <v>20</v>
      </c>
      <c r="DC292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92" s="72">
        <v>1</v>
      </c>
      <c r="DE292" s="72">
        <v>1</v>
      </c>
      <c r="DF292" s="72" t="b">
        <v>0</v>
      </c>
      <c r="DH292" t="s">
        <v>520</v>
      </c>
      <c r="DI292">
        <v>1</v>
      </c>
      <c r="DJ292">
        <v>120</v>
      </c>
      <c r="DK292">
        <v>40</v>
      </c>
      <c r="DL292" s="75">
        <f ca="1">INDIRECT(ADDRESS(11+(MATCH(RIGHT(Table14[[#This Row],[spawner_sku]],LEN(Table14[[#This Row],[spawner_sku]])-FIND("/",Table14[[#This Row],[spawner_sku]])),Table1[Entity Prefab],0)),10,1,1,"Entities"))</f>
        <v>35</v>
      </c>
      <c r="DM292" s="75">
        <f ca="1">ROUND((Table14[[#This Row],[XP]]*Table14[[#This Row],[entity_spawned (AVG)]])*(Table14[[#This Row],[activating_chance]]/100),0)</f>
        <v>14</v>
      </c>
      <c r="DN29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92" s="72">
        <v>1</v>
      </c>
      <c r="DP292" s="72">
        <v>1</v>
      </c>
      <c r="DQ292" s="72" t="b">
        <v>0</v>
      </c>
      <c r="DS292" t="s">
        <v>396</v>
      </c>
      <c r="DT292">
        <v>1</v>
      </c>
      <c r="DU292">
        <v>90</v>
      </c>
      <c r="DV292">
        <v>80</v>
      </c>
      <c r="DW292" s="75">
        <f ca="1">INDIRECT(ADDRESS(11+(MATCH(RIGHT(Table18[[#This Row],[spawner_sku]],LEN(Table18[[#This Row],[spawner_sku]])-FIND("/",Table18[[#This Row],[spawner_sku]])),Table1[Entity Prefab],0)),10,1,1,"Entities"))</f>
        <v>25</v>
      </c>
      <c r="DX292" s="75">
        <f ca="1">ROUND((Table18[[#This Row],[XP]]*Table18[[#This Row],[entity_spawned (AVG)]])*(Table18[[#This Row],[activating_chance]]/100),0)</f>
        <v>20</v>
      </c>
      <c r="DY29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92">
        <v>1</v>
      </c>
      <c r="EA292">
        <v>1</v>
      </c>
      <c r="EB292" t="b">
        <v>0</v>
      </c>
    </row>
    <row r="293" spans="2:132" x14ac:dyDescent="0.25">
      <c r="B293" s="73" t="s">
        <v>236</v>
      </c>
      <c r="C293">
        <v>1</v>
      </c>
      <c r="D293">
        <v>170</v>
      </c>
      <c r="E293">
        <v>100</v>
      </c>
      <c r="F293" s="75">
        <f ca="1">INDIRECT(ADDRESS(11+(MATCH(RIGHT(Table245[[#This Row],[spawner_sku]],LEN(Table245[[#This Row],[spawner_sku]])-FIND("/",Table245[[#This Row],[spawner_sku]])),Table1[Entity Prefab],0)),10,1,1,"Entities"))</f>
        <v>70</v>
      </c>
      <c r="G293" s="75">
        <f ca="1">ROUND((Table245[[#This Row],[XP]]*Table245[[#This Row],[entity_spawned (AVG)]])*(Table245[[#This Row],[activating_chance]]/100),0)</f>
        <v>70</v>
      </c>
      <c r="H29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3" s="72">
        <v>1</v>
      </c>
      <c r="J293" s="72">
        <v>1</v>
      </c>
      <c r="K293" s="72" t="b">
        <v>0</v>
      </c>
      <c r="AI293" t="s">
        <v>385</v>
      </c>
      <c r="AJ293">
        <v>1</v>
      </c>
      <c r="AK293">
        <v>200</v>
      </c>
      <c r="AL293">
        <v>100</v>
      </c>
      <c r="AM293" s="75">
        <f ca="1">INDIRECT(ADDRESS(11+(MATCH(RIGHT(Table2[[#This Row],[spawner_sku]],LEN(Table2[[#This Row],[spawner_sku]])-FIND("/",Table2[[#This Row],[spawner_sku]])),Table1[Entity Prefab],0)),10,1,1,"Entities"))</f>
        <v>75</v>
      </c>
      <c r="AN293" s="75">
        <f ca="1">ROUND((Table2[[#This Row],[XP]]*Table2[[#This Row],[entity_spawned (AVG)]])*(Table2[[#This Row],[activating_chance]]/100),0)</f>
        <v>75</v>
      </c>
      <c r="AO29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93" s="72">
        <v>1</v>
      </c>
      <c r="AQ293" s="72">
        <v>1</v>
      </c>
      <c r="AR293" s="72" t="b">
        <v>0</v>
      </c>
      <c r="BP293" t="s">
        <v>445</v>
      </c>
      <c r="BQ293">
        <v>1</v>
      </c>
      <c r="BR293">
        <v>200</v>
      </c>
      <c r="BS293">
        <v>100</v>
      </c>
      <c r="BT293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293" s="75">
        <f ca="1">ROUND((Table61011[[#This Row],[XP]]*Table61011[[#This Row],[entity_spawned (AVG)]])*(Table61011[[#This Row],[activating_chance]]/100),0)</f>
        <v>0</v>
      </c>
      <c r="BV29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93" s="72">
        <v>1</v>
      </c>
      <c r="BX293" s="72">
        <v>1</v>
      </c>
      <c r="BY293" s="72" t="b">
        <v>0</v>
      </c>
      <c r="CA293" t="s">
        <v>445</v>
      </c>
      <c r="CB293">
        <v>1</v>
      </c>
      <c r="CC293">
        <v>120</v>
      </c>
      <c r="CD293">
        <v>80</v>
      </c>
      <c r="CE293" s="75">
        <f ca="1">INDIRECT(ADDRESS(11+(MATCH(RIGHT(Table11[[#This Row],[spawner_sku]],LEN(Table11[[#This Row],[spawner_sku]])-FIND("/",Table11[[#This Row],[spawner_sku]])),Table1[Entity Prefab],0)),10,1,1,"Entities"))</f>
        <v>0</v>
      </c>
      <c r="CF293">
        <f ca="1">ROUND((Table11[[#This Row],[XP]]*Table11[[#This Row],[entity_spawned (AVG)]])*(Table11[[#This Row],[activating_chance]]/100),0)</f>
        <v>0</v>
      </c>
      <c r="CG293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93" s="72">
        <v>1</v>
      </c>
      <c r="CI293" s="72">
        <v>1</v>
      </c>
      <c r="CJ293" s="72" t="b">
        <v>0</v>
      </c>
      <c r="CW293" t="s">
        <v>384</v>
      </c>
      <c r="CX293">
        <v>2</v>
      </c>
      <c r="CY293">
        <v>100</v>
      </c>
      <c r="CZ293">
        <v>100</v>
      </c>
      <c r="DA293" s="75">
        <f ca="1">INDIRECT(ADDRESS(11+(MATCH(RIGHT(Table13[[#This Row],[spawner_sku]],LEN(Table13[[#This Row],[spawner_sku]])-FIND("/",Table13[[#This Row],[spawner_sku]])),Table1[Entity Prefab],0)),10,1,1,"Entities"))</f>
        <v>25</v>
      </c>
      <c r="DB293" s="75">
        <f ca="1">ROUND((Table13[[#This Row],[XP]]*Table13[[#This Row],[entity_spawned (AVG)]])*(Table13[[#This Row],[activating_chance]]/100),0)</f>
        <v>50</v>
      </c>
      <c r="DC293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93" s="72">
        <v>1</v>
      </c>
      <c r="DE293" s="72">
        <v>3</v>
      </c>
      <c r="DF293" s="72" t="b">
        <v>0</v>
      </c>
      <c r="DH293" t="s">
        <v>520</v>
      </c>
      <c r="DI293">
        <v>1.5</v>
      </c>
      <c r="DJ293">
        <v>80</v>
      </c>
      <c r="DK293">
        <v>30</v>
      </c>
      <c r="DL293" s="75">
        <f ca="1">INDIRECT(ADDRESS(11+(MATCH(RIGHT(Table14[[#This Row],[spawner_sku]],LEN(Table14[[#This Row],[spawner_sku]])-FIND("/",Table14[[#This Row],[spawner_sku]])),Table1[Entity Prefab],0)),10,1,1,"Entities"))</f>
        <v>35</v>
      </c>
      <c r="DM293" s="75">
        <f ca="1">ROUND((Table14[[#This Row],[XP]]*Table14[[#This Row],[entity_spawned (AVG)]])*(Table14[[#This Row],[activating_chance]]/100),0)</f>
        <v>16</v>
      </c>
      <c r="DN29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93" s="72">
        <v>1</v>
      </c>
      <c r="DP293" s="72">
        <v>2</v>
      </c>
      <c r="DQ293" s="72" t="b">
        <v>0</v>
      </c>
      <c r="DS293" t="s">
        <v>396</v>
      </c>
      <c r="DT293">
        <v>1</v>
      </c>
      <c r="DU293">
        <v>90</v>
      </c>
      <c r="DV293">
        <v>10</v>
      </c>
      <c r="DW293" s="75">
        <f ca="1">INDIRECT(ADDRESS(11+(MATCH(RIGHT(Table18[[#This Row],[spawner_sku]],LEN(Table18[[#This Row],[spawner_sku]])-FIND("/",Table18[[#This Row],[spawner_sku]])),Table1[Entity Prefab],0)),10,1,1,"Entities"))</f>
        <v>25</v>
      </c>
      <c r="DX293" s="75">
        <f ca="1">ROUND((Table18[[#This Row],[XP]]*Table18[[#This Row],[entity_spawned (AVG)]])*(Table18[[#This Row],[activating_chance]]/100),0)</f>
        <v>3</v>
      </c>
      <c r="DY29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93">
        <v>1</v>
      </c>
      <c r="EA293">
        <v>1</v>
      </c>
      <c r="EB293" t="b">
        <v>0</v>
      </c>
    </row>
    <row r="294" spans="2:132" x14ac:dyDescent="0.25">
      <c r="B294" s="73" t="s">
        <v>237</v>
      </c>
      <c r="C294">
        <v>1</v>
      </c>
      <c r="D294">
        <v>2500</v>
      </c>
      <c r="E294">
        <v>100</v>
      </c>
      <c r="F294" s="75">
        <f ca="1">INDIRECT(ADDRESS(11+(MATCH(RIGHT(Table245[[#This Row],[spawner_sku]],LEN(Table245[[#This Row],[spawner_sku]])-FIND("/",Table245[[#This Row],[spawner_sku]])),Table1[Entity Prefab],0)),10,1,1,"Entities"))</f>
        <v>263</v>
      </c>
      <c r="G294" s="75">
        <f ca="1">ROUND((Table245[[#This Row],[XP]]*Table245[[#This Row],[entity_spawned (AVG)]])*(Table245[[#This Row],[activating_chance]]/100),0)</f>
        <v>263</v>
      </c>
      <c r="H29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4" s="72">
        <v>1</v>
      </c>
      <c r="J294" s="72">
        <v>1</v>
      </c>
      <c r="K294" s="72" t="b">
        <v>0</v>
      </c>
      <c r="AI294" t="s">
        <v>385</v>
      </c>
      <c r="AJ294">
        <v>1</v>
      </c>
      <c r="AK294">
        <v>220</v>
      </c>
      <c r="AL294">
        <v>100</v>
      </c>
      <c r="AM294" s="75">
        <f ca="1">INDIRECT(ADDRESS(11+(MATCH(RIGHT(Table2[[#This Row],[spawner_sku]],LEN(Table2[[#This Row],[spawner_sku]])-FIND("/",Table2[[#This Row],[spawner_sku]])),Table1[Entity Prefab],0)),10,1,1,"Entities"))</f>
        <v>75</v>
      </c>
      <c r="AN294" s="75">
        <f ca="1">ROUND((Table2[[#This Row],[XP]]*Table2[[#This Row],[entity_spawned (AVG)]])*(Table2[[#This Row],[activating_chance]]/100),0)</f>
        <v>75</v>
      </c>
      <c r="AO29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94" s="72">
        <v>1</v>
      </c>
      <c r="AQ294" s="72">
        <v>1</v>
      </c>
      <c r="AR294" s="72" t="b">
        <v>0</v>
      </c>
      <c r="BP294" t="s">
        <v>445</v>
      </c>
      <c r="BQ294">
        <v>1</v>
      </c>
      <c r="BR294">
        <v>200</v>
      </c>
      <c r="BS294">
        <v>100</v>
      </c>
      <c r="BT294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294" s="75">
        <f ca="1">ROUND((Table61011[[#This Row],[XP]]*Table61011[[#This Row],[entity_spawned (AVG)]])*(Table61011[[#This Row],[activating_chance]]/100),0)</f>
        <v>0</v>
      </c>
      <c r="BV29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94" s="72">
        <v>1</v>
      </c>
      <c r="BX294" s="72">
        <v>1</v>
      </c>
      <c r="BY294" s="72" t="b">
        <v>0</v>
      </c>
      <c r="CA294" t="s">
        <v>445</v>
      </c>
      <c r="CB294">
        <v>1</v>
      </c>
      <c r="CC294">
        <v>120</v>
      </c>
      <c r="CD294">
        <v>30</v>
      </c>
      <c r="CE294" s="75">
        <f ca="1">INDIRECT(ADDRESS(11+(MATCH(RIGHT(Table11[[#This Row],[spawner_sku]],LEN(Table11[[#This Row],[spawner_sku]])-FIND("/",Table11[[#This Row],[spawner_sku]])),Table1[Entity Prefab],0)),10,1,1,"Entities"))</f>
        <v>0</v>
      </c>
      <c r="CF294">
        <f ca="1">ROUND((Table11[[#This Row],[XP]]*Table11[[#This Row],[entity_spawned (AVG)]])*(Table11[[#This Row],[activating_chance]]/100),0)</f>
        <v>0</v>
      </c>
      <c r="CG294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94" s="72">
        <v>1</v>
      </c>
      <c r="CI294" s="72">
        <v>1</v>
      </c>
      <c r="CJ294" s="72" t="b">
        <v>0</v>
      </c>
      <c r="CW294" t="s">
        <v>384</v>
      </c>
      <c r="CX294">
        <v>5.5</v>
      </c>
      <c r="CY294">
        <v>100</v>
      </c>
      <c r="CZ294">
        <v>20</v>
      </c>
      <c r="DA294" s="75">
        <f ca="1">INDIRECT(ADDRESS(11+(MATCH(RIGHT(Table13[[#This Row],[spawner_sku]],LEN(Table13[[#This Row],[spawner_sku]])-FIND("/",Table13[[#This Row],[spawner_sku]])),Table1[Entity Prefab],0)),10,1,1,"Entities"))</f>
        <v>25</v>
      </c>
      <c r="DB294" s="75">
        <f ca="1">ROUND((Table13[[#This Row],[XP]]*Table13[[#This Row],[entity_spawned (AVG)]])*(Table13[[#This Row],[activating_chance]]/100),0)</f>
        <v>28</v>
      </c>
      <c r="DC294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94" s="72">
        <v>5</v>
      </c>
      <c r="DE294" s="72">
        <v>6</v>
      </c>
      <c r="DF294" s="72" t="b">
        <v>1</v>
      </c>
      <c r="DH294" t="s">
        <v>520</v>
      </c>
      <c r="DI294">
        <v>1</v>
      </c>
      <c r="DJ294">
        <v>80</v>
      </c>
      <c r="DK294">
        <v>100</v>
      </c>
      <c r="DL294" s="75">
        <f ca="1">INDIRECT(ADDRESS(11+(MATCH(RIGHT(Table14[[#This Row],[spawner_sku]],LEN(Table14[[#This Row],[spawner_sku]])-FIND("/",Table14[[#This Row],[spawner_sku]])),Table1[Entity Prefab],0)),10,1,1,"Entities"))</f>
        <v>35</v>
      </c>
      <c r="DM294" s="75">
        <f ca="1">ROUND((Table14[[#This Row],[XP]]*Table14[[#This Row],[entity_spawned (AVG)]])*(Table14[[#This Row],[activating_chance]]/100),0)</f>
        <v>35</v>
      </c>
      <c r="DN29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94" s="72">
        <v>1</v>
      </c>
      <c r="DP294" s="72">
        <v>1</v>
      </c>
      <c r="DQ294" s="72" t="b">
        <v>0</v>
      </c>
      <c r="DS294" t="s">
        <v>396</v>
      </c>
      <c r="DT294">
        <v>1</v>
      </c>
      <c r="DU294">
        <v>80</v>
      </c>
      <c r="DV294">
        <v>30</v>
      </c>
      <c r="DW294" s="75">
        <f ca="1">INDIRECT(ADDRESS(11+(MATCH(RIGHT(Table18[[#This Row],[spawner_sku]],LEN(Table18[[#This Row],[spawner_sku]])-FIND("/",Table18[[#This Row],[spawner_sku]])),Table1[Entity Prefab],0)),10,1,1,"Entities"))</f>
        <v>25</v>
      </c>
      <c r="DX294" s="75">
        <f ca="1">ROUND((Table18[[#This Row],[XP]]*Table18[[#This Row],[entity_spawned (AVG)]])*(Table18[[#This Row],[activating_chance]]/100),0)</f>
        <v>8</v>
      </c>
      <c r="DY29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94">
        <v>1</v>
      </c>
      <c r="EA294">
        <v>1</v>
      </c>
      <c r="EB294" t="b">
        <v>0</v>
      </c>
    </row>
    <row r="295" spans="2:132" x14ac:dyDescent="0.25">
      <c r="B295" s="73" t="s">
        <v>237</v>
      </c>
      <c r="C295">
        <v>1</v>
      </c>
      <c r="D295">
        <v>2500</v>
      </c>
      <c r="E295">
        <v>100</v>
      </c>
      <c r="F295" s="75">
        <f ca="1">INDIRECT(ADDRESS(11+(MATCH(RIGHT(Table245[[#This Row],[spawner_sku]],LEN(Table245[[#This Row],[spawner_sku]])-FIND("/",Table245[[#This Row],[spawner_sku]])),Table1[Entity Prefab],0)),10,1,1,"Entities"))</f>
        <v>263</v>
      </c>
      <c r="G295" s="75">
        <f ca="1">ROUND((Table245[[#This Row],[XP]]*Table245[[#This Row],[entity_spawned (AVG)]])*(Table245[[#This Row],[activating_chance]]/100),0)</f>
        <v>263</v>
      </c>
      <c r="H29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5" s="72">
        <v>1</v>
      </c>
      <c r="J295" s="72">
        <v>1</v>
      </c>
      <c r="K295" s="72" t="b">
        <v>0</v>
      </c>
      <c r="AI295" t="s">
        <v>385</v>
      </c>
      <c r="AJ295">
        <v>1</v>
      </c>
      <c r="AK295">
        <v>200</v>
      </c>
      <c r="AL295">
        <v>80</v>
      </c>
      <c r="AM295" s="75">
        <f ca="1">INDIRECT(ADDRESS(11+(MATCH(RIGHT(Table2[[#This Row],[spawner_sku]],LEN(Table2[[#This Row],[spawner_sku]])-FIND("/",Table2[[#This Row],[spawner_sku]])),Table1[Entity Prefab],0)),10,1,1,"Entities"))</f>
        <v>75</v>
      </c>
      <c r="AN295" s="75">
        <f ca="1">ROUND((Table2[[#This Row],[XP]]*Table2[[#This Row],[entity_spawned (AVG)]])*(Table2[[#This Row],[activating_chance]]/100),0)</f>
        <v>60</v>
      </c>
      <c r="AO29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95" s="72">
        <v>1</v>
      </c>
      <c r="AQ295" s="72">
        <v>1</v>
      </c>
      <c r="AR295" s="72" t="b">
        <v>0</v>
      </c>
      <c r="BP295" t="s">
        <v>445</v>
      </c>
      <c r="BQ295">
        <v>1</v>
      </c>
      <c r="BR295">
        <v>200</v>
      </c>
      <c r="BS295">
        <v>100</v>
      </c>
      <c r="BT295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295" s="75">
        <f ca="1">ROUND((Table61011[[#This Row],[XP]]*Table61011[[#This Row],[entity_spawned (AVG)]])*(Table61011[[#This Row],[activating_chance]]/100),0)</f>
        <v>0</v>
      </c>
      <c r="BV29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95" s="72">
        <v>1</v>
      </c>
      <c r="BX295" s="72">
        <v>1</v>
      </c>
      <c r="BY295" s="72" t="b">
        <v>0</v>
      </c>
      <c r="CA295" t="s">
        <v>445</v>
      </c>
      <c r="CB295">
        <v>1.5</v>
      </c>
      <c r="CC295">
        <v>120</v>
      </c>
      <c r="CD295">
        <v>100</v>
      </c>
      <c r="CE295" s="75">
        <f ca="1">INDIRECT(ADDRESS(11+(MATCH(RIGHT(Table11[[#This Row],[spawner_sku]],LEN(Table11[[#This Row],[spawner_sku]])-FIND("/",Table11[[#This Row],[spawner_sku]])),Table1[Entity Prefab],0)),10,1,1,"Entities"))</f>
        <v>0</v>
      </c>
      <c r="CF295">
        <f ca="1">ROUND((Table11[[#This Row],[XP]]*Table11[[#This Row],[entity_spawned (AVG)]])*(Table11[[#This Row],[activating_chance]]/100),0)</f>
        <v>0</v>
      </c>
      <c r="CG295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95" s="72">
        <v>1</v>
      </c>
      <c r="CI295" s="72">
        <v>2</v>
      </c>
      <c r="CJ295" s="72" t="b">
        <v>0</v>
      </c>
      <c r="CW295" t="s">
        <v>384</v>
      </c>
      <c r="CX295">
        <v>1.5</v>
      </c>
      <c r="CY295">
        <v>100</v>
      </c>
      <c r="CZ295">
        <v>100</v>
      </c>
      <c r="DA295" s="75">
        <f ca="1">INDIRECT(ADDRESS(11+(MATCH(RIGHT(Table13[[#This Row],[spawner_sku]],LEN(Table13[[#This Row],[spawner_sku]])-FIND("/",Table13[[#This Row],[spawner_sku]])),Table1[Entity Prefab],0)),10,1,1,"Entities"))</f>
        <v>25</v>
      </c>
      <c r="DB295" s="75">
        <f ca="1">ROUND((Table13[[#This Row],[XP]]*Table13[[#This Row],[entity_spawned (AVG)]])*(Table13[[#This Row],[activating_chance]]/100),0)</f>
        <v>38</v>
      </c>
      <c r="DC295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95" s="72">
        <v>1</v>
      </c>
      <c r="DE295" s="72">
        <v>2</v>
      </c>
      <c r="DF295" s="72" t="b">
        <v>0</v>
      </c>
      <c r="DH295" t="s">
        <v>520</v>
      </c>
      <c r="DI295">
        <v>1</v>
      </c>
      <c r="DJ295">
        <v>110</v>
      </c>
      <c r="DK295">
        <v>100</v>
      </c>
      <c r="DL295" s="75">
        <f ca="1">INDIRECT(ADDRESS(11+(MATCH(RIGHT(Table14[[#This Row],[spawner_sku]],LEN(Table14[[#This Row],[spawner_sku]])-FIND("/",Table14[[#This Row],[spawner_sku]])),Table1[Entity Prefab],0)),10,1,1,"Entities"))</f>
        <v>35</v>
      </c>
      <c r="DM295" s="75">
        <f ca="1">ROUND((Table14[[#This Row],[XP]]*Table14[[#This Row],[entity_spawned (AVG)]])*(Table14[[#This Row],[activating_chance]]/100),0)</f>
        <v>35</v>
      </c>
      <c r="DN29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95" s="72">
        <v>1</v>
      </c>
      <c r="DP295" s="72">
        <v>1</v>
      </c>
      <c r="DQ295" s="72" t="b">
        <v>0</v>
      </c>
      <c r="DS295" t="s">
        <v>396</v>
      </c>
      <c r="DT295">
        <v>1</v>
      </c>
      <c r="DU295">
        <v>70</v>
      </c>
      <c r="DV295">
        <v>80</v>
      </c>
      <c r="DW295" s="75">
        <f ca="1">INDIRECT(ADDRESS(11+(MATCH(RIGHT(Table18[[#This Row],[spawner_sku]],LEN(Table18[[#This Row],[spawner_sku]])-FIND("/",Table18[[#This Row],[spawner_sku]])),Table1[Entity Prefab],0)),10,1,1,"Entities"))</f>
        <v>25</v>
      </c>
      <c r="DX295" s="75">
        <f ca="1">ROUND((Table18[[#This Row],[XP]]*Table18[[#This Row],[entity_spawned (AVG)]])*(Table18[[#This Row],[activating_chance]]/100),0)</f>
        <v>20</v>
      </c>
      <c r="DY29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95">
        <v>1</v>
      </c>
      <c r="EA295">
        <v>1</v>
      </c>
      <c r="EB295" t="b">
        <v>0</v>
      </c>
    </row>
    <row r="296" spans="2:132" x14ac:dyDescent="0.25">
      <c r="B296" s="73" t="s">
        <v>237</v>
      </c>
      <c r="C296">
        <v>1</v>
      </c>
      <c r="D296">
        <v>2500</v>
      </c>
      <c r="E296">
        <v>100</v>
      </c>
      <c r="F296" s="75">
        <f ca="1">INDIRECT(ADDRESS(11+(MATCH(RIGHT(Table245[[#This Row],[spawner_sku]],LEN(Table245[[#This Row],[spawner_sku]])-FIND("/",Table245[[#This Row],[spawner_sku]])),Table1[Entity Prefab],0)),10,1,1,"Entities"))</f>
        <v>263</v>
      </c>
      <c r="G296" s="75">
        <f ca="1">ROUND((Table245[[#This Row],[XP]]*Table245[[#This Row],[entity_spawned (AVG)]])*(Table245[[#This Row],[activating_chance]]/100),0)</f>
        <v>263</v>
      </c>
      <c r="H29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6" s="72">
        <v>1</v>
      </c>
      <c r="J296" s="72">
        <v>1</v>
      </c>
      <c r="K296" s="72" t="b">
        <v>0</v>
      </c>
      <c r="AI296" t="s">
        <v>385</v>
      </c>
      <c r="AJ296">
        <v>1</v>
      </c>
      <c r="AK296">
        <v>220</v>
      </c>
      <c r="AL296">
        <v>100</v>
      </c>
      <c r="AM296" s="75">
        <f ca="1">INDIRECT(ADDRESS(11+(MATCH(RIGHT(Table2[[#This Row],[spawner_sku]],LEN(Table2[[#This Row],[spawner_sku]])-FIND("/",Table2[[#This Row],[spawner_sku]])),Table1[Entity Prefab],0)),10,1,1,"Entities"))</f>
        <v>75</v>
      </c>
      <c r="AN296" s="75">
        <f ca="1">ROUND((Table2[[#This Row],[XP]]*Table2[[#This Row],[entity_spawned (AVG)]])*(Table2[[#This Row],[activating_chance]]/100),0)</f>
        <v>75</v>
      </c>
      <c r="AO29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96" s="72">
        <v>1</v>
      </c>
      <c r="AQ296" s="72">
        <v>1</v>
      </c>
      <c r="AR296" s="72" t="b">
        <v>0</v>
      </c>
      <c r="BP296" t="s">
        <v>445</v>
      </c>
      <c r="BQ296">
        <v>1</v>
      </c>
      <c r="BR296">
        <v>200</v>
      </c>
      <c r="BS296">
        <v>100</v>
      </c>
      <c r="BT296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296" s="75">
        <f ca="1">ROUND((Table61011[[#This Row],[XP]]*Table61011[[#This Row],[entity_spawned (AVG)]])*(Table61011[[#This Row],[activating_chance]]/100),0)</f>
        <v>0</v>
      </c>
      <c r="BV29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96" s="72">
        <v>1</v>
      </c>
      <c r="BX296" s="72">
        <v>1</v>
      </c>
      <c r="BY296" s="72" t="b">
        <v>0</v>
      </c>
      <c r="CA296" t="s">
        <v>445</v>
      </c>
      <c r="CB296">
        <v>1</v>
      </c>
      <c r="CC296">
        <v>120</v>
      </c>
      <c r="CD296">
        <v>100</v>
      </c>
      <c r="CE296" s="75">
        <f ca="1">INDIRECT(ADDRESS(11+(MATCH(RIGHT(Table11[[#This Row],[spawner_sku]],LEN(Table11[[#This Row],[spawner_sku]])-FIND("/",Table11[[#This Row],[spawner_sku]])),Table1[Entity Prefab],0)),10,1,1,"Entities"))</f>
        <v>0</v>
      </c>
      <c r="CF296">
        <f ca="1">ROUND((Table11[[#This Row],[XP]]*Table11[[#This Row],[entity_spawned (AVG)]])*(Table11[[#This Row],[activating_chance]]/100),0)</f>
        <v>0</v>
      </c>
      <c r="CG296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96" s="72">
        <v>1</v>
      </c>
      <c r="CI296" s="72">
        <v>1</v>
      </c>
      <c r="CJ296" s="72" t="b">
        <v>0</v>
      </c>
      <c r="CW296" t="s">
        <v>384</v>
      </c>
      <c r="CX296">
        <v>1.5</v>
      </c>
      <c r="CY296">
        <v>100</v>
      </c>
      <c r="CZ296">
        <v>80</v>
      </c>
      <c r="DA296" s="75">
        <f ca="1">INDIRECT(ADDRESS(11+(MATCH(RIGHT(Table13[[#This Row],[spawner_sku]],LEN(Table13[[#This Row],[spawner_sku]])-FIND("/",Table13[[#This Row],[spawner_sku]])),Table1[Entity Prefab],0)),10,1,1,"Entities"))</f>
        <v>25</v>
      </c>
      <c r="DB296" s="75">
        <f ca="1">ROUND((Table13[[#This Row],[XP]]*Table13[[#This Row],[entity_spawned (AVG)]])*(Table13[[#This Row],[activating_chance]]/100),0)</f>
        <v>30</v>
      </c>
      <c r="DC296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96" s="72">
        <v>1</v>
      </c>
      <c r="DE296" s="72">
        <v>2</v>
      </c>
      <c r="DF296" s="72" t="b">
        <v>0</v>
      </c>
      <c r="DH296" t="s">
        <v>520</v>
      </c>
      <c r="DI296">
        <v>1</v>
      </c>
      <c r="DJ296">
        <v>120</v>
      </c>
      <c r="DK296">
        <v>100</v>
      </c>
      <c r="DL296" s="75">
        <f ca="1">INDIRECT(ADDRESS(11+(MATCH(RIGHT(Table14[[#This Row],[spawner_sku]],LEN(Table14[[#This Row],[spawner_sku]])-FIND("/",Table14[[#This Row],[spawner_sku]])),Table1[Entity Prefab],0)),10,1,1,"Entities"))</f>
        <v>35</v>
      </c>
      <c r="DM296" s="75">
        <f ca="1">ROUND((Table14[[#This Row],[XP]]*Table14[[#This Row],[entity_spawned (AVG)]])*(Table14[[#This Row],[activating_chance]]/100),0)</f>
        <v>35</v>
      </c>
      <c r="DN29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96" s="72">
        <v>1</v>
      </c>
      <c r="DP296" s="72">
        <v>1</v>
      </c>
      <c r="DQ296" s="72" t="b">
        <v>0</v>
      </c>
      <c r="DS296" t="s">
        <v>396</v>
      </c>
      <c r="DT296">
        <v>1</v>
      </c>
      <c r="DU296">
        <v>70</v>
      </c>
      <c r="DV296">
        <v>100</v>
      </c>
      <c r="DW296" s="75">
        <f ca="1">INDIRECT(ADDRESS(11+(MATCH(RIGHT(Table18[[#This Row],[spawner_sku]],LEN(Table18[[#This Row],[spawner_sku]])-FIND("/",Table18[[#This Row],[spawner_sku]])),Table1[Entity Prefab],0)),10,1,1,"Entities"))</f>
        <v>25</v>
      </c>
      <c r="DX296" s="75">
        <f ca="1">ROUND((Table18[[#This Row],[XP]]*Table18[[#This Row],[entity_spawned (AVG)]])*(Table18[[#This Row],[activating_chance]]/100),0)</f>
        <v>25</v>
      </c>
      <c r="DY29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96">
        <v>1</v>
      </c>
      <c r="EA296">
        <v>1</v>
      </c>
      <c r="EB296" t="b">
        <v>0</v>
      </c>
    </row>
    <row r="297" spans="2:132" x14ac:dyDescent="0.25">
      <c r="B297" s="73" t="s">
        <v>238</v>
      </c>
      <c r="C297">
        <v>1</v>
      </c>
      <c r="D297">
        <v>2500</v>
      </c>
      <c r="E297">
        <v>100</v>
      </c>
      <c r="F297" s="75">
        <f ca="1">INDIRECT(ADDRESS(11+(MATCH(RIGHT(Table245[[#This Row],[spawner_sku]],LEN(Table245[[#This Row],[spawner_sku]])-FIND("/",Table245[[#This Row],[spawner_sku]])),Table1[Entity Prefab],0)),10,1,1,"Entities"))</f>
        <v>263</v>
      </c>
      <c r="G297" s="75">
        <f ca="1">ROUND((Table245[[#This Row],[XP]]*Table245[[#This Row],[entity_spawned (AVG)]])*(Table245[[#This Row],[activating_chance]]/100),0)</f>
        <v>263</v>
      </c>
      <c r="H29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7" s="72">
        <v>1</v>
      </c>
      <c r="J297" s="72">
        <v>1</v>
      </c>
      <c r="K297" s="72" t="b">
        <v>0</v>
      </c>
      <c r="AI297" t="s">
        <v>385</v>
      </c>
      <c r="AJ297">
        <v>1</v>
      </c>
      <c r="AK297">
        <v>170</v>
      </c>
      <c r="AL297">
        <v>100</v>
      </c>
      <c r="AM297" s="75">
        <f ca="1">INDIRECT(ADDRESS(11+(MATCH(RIGHT(Table2[[#This Row],[spawner_sku]],LEN(Table2[[#This Row],[spawner_sku]])-FIND("/",Table2[[#This Row],[spawner_sku]])),Table1[Entity Prefab],0)),10,1,1,"Entities"))</f>
        <v>75</v>
      </c>
      <c r="AN297" s="75">
        <f ca="1">ROUND((Table2[[#This Row],[XP]]*Table2[[#This Row],[entity_spawned (AVG)]])*(Table2[[#This Row],[activating_chance]]/100),0)</f>
        <v>75</v>
      </c>
      <c r="AO29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97" s="72">
        <v>1</v>
      </c>
      <c r="AQ297" s="72">
        <v>1</v>
      </c>
      <c r="AR297" s="72" t="b">
        <v>0</v>
      </c>
      <c r="BP297" t="s">
        <v>445</v>
      </c>
      <c r="BQ297">
        <v>1</v>
      </c>
      <c r="BR297">
        <v>200</v>
      </c>
      <c r="BS297">
        <v>100</v>
      </c>
      <c r="BT297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297" s="75">
        <f ca="1">ROUND((Table61011[[#This Row],[XP]]*Table61011[[#This Row],[entity_spawned (AVG)]])*(Table61011[[#This Row],[activating_chance]]/100),0)</f>
        <v>0</v>
      </c>
      <c r="BV29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97" s="72">
        <v>1</v>
      </c>
      <c r="BX297" s="72">
        <v>1</v>
      </c>
      <c r="BY297" s="72" t="b">
        <v>0</v>
      </c>
      <c r="CA297" t="s">
        <v>445</v>
      </c>
      <c r="CB297">
        <v>1</v>
      </c>
      <c r="CC297">
        <v>120</v>
      </c>
      <c r="CD297">
        <v>100</v>
      </c>
      <c r="CE297" s="75">
        <f ca="1">INDIRECT(ADDRESS(11+(MATCH(RIGHT(Table11[[#This Row],[spawner_sku]],LEN(Table11[[#This Row],[spawner_sku]])-FIND("/",Table11[[#This Row],[spawner_sku]])),Table1[Entity Prefab],0)),10,1,1,"Entities"))</f>
        <v>0</v>
      </c>
      <c r="CF297">
        <f ca="1">ROUND((Table11[[#This Row],[XP]]*Table11[[#This Row],[entity_spawned (AVG)]])*(Table11[[#This Row],[activating_chance]]/100),0)</f>
        <v>0</v>
      </c>
      <c r="CG297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97" s="72">
        <v>1</v>
      </c>
      <c r="CI297" s="72">
        <v>1</v>
      </c>
      <c r="CJ297" s="72" t="b">
        <v>0</v>
      </c>
      <c r="CW297" t="s">
        <v>384</v>
      </c>
      <c r="CX297">
        <v>2</v>
      </c>
      <c r="CY297">
        <v>100</v>
      </c>
      <c r="CZ297">
        <v>100</v>
      </c>
      <c r="DA297" s="75">
        <f ca="1">INDIRECT(ADDRESS(11+(MATCH(RIGHT(Table13[[#This Row],[spawner_sku]],LEN(Table13[[#This Row],[spawner_sku]])-FIND("/",Table13[[#This Row],[spawner_sku]])),Table1[Entity Prefab],0)),10,1,1,"Entities"))</f>
        <v>25</v>
      </c>
      <c r="DB297" s="75">
        <f ca="1">ROUND((Table13[[#This Row],[XP]]*Table13[[#This Row],[entity_spawned (AVG)]])*(Table13[[#This Row],[activating_chance]]/100),0)</f>
        <v>50</v>
      </c>
      <c r="DC297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97" s="72">
        <v>2</v>
      </c>
      <c r="DE297" s="72">
        <v>2</v>
      </c>
      <c r="DF297" s="72" t="b">
        <v>0</v>
      </c>
      <c r="DH297" t="s">
        <v>520</v>
      </c>
      <c r="DI297">
        <v>2.5</v>
      </c>
      <c r="DJ297">
        <v>100</v>
      </c>
      <c r="DK297">
        <v>30</v>
      </c>
      <c r="DL297" s="75">
        <f ca="1">INDIRECT(ADDRESS(11+(MATCH(RIGHT(Table14[[#This Row],[spawner_sku]],LEN(Table14[[#This Row],[spawner_sku]])-FIND("/",Table14[[#This Row],[spawner_sku]])),Table1[Entity Prefab],0)),10,1,1,"Entities"))</f>
        <v>35</v>
      </c>
      <c r="DM297" s="75">
        <f ca="1">ROUND((Table14[[#This Row],[XP]]*Table14[[#This Row],[entity_spawned (AVG)]])*(Table14[[#This Row],[activating_chance]]/100),0)</f>
        <v>26</v>
      </c>
      <c r="DN29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97" s="72">
        <v>2</v>
      </c>
      <c r="DP297" s="72">
        <v>3</v>
      </c>
      <c r="DQ297" s="72" t="b">
        <v>0</v>
      </c>
      <c r="DS297" t="s">
        <v>451</v>
      </c>
      <c r="DT297">
        <v>1</v>
      </c>
      <c r="DU297">
        <v>70</v>
      </c>
      <c r="DV297">
        <v>100</v>
      </c>
      <c r="DW297" s="75">
        <f ca="1">INDIRECT(ADDRESS(11+(MATCH(RIGHT(Table18[[#This Row],[spawner_sku]],LEN(Table18[[#This Row],[spawner_sku]])-FIND("/",Table18[[#This Row],[spawner_sku]])),Table1[Entity Prefab],0)),10,1,1,"Entities"))</f>
        <v>25</v>
      </c>
      <c r="DX297" s="75">
        <f ca="1">ROUND((Table18[[#This Row],[XP]]*Table18[[#This Row],[entity_spawned (AVG)]])*(Table18[[#This Row],[activating_chance]]/100),0)</f>
        <v>25</v>
      </c>
      <c r="DY29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97">
        <v>1</v>
      </c>
      <c r="EA297">
        <v>1</v>
      </c>
      <c r="EB297" t="b">
        <v>0</v>
      </c>
    </row>
    <row r="298" spans="2:132" x14ac:dyDescent="0.25">
      <c r="B298" s="73" t="s">
        <v>238</v>
      </c>
      <c r="C298">
        <v>1</v>
      </c>
      <c r="D298">
        <v>2500</v>
      </c>
      <c r="E298">
        <v>100</v>
      </c>
      <c r="F298" s="75">
        <f ca="1">INDIRECT(ADDRESS(11+(MATCH(RIGHT(Table245[[#This Row],[spawner_sku]],LEN(Table245[[#This Row],[spawner_sku]])-FIND("/",Table245[[#This Row],[spawner_sku]])),Table1[Entity Prefab],0)),10,1,1,"Entities"))</f>
        <v>263</v>
      </c>
      <c r="G298" s="75">
        <f ca="1">ROUND((Table245[[#This Row],[XP]]*Table245[[#This Row],[entity_spawned (AVG)]])*(Table245[[#This Row],[activating_chance]]/100),0)</f>
        <v>263</v>
      </c>
      <c r="H29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8" s="72">
        <v>1</v>
      </c>
      <c r="J298" s="72">
        <v>1</v>
      </c>
      <c r="K298" s="72" t="b">
        <v>0</v>
      </c>
      <c r="AI298" t="s">
        <v>385</v>
      </c>
      <c r="AJ298">
        <v>1</v>
      </c>
      <c r="AK298">
        <v>170</v>
      </c>
      <c r="AL298">
        <v>100</v>
      </c>
      <c r="AM298" s="75">
        <f ca="1">INDIRECT(ADDRESS(11+(MATCH(RIGHT(Table2[[#This Row],[spawner_sku]],LEN(Table2[[#This Row],[spawner_sku]])-FIND("/",Table2[[#This Row],[spawner_sku]])),Table1[Entity Prefab],0)),10,1,1,"Entities"))</f>
        <v>75</v>
      </c>
      <c r="AN298" s="75">
        <f ca="1">ROUND((Table2[[#This Row],[XP]]*Table2[[#This Row],[entity_spawned (AVG)]])*(Table2[[#This Row],[activating_chance]]/100),0)</f>
        <v>75</v>
      </c>
      <c r="AO29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98" s="72">
        <v>1</v>
      </c>
      <c r="AQ298" s="72">
        <v>1</v>
      </c>
      <c r="AR298" s="72" t="b">
        <v>0</v>
      </c>
      <c r="BP298" t="s">
        <v>445</v>
      </c>
      <c r="BQ298">
        <v>1</v>
      </c>
      <c r="BR298">
        <v>200</v>
      </c>
      <c r="BS298">
        <v>100</v>
      </c>
      <c r="BT298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298" s="75">
        <f ca="1">ROUND((Table61011[[#This Row],[XP]]*Table61011[[#This Row],[entity_spawned (AVG)]])*(Table61011[[#This Row],[activating_chance]]/100),0)</f>
        <v>0</v>
      </c>
      <c r="BV29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98" s="72">
        <v>1</v>
      </c>
      <c r="BX298" s="72">
        <v>1</v>
      </c>
      <c r="BY298" s="72" t="b">
        <v>0</v>
      </c>
      <c r="CA298" t="s">
        <v>445</v>
      </c>
      <c r="CB298">
        <v>1</v>
      </c>
      <c r="CC298">
        <v>120</v>
      </c>
      <c r="CD298">
        <v>100</v>
      </c>
      <c r="CE298" s="75">
        <f ca="1">INDIRECT(ADDRESS(11+(MATCH(RIGHT(Table11[[#This Row],[spawner_sku]],LEN(Table11[[#This Row],[spawner_sku]])-FIND("/",Table11[[#This Row],[spawner_sku]])),Table1[Entity Prefab],0)),10,1,1,"Entities"))</f>
        <v>0</v>
      </c>
      <c r="CF298">
        <f ca="1">ROUND((Table11[[#This Row],[XP]]*Table11[[#This Row],[entity_spawned (AVG)]])*(Table11[[#This Row],[activating_chance]]/100),0)</f>
        <v>0</v>
      </c>
      <c r="CG298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98" s="72">
        <v>1</v>
      </c>
      <c r="CI298" s="72">
        <v>1</v>
      </c>
      <c r="CJ298" s="72" t="b">
        <v>0</v>
      </c>
      <c r="CW298" t="s">
        <v>384</v>
      </c>
      <c r="CX298">
        <v>2.5</v>
      </c>
      <c r="CY298">
        <v>100</v>
      </c>
      <c r="CZ298">
        <v>100</v>
      </c>
      <c r="DA298" s="75">
        <f ca="1">INDIRECT(ADDRESS(11+(MATCH(RIGHT(Table13[[#This Row],[spawner_sku]],LEN(Table13[[#This Row],[spawner_sku]])-FIND("/",Table13[[#This Row],[spawner_sku]])),Table1[Entity Prefab],0)),10,1,1,"Entities"))</f>
        <v>25</v>
      </c>
      <c r="DB298" s="75">
        <f ca="1">ROUND((Table13[[#This Row],[XP]]*Table13[[#This Row],[entity_spawned (AVG)]])*(Table13[[#This Row],[activating_chance]]/100),0)</f>
        <v>63</v>
      </c>
      <c r="DC298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98" s="72">
        <v>2</v>
      </c>
      <c r="DE298" s="72">
        <v>3</v>
      </c>
      <c r="DF298" s="72" t="b">
        <v>0</v>
      </c>
      <c r="DH298" t="s">
        <v>520</v>
      </c>
      <c r="DI298">
        <v>1</v>
      </c>
      <c r="DJ298">
        <v>120</v>
      </c>
      <c r="DK298">
        <v>10</v>
      </c>
      <c r="DL298" s="75">
        <f ca="1">INDIRECT(ADDRESS(11+(MATCH(RIGHT(Table14[[#This Row],[spawner_sku]],LEN(Table14[[#This Row],[spawner_sku]])-FIND("/",Table14[[#This Row],[spawner_sku]])),Table1[Entity Prefab],0)),10,1,1,"Entities"))</f>
        <v>35</v>
      </c>
      <c r="DM298" s="75">
        <f ca="1">ROUND((Table14[[#This Row],[XP]]*Table14[[#This Row],[entity_spawned (AVG)]])*(Table14[[#This Row],[activating_chance]]/100),0)</f>
        <v>4</v>
      </c>
      <c r="DN29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98" s="72">
        <v>1</v>
      </c>
      <c r="DP298" s="72">
        <v>1</v>
      </c>
      <c r="DQ298" s="72" t="b">
        <v>0</v>
      </c>
      <c r="DS298" t="s">
        <v>451</v>
      </c>
      <c r="DT298">
        <v>1</v>
      </c>
      <c r="DU298">
        <v>90</v>
      </c>
      <c r="DV298">
        <v>100</v>
      </c>
      <c r="DW298" s="75">
        <f ca="1">INDIRECT(ADDRESS(11+(MATCH(RIGHT(Table18[[#This Row],[spawner_sku]],LEN(Table18[[#This Row],[spawner_sku]])-FIND("/",Table18[[#This Row],[spawner_sku]])),Table1[Entity Prefab],0)),10,1,1,"Entities"))</f>
        <v>25</v>
      </c>
      <c r="DX298" s="75">
        <f ca="1">ROUND((Table18[[#This Row],[XP]]*Table18[[#This Row],[entity_spawned (AVG)]])*(Table18[[#This Row],[activating_chance]]/100),0)</f>
        <v>25</v>
      </c>
      <c r="DY29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98">
        <v>1</v>
      </c>
      <c r="EA298">
        <v>1</v>
      </c>
      <c r="EB298" t="b">
        <v>0</v>
      </c>
    </row>
    <row r="299" spans="2:132" x14ac:dyDescent="0.25">
      <c r="B299" s="73" t="s">
        <v>238</v>
      </c>
      <c r="C299">
        <v>1</v>
      </c>
      <c r="D299">
        <v>2500</v>
      </c>
      <c r="E299">
        <v>100</v>
      </c>
      <c r="F299" s="75">
        <f ca="1">INDIRECT(ADDRESS(11+(MATCH(RIGHT(Table245[[#This Row],[spawner_sku]],LEN(Table245[[#This Row],[spawner_sku]])-FIND("/",Table245[[#This Row],[spawner_sku]])),Table1[Entity Prefab],0)),10,1,1,"Entities"))</f>
        <v>263</v>
      </c>
      <c r="G299" s="75">
        <f ca="1">ROUND((Table245[[#This Row],[XP]]*Table245[[#This Row],[entity_spawned (AVG)]])*(Table245[[#This Row],[activating_chance]]/100),0)</f>
        <v>263</v>
      </c>
      <c r="H29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9" s="72">
        <v>1</v>
      </c>
      <c r="J299" s="72">
        <v>1</v>
      </c>
      <c r="K299" s="72" t="b">
        <v>0</v>
      </c>
      <c r="AI299" t="s">
        <v>385</v>
      </c>
      <c r="AJ299">
        <v>1</v>
      </c>
      <c r="AK299">
        <v>200</v>
      </c>
      <c r="AL299">
        <v>100</v>
      </c>
      <c r="AM299" s="75">
        <f ca="1">INDIRECT(ADDRESS(11+(MATCH(RIGHT(Table2[[#This Row],[spawner_sku]],LEN(Table2[[#This Row],[spawner_sku]])-FIND("/",Table2[[#This Row],[spawner_sku]])),Table1[Entity Prefab],0)),10,1,1,"Entities"))</f>
        <v>75</v>
      </c>
      <c r="AN299" s="75">
        <f ca="1">ROUND((Table2[[#This Row],[XP]]*Table2[[#This Row],[entity_spawned (AVG)]])*(Table2[[#This Row],[activating_chance]]/100),0)</f>
        <v>75</v>
      </c>
      <c r="AO29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99" s="72">
        <v>1</v>
      </c>
      <c r="AQ299" s="72">
        <v>1</v>
      </c>
      <c r="AR299" s="72" t="b">
        <v>0</v>
      </c>
      <c r="BP299" t="s">
        <v>445</v>
      </c>
      <c r="BQ299">
        <v>1</v>
      </c>
      <c r="BR299">
        <v>180</v>
      </c>
      <c r="BS299">
        <v>20</v>
      </c>
      <c r="BT299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299" s="75">
        <f ca="1">ROUND((Table61011[[#This Row],[XP]]*Table61011[[#This Row],[entity_spawned (AVG)]])*(Table61011[[#This Row],[activating_chance]]/100),0)</f>
        <v>0</v>
      </c>
      <c r="BV29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99" s="72">
        <v>1</v>
      </c>
      <c r="BX299" s="72">
        <v>1</v>
      </c>
      <c r="BY299" s="72" t="b">
        <v>0</v>
      </c>
      <c r="CA299" t="s">
        <v>445</v>
      </c>
      <c r="CB299">
        <v>1</v>
      </c>
      <c r="CC299">
        <v>120</v>
      </c>
      <c r="CD299">
        <v>30</v>
      </c>
      <c r="CE299" s="75">
        <f ca="1">INDIRECT(ADDRESS(11+(MATCH(RIGHT(Table11[[#This Row],[spawner_sku]],LEN(Table11[[#This Row],[spawner_sku]])-FIND("/",Table11[[#This Row],[spawner_sku]])),Table1[Entity Prefab],0)),10,1,1,"Entities"))</f>
        <v>0</v>
      </c>
      <c r="CF299">
        <f ca="1">ROUND((Table11[[#This Row],[XP]]*Table11[[#This Row],[entity_spawned (AVG)]])*(Table11[[#This Row],[activating_chance]]/100),0)</f>
        <v>0</v>
      </c>
      <c r="CG299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99" s="72">
        <v>1</v>
      </c>
      <c r="CI299" s="72">
        <v>1</v>
      </c>
      <c r="CJ299" s="72" t="b">
        <v>0</v>
      </c>
      <c r="CW299" t="s">
        <v>384</v>
      </c>
      <c r="CX299">
        <v>5.5</v>
      </c>
      <c r="CY299">
        <v>100</v>
      </c>
      <c r="CZ299">
        <v>100</v>
      </c>
      <c r="DA299" s="75">
        <f ca="1">INDIRECT(ADDRESS(11+(MATCH(RIGHT(Table13[[#This Row],[spawner_sku]],LEN(Table13[[#This Row],[spawner_sku]])-FIND("/",Table13[[#This Row],[spawner_sku]])),Table1[Entity Prefab],0)),10,1,1,"Entities"))</f>
        <v>25</v>
      </c>
      <c r="DB299" s="75">
        <f ca="1">ROUND((Table13[[#This Row],[XP]]*Table13[[#This Row],[entity_spawned (AVG)]])*(Table13[[#This Row],[activating_chance]]/100),0)</f>
        <v>138</v>
      </c>
      <c r="DC299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99" s="72">
        <v>5</v>
      </c>
      <c r="DE299" s="72">
        <v>6</v>
      </c>
      <c r="DF299" s="72" t="b">
        <v>1</v>
      </c>
      <c r="DH299" t="s">
        <v>520</v>
      </c>
      <c r="DI299">
        <v>1.5</v>
      </c>
      <c r="DJ299">
        <v>100</v>
      </c>
      <c r="DK299">
        <v>70</v>
      </c>
      <c r="DL299" s="75">
        <f ca="1">INDIRECT(ADDRESS(11+(MATCH(RIGHT(Table14[[#This Row],[spawner_sku]],LEN(Table14[[#This Row],[spawner_sku]])-FIND("/",Table14[[#This Row],[spawner_sku]])),Table1[Entity Prefab],0)),10,1,1,"Entities"))</f>
        <v>35</v>
      </c>
      <c r="DM299" s="75">
        <f ca="1">ROUND((Table14[[#This Row],[XP]]*Table14[[#This Row],[entity_spawned (AVG)]])*(Table14[[#This Row],[activating_chance]]/100),0)</f>
        <v>37</v>
      </c>
      <c r="DN29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99" s="72">
        <v>1</v>
      </c>
      <c r="DP299" s="72">
        <v>2</v>
      </c>
      <c r="DQ299" s="72" t="b">
        <v>0</v>
      </c>
      <c r="DS299" t="s">
        <v>451</v>
      </c>
      <c r="DT299">
        <v>1</v>
      </c>
      <c r="DU299">
        <v>90</v>
      </c>
      <c r="DV299">
        <v>30</v>
      </c>
      <c r="DW299" s="75">
        <f ca="1">INDIRECT(ADDRESS(11+(MATCH(RIGHT(Table18[[#This Row],[spawner_sku]],LEN(Table18[[#This Row],[spawner_sku]])-FIND("/",Table18[[#This Row],[spawner_sku]])),Table1[Entity Prefab],0)),10,1,1,"Entities"))</f>
        <v>25</v>
      </c>
      <c r="DX299" s="75">
        <f ca="1">ROUND((Table18[[#This Row],[XP]]*Table18[[#This Row],[entity_spawned (AVG)]])*(Table18[[#This Row],[activating_chance]]/100),0)</f>
        <v>8</v>
      </c>
      <c r="DY29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99">
        <v>1</v>
      </c>
      <c r="EA299">
        <v>1</v>
      </c>
      <c r="EB299" t="b">
        <v>0</v>
      </c>
    </row>
    <row r="300" spans="2:132" x14ac:dyDescent="0.25">
      <c r="B300" s="73" t="s">
        <v>238</v>
      </c>
      <c r="C300">
        <v>1</v>
      </c>
      <c r="D300">
        <v>2500</v>
      </c>
      <c r="E300">
        <v>100</v>
      </c>
      <c r="F300" s="75">
        <f ca="1">INDIRECT(ADDRESS(11+(MATCH(RIGHT(Table245[[#This Row],[spawner_sku]],LEN(Table245[[#This Row],[spawner_sku]])-FIND("/",Table245[[#This Row],[spawner_sku]])),Table1[Entity Prefab],0)),10,1,1,"Entities"))</f>
        <v>263</v>
      </c>
      <c r="G300" s="75">
        <f ca="1">ROUND((Table245[[#This Row],[XP]]*Table245[[#This Row],[entity_spawned (AVG)]])*(Table245[[#This Row],[activating_chance]]/100),0)</f>
        <v>263</v>
      </c>
      <c r="H30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0" s="72">
        <v>1</v>
      </c>
      <c r="J300" s="72">
        <v>1</v>
      </c>
      <c r="K300" s="72" t="b">
        <v>0</v>
      </c>
      <c r="AI300" t="s">
        <v>385</v>
      </c>
      <c r="AJ300">
        <v>1</v>
      </c>
      <c r="AK300">
        <v>220</v>
      </c>
      <c r="AL300">
        <v>100</v>
      </c>
      <c r="AM300" s="75">
        <f ca="1">INDIRECT(ADDRESS(11+(MATCH(RIGHT(Table2[[#This Row],[spawner_sku]],LEN(Table2[[#This Row],[spawner_sku]])-FIND("/",Table2[[#This Row],[spawner_sku]])),Table1[Entity Prefab],0)),10,1,1,"Entities"))</f>
        <v>75</v>
      </c>
      <c r="AN300" s="75">
        <f ca="1">ROUND((Table2[[#This Row],[XP]]*Table2[[#This Row],[entity_spawned (AVG)]])*(Table2[[#This Row],[activating_chance]]/100),0)</f>
        <v>75</v>
      </c>
      <c r="AO30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00" s="72">
        <v>1</v>
      </c>
      <c r="AQ300" s="72">
        <v>1</v>
      </c>
      <c r="AR300" s="72" t="b">
        <v>0</v>
      </c>
      <c r="BP300" t="s">
        <v>445</v>
      </c>
      <c r="BQ300">
        <v>1</v>
      </c>
      <c r="BR300">
        <v>200</v>
      </c>
      <c r="BS300">
        <v>100</v>
      </c>
      <c r="BT300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300" s="75">
        <f ca="1">ROUND((Table61011[[#This Row],[XP]]*Table61011[[#This Row],[entity_spawned (AVG)]])*(Table61011[[#This Row],[activating_chance]]/100),0)</f>
        <v>0</v>
      </c>
      <c r="BV30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00" s="72">
        <v>1</v>
      </c>
      <c r="BX300" s="72">
        <v>1</v>
      </c>
      <c r="BY300" s="72" t="b">
        <v>0</v>
      </c>
      <c r="CA300" t="s">
        <v>445</v>
      </c>
      <c r="CB300">
        <v>2</v>
      </c>
      <c r="CC300">
        <v>200</v>
      </c>
      <c r="CD300">
        <v>10</v>
      </c>
      <c r="CE300" s="75">
        <f ca="1">INDIRECT(ADDRESS(11+(MATCH(RIGHT(Table11[[#This Row],[spawner_sku]],LEN(Table11[[#This Row],[spawner_sku]])-FIND("/",Table11[[#This Row],[spawner_sku]])),Table1[Entity Prefab],0)),10,1,1,"Entities"))</f>
        <v>0</v>
      </c>
      <c r="CF300">
        <f ca="1">ROUND((Table11[[#This Row],[XP]]*Table11[[#This Row],[entity_spawned (AVG)]])*(Table11[[#This Row],[activating_chance]]/100),0)</f>
        <v>0</v>
      </c>
      <c r="CG300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00" s="72">
        <v>2</v>
      </c>
      <c r="CI300" s="72">
        <v>2</v>
      </c>
      <c r="CJ300" s="72" t="b">
        <v>0</v>
      </c>
      <c r="CW300" t="s">
        <v>384</v>
      </c>
      <c r="CX300">
        <v>7</v>
      </c>
      <c r="CY300">
        <v>100</v>
      </c>
      <c r="CZ300">
        <v>100</v>
      </c>
      <c r="DA300" s="75">
        <f ca="1">INDIRECT(ADDRESS(11+(MATCH(RIGHT(Table13[[#This Row],[spawner_sku]],LEN(Table13[[#This Row],[spawner_sku]])-FIND("/",Table13[[#This Row],[spawner_sku]])),Table1[Entity Prefab],0)),10,1,1,"Entities"))</f>
        <v>25</v>
      </c>
      <c r="DB300" s="75">
        <f ca="1">ROUND((Table13[[#This Row],[XP]]*Table13[[#This Row],[entity_spawned (AVG)]])*(Table13[[#This Row],[activating_chance]]/100),0)</f>
        <v>175</v>
      </c>
      <c r="DC300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00" s="72">
        <v>6</v>
      </c>
      <c r="DE300" s="72">
        <v>8</v>
      </c>
      <c r="DF300" s="72" t="b">
        <v>1</v>
      </c>
      <c r="DH300" t="s">
        <v>520</v>
      </c>
      <c r="DI300">
        <v>1.5</v>
      </c>
      <c r="DJ300">
        <v>90</v>
      </c>
      <c r="DK300">
        <v>10</v>
      </c>
      <c r="DL300" s="75">
        <f ca="1">INDIRECT(ADDRESS(11+(MATCH(RIGHT(Table14[[#This Row],[spawner_sku]],LEN(Table14[[#This Row],[spawner_sku]])-FIND("/",Table14[[#This Row],[spawner_sku]])),Table1[Entity Prefab],0)),10,1,1,"Entities"))</f>
        <v>35</v>
      </c>
      <c r="DM300" s="75">
        <f ca="1">ROUND((Table14[[#This Row],[XP]]*Table14[[#This Row],[entity_spawned (AVG)]])*(Table14[[#This Row],[activating_chance]]/100),0)</f>
        <v>5</v>
      </c>
      <c r="DN30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00" s="72">
        <v>1</v>
      </c>
      <c r="DP300" s="72">
        <v>2</v>
      </c>
      <c r="DQ300" s="72" t="b">
        <v>0</v>
      </c>
      <c r="DS300" t="s">
        <v>451</v>
      </c>
      <c r="DT300">
        <v>1</v>
      </c>
      <c r="DU300">
        <v>90</v>
      </c>
      <c r="DV300">
        <v>30</v>
      </c>
      <c r="DW300" s="75">
        <f ca="1">INDIRECT(ADDRESS(11+(MATCH(RIGHT(Table18[[#This Row],[spawner_sku]],LEN(Table18[[#This Row],[spawner_sku]])-FIND("/",Table18[[#This Row],[spawner_sku]])),Table1[Entity Prefab],0)),10,1,1,"Entities"))</f>
        <v>25</v>
      </c>
      <c r="DX300" s="75">
        <f ca="1">ROUND((Table18[[#This Row],[XP]]*Table18[[#This Row],[entity_spawned (AVG)]])*(Table18[[#This Row],[activating_chance]]/100),0)</f>
        <v>8</v>
      </c>
      <c r="DY30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300">
        <v>1</v>
      </c>
      <c r="EA300">
        <v>1</v>
      </c>
      <c r="EB300" t="b">
        <v>0</v>
      </c>
    </row>
    <row r="301" spans="2:132" x14ac:dyDescent="0.25">
      <c r="B301" s="73" t="s">
        <v>238</v>
      </c>
      <c r="C301">
        <v>1</v>
      </c>
      <c r="D301">
        <v>2500</v>
      </c>
      <c r="E301">
        <v>100</v>
      </c>
      <c r="F301" s="75">
        <f ca="1">INDIRECT(ADDRESS(11+(MATCH(RIGHT(Table245[[#This Row],[spawner_sku]],LEN(Table245[[#This Row],[spawner_sku]])-FIND("/",Table245[[#This Row],[spawner_sku]])),Table1[Entity Prefab],0)),10,1,1,"Entities"))</f>
        <v>263</v>
      </c>
      <c r="G301" s="75">
        <f ca="1">ROUND((Table245[[#This Row],[XP]]*Table245[[#This Row],[entity_spawned (AVG)]])*(Table245[[#This Row],[activating_chance]]/100),0)</f>
        <v>263</v>
      </c>
      <c r="H30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1" s="72">
        <v>1</v>
      </c>
      <c r="J301" s="72">
        <v>1</v>
      </c>
      <c r="K301" s="72" t="b">
        <v>0</v>
      </c>
      <c r="AI301" t="s">
        <v>385</v>
      </c>
      <c r="AJ301">
        <v>1</v>
      </c>
      <c r="AK301">
        <v>200</v>
      </c>
      <c r="AL301">
        <v>100</v>
      </c>
      <c r="AM301" s="75">
        <f ca="1">INDIRECT(ADDRESS(11+(MATCH(RIGHT(Table2[[#This Row],[spawner_sku]],LEN(Table2[[#This Row],[spawner_sku]])-FIND("/",Table2[[#This Row],[spawner_sku]])),Table1[Entity Prefab],0)),10,1,1,"Entities"))</f>
        <v>75</v>
      </c>
      <c r="AN301" s="75">
        <f ca="1">ROUND((Table2[[#This Row],[XP]]*Table2[[#This Row],[entity_spawned (AVG)]])*(Table2[[#This Row],[activating_chance]]/100),0)</f>
        <v>75</v>
      </c>
      <c r="AO30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01" s="72">
        <v>1</v>
      </c>
      <c r="AQ301" s="72">
        <v>1</v>
      </c>
      <c r="AR301" s="72" t="b">
        <v>0</v>
      </c>
      <c r="BP301" t="s">
        <v>445</v>
      </c>
      <c r="BQ301">
        <v>1</v>
      </c>
      <c r="BR301">
        <v>200</v>
      </c>
      <c r="BS301">
        <v>20</v>
      </c>
      <c r="BT301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301" s="75">
        <f ca="1">ROUND((Table61011[[#This Row],[XP]]*Table61011[[#This Row],[entity_spawned (AVG)]])*(Table61011[[#This Row],[activating_chance]]/100),0)</f>
        <v>0</v>
      </c>
      <c r="BV30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01" s="72">
        <v>1</v>
      </c>
      <c r="BX301" s="72">
        <v>1</v>
      </c>
      <c r="BY301" s="72" t="b">
        <v>0</v>
      </c>
      <c r="CA301" t="s">
        <v>445</v>
      </c>
      <c r="CB301">
        <v>1</v>
      </c>
      <c r="CC301">
        <v>200</v>
      </c>
      <c r="CD301">
        <v>100</v>
      </c>
      <c r="CE301" s="75">
        <f ca="1">INDIRECT(ADDRESS(11+(MATCH(RIGHT(Table11[[#This Row],[spawner_sku]],LEN(Table11[[#This Row],[spawner_sku]])-FIND("/",Table11[[#This Row],[spawner_sku]])),Table1[Entity Prefab],0)),10,1,1,"Entities"))</f>
        <v>0</v>
      </c>
      <c r="CF301">
        <f ca="1">ROUND((Table11[[#This Row],[XP]]*Table11[[#This Row],[entity_spawned (AVG)]])*(Table11[[#This Row],[activating_chance]]/100),0)</f>
        <v>0</v>
      </c>
      <c r="CG301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01" s="72">
        <v>1</v>
      </c>
      <c r="CI301" s="72">
        <v>1</v>
      </c>
      <c r="CJ301" s="72" t="b">
        <v>0</v>
      </c>
      <c r="CW301" t="s">
        <v>384</v>
      </c>
      <c r="CX301">
        <v>1</v>
      </c>
      <c r="CY301">
        <v>100</v>
      </c>
      <c r="CZ301">
        <v>100</v>
      </c>
      <c r="DA301" s="75">
        <f ca="1">INDIRECT(ADDRESS(11+(MATCH(RIGHT(Table13[[#This Row],[spawner_sku]],LEN(Table13[[#This Row],[spawner_sku]])-FIND("/",Table13[[#This Row],[spawner_sku]])),Table1[Entity Prefab],0)),10,1,1,"Entities"))</f>
        <v>25</v>
      </c>
      <c r="DB301" s="75">
        <f ca="1">ROUND((Table13[[#This Row],[XP]]*Table13[[#This Row],[entity_spawned (AVG)]])*(Table13[[#This Row],[activating_chance]]/100),0)</f>
        <v>25</v>
      </c>
      <c r="DC301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01" s="72">
        <v>1</v>
      </c>
      <c r="DE301" s="72">
        <v>1</v>
      </c>
      <c r="DF301" s="72" t="b">
        <v>0</v>
      </c>
      <c r="DH301" t="s">
        <v>520</v>
      </c>
      <c r="DI301">
        <v>1</v>
      </c>
      <c r="DJ301">
        <v>100</v>
      </c>
      <c r="DK301">
        <v>80</v>
      </c>
      <c r="DL301" s="75">
        <f ca="1">INDIRECT(ADDRESS(11+(MATCH(RIGHT(Table14[[#This Row],[spawner_sku]],LEN(Table14[[#This Row],[spawner_sku]])-FIND("/",Table14[[#This Row],[spawner_sku]])),Table1[Entity Prefab],0)),10,1,1,"Entities"))</f>
        <v>35</v>
      </c>
      <c r="DM301" s="75">
        <f ca="1">ROUND((Table14[[#This Row],[XP]]*Table14[[#This Row],[entity_spawned (AVG)]])*(Table14[[#This Row],[activating_chance]]/100),0)</f>
        <v>28</v>
      </c>
      <c r="DN30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01" s="72">
        <v>1</v>
      </c>
      <c r="DP301" s="72">
        <v>1</v>
      </c>
      <c r="DQ301" s="72" t="b">
        <v>0</v>
      </c>
      <c r="DS301" t="s">
        <v>450</v>
      </c>
      <c r="DT301">
        <v>1</v>
      </c>
      <c r="DU301">
        <v>90</v>
      </c>
      <c r="DV301">
        <v>100</v>
      </c>
      <c r="DW301" s="75">
        <f ca="1">INDIRECT(ADDRESS(11+(MATCH(RIGHT(Table18[[#This Row],[spawner_sku]],LEN(Table18[[#This Row],[spawner_sku]])-FIND("/",Table18[[#This Row],[spawner_sku]])),Table1[Entity Prefab],0)),10,1,1,"Entities"))</f>
        <v>25</v>
      </c>
      <c r="DX301" s="75">
        <f ca="1">ROUND((Table18[[#This Row],[XP]]*Table18[[#This Row],[entity_spawned (AVG)]])*(Table18[[#This Row],[activating_chance]]/100),0)</f>
        <v>25</v>
      </c>
      <c r="DY30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301">
        <v>1</v>
      </c>
      <c r="EA301">
        <v>1</v>
      </c>
      <c r="EB301" t="b">
        <v>0</v>
      </c>
    </row>
    <row r="302" spans="2:132" x14ac:dyDescent="0.25">
      <c r="B302" s="73" t="s">
        <v>238</v>
      </c>
      <c r="C302">
        <v>1</v>
      </c>
      <c r="D302">
        <v>2500</v>
      </c>
      <c r="E302">
        <v>100</v>
      </c>
      <c r="F302" s="75">
        <f ca="1">INDIRECT(ADDRESS(11+(MATCH(RIGHT(Table245[[#This Row],[spawner_sku]],LEN(Table245[[#This Row],[spawner_sku]])-FIND("/",Table245[[#This Row],[spawner_sku]])),Table1[Entity Prefab],0)),10,1,1,"Entities"))</f>
        <v>263</v>
      </c>
      <c r="G302" s="75">
        <f ca="1">ROUND((Table245[[#This Row],[XP]]*Table245[[#This Row],[entity_spawned (AVG)]])*(Table245[[#This Row],[activating_chance]]/100),0)</f>
        <v>263</v>
      </c>
      <c r="H30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2" s="72">
        <v>1</v>
      </c>
      <c r="J302" s="72">
        <v>1</v>
      </c>
      <c r="K302" s="72" t="b">
        <v>0</v>
      </c>
      <c r="AI302" t="s">
        <v>385</v>
      </c>
      <c r="AJ302">
        <v>1</v>
      </c>
      <c r="AK302">
        <v>220</v>
      </c>
      <c r="AL302">
        <v>100</v>
      </c>
      <c r="AM302" s="75">
        <f ca="1">INDIRECT(ADDRESS(11+(MATCH(RIGHT(Table2[[#This Row],[spawner_sku]],LEN(Table2[[#This Row],[spawner_sku]])-FIND("/",Table2[[#This Row],[spawner_sku]])),Table1[Entity Prefab],0)),10,1,1,"Entities"))</f>
        <v>75</v>
      </c>
      <c r="AN302" s="75">
        <f ca="1">ROUND((Table2[[#This Row],[XP]]*Table2[[#This Row],[entity_spawned (AVG)]])*(Table2[[#This Row],[activating_chance]]/100),0)</f>
        <v>75</v>
      </c>
      <c r="AO30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02" s="72">
        <v>1</v>
      </c>
      <c r="AQ302" s="72">
        <v>1</v>
      </c>
      <c r="AR302" s="72" t="b">
        <v>0</v>
      </c>
      <c r="BP302" t="s">
        <v>445</v>
      </c>
      <c r="BQ302">
        <v>1</v>
      </c>
      <c r="BR302">
        <v>220</v>
      </c>
      <c r="BS302">
        <v>100</v>
      </c>
      <c r="BT302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302" s="75">
        <f ca="1">ROUND((Table61011[[#This Row],[XP]]*Table61011[[#This Row],[entity_spawned (AVG)]])*(Table61011[[#This Row],[activating_chance]]/100),0)</f>
        <v>0</v>
      </c>
      <c r="BV30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02" s="72">
        <v>1</v>
      </c>
      <c r="BX302" s="72">
        <v>1</v>
      </c>
      <c r="BY302" s="72" t="b">
        <v>0</v>
      </c>
      <c r="CA302" t="s">
        <v>445</v>
      </c>
      <c r="CB302">
        <v>1</v>
      </c>
      <c r="CC302">
        <v>120</v>
      </c>
      <c r="CD302">
        <v>100</v>
      </c>
      <c r="CE302" s="75">
        <f ca="1">INDIRECT(ADDRESS(11+(MATCH(RIGHT(Table11[[#This Row],[spawner_sku]],LEN(Table11[[#This Row],[spawner_sku]])-FIND("/",Table11[[#This Row],[spawner_sku]])),Table1[Entity Prefab],0)),10,1,1,"Entities"))</f>
        <v>0</v>
      </c>
      <c r="CF302">
        <f ca="1">ROUND((Table11[[#This Row],[XP]]*Table11[[#This Row],[entity_spawned (AVG)]])*(Table11[[#This Row],[activating_chance]]/100),0)</f>
        <v>0</v>
      </c>
      <c r="CG302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02" s="72">
        <v>1</v>
      </c>
      <c r="CI302" s="72">
        <v>1</v>
      </c>
      <c r="CJ302" s="72" t="b">
        <v>0</v>
      </c>
      <c r="CW302" t="s">
        <v>384</v>
      </c>
      <c r="CX302">
        <v>1</v>
      </c>
      <c r="CY302">
        <v>100</v>
      </c>
      <c r="CZ302">
        <v>80</v>
      </c>
      <c r="DA302" s="75">
        <f ca="1">INDIRECT(ADDRESS(11+(MATCH(RIGHT(Table13[[#This Row],[spawner_sku]],LEN(Table13[[#This Row],[spawner_sku]])-FIND("/",Table13[[#This Row],[spawner_sku]])),Table1[Entity Prefab],0)),10,1,1,"Entities"))</f>
        <v>25</v>
      </c>
      <c r="DB302" s="75">
        <f ca="1">ROUND((Table13[[#This Row],[XP]]*Table13[[#This Row],[entity_spawned (AVG)]])*(Table13[[#This Row],[activating_chance]]/100),0)</f>
        <v>20</v>
      </c>
      <c r="DC302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02" s="72">
        <v>1</v>
      </c>
      <c r="DE302" s="72">
        <v>1</v>
      </c>
      <c r="DF302" s="72" t="b">
        <v>0</v>
      </c>
      <c r="DH302" t="s">
        <v>520</v>
      </c>
      <c r="DI302">
        <v>1</v>
      </c>
      <c r="DJ302">
        <v>120</v>
      </c>
      <c r="DK302">
        <v>100</v>
      </c>
      <c r="DL302" s="75">
        <f ca="1">INDIRECT(ADDRESS(11+(MATCH(RIGHT(Table14[[#This Row],[spawner_sku]],LEN(Table14[[#This Row],[spawner_sku]])-FIND("/",Table14[[#This Row],[spawner_sku]])),Table1[Entity Prefab],0)),10,1,1,"Entities"))</f>
        <v>35</v>
      </c>
      <c r="DM302" s="75">
        <f ca="1">ROUND((Table14[[#This Row],[XP]]*Table14[[#This Row],[entity_spawned (AVG)]])*(Table14[[#This Row],[activating_chance]]/100),0)</f>
        <v>35</v>
      </c>
      <c r="DN30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02" s="72">
        <v>1</v>
      </c>
      <c r="DP302" s="72">
        <v>1</v>
      </c>
      <c r="DQ302" s="72" t="b">
        <v>0</v>
      </c>
      <c r="DS302" t="s">
        <v>253</v>
      </c>
      <c r="DT302">
        <v>1</v>
      </c>
      <c r="DU302">
        <v>150</v>
      </c>
      <c r="DV302">
        <v>100</v>
      </c>
      <c r="DW302" s="75">
        <f ca="1">INDIRECT(ADDRESS(11+(MATCH(RIGHT(Table18[[#This Row],[spawner_sku]],LEN(Table18[[#This Row],[spawner_sku]])-FIND("/",Table18[[#This Row],[spawner_sku]])),Table1[Entity Prefab],0)),10,1,1,"Entities"))</f>
        <v>70</v>
      </c>
      <c r="DX302" s="75">
        <f ca="1">ROUND((Table18[[#This Row],[XP]]*Table18[[#This Row],[entity_spawned (AVG)]])*(Table18[[#This Row],[activating_chance]]/100),0)</f>
        <v>70</v>
      </c>
      <c r="DY302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302">
        <v>1</v>
      </c>
      <c r="EA302">
        <v>1</v>
      </c>
      <c r="EB302" t="b">
        <v>0</v>
      </c>
    </row>
    <row r="303" spans="2:132" x14ac:dyDescent="0.25">
      <c r="B303" s="73" t="s">
        <v>238</v>
      </c>
      <c r="C303">
        <v>1</v>
      </c>
      <c r="D303">
        <v>2500</v>
      </c>
      <c r="E303">
        <v>100</v>
      </c>
      <c r="F303" s="75">
        <f ca="1">INDIRECT(ADDRESS(11+(MATCH(RIGHT(Table245[[#This Row],[spawner_sku]],LEN(Table245[[#This Row],[spawner_sku]])-FIND("/",Table245[[#This Row],[spawner_sku]])),Table1[Entity Prefab],0)),10,1,1,"Entities"))</f>
        <v>263</v>
      </c>
      <c r="G303" s="75">
        <f ca="1">ROUND((Table245[[#This Row],[XP]]*Table245[[#This Row],[entity_spawned (AVG)]])*(Table245[[#This Row],[activating_chance]]/100),0)</f>
        <v>263</v>
      </c>
      <c r="H30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3" s="72">
        <v>1</v>
      </c>
      <c r="J303" s="72">
        <v>1</v>
      </c>
      <c r="K303" s="72" t="b">
        <v>0</v>
      </c>
      <c r="AI303" t="s">
        <v>385</v>
      </c>
      <c r="AJ303">
        <v>1</v>
      </c>
      <c r="AK303">
        <v>220</v>
      </c>
      <c r="AL303">
        <v>100</v>
      </c>
      <c r="AM303" s="75">
        <f ca="1">INDIRECT(ADDRESS(11+(MATCH(RIGHT(Table2[[#This Row],[spawner_sku]],LEN(Table2[[#This Row],[spawner_sku]])-FIND("/",Table2[[#This Row],[spawner_sku]])),Table1[Entity Prefab],0)),10,1,1,"Entities"))</f>
        <v>75</v>
      </c>
      <c r="AN303" s="75">
        <f ca="1">ROUND((Table2[[#This Row],[XP]]*Table2[[#This Row],[entity_spawned (AVG)]])*(Table2[[#This Row],[activating_chance]]/100),0)</f>
        <v>75</v>
      </c>
      <c r="AO30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03" s="72">
        <v>1</v>
      </c>
      <c r="AQ303" s="72">
        <v>1</v>
      </c>
      <c r="AR303" s="72" t="b">
        <v>0</v>
      </c>
      <c r="BP303" t="s">
        <v>445</v>
      </c>
      <c r="BQ303">
        <v>1</v>
      </c>
      <c r="BR303">
        <v>200</v>
      </c>
      <c r="BS303">
        <v>100</v>
      </c>
      <c r="BT303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303" s="75">
        <f ca="1">ROUND((Table61011[[#This Row],[XP]]*Table61011[[#This Row],[entity_spawned (AVG)]])*(Table61011[[#This Row],[activating_chance]]/100),0)</f>
        <v>0</v>
      </c>
      <c r="BV30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03" s="72">
        <v>1</v>
      </c>
      <c r="BX303" s="72">
        <v>1</v>
      </c>
      <c r="BY303" s="72" t="b">
        <v>0</v>
      </c>
      <c r="CA303" t="s">
        <v>445</v>
      </c>
      <c r="CB303">
        <v>1</v>
      </c>
      <c r="CC303">
        <v>200</v>
      </c>
      <c r="CD303">
        <v>70</v>
      </c>
      <c r="CE303" s="75">
        <f ca="1">INDIRECT(ADDRESS(11+(MATCH(RIGHT(Table11[[#This Row],[spawner_sku]],LEN(Table11[[#This Row],[spawner_sku]])-FIND("/",Table11[[#This Row],[spawner_sku]])),Table1[Entity Prefab],0)),10,1,1,"Entities"))</f>
        <v>0</v>
      </c>
      <c r="CF303">
        <f ca="1">ROUND((Table11[[#This Row],[XP]]*Table11[[#This Row],[entity_spawned (AVG)]])*(Table11[[#This Row],[activating_chance]]/100),0)</f>
        <v>0</v>
      </c>
      <c r="CG303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03" s="72">
        <v>1</v>
      </c>
      <c r="CI303" s="72">
        <v>1</v>
      </c>
      <c r="CJ303" s="72" t="b">
        <v>0</v>
      </c>
      <c r="CW303" t="s">
        <v>384</v>
      </c>
      <c r="CX303">
        <v>1.5</v>
      </c>
      <c r="CY303">
        <v>100</v>
      </c>
      <c r="CZ303">
        <v>80</v>
      </c>
      <c r="DA303" s="75">
        <f ca="1">INDIRECT(ADDRESS(11+(MATCH(RIGHT(Table13[[#This Row],[spawner_sku]],LEN(Table13[[#This Row],[spawner_sku]])-FIND("/",Table13[[#This Row],[spawner_sku]])),Table1[Entity Prefab],0)),10,1,1,"Entities"))</f>
        <v>25</v>
      </c>
      <c r="DB303" s="75">
        <f ca="1">ROUND((Table13[[#This Row],[XP]]*Table13[[#This Row],[entity_spawned (AVG)]])*(Table13[[#This Row],[activating_chance]]/100),0)</f>
        <v>30</v>
      </c>
      <c r="DC303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03" s="72">
        <v>1</v>
      </c>
      <c r="DE303" s="72">
        <v>2</v>
      </c>
      <c r="DF303" s="72" t="b">
        <v>0</v>
      </c>
      <c r="DH303" t="s">
        <v>520</v>
      </c>
      <c r="DI303">
        <v>2</v>
      </c>
      <c r="DJ303">
        <v>100</v>
      </c>
      <c r="DK303">
        <v>100</v>
      </c>
      <c r="DL303" s="75">
        <f ca="1">INDIRECT(ADDRESS(11+(MATCH(RIGHT(Table14[[#This Row],[spawner_sku]],LEN(Table14[[#This Row],[spawner_sku]])-FIND("/",Table14[[#This Row],[spawner_sku]])),Table1[Entity Prefab],0)),10,1,1,"Entities"))</f>
        <v>35</v>
      </c>
      <c r="DM303" s="75">
        <f ca="1">ROUND((Table14[[#This Row],[XP]]*Table14[[#This Row],[entity_spawned (AVG)]])*(Table14[[#This Row],[activating_chance]]/100),0)</f>
        <v>70</v>
      </c>
      <c r="DN30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03" s="72">
        <v>2</v>
      </c>
      <c r="DP303" s="72">
        <v>2</v>
      </c>
      <c r="DQ303" s="72" t="b">
        <v>0</v>
      </c>
      <c r="DS303" t="s">
        <v>254</v>
      </c>
      <c r="DT303">
        <v>1</v>
      </c>
      <c r="DU303">
        <v>140</v>
      </c>
      <c r="DV303">
        <v>30</v>
      </c>
      <c r="DW303" s="75">
        <f ca="1">INDIRECT(ADDRESS(11+(MATCH(RIGHT(Table18[[#This Row],[spawner_sku]],LEN(Table18[[#This Row],[spawner_sku]])-FIND("/",Table18[[#This Row],[spawner_sku]])),Table1[Entity Prefab],0)),10,1,1,"Entities"))</f>
        <v>70</v>
      </c>
      <c r="DX303" s="75">
        <f ca="1">ROUND((Table18[[#This Row],[XP]]*Table18[[#This Row],[entity_spawned (AVG)]])*(Table18[[#This Row],[activating_chance]]/100),0)</f>
        <v>21</v>
      </c>
      <c r="DY303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303">
        <v>1</v>
      </c>
      <c r="EA303">
        <v>1</v>
      </c>
      <c r="EB303" t="b">
        <v>0</v>
      </c>
    </row>
    <row r="304" spans="2:132" x14ac:dyDescent="0.25">
      <c r="B304" s="73" t="s">
        <v>239</v>
      </c>
      <c r="C304">
        <v>1</v>
      </c>
      <c r="D304">
        <v>2000</v>
      </c>
      <c r="E304">
        <v>100</v>
      </c>
      <c r="F304" s="75">
        <f ca="1">INDIRECT(ADDRESS(11+(MATCH(RIGHT(Table245[[#This Row],[spawner_sku]],LEN(Table245[[#This Row],[spawner_sku]])-FIND("/",Table245[[#This Row],[spawner_sku]])),Table1[Entity Prefab],0)),10,1,1,"Entities"))</f>
        <v>175</v>
      </c>
      <c r="G304" s="75">
        <f ca="1">ROUND((Table245[[#This Row],[XP]]*Table245[[#This Row],[entity_spawned (AVG)]])*(Table245[[#This Row],[activating_chance]]/100),0)</f>
        <v>175</v>
      </c>
      <c r="H30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4" s="72">
        <v>1</v>
      </c>
      <c r="J304" s="72">
        <v>1</v>
      </c>
      <c r="K304" s="72" t="b">
        <v>0</v>
      </c>
      <c r="AI304" t="s">
        <v>385</v>
      </c>
      <c r="AJ304">
        <v>1</v>
      </c>
      <c r="AK304">
        <v>160</v>
      </c>
      <c r="AL304">
        <v>100</v>
      </c>
      <c r="AM304" s="75">
        <f ca="1">INDIRECT(ADDRESS(11+(MATCH(RIGHT(Table2[[#This Row],[spawner_sku]],LEN(Table2[[#This Row],[spawner_sku]])-FIND("/",Table2[[#This Row],[spawner_sku]])),Table1[Entity Prefab],0)),10,1,1,"Entities"))</f>
        <v>75</v>
      </c>
      <c r="AN304" s="75">
        <f ca="1">ROUND((Table2[[#This Row],[XP]]*Table2[[#This Row],[entity_spawned (AVG)]])*(Table2[[#This Row],[activating_chance]]/100),0)</f>
        <v>75</v>
      </c>
      <c r="AO30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04" s="72">
        <v>1</v>
      </c>
      <c r="AQ304" s="72">
        <v>1</v>
      </c>
      <c r="AR304" s="72" t="b">
        <v>0</v>
      </c>
      <c r="BP304" t="s">
        <v>445</v>
      </c>
      <c r="BQ304">
        <v>1</v>
      </c>
      <c r="BR304">
        <v>180</v>
      </c>
      <c r="BS304">
        <v>100</v>
      </c>
      <c r="BT304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304" s="75">
        <f ca="1">ROUND((Table61011[[#This Row],[XP]]*Table61011[[#This Row],[entity_spawned (AVG)]])*(Table61011[[#This Row],[activating_chance]]/100),0)</f>
        <v>0</v>
      </c>
      <c r="BV30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04" s="72">
        <v>1</v>
      </c>
      <c r="BX304" s="72">
        <v>1</v>
      </c>
      <c r="BY304" s="72" t="b">
        <v>0</v>
      </c>
      <c r="CA304" t="s">
        <v>445</v>
      </c>
      <c r="CB304">
        <v>1</v>
      </c>
      <c r="CC304">
        <v>120</v>
      </c>
      <c r="CD304">
        <v>100</v>
      </c>
      <c r="CE304" s="75">
        <f ca="1">INDIRECT(ADDRESS(11+(MATCH(RIGHT(Table11[[#This Row],[spawner_sku]],LEN(Table11[[#This Row],[spawner_sku]])-FIND("/",Table11[[#This Row],[spawner_sku]])),Table1[Entity Prefab],0)),10,1,1,"Entities"))</f>
        <v>0</v>
      </c>
      <c r="CF304">
        <f ca="1">ROUND((Table11[[#This Row],[XP]]*Table11[[#This Row],[entity_spawned (AVG)]])*(Table11[[#This Row],[activating_chance]]/100),0)</f>
        <v>0</v>
      </c>
      <c r="CG304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04" s="72">
        <v>1</v>
      </c>
      <c r="CI304" s="72">
        <v>1</v>
      </c>
      <c r="CJ304" s="72" t="b">
        <v>0</v>
      </c>
      <c r="CW304" t="s">
        <v>384</v>
      </c>
      <c r="CX304">
        <v>1</v>
      </c>
      <c r="CY304">
        <v>100</v>
      </c>
      <c r="CZ304">
        <v>10</v>
      </c>
      <c r="DA304" s="75">
        <f ca="1">INDIRECT(ADDRESS(11+(MATCH(RIGHT(Table13[[#This Row],[spawner_sku]],LEN(Table13[[#This Row],[spawner_sku]])-FIND("/",Table13[[#This Row],[spawner_sku]])),Table1[Entity Prefab],0)),10,1,1,"Entities"))</f>
        <v>25</v>
      </c>
      <c r="DB304" s="75">
        <f ca="1">ROUND((Table13[[#This Row],[XP]]*Table13[[#This Row],[entity_spawned (AVG)]])*(Table13[[#This Row],[activating_chance]]/100),0)</f>
        <v>3</v>
      </c>
      <c r="DC304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04" s="72">
        <v>1</v>
      </c>
      <c r="DE304" s="72">
        <v>1</v>
      </c>
      <c r="DF304" s="72" t="b">
        <v>0</v>
      </c>
      <c r="DH304" t="s">
        <v>520</v>
      </c>
      <c r="DI304">
        <v>1</v>
      </c>
      <c r="DJ304">
        <v>120</v>
      </c>
      <c r="DK304">
        <v>10</v>
      </c>
      <c r="DL304" s="75">
        <f ca="1">INDIRECT(ADDRESS(11+(MATCH(RIGHT(Table14[[#This Row],[spawner_sku]],LEN(Table14[[#This Row],[spawner_sku]])-FIND("/",Table14[[#This Row],[spawner_sku]])),Table1[Entity Prefab],0)),10,1,1,"Entities"))</f>
        <v>35</v>
      </c>
      <c r="DM304" s="75">
        <f ca="1">ROUND((Table14[[#This Row],[XP]]*Table14[[#This Row],[entity_spawned (AVG)]])*(Table14[[#This Row],[activating_chance]]/100),0)</f>
        <v>4</v>
      </c>
      <c r="DN30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04" s="72">
        <v>1</v>
      </c>
      <c r="DP304" s="72">
        <v>1</v>
      </c>
      <c r="DQ304" s="72" t="b">
        <v>0</v>
      </c>
      <c r="DS304" t="s">
        <v>254</v>
      </c>
      <c r="DT304">
        <v>1</v>
      </c>
      <c r="DU304">
        <v>140</v>
      </c>
      <c r="DV304">
        <v>100</v>
      </c>
      <c r="DW304" s="75">
        <f ca="1">INDIRECT(ADDRESS(11+(MATCH(RIGHT(Table18[[#This Row],[spawner_sku]],LEN(Table18[[#This Row],[spawner_sku]])-FIND("/",Table18[[#This Row],[spawner_sku]])),Table1[Entity Prefab],0)),10,1,1,"Entities"))</f>
        <v>70</v>
      </c>
      <c r="DX304" s="75">
        <f ca="1">ROUND((Table18[[#This Row],[XP]]*Table18[[#This Row],[entity_spawned (AVG)]])*(Table18[[#This Row],[activating_chance]]/100),0)</f>
        <v>70</v>
      </c>
      <c r="DY304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304">
        <v>1</v>
      </c>
      <c r="EA304">
        <v>1</v>
      </c>
      <c r="EB304" t="b">
        <v>0</v>
      </c>
    </row>
    <row r="305" spans="2:132" x14ac:dyDescent="0.25">
      <c r="B305" s="73" t="s">
        <v>239</v>
      </c>
      <c r="C305">
        <v>1</v>
      </c>
      <c r="D305">
        <v>2000</v>
      </c>
      <c r="E305">
        <v>100</v>
      </c>
      <c r="F305" s="75">
        <f ca="1">INDIRECT(ADDRESS(11+(MATCH(RIGHT(Table245[[#This Row],[spawner_sku]],LEN(Table245[[#This Row],[spawner_sku]])-FIND("/",Table245[[#This Row],[spawner_sku]])),Table1[Entity Prefab],0)),10,1,1,"Entities"))</f>
        <v>175</v>
      </c>
      <c r="G305" s="75">
        <f ca="1">ROUND((Table245[[#This Row],[XP]]*Table245[[#This Row],[entity_spawned (AVG)]])*(Table245[[#This Row],[activating_chance]]/100),0)</f>
        <v>175</v>
      </c>
      <c r="H30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5" s="72">
        <v>1</v>
      </c>
      <c r="J305" s="72">
        <v>1</v>
      </c>
      <c r="K305" s="72" t="b">
        <v>0</v>
      </c>
      <c r="AI305" t="s">
        <v>385</v>
      </c>
      <c r="AJ305">
        <v>1</v>
      </c>
      <c r="AK305">
        <v>200</v>
      </c>
      <c r="AL305">
        <v>100</v>
      </c>
      <c r="AM305" s="75">
        <f ca="1">INDIRECT(ADDRESS(11+(MATCH(RIGHT(Table2[[#This Row],[spawner_sku]],LEN(Table2[[#This Row],[spawner_sku]])-FIND("/",Table2[[#This Row],[spawner_sku]])),Table1[Entity Prefab],0)),10,1,1,"Entities"))</f>
        <v>75</v>
      </c>
      <c r="AN305" s="75">
        <f ca="1">ROUND((Table2[[#This Row],[XP]]*Table2[[#This Row],[entity_spawned (AVG)]])*(Table2[[#This Row],[activating_chance]]/100),0)</f>
        <v>75</v>
      </c>
      <c r="AO30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05" s="72">
        <v>1</v>
      </c>
      <c r="AQ305" s="72">
        <v>1</v>
      </c>
      <c r="AR305" s="72" t="b">
        <v>0</v>
      </c>
      <c r="BP305" t="s">
        <v>445</v>
      </c>
      <c r="BQ305">
        <v>1</v>
      </c>
      <c r="BR305">
        <v>200</v>
      </c>
      <c r="BS305">
        <v>100</v>
      </c>
      <c r="BT305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305" s="75">
        <f ca="1">ROUND((Table61011[[#This Row],[XP]]*Table61011[[#This Row],[entity_spawned (AVG)]])*(Table61011[[#This Row],[activating_chance]]/100),0)</f>
        <v>0</v>
      </c>
      <c r="BV30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05" s="72">
        <v>1</v>
      </c>
      <c r="BX305" s="72">
        <v>1</v>
      </c>
      <c r="BY305" s="72" t="b">
        <v>0</v>
      </c>
      <c r="CA305" t="s">
        <v>445</v>
      </c>
      <c r="CB305">
        <v>1</v>
      </c>
      <c r="CC305">
        <v>200</v>
      </c>
      <c r="CD305">
        <v>100</v>
      </c>
      <c r="CE305" s="75">
        <f ca="1">INDIRECT(ADDRESS(11+(MATCH(RIGHT(Table11[[#This Row],[spawner_sku]],LEN(Table11[[#This Row],[spawner_sku]])-FIND("/",Table11[[#This Row],[spawner_sku]])),Table1[Entity Prefab],0)),10,1,1,"Entities"))</f>
        <v>0</v>
      </c>
      <c r="CF305">
        <f ca="1">ROUND((Table11[[#This Row],[XP]]*Table11[[#This Row],[entity_spawned (AVG)]])*(Table11[[#This Row],[activating_chance]]/100),0)</f>
        <v>0</v>
      </c>
      <c r="CG305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05" s="72">
        <v>1</v>
      </c>
      <c r="CI305" s="72">
        <v>1</v>
      </c>
      <c r="CJ305" s="72" t="b">
        <v>0</v>
      </c>
      <c r="CW305" t="s">
        <v>384</v>
      </c>
      <c r="CX305">
        <v>1</v>
      </c>
      <c r="CY305">
        <v>100</v>
      </c>
      <c r="CZ305">
        <v>20</v>
      </c>
      <c r="DA305" s="75">
        <f ca="1">INDIRECT(ADDRESS(11+(MATCH(RIGHT(Table13[[#This Row],[spawner_sku]],LEN(Table13[[#This Row],[spawner_sku]])-FIND("/",Table13[[#This Row],[spawner_sku]])),Table1[Entity Prefab],0)),10,1,1,"Entities"))</f>
        <v>25</v>
      </c>
      <c r="DB305" s="75">
        <f ca="1">ROUND((Table13[[#This Row],[XP]]*Table13[[#This Row],[entity_spawned (AVG)]])*(Table13[[#This Row],[activating_chance]]/100),0)</f>
        <v>5</v>
      </c>
      <c r="DC305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05" s="72">
        <v>1</v>
      </c>
      <c r="DE305" s="72">
        <v>1</v>
      </c>
      <c r="DF305" s="72" t="b">
        <v>0</v>
      </c>
      <c r="DH305" t="s">
        <v>520</v>
      </c>
      <c r="DI305">
        <v>2.5</v>
      </c>
      <c r="DJ305">
        <v>100</v>
      </c>
      <c r="DK305">
        <v>100</v>
      </c>
      <c r="DL305" s="75">
        <f ca="1">INDIRECT(ADDRESS(11+(MATCH(RIGHT(Table14[[#This Row],[spawner_sku]],LEN(Table14[[#This Row],[spawner_sku]])-FIND("/",Table14[[#This Row],[spawner_sku]])),Table1[Entity Prefab],0)),10,1,1,"Entities"))</f>
        <v>35</v>
      </c>
      <c r="DM305" s="75">
        <f ca="1">ROUND((Table14[[#This Row],[XP]]*Table14[[#This Row],[entity_spawned (AVG)]])*(Table14[[#This Row],[activating_chance]]/100),0)</f>
        <v>88</v>
      </c>
      <c r="DN30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05" s="72">
        <v>2</v>
      </c>
      <c r="DP305" s="72">
        <v>3</v>
      </c>
      <c r="DQ305" s="72" t="b">
        <v>0</v>
      </c>
      <c r="DS305" t="s">
        <v>254</v>
      </c>
      <c r="DT305">
        <v>1</v>
      </c>
      <c r="DU305">
        <v>140</v>
      </c>
      <c r="DV305">
        <v>100</v>
      </c>
      <c r="DW305" s="75">
        <f ca="1">INDIRECT(ADDRESS(11+(MATCH(RIGHT(Table18[[#This Row],[spawner_sku]],LEN(Table18[[#This Row],[spawner_sku]])-FIND("/",Table18[[#This Row],[spawner_sku]])),Table1[Entity Prefab],0)),10,1,1,"Entities"))</f>
        <v>70</v>
      </c>
      <c r="DX305" s="75">
        <f ca="1">ROUND((Table18[[#This Row],[XP]]*Table18[[#This Row],[entity_spawned (AVG)]])*(Table18[[#This Row],[activating_chance]]/100),0)</f>
        <v>70</v>
      </c>
      <c r="DY305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305">
        <v>1</v>
      </c>
      <c r="EA305">
        <v>1</v>
      </c>
      <c r="EB305" t="b">
        <v>0</v>
      </c>
    </row>
    <row r="306" spans="2:132" x14ac:dyDescent="0.25">
      <c r="B306" s="73" t="s">
        <v>240</v>
      </c>
      <c r="C306">
        <v>1</v>
      </c>
      <c r="D306">
        <v>2000</v>
      </c>
      <c r="E306">
        <v>100</v>
      </c>
      <c r="F306" s="75">
        <f ca="1">INDIRECT(ADDRESS(11+(MATCH(RIGHT(Table245[[#This Row],[spawner_sku]],LEN(Table245[[#This Row],[spawner_sku]])-FIND("/",Table245[[#This Row],[spawner_sku]])),Table1[Entity Prefab],0)),10,1,1,"Entities"))</f>
        <v>175</v>
      </c>
      <c r="G306" s="75">
        <f ca="1">ROUND((Table245[[#This Row],[XP]]*Table245[[#This Row],[entity_spawned (AVG)]])*(Table245[[#This Row],[activating_chance]]/100),0)</f>
        <v>175</v>
      </c>
      <c r="H30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6" s="72">
        <v>1</v>
      </c>
      <c r="J306" s="72">
        <v>1</v>
      </c>
      <c r="K306" s="72" t="b">
        <v>0</v>
      </c>
      <c r="AI306" t="s">
        <v>385</v>
      </c>
      <c r="AJ306">
        <v>1</v>
      </c>
      <c r="AK306">
        <v>200</v>
      </c>
      <c r="AL306">
        <v>100</v>
      </c>
      <c r="AM306" s="75">
        <f ca="1">INDIRECT(ADDRESS(11+(MATCH(RIGHT(Table2[[#This Row],[spawner_sku]],LEN(Table2[[#This Row],[spawner_sku]])-FIND("/",Table2[[#This Row],[spawner_sku]])),Table1[Entity Prefab],0)),10,1,1,"Entities"))</f>
        <v>75</v>
      </c>
      <c r="AN306" s="75">
        <f ca="1">ROUND((Table2[[#This Row],[XP]]*Table2[[#This Row],[entity_spawned (AVG)]])*(Table2[[#This Row],[activating_chance]]/100),0)</f>
        <v>75</v>
      </c>
      <c r="AO30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06" s="72">
        <v>1</v>
      </c>
      <c r="AQ306" s="72">
        <v>1</v>
      </c>
      <c r="AR306" s="72" t="b">
        <v>0</v>
      </c>
      <c r="BP306" t="s">
        <v>445</v>
      </c>
      <c r="BQ306">
        <v>1</v>
      </c>
      <c r="BR306">
        <v>200</v>
      </c>
      <c r="BS306">
        <v>100</v>
      </c>
      <c r="BT306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306" s="75">
        <f ca="1">ROUND((Table61011[[#This Row],[XP]]*Table61011[[#This Row],[entity_spawned (AVG)]])*(Table61011[[#This Row],[activating_chance]]/100),0)</f>
        <v>0</v>
      </c>
      <c r="BV30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06" s="72">
        <v>1</v>
      </c>
      <c r="BX306" s="72">
        <v>1</v>
      </c>
      <c r="BY306" s="72" t="b">
        <v>0</v>
      </c>
      <c r="CA306" t="s">
        <v>445</v>
      </c>
      <c r="CB306">
        <v>1</v>
      </c>
      <c r="CC306">
        <v>200</v>
      </c>
      <c r="CD306">
        <v>30</v>
      </c>
      <c r="CE306" s="75">
        <f ca="1">INDIRECT(ADDRESS(11+(MATCH(RIGHT(Table11[[#This Row],[spawner_sku]],LEN(Table11[[#This Row],[spawner_sku]])-FIND("/",Table11[[#This Row],[spawner_sku]])),Table1[Entity Prefab],0)),10,1,1,"Entities"))</f>
        <v>0</v>
      </c>
      <c r="CF306">
        <f ca="1">ROUND((Table11[[#This Row],[XP]]*Table11[[#This Row],[entity_spawned (AVG)]])*(Table11[[#This Row],[activating_chance]]/100),0)</f>
        <v>0</v>
      </c>
      <c r="CG306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06" s="72">
        <v>1</v>
      </c>
      <c r="CI306" s="72">
        <v>1</v>
      </c>
      <c r="CJ306" s="72" t="b">
        <v>0</v>
      </c>
      <c r="CW306" t="s">
        <v>384</v>
      </c>
      <c r="CX306">
        <v>1</v>
      </c>
      <c r="CY306">
        <v>100</v>
      </c>
      <c r="CZ306">
        <v>30</v>
      </c>
      <c r="DA306" s="75">
        <f ca="1">INDIRECT(ADDRESS(11+(MATCH(RIGHT(Table13[[#This Row],[spawner_sku]],LEN(Table13[[#This Row],[spawner_sku]])-FIND("/",Table13[[#This Row],[spawner_sku]])),Table1[Entity Prefab],0)),10,1,1,"Entities"))</f>
        <v>25</v>
      </c>
      <c r="DB306" s="75">
        <f ca="1">ROUND((Table13[[#This Row],[XP]]*Table13[[#This Row],[entity_spawned (AVG)]])*(Table13[[#This Row],[activating_chance]]/100),0)</f>
        <v>8</v>
      </c>
      <c r="DC306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06" s="72">
        <v>1</v>
      </c>
      <c r="DE306" s="72">
        <v>1</v>
      </c>
      <c r="DF306" s="72" t="b">
        <v>0</v>
      </c>
      <c r="DH306" t="s">
        <v>520</v>
      </c>
      <c r="DI306">
        <v>3</v>
      </c>
      <c r="DJ306">
        <v>100</v>
      </c>
      <c r="DK306">
        <v>100</v>
      </c>
      <c r="DL306" s="75">
        <f ca="1">INDIRECT(ADDRESS(11+(MATCH(RIGHT(Table14[[#This Row],[spawner_sku]],LEN(Table14[[#This Row],[spawner_sku]])-FIND("/",Table14[[#This Row],[spawner_sku]])),Table1[Entity Prefab],0)),10,1,1,"Entities"))</f>
        <v>35</v>
      </c>
      <c r="DM306" s="75">
        <f ca="1">ROUND((Table14[[#This Row],[XP]]*Table14[[#This Row],[entity_spawned (AVG)]])*(Table14[[#This Row],[activating_chance]]/100),0)</f>
        <v>105</v>
      </c>
      <c r="DN30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06" s="72">
        <v>3</v>
      </c>
      <c r="DP306" s="72">
        <v>3</v>
      </c>
      <c r="DQ306" s="72" t="b">
        <v>0</v>
      </c>
      <c r="DS306" t="s">
        <v>254</v>
      </c>
      <c r="DT306">
        <v>1</v>
      </c>
      <c r="DU306">
        <v>140</v>
      </c>
      <c r="DV306">
        <v>100</v>
      </c>
      <c r="DW306" s="75">
        <f ca="1">INDIRECT(ADDRESS(11+(MATCH(RIGHT(Table18[[#This Row],[spawner_sku]],LEN(Table18[[#This Row],[spawner_sku]])-FIND("/",Table18[[#This Row],[spawner_sku]])),Table1[Entity Prefab],0)),10,1,1,"Entities"))</f>
        <v>70</v>
      </c>
      <c r="DX306" s="75">
        <f ca="1">ROUND((Table18[[#This Row],[XP]]*Table18[[#This Row],[entity_spawned (AVG)]])*(Table18[[#This Row],[activating_chance]]/100),0)</f>
        <v>70</v>
      </c>
      <c r="DY306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306">
        <v>1</v>
      </c>
      <c r="EA306">
        <v>1</v>
      </c>
      <c r="EB306" t="b">
        <v>0</v>
      </c>
    </row>
    <row r="307" spans="2:132" x14ac:dyDescent="0.25">
      <c r="B307" s="73" t="s">
        <v>240</v>
      </c>
      <c r="C307">
        <v>1</v>
      </c>
      <c r="D307">
        <v>2000</v>
      </c>
      <c r="E307">
        <v>100</v>
      </c>
      <c r="F307" s="75">
        <f ca="1">INDIRECT(ADDRESS(11+(MATCH(RIGHT(Table245[[#This Row],[spawner_sku]],LEN(Table245[[#This Row],[spawner_sku]])-FIND("/",Table245[[#This Row],[spawner_sku]])),Table1[Entity Prefab],0)),10,1,1,"Entities"))</f>
        <v>175</v>
      </c>
      <c r="G307" s="75">
        <f ca="1">ROUND((Table245[[#This Row],[XP]]*Table245[[#This Row],[entity_spawned (AVG)]])*(Table245[[#This Row],[activating_chance]]/100),0)</f>
        <v>175</v>
      </c>
      <c r="H30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7" s="72">
        <v>1</v>
      </c>
      <c r="J307" s="72">
        <v>1</v>
      </c>
      <c r="K307" s="72" t="b">
        <v>0</v>
      </c>
      <c r="AI307" t="s">
        <v>385</v>
      </c>
      <c r="AJ307">
        <v>1</v>
      </c>
      <c r="AK307">
        <v>150</v>
      </c>
      <c r="AL307">
        <v>100</v>
      </c>
      <c r="AM307" s="75">
        <f ca="1">INDIRECT(ADDRESS(11+(MATCH(RIGHT(Table2[[#This Row],[spawner_sku]],LEN(Table2[[#This Row],[spawner_sku]])-FIND("/",Table2[[#This Row],[spawner_sku]])),Table1[Entity Prefab],0)),10,1,1,"Entities"))</f>
        <v>75</v>
      </c>
      <c r="AN307" s="75">
        <f ca="1">ROUND((Table2[[#This Row],[XP]]*Table2[[#This Row],[entity_spawned (AVG)]])*(Table2[[#This Row],[activating_chance]]/100),0)</f>
        <v>75</v>
      </c>
      <c r="AO30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07" s="72">
        <v>1</v>
      </c>
      <c r="AQ307" s="72">
        <v>1</v>
      </c>
      <c r="AR307" s="72" t="b">
        <v>0</v>
      </c>
      <c r="BP307" t="s">
        <v>445</v>
      </c>
      <c r="BQ307">
        <v>1</v>
      </c>
      <c r="BR307">
        <v>200</v>
      </c>
      <c r="BS307">
        <v>100</v>
      </c>
      <c r="BT307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307" s="75">
        <f ca="1">ROUND((Table61011[[#This Row],[XP]]*Table61011[[#This Row],[entity_spawned (AVG)]])*(Table61011[[#This Row],[activating_chance]]/100),0)</f>
        <v>0</v>
      </c>
      <c r="BV30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07" s="72">
        <v>1</v>
      </c>
      <c r="BX307" s="72">
        <v>1</v>
      </c>
      <c r="BY307" s="72" t="b">
        <v>0</v>
      </c>
      <c r="CA307" t="s">
        <v>445</v>
      </c>
      <c r="CB307">
        <v>2.5</v>
      </c>
      <c r="CC307">
        <v>120</v>
      </c>
      <c r="CD307">
        <v>100</v>
      </c>
      <c r="CE307" s="75">
        <f ca="1">INDIRECT(ADDRESS(11+(MATCH(RIGHT(Table11[[#This Row],[spawner_sku]],LEN(Table11[[#This Row],[spawner_sku]])-FIND("/",Table11[[#This Row],[spawner_sku]])),Table1[Entity Prefab],0)),10,1,1,"Entities"))</f>
        <v>0</v>
      </c>
      <c r="CF307">
        <f ca="1">ROUND((Table11[[#This Row],[XP]]*Table11[[#This Row],[entity_spawned (AVG)]])*(Table11[[#This Row],[activating_chance]]/100),0)</f>
        <v>0</v>
      </c>
      <c r="CG307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07" s="72">
        <v>2</v>
      </c>
      <c r="CI307" s="72">
        <v>3</v>
      </c>
      <c r="CJ307" s="72" t="b">
        <v>0</v>
      </c>
      <c r="CW307" t="s">
        <v>384</v>
      </c>
      <c r="CX307">
        <v>2</v>
      </c>
      <c r="CY307">
        <v>100</v>
      </c>
      <c r="CZ307">
        <v>100</v>
      </c>
      <c r="DA307" s="75">
        <f ca="1">INDIRECT(ADDRESS(11+(MATCH(RIGHT(Table13[[#This Row],[spawner_sku]],LEN(Table13[[#This Row],[spawner_sku]])-FIND("/",Table13[[#This Row],[spawner_sku]])),Table1[Entity Prefab],0)),10,1,1,"Entities"))</f>
        <v>25</v>
      </c>
      <c r="DB307" s="75">
        <f ca="1">ROUND((Table13[[#This Row],[XP]]*Table13[[#This Row],[entity_spawned (AVG)]])*(Table13[[#This Row],[activating_chance]]/100),0)</f>
        <v>50</v>
      </c>
      <c r="DC307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07" s="72">
        <v>1</v>
      </c>
      <c r="DE307" s="72">
        <v>3</v>
      </c>
      <c r="DF307" s="72" t="b">
        <v>0</v>
      </c>
      <c r="DH307" t="s">
        <v>520</v>
      </c>
      <c r="DI307">
        <v>2</v>
      </c>
      <c r="DJ307">
        <v>120</v>
      </c>
      <c r="DK307">
        <v>80</v>
      </c>
      <c r="DL307" s="75">
        <f ca="1">INDIRECT(ADDRESS(11+(MATCH(RIGHT(Table14[[#This Row],[spawner_sku]],LEN(Table14[[#This Row],[spawner_sku]])-FIND("/",Table14[[#This Row],[spawner_sku]])),Table1[Entity Prefab],0)),10,1,1,"Entities"))</f>
        <v>35</v>
      </c>
      <c r="DM307" s="75">
        <f ca="1">ROUND((Table14[[#This Row],[XP]]*Table14[[#This Row],[entity_spawned (AVG)]])*(Table14[[#This Row],[activating_chance]]/100),0)</f>
        <v>56</v>
      </c>
      <c r="DN30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07" s="72">
        <v>2</v>
      </c>
      <c r="DP307" s="72">
        <v>2</v>
      </c>
      <c r="DQ307" s="72" t="b">
        <v>0</v>
      </c>
      <c r="DS307" t="s">
        <v>254</v>
      </c>
      <c r="DT307">
        <v>1</v>
      </c>
      <c r="DU307">
        <v>140</v>
      </c>
      <c r="DV307">
        <v>100</v>
      </c>
      <c r="DW307" s="75">
        <f ca="1">INDIRECT(ADDRESS(11+(MATCH(RIGHT(Table18[[#This Row],[spawner_sku]],LEN(Table18[[#This Row],[spawner_sku]])-FIND("/",Table18[[#This Row],[spawner_sku]])),Table1[Entity Prefab],0)),10,1,1,"Entities"))</f>
        <v>70</v>
      </c>
      <c r="DX307" s="75">
        <f ca="1">ROUND((Table18[[#This Row],[XP]]*Table18[[#This Row],[entity_spawned (AVG)]])*(Table18[[#This Row],[activating_chance]]/100),0)</f>
        <v>70</v>
      </c>
      <c r="DY307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307">
        <v>1</v>
      </c>
      <c r="EA307">
        <v>1</v>
      </c>
      <c r="EB307" t="b">
        <v>0</v>
      </c>
    </row>
    <row r="308" spans="2:132" x14ac:dyDescent="0.25">
      <c r="B308" s="73" t="s">
        <v>240</v>
      </c>
      <c r="C308">
        <v>1</v>
      </c>
      <c r="D308">
        <v>2000</v>
      </c>
      <c r="E308">
        <v>100</v>
      </c>
      <c r="F308" s="75">
        <f ca="1">INDIRECT(ADDRESS(11+(MATCH(RIGHT(Table245[[#This Row],[spawner_sku]],LEN(Table245[[#This Row],[spawner_sku]])-FIND("/",Table245[[#This Row],[spawner_sku]])),Table1[Entity Prefab],0)),10,1,1,"Entities"))</f>
        <v>175</v>
      </c>
      <c r="G308" s="75">
        <f ca="1">ROUND((Table245[[#This Row],[XP]]*Table245[[#This Row],[entity_spawned (AVG)]])*(Table245[[#This Row],[activating_chance]]/100),0)</f>
        <v>175</v>
      </c>
      <c r="H30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8" s="72">
        <v>1</v>
      </c>
      <c r="J308" s="72">
        <v>1</v>
      </c>
      <c r="K308" s="72" t="b">
        <v>0</v>
      </c>
      <c r="AI308" t="s">
        <v>385</v>
      </c>
      <c r="AJ308">
        <v>1</v>
      </c>
      <c r="AK308">
        <v>220</v>
      </c>
      <c r="AL308">
        <v>100</v>
      </c>
      <c r="AM308" s="75">
        <f ca="1">INDIRECT(ADDRESS(11+(MATCH(RIGHT(Table2[[#This Row],[spawner_sku]],LEN(Table2[[#This Row],[spawner_sku]])-FIND("/",Table2[[#This Row],[spawner_sku]])),Table1[Entity Prefab],0)),10,1,1,"Entities"))</f>
        <v>75</v>
      </c>
      <c r="AN308" s="75">
        <f ca="1">ROUND((Table2[[#This Row],[XP]]*Table2[[#This Row],[entity_spawned (AVG)]])*(Table2[[#This Row],[activating_chance]]/100),0)</f>
        <v>75</v>
      </c>
      <c r="AO30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08" s="72">
        <v>1</v>
      </c>
      <c r="AQ308" s="72">
        <v>1</v>
      </c>
      <c r="AR308" s="72" t="b">
        <v>0</v>
      </c>
      <c r="BP308" t="s">
        <v>445</v>
      </c>
      <c r="BQ308">
        <v>1</v>
      </c>
      <c r="BR308">
        <v>220</v>
      </c>
      <c r="BS308">
        <v>80</v>
      </c>
      <c r="BT308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308" s="75">
        <f ca="1">ROUND((Table61011[[#This Row],[XP]]*Table61011[[#This Row],[entity_spawned (AVG)]])*(Table61011[[#This Row],[activating_chance]]/100),0)</f>
        <v>0</v>
      </c>
      <c r="BV30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08" s="72">
        <v>1</v>
      </c>
      <c r="BX308" s="72">
        <v>1</v>
      </c>
      <c r="BY308" s="72" t="b">
        <v>0</v>
      </c>
      <c r="CA308" t="s">
        <v>445</v>
      </c>
      <c r="CB308">
        <v>1</v>
      </c>
      <c r="CC308">
        <v>200</v>
      </c>
      <c r="CD308">
        <v>70</v>
      </c>
      <c r="CE308" s="75">
        <f ca="1">INDIRECT(ADDRESS(11+(MATCH(RIGHT(Table11[[#This Row],[spawner_sku]],LEN(Table11[[#This Row],[spawner_sku]])-FIND("/",Table11[[#This Row],[spawner_sku]])),Table1[Entity Prefab],0)),10,1,1,"Entities"))</f>
        <v>0</v>
      </c>
      <c r="CF308">
        <f ca="1">ROUND((Table11[[#This Row],[XP]]*Table11[[#This Row],[entity_spawned (AVG)]])*(Table11[[#This Row],[activating_chance]]/100),0)</f>
        <v>0</v>
      </c>
      <c r="CG308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08" s="72">
        <v>1</v>
      </c>
      <c r="CI308" s="72">
        <v>1</v>
      </c>
      <c r="CJ308" s="72" t="b">
        <v>0</v>
      </c>
      <c r="CW308" t="s">
        <v>384</v>
      </c>
      <c r="CX308">
        <v>2</v>
      </c>
      <c r="CY308">
        <v>100</v>
      </c>
      <c r="CZ308">
        <v>100</v>
      </c>
      <c r="DA308" s="75">
        <f ca="1">INDIRECT(ADDRESS(11+(MATCH(RIGHT(Table13[[#This Row],[spawner_sku]],LEN(Table13[[#This Row],[spawner_sku]])-FIND("/",Table13[[#This Row],[spawner_sku]])),Table1[Entity Prefab],0)),10,1,1,"Entities"))</f>
        <v>25</v>
      </c>
      <c r="DB308" s="75">
        <f ca="1">ROUND((Table13[[#This Row],[XP]]*Table13[[#This Row],[entity_spawned (AVG)]])*(Table13[[#This Row],[activating_chance]]/100),0)</f>
        <v>50</v>
      </c>
      <c r="DC308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08" s="72">
        <v>1</v>
      </c>
      <c r="DE308" s="72">
        <v>3</v>
      </c>
      <c r="DF308" s="72" t="b">
        <v>0</v>
      </c>
      <c r="DH308" t="s">
        <v>520</v>
      </c>
      <c r="DI308">
        <v>1</v>
      </c>
      <c r="DJ308">
        <v>100</v>
      </c>
      <c r="DK308">
        <v>100</v>
      </c>
      <c r="DL308" s="75">
        <f ca="1">INDIRECT(ADDRESS(11+(MATCH(RIGHT(Table14[[#This Row],[spawner_sku]],LEN(Table14[[#This Row],[spawner_sku]])-FIND("/",Table14[[#This Row],[spawner_sku]])),Table1[Entity Prefab],0)),10,1,1,"Entities"))</f>
        <v>35</v>
      </c>
      <c r="DM308" s="75">
        <f ca="1">ROUND((Table14[[#This Row],[XP]]*Table14[[#This Row],[entity_spawned (AVG)]])*(Table14[[#This Row],[activating_chance]]/100),0)</f>
        <v>35</v>
      </c>
      <c r="DN30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08" s="72">
        <v>1</v>
      </c>
      <c r="DP308" s="72">
        <v>1</v>
      </c>
      <c r="DQ308" s="72" t="b">
        <v>0</v>
      </c>
      <c r="DS308" t="s">
        <v>254</v>
      </c>
      <c r="DT308">
        <v>1</v>
      </c>
      <c r="DU308">
        <v>140</v>
      </c>
      <c r="DV308">
        <v>100</v>
      </c>
      <c r="DW308" s="75">
        <f ca="1">INDIRECT(ADDRESS(11+(MATCH(RIGHT(Table18[[#This Row],[spawner_sku]],LEN(Table18[[#This Row],[spawner_sku]])-FIND("/",Table18[[#This Row],[spawner_sku]])),Table1[Entity Prefab],0)),10,1,1,"Entities"))</f>
        <v>70</v>
      </c>
      <c r="DX308" s="75">
        <f ca="1">ROUND((Table18[[#This Row],[XP]]*Table18[[#This Row],[entity_spawned (AVG)]])*(Table18[[#This Row],[activating_chance]]/100),0)</f>
        <v>70</v>
      </c>
      <c r="DY308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308">
        <v>1</v>
      </c>
      <c r="EA308">
        <v>1</v>
      </c>
      <c r="EB308" t="b">
        <v>0</v>
      </c>
    </row>
    <row r="309" spans="2:132" x14ac:dyDescent="0.25">
      <c r="B309" s="73" t="s">
        <v>240</v>
      </c>
      <c r="C309">
        <v>1</v>
      </c>
      <c r="D309">
        <v>2000</v>
      </c>
      <c r="E309">
        <v>100</v>
      </c>
      <c r="F309" s="75">
        <f ca="1">INDIRECT(ADDRESS(11+(MATCH(RIGHT(Table245[[#This Row],[spawner_sku]],LEN(Table245[[#This Row],[spawner_sku]])-FIND("/",Table245[[#This Row],[spawner_sku]])),Table1[Entity Prefab],0)),10,1,1,"Entities"))</f>
        <v>175</v>
      </c>
      <c r="G309" s="75">
        <f ca="1">ROUND((Table245[[#This Row],[XP]]*Table245[[#This Row],[entity_spawned (AVG)]])*(Table245[[#This Row],[activating_chance]]/100),0)</f>
        <v>175</v>
      </c>
      <c r="H30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9" s="72">
        <v>1</v>
      </c>
      <c r="J309" s="72">
        <v>1</v>
      </c>
      <c r="K309" s="72" t="b">
        <v>0</v>
      </c>
      <c r="AI309" t="s">
        <v>385</v>
      </c>
      <c r="AJ309">
        <v>1</v>
      </c>
      <c r="AK309">
        <v>200</v>
      </c>
      <c r="AL309">
        <v>100</v>
      </c>
      <c r="AM309" s="75">
        <f ca="1">INDIRECT(ADDRESS(11+(MATCH(RIGHT(Table2[[#This Row],[spawner_sku]],LEN(Table2[[#This Row],[spawner_sku]])-FIND("/",Table2[[#This Row],[spawner_sku]])),Table1[Entity Prefab],0)),10,1,1,"Entities"))</f>
        <v>75</v>
      </c>
      <c r="AN309" s="75">
        <f ca="1">ROUND((Table2[[#This Row],[XP]]*Table2[[#This Row],[entity_spawned (AVG)]])*(Table2[[#This Row],[activating_chance]]/100),0)</f>
        <v>75</v>
      </c>
      <c r="AO30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09" s="72">
        <v>1</v>
      </c>
      <c r="AQ309" s="72">
        <v>1</v>
      </c>
      <c r="AR309" s="72" t="b">
        <v>0</v>
      </c>
      <c r="BP309" t="s">
        <v>445</v>
      </c>
      <c r="BQ309">
        <v>1</v>
      </c>
      <c r="BR309">
        <v>180</v>
      </c>
      <c r="BS309">
        <v>100</v>
      </c>
      <c r="BT309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309" s="75">
        <f ca="1">ROUND((Table61011[[#This Row],[XP]]*Table61011[[#This Row],[entity_spawned (AVG)]])*(Table61011[[#This Row],[activating_chance]]/100),0)</f>
        <v>0</v>
      </c>
      <c r="BV30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09" s="72">
        <v>1</v>
      </c>
      <c r="BX309" s="72">
        <v>1</v>
      </c>
      <c r="BY309" s="72" t="b">
        <v>0</v>
      </c>
      <c r="CA309" t="s">
        <v>445</v>
      </c>
      <c r="CB309">
        <v>1</v>
      </c>
      <c r="CC309">
        <v>120</v>
      </c>
      <c r="CD309">
        <v>30</v>
      </c>
      <c r="CE309" s="75">
        <f ca="1">INDIRECT(ADDRESS(11+(MATCH(RIGHT(Table11[[#This Row],[spawner_sku]],LEN(Table11[[#This Row],[spawner_sku]])-FIND("/",Table11[[#This Row],[spawner_sku]])),Table1[Entity Prefab],0)),10,1,1,"Entities"))</f>
        <v>0</v>
      </c>
      <c r="CF309">
        <f ca="1">ROUND((Table11[[#This Row],[XP]]*Table11[[#This Row],[entity_spawned (AVG)]])*(Table11[[#This Row],[activating_chance]]/100),0)</f>
        <v>0</v>
      </c>
      <c r="CG309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09" s="72">
        <v>1</v>
      </c>
      <c r="CI309" s="72">
        <v>1</v>
      </c>
      <c r="CJ309" s="72" t="b">
        <v>0</v>
      </c>
      <c r="CW309" t="s">
        <v>384</v>
      </c>
      <c r="CX309">
        <v>1</v>
      </c>
      <c r="CY309">
        <v>100</v>
      </c>
      <c r="CZ309">
        <v>80</v>
      </c>
      <c r="DA309" s="75">
        <f ca="1">INDIRECT(ADDRESS(11+(MATCH(RIGHT(Table13[[#This Row],[spawner_sku]],LEN(Table13[[#This Row],[spawner_sku]])-FIND("/",Table13[[#This Row],[spawner_sku]])),Table1[Entity Prefab],0)),10,1,1,"Entities"))</f>
        <v>25</v>
      </c>
      <c r="DB309" s="75">
        <f ca="1">ROUND((Table13[[#This Row],[XP]]*Table13[[#This Row],[entity_spawned (AVG)]])*(Table13[[#This Row],[activating_chance]]/100),0)</f>
        <v>20</v>
      </c>
      <c r="DC309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09" s="72">
        <v>1</v>
      </c>
      <c r="DE309" s="72">
        <v>1</v>
      </c>
      <c r="DF309" s="72" t="b">
        <v>0</v>
      </c>
      <c r="DH309" t="s">
        <v>520</v>
      </c>
      <c r="DI309">
        <v>2</v>
      </c>
      <c r="DJ309">
        <v>120</v>
      </c>
      <c r="DK309">
        <v>100</v>
      </c>
      <c r="DL309" s="75">
        <f ca="1">INDIRECT(ADDRESS(11+(MATCH(RIGHT(Table14[[#This Row],[spawner_sku]],LEN(Table14[[#This Row],[spawner_sku]])-FIND("/",Table14[[#This Row],[spawner_sku]])),Table1[Entity Prefab],0)),10,1,1,"Entities"))</f>
        <v>35</v>
      </c>
      <c r="DM309" s="75">
        <f ca="1">ROUND((Table14[[#This Row],[XP]]*Table14[[#This Row],[entity_spawned (AVG)]])*(Table14[[#This Row],[activating_chance]]/100),0)</f>
        <v>70</v>
      </c>
      <c r="DN30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09" s="72">
        <v>2</v>
      </c>
      <c r="DP309" s="72">
        <v>2</v>
      </c>
      <c r="DQ309" s="72" t="b">
        <v>0</v>
      </c>
      <c r="DS309" t="s">
        <v>254</v>
      </c>
      <c r="DT309">
        <v>1</v>
      </c>
      <c r="DU309">
        <v>120</v>
      </c>
      <c r="DV309">
        <v>100</v>
      </c>
      <c r="DW309" s="75">
        <f ca="1">INDIRECT(ADDRESS(11+(MATCH(RIGHT(Table18[[#This Row],[spawner_sku]],LEN(Table18[[#This Row],[spawner_sku]])-FIND("/",Table18[[#This Row],[spawner_sku]])),Table1[Entity Prefab],0)),10,1,1,"Entities"))</f>
        <v>70</v>
      </c>
      <c r="DX309" s="75">
        <f ca="1">ROUND((Table18[[#This Row],[XP]]*Table18[[#This Row],[entity_spawned (AVG)]])*(Table18[[#This Row],[activating_chance]]/100),0)</f>
        <v>70</v>
      </c>
      <c r="DY309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309">
        <v>1</v>
      </c>
      <c r="EA309">
        <v>1</v>
      </c>
      <c r="EB309" t="b">
        <v>0</v>
      </c>
    </row>
    <row r="310" spans="2:132" x14ac:dyDescent="0.25">
      <c r="B310" s="73" t="s">
        <v>240</v>
      </c>
      <c r="C310">
        <v>1</v>
      </c>
      <c r="D310">
        <v>2000</v>
      </c>
      <c r="E310">
        <v>100</v>
      </c>
      <c r="F310" s="75">
        <f ca="1">INDIRECT(ADDRESS(11+(MATCH(RIGHT(Table245[[#This Row],[spawner_sku]],LEN(Table245[[#This Row],[spawner_sku]])-FIND("/",Table245[[#This Row],[spawner_sku]])),Table1[Entity Prefab],0)),10,1,1,"Entities"))</f>
        <v>175</v>
      </c>
      <c r="G310" s="75">
        <f ca="1">ROUND((Table245[[#This Row],[XP]]*Table245[[#This Row],[entity_spawned (AVG)]])*(Table245[[#This Row],[activating_chance]]/100),0)</f>
        <v>175</v>
      </c>
      <c r="H31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0" s="72">
        <v>1</v>
      </c>
      <c r="J310" s="72">
        <v>1</v>
      </c>
      <c r="K310" s="72" t="b">
        <v>0</v>
      </c>
      <c r="AI310" t="s">
        <v>385</v>
      </c>
      <c r="AJ310">
        <v>1</v>
      </c>
      <c r="AK310">
        <v>170</v>
      </c>
      <c r="AL310">
        <v>100</v>
      </c>
      <c r="AM310" s="75">
        <f ca="1">INDIRECT(ADDRESS(11+(MATCH(RIGHT(Table2[[#This Row],[spawner_sku]],LEN(Table2[[#This Row],[spawner_sku]])-FIND("/",Table2[[#This Row],[spawner_sku]])),Table1[Entity Prefab],0)),10,1,1,"Entities"))</f>
        <v>75</v>
      </c>
      <c r="AN310" s="75">
        <f ca="1">ROUND((Table2[[#This Row],[XP]]*Table2[[#This Row],[entity_spawned (AVG)]])*(Table2[[#This Row],[activating_chance]]/100),0)</f>
        <v>75</v>
      </c>
      <c r="AO31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10" s="72">
        <v>1</v>
      </c>
      <c r="AQ310" s="72">
        <v>1</v>
      </c>
      <c r="AR310" s="72" t="b">
        <v>0</v>
      </c>
      <c r="BP310" t="s">
        <v>445</v>
      </c>
      <c r="BQ310">
        <v>1</v>
      </c>
      <c r="BR310">
        <v>200</v>
      </c>
      <c r="BS310">
        <v>100</v>
      </c>
      <c r="BT310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310" s="75">
        <f ca="1">ROUND((Table61011[[#This Row],[XP]]*Table61011[[#This Row],[entity_spawned (AVG)]])*(Table61011[[#This Row],[activating_chance]]/100),0)</f>
        <v>0</v>
      </c>
      <c r="BV31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10" s="72">
        <v>1</v>
      </c>
      <c r="BX310" s="72">
        <v>1</v>
      </c>
      <c r="BY310" s="72" t="b">
        <v>0</v>
      </c>
      <c r="CA310" t="s">
        <v>445</v>
      </c>
      <c r="CB310">
        <v>1</v>
      </c>
      <c r="CC310">
        <v>120</v>
      </c>
      <c r="CD310">
        <v>100</v>
      </c>
      <c r="CE310" s="75">
        <f ca="1">INDIRECT(ADDRESS(11+(MATCH(RIGHT(Table11[[#This Row],[spawner_sku]],LEN(Table11[[#This Row],[spawner_sku]])-FIND("/",Table11[[#This Row],[spawner_sku]])),Table1[Entity Prefab],0)),10,1,1,"Entities"))</f>
        <v>0</v>
      </c>
      <c r="CF310">
        <f ca="1">ROUND((Table11[[#This Row],[XP]]*Table11[[#This Row],[entity_spawned (AVG)]])*(Table11[[#This Row],[activating_chance]]/100),0)</f>
        <v>0</v>
      </c>
      <c r="CG310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10" s="72">
        <v>1</v>
      </c>
      <c r="CI310" s="72">
        <v>1</v>
      </c>
      <c r="CJ310" s="72" t="b">
        <v>0</v>
      </c>
      <c r="CW310" t="s">
        <v>384</v>
      </c>
      <c r="CX310">
        <v>1</v>
      </c>
      <c r="CY310">
        <v>100</v>
      </c>
      <c r="CZ310">
        <v>80</v>
      </c>
      <c r="DA310" s="75">
        <f ca="1">INDIRECT(ADDRESS(11+(MATCH(RIGHT(Table13[[#This Row],[spawner_sku]],LEN(Table13[[#This Row],[spawner_sku]])-FIND("/",Table13[[#This Row],[spawner_sku]])),Table1[Entity Prefab],0)),10,1,1,"Entities"))</f>
        <v>25</v>
      </c>
      <c r="DB310" s="75">
        <f ca="1">ROUND((Table13[[#This Row],[XP]]*Table13[[#This Row],[entity_spawned (AVG)]])*(Table13[[#This Row],[activating_chance]]/100),0)</f>
        <v>20</v>
      </c>
      <c r="DC310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10" s="72">
        <v>1</v>
      </c>
      <c r="DE310" s="72">
        <v>1</v>
      </c>
      <c r="DF310" s="72" t="b">
        <v>0</v>
      </c>
      <c r="DH310" t="s">
        <v>520</v>
      </c>
      <c r="DI310">
        <v>1</v>
      </c>
      <c r="DJ310">
        <v>90</v>
      </c>
      <c r="DK310">
        <v>100</v>
      </c>
      <c r="DL310" s="75">
        <f ca="1">INDIRECT(ADDRESS(11+(MATCH(RIGHT(Table14[[#This Row],[spawner_sku]],LEN(Table14[[#This Row],[spawner_sku]])-FIND("/",Table14[[#This Row],[spawner_sku]])),Table1[Entity Prefab],0)),10,1,1,"Entities"))</f>
        <v>35</v>
      </c>
      <c r="DM310" s="75">
        <f ca="1">ROUND((Table14[[#This Row],[XP]]*Table14[[#This Row],[entity_spawned (AVG)]])*(Table14[[#This Row],[activating_chance]]/100),0)</f>
        <v>35</v>
      </c>
      <c r="DN31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10" s="72">
        <v>1</v>
      </c>
      <c r="DP310" s="72">
        <v>1</v>
      </c>
      <c r="DQ310" s="72" t="b">
        <v>0</v>
      </c>
      <c r="DS310" t="s">
        <v>254</v>
      </c>
      <c r="DT310">
        <v>1</v>
      </c>
      <c r="DU310">
        <v>140</v>
      </c>
      <c r="DV310">
        <v>100</v>
      </c>
      <c r="DW310" s="75">
        <f ca="1">INDIRECT(ADDRESS(11+(MATCH(RIGHT(Table18[[#This Row],[spawner_sku]],LEN(Table18[[#This Row],[spawner_sku]])-FIND("/",Table18[[#This Row],[spawner_sku]])),Table1[Entity Prefab],0)),10,1,1,"Entities"))</f>
        <v>70</v>
      </c>
      <c r="DX310" s="75">
        <f ca="1">ROUND((Table18[[#This Row],[XP]]*Table18[[#This Row],[entity_spawned (AVG)]])*(Table18[[#This Row],[activating_chance]]/100),0)</f>
        <v>70</v>
      </c>
      <c r="DY310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310">
        <v>1</v>
      </c>
      <c r="EA310">
        <v>1</v>
      </c>
      <c r="EB310" t="b">
        <v>0</v>
      </c>
    </row>
    <row r="311" spans="2:132" x14ac:dyDescent="0.25">
      <c r="B311" s="73" t="s">
        <v>240</v>
      </c>
      <c r="C311">
        <v>1</v>
      </c>
      <c r="D311">
        <v>2000</v>
      </c>
      <c r="E311">
        <v>100</v>
      </c>
      <c r="F311" s="75">
        <f ca="1">INDIRECT(ADDRESS(11+(MATCH(RIGHT(Table245[[#This Row],[spawner_sku]],LEN(Table245[[#This Row],[spawner_sku]])-FIND("/",Table245[[#This Row],[spawner_sku]])),Table1[Entity Prefab],0)),10,1,1,"Entities"))</f>
        <v>175</v>
      </c>
      <c r="G311" s="75">
        <f ca="1">ROUND((Table245[[#This Row],[XP]]*Table245[[#This Row],[entity_spawned (AVG)]])*(Table245[[#This Row],[activating_chance]]/100),0)</f>
        <v>175</v>
      </c>
      <c r="H31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1" s="72">
        <v>1</v>
      </c>
      <c r="J311" s="72">
        <v>1</v>
      </c>
      <c r="K311" s="72" t="b">
        <v>0</v>
      </c>
      <c r="AI311" t="s">
        <v>385</v>
      </c>
      <c r="AJ311">
        <v>1</v>
      </c>
      <c r="AK311">
        <v>220</v>
      </c>
      <c r="AL311">
        <v>100</v>
      </c>
      <c r="AM311" s="75">
        <f ca="1">INDIRECT(ADDRESS(11+(MATCH(RIGHT(Table2[[#This Row],[spawner_sku]],LEN(Table2[[#This Row],[spawner_sku]])-FIND("/",Table2[[#This Row],[spawner_sku]])),Table1[Entity Prefab],0)),10,1,1,"Entities"))</f>
        <v>75</v>
      </c>
      <c r="AN311" s="75">
        <f ca="1">ROUND((Table2[[#This Row],[XP]]*Table2[[#This Row],[entity_spawned (AVG)]])*(Table2[[#This Row],[activating_chance]]/100),0)</f>
        <v>75</v>
      </c>
      <c r="AO31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11" s="72">
        <v>1</v>
      </c>
      <c r="AQ311" s="72">
        <v>1</v>
      </c>
      <c r="AR311" s="72" t="b">
        <v>0</v>
      </c>
      <c r="BP311" t="s">
        <v>445</v>
      </c>
      <c r="BQ311">
        <v>1</v>
      </c>
      <c r="BR311">
        <v>200</v>
      </c>
      <c r="BS311">
        <v>100</v>
      </c>
      <c r="BT311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311" s="75">
        <f ca="1">ROUND((Table61011[[#This Row],[XP]]*Table61011[[#This Row],[entity_spawned (AVG)]])*(Table61011[[#This Row],[activating_chance]]/100),0)</f>
        <v>0</v>
      </c>
      <c r="BV31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11" s="72">
        <v>1</v>
      </c>
      <c r="BX311" s="72">
        <v>1</v>
      </c>
      <c r="BY311" s="72" t="b">
        <v>0</v>
      </c>
      <c r="CA311" t="s">
        <v>606</v>
      </c>
      <c r="CB311">
        <v>1</v>
      </c>
      <c r="CC311">
        <v>5000</v>
      </c>
      <c r="CD311">
        <v>75</v>
      </c>
      <c r="CE311" s="75">
        <f ca="1">INDIRECT(ADDRESS(11+(MATCH(RIGHT(Table11[[#This Row],[spawner_sku]],LEN(Table11[[#This Row],[spawner_sku]])-FIND("/",Table11[[#This Row],[spawner_sku]])),Table1[Entity Prefab],0)),10,1,1,"Entities"))</f>
        <v>25</v>
      </c>
      <c r="CF311">
        <f ca="1">ROUND((Table11[[#This Row],[XP]]*Table11[[#This Row],[entity_spawned (AVG)]])*(Table11[[#This Row],[activating_chance]]/100),0)</f>
        <v>19</v>
      </c>
      <c r="CG311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11" s="72">
        <v>1</v>
      </c>
      <c r="CI311" s="72">
        <v>1</v>
      </c>
      <c r="CJ311" s="72" t="b">
        <v>0</v>
      </c>
      <c r="CW311" t="s">
        <v>384</v>
      </c>
      <c r="CX311">
        <v>3.5</v>
      </c>
      <c r="CY311">
        <v>100</v>
      </c>
      <c r="CZ311">
        <v>70</v>
      </c>
      <c r="DA311" s="75">
        <f ca="1">INDIRECT(ADDRESS(11+(MATCH(RIGHT(Table13[[#This Row],[spawner_sku]],LEN(Table13[[#This Row],[spawner_sku]])-FIND("/",Table13[[#This Row],[spawner_sku]])),Table1[Entity Prefab],0)),10,1,1,"Entities"))</f>
        <v>25</v>
      </c>
      <c r="DB311" s="75">
        <f ca="1">ROUND((Table13[[#This Row],[XP]]*Table13[[#This Row],[entity_spawned (AVG)]])*(Table13[[#This Row],[activating_chance]]/100),0)</f>
        <v>61</v>
      </c>
      <c r="DC311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11" s="72">
        <v>3</v>
      </c>
      <c r="DE311" s="72">
        <v>4</v>
      </c>
      <c r="DF311" s="72" t="b">
        <v>0</v>
      </c>
      <c r="DH311" t="s">
        <v>520</v>
      </c>
      <c r="DI311">
        <v>1</v>
      </c>
      <c r="DJ311">
        <v>100</v>
      </c>
      <c r="DK311">
        <v>100</v>
      </c>
      <c r="DL311" s="75">
        <f ca="1">INDIRECT(ADDRESS(11+(MATCH(RIGHT(Table14[[#This Row],[spawner_sku]],LEN(Table14[[#This Row],[spawner_sku]])-FIND("/",Table14[[#This Row],[spawner_sku]])),Table1[Entity Prefab],0)),10,1,1,"Entities"))</f>
        <v>35</v>
      </c>
      <c r="DM311" s="75">
        <f ca="1">ROUND((Table14[[#This Row],[XP]]*Table14[[#This Row],[entity_spawned (AVG)]])*(Table14[[#This Row],[activating_chance]]/100),0)</f>
        <v>35</v>
      </c>
      <c r="DN31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11" s="72">
        <v>1</v>
      </c>
      <c r="DP311" s="72">
        <v>1</v>
      </c>
      <c r="DQ311" s="72" t="b">
        <v>0</v>
      </c>
      <c r="DS311" t="s">
        <v>254</v>
      </c>
      <c r="DT311">
        <v>1</v>
      </c>
      <c r="DU311">
        <v>140</v>
      </c>
      <c r="DV311">
        <v>80</v>
      </c>
      <c r="DW311" s="75">
        <f ca="1">INDIRECT(ADDRESS(11+(MATCH(RIGHT(Table18[[#This Row],[spawner_sku]],LEN(Table18[[#This Row],[spawner_sku]])-FIND("/",Table18[[#This Row],[spawner_sku]])),Table1[Entity Prefab],0)),10,1,1,"Entities"))</f>
        <v>70</v>
      </c>
      <c r="DX311" s="75">
        <f ca="1">ROUND((Table18[[#This Row],[XP]]*Table18[[#This Row],[entity_spawned (AVG)]])*(Table18[[#This Row],[activating_chance]]/100),0)</f>
        <v>56</v>
      </c>
      <c r="DY311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311">
        <v>1</v>
      </c>
      <c r="EA311">
        <v>1</v>
      </c>
      <c r="EB311" t="b">
        <v>0</v>
      </c>
    </row>
    <row r="312" spans="2:132" x14ac:dyDescent="0.25">
      <c r="B312" s="73" t="s">
        <v>240</v>
      </c>
      <c r="C312">
        <v>1</v>
      </c>
      <c r="D312">
        <v>2000</v>
      </c>
      <c r="E312">
        <v>100</v>
      </c>
      <c r="F312" s="75">
        <f ca="1">INDIRECT(ADDRESS(11+(MATCH(RIGHT(Table245[[#This Row],[spawner_sku]],LEN(Table245[[#This Row],[spawner_sku]])-FIND("/",Table245[[#This Row],[spawner_sku]])),Table1[Entity Prefab],0)),10,1,1,"Entities"))</f>
        <v>175</v>
      </c>
      <c r="G312" s="75">
        <f ca="1">ROUND((Table245[[#This Row],[XP]]*Table245[[#This Row],[entity_spawned (AVG)]])*(Table245[[#This Row],[activating_chance]]/100),0)</f>
        <v>175</v>
      </c>
      <c r="H31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2" s="72">
        <v>1</v>
      </c>
      <c r="J312" s="72">
        <v>1</v>
      </c>
      <c r="K312" s="72" t="b">
        <v>0</v>
      </c>
      <c r="AI312" t="s">
        <v>385</v>
      </c>
      <c r="AJ312">
        <v>1</v>
      </c>
      <c r="AK312">
        <v>150</v>
      </c>
      <c r="AL312">
        <v>100</v>
      </c>
      <c r="AM312" s="75">
        <f ca="1">INDIRECT(ADDRESS(11+(MATCH(RIGHT(Table2[[#This Row],[spawner_sku]],LEN(Table2[[#This Row],[spawner_sku]])-FIND("/",Table2[[#This Row],[spawner_sku]])),Table1[Entity Prefab],0)),10,1,1,"Entities"))</f>
        <v>75</v>
      </c>
      <c r="AN312" s="75">
        <f ca="1">ROUND((Table2[[#This Row],[XP]]*Table2[[#This Row],[entity_spawned (AVG)]])*(Table2[[#This Row],[activating_chance]]/100),0)</f>
        <v>75</v>
      </c>
      <c r="AO31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12" s="72">
        <v>1</v>
      </c>
      <c r="AQ312" s="72">
        <v>1</v>
      </c>
      <c r="AR312" s="72" t="b">
        <v>0</v>
      </c>
      <c r="BP312" t="s">
        <v>445</v>
      </c>
      <c r="BQ312">
        <v>1</v>
      </c>
      <c r="BR312">
        <v>180</v>
      </c>
      <c r="BS312">
        <v>100</v>
      </c>
      <c r="BT312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312" s="75">
        <f ca="1">ROUND((Table61011[[#This Row],[XP]]*Table61011[[#This Row],[entity_spawned (AVG)]])*(Table61011[[#This Row],[activating_chance]]/100),0)</f>
        <v>0</v>
      </c>
      <c r="BV31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12" s="72">
        <v>1</v>
      </c>
      <c r="BX312" s="72">
        <v>1</v>
      </c>
      <c r="BY312" s="72" t="b">
        <v>0</v>
      </c>
      <c r="CA312" t="s">
        <v>606</v>
      </c>
      <c r="CB312">
        <v>1</v>
      </c>
      <c r="CC312">
        <v>5000</v>
      </c>
      <c r="CD312">
        <v>75</v>
      </c>
      <c r="CE312" s="75">
        <f ca="1">INDIRECT(ADDRESS(11+(MATCH(RIGHT(Table11[[#This Row],[spawner_sku]],LEN(Table11[[#This Row],[spawner_sku]])-FIND("/",Table11[[#This Row],[spawner_sku]])),Table1[Entity Prefab],0)),10,1,1,"Entities"))</f>
        <v>25</v>
      </c>
      <c r="CF312">
        <f ca="1">ROUND((Table11[[#This Row],[XP]]*Table11[[#This Row],[entity_spawned (AVG)]])*(Table11[[#This Row],[activating_chance]]/100),0)</f>
        <v>19</v>
      </c>
      <c r="CG312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12" s="72">
        <v>1</v>
      </c>
      <c r="CI312" s="72">
        <v>1</v>
      </c>
      <c r="CJ312" s="72" t="b">
        <v>0</v>
      </c>
      <c r="CW312" t="s">
        <v>384</v>
      </c>
      <c r="CX312">
        <v>2.5</v>
      </c>
      <c r="CY312">
        <v>100</v>
      </c>
      <c r="CZ312">
        <v>30</v>
      </c>
      <c r="DA312" s="75">
        <f ca="1">INDIRECT(ADDRESS(11+(MATCH(RIGHT(Table13[[#This Row],[spawner_sku]],LEN(Table13[[#This Row],[spawner_sku]])-FIND("/",Table13[[#This Row],[spawner_sku]])),Table1[Entity Prefab],0)),10,1,1,"Entities"))</f>
        <v>25</v>
      </c>
      <c r="DB312" s="75">
        <f ca="1">ROUND((Table13[[#This Row],[XP]]*Table13[[#This Row],[entity_spawned (AVG)]])*(Table13[[#This Row],[activating_chance]]/100),0)</f>
        <v>19</v>
      </c>
      <c r="DC312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12" s="72">
        <v>2</v>
      </c>
      <c r="DE312" s="72">
        <v>3</v>
      </c>
      <c r="DF312" s="72" t="b">
        <v>0</v>
      </c>
      <c r="DH312" t="s">
        <v>520</v>
      </c>
      <c r="DI312">
        <v>1</v>
      </c>
      <c r="DJ312">
        <v>120</v>
      </c>
      <c r="DK312">
        <v>100</v>
      </c>
      <c r="DL312" s="75">
        <f ca="1">INDIRECT(ADDRESS(11+(MATCH(RIGHT(Table14[[#This Row],[spawner_sku]],LEN(Table14[[#This Row],[spawner_sku]])-FIND("/",Table14[[#This Row],[spawner_sku]])),Table1[Entity Prefab],0)),10,1,1,"Entities"))</f>
        <v>35</v>
      </c>
      <c r="DM312" s="75">
        <f ca="1">ROUND((Table14[[#This Row],[XP]]*Table14[[#This Row],[entity_spawned (AVG)]])*(Table14[[#This Row],[activating_chance]]/100),0)</f>
        <v>35</v>
      </c>
      <c r="DN31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12" s="72">
        <v>1</v>
      </c>
      <c r="DP312" s="72">
        <v>1</v>
      </c>
      <c r="DQ312" s="72" t="b">
        <v>0</v>
      </c>
      <c r="DS312" t="s">
        <v>254</v>
      </c>
      <c r="DT312">
        <v>1</v>
      </c>
      <c r="DU312">
        <v>140</v>
      </c>
      <c r="DV312">
        <v>100</v>
      </c>
      <c r="DW312" s="75">
        <f ca="1">INDIRECT(ADDRESS(11+(MATCH(RIGHT(Table18[[#This Row],[spawner_sku]],LEN(Table18[[#This Row],[spawner_sku]])-FIND("/",Table18[[#This Row],[spawner_sku]])),Table1[Entity Prefab],0)),10,1,1,"Entities"))</f>
        <v>70</v>
      </c>
      <c r="DX312" s="75">
        <f ca="1">ROUND((Table18[[#This Row],[XP]]*Table18[[#This Row],[entity_spawned (AVG)]])*(Table18[[#This Row],[activating_chance]]/100),0)</f>
        <v>70</v>
      </c>
      <c r="DY312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312">
        <v>1</v>
      </c>
      <c r="EA312">
        <v>1</v>
      </c>
      <c r="EB312" t="b">
        <v>0</v>
      </c>
    </row>
    <row r="313" spans="2:132" x14ac:dyDescent="0.25">
      <c r="B313" s="73" t="s">
        <v>240</v>
      </c>
      <c r="C313">
        <v>1</v>
      </c>
      <c r="D313">
        <v>2000</v>
      </c>
      <c r="E313">
        <v>100</v>
      </c>
      <c r="F313" s="75">
        <f ca="1">INDIRECT(ADDRESS(11+(MATCH(RIGHT(Table245[[#This Row],[spawner_sku]],LEN(Table245[[#This Row],[spawner_sku]])-FIND("/",Table245[[#This Row],[spawner_sku]])),Table1[Entity Prefab],0)),10,1,1,"Entities"))</f>
        <v>175</v>
      </c>
      <c r="G313" s="75">
        <f ca="1">ROUND((Table245[[#This Row],[XP]]*Table245[[#This Row],[entity_spawned (AVG)]])*(Table245[[#This Row],[activating_chance]]/100),0)</f>
        <v>175</v>
      </c>
      <c r="H31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3" s="72">
        <v>1</v>
      </c>
      <c r="J313" s="72">
        <v>1</v>
      </c>
      <c r="K313" s="72" t="b">
        <v>0</v>
      </c>
      <c r="AI313" t="s">
        <v>385</v>
      </c>
      <c r="AJ313">
        <v>1</v>
      </c>
      <c r="AK313">
        <v>170</v>
      </c>
      <c r="AL313">
        <v>100</v>
      </c>
      <c r="AM313" s="75">
        <f ca="1">INDIRECT(ADDRESS(11+(MATCH(RIGHT(Table2[[#This Row],[spawner_sku]],LEN(Table2[[#This Row],[spawner_sku]])-FIND("/",Table2[[#This Row],[spawner_sku]])),Table1[Entity Prefab],0)),10,1,1,"Entities"))</f>
        <v>75</v>
      </c>
      <c r="AN313" s="75">
        <f ca="1">ROUND((Table2[[#This Row],[XP]]*Table2[[#This Row],[entity_spawned (AVG)]])*(Table2[[#This Row],[activating_chance]]/100),0)</f>
        <v>75</v>
      </c>
      <c r="AO31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13" s="72">
        <v>1</v>
      </c>
      <c r="AQ313" s="72">
        <v>1</v>
      </c>
      <c r="AR313" s="72" t="b">
        <v>0</v>
      </c>
      <c r="BP313" t="s">
        <v>445</v>
      </c>
      <c r="BQ313">
        <v>1</v>
      </c>
      <c r="BR313">
        <v>220</v>
      </c>
      <c r="BS313">
        <v>100</v>
      </c>
      <c r="BT313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313" s="75">
        <f ca="1">ROUND((Table61011[[#This Row],[XP]]*Table61011[[#This Row],[entity_spawned (AVG)]])*(Table61011[[#This Row],[activating_chance]]/100),0)</f>
        <v>0</v>
      </c>
      <c r="BV31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13" s="72">
        <v>1</v>
      </c>
      <c r="BX313" s="72">
        <v>1</v>
      </c>
      <c r="BY313" s="72" t="b">
        <v>0</v>
      </c>
      <c r="CA313" t="s">
        <v>606</v>
      </c>
      <c r="CB313">
        <v>1</v>
      </c>
      <c r="CC313">
        <v>5000</v>
      </c>
      <c r="CD313">
        <v>75</v>
      </c>
      <c r="CE313" s="75">
        <f ca="1">INDIRECT(ADDRESS(11+(MATCH(RIGHT(Table11[[#This Row],[spawner_sku]],LEN(Table11[[#This Row],[spawner_sku]])-FIND("/",Table11[[#This Row],[spawner_sku]])),Table1[Entity Prefab],0)),10,1,1,"Entities"))</f>
        <v>25</v>
      </c>
      <c r="CF313">
        <f ca="1">ROUND((Table11[[#This Row],[XP]]*Table11[[#This Row],[entity_spawned (AVG)]])*(Table11[[#This Row],[activating_chance]]/100),0)</f>
        <v>19</v>
      </c>
      <c r="CG313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13" s="72">
        <v>1</v>
      </c>
      <c r="CI313" s="72">
        <v>1</v>
      </c>
      <c r="CJ313" s="72" t="b">
        <v>0</v>
      </c>
      <c r="CW313" t="s">
        <v>384</v>
      </c>
      <c r="CX313">
        <v>3.5</v>
      </c>
      <c r="CY313">
        <v>100</v>
      </c>
      <c r="CZ313">
        <v>70</v>
      </c>
      <c r="DA313" s="75">
        <f ca="1">INDIRECT(ADDRESS(11+(MATCH(RIGHT(Table13[[#This Row],[spawner_sku]],LEN(Table13[[#This Row],[spawner_sku]])-FIND("/",Table13[[#This Row],[spawner_sku]])),Table1[Entity Prefab],0)),10,1,1,"Entities"))</f>
        <v>25</v>
      </c>
      <c r="DB313" s="75">
        <f ca="1">ROUND((Table13[[#This Row],[XP]]*Table13[[#This Row],[entity_spawned (AVG)]])*(Table13[[#This Row],[activating_chance]]/100),0)</f>
        <v>61</v>
      </c>
      <c r="DC313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13" s="72">
        <v>3</v>
      </c>
      <c r="DE313" s="72">
        <v>4</v>
      </c>
      <c r="DF313" s="72" t="b">
        <v>0</v>
      </c>
      <c r="DH313" t="s">
        <v>520</v>
      </c>
      <c r="DI313">
        <v>1</v>
      </c>
      <c r="DJ313">
        <v>120</v>
      </c>
      <c r="DK313">
        <v>100</v>
      </c>
      <c r="DL313" s="75">
        <f ca="1">INDIRECT(ADDRESS(11+(MATCH(RIGHT(Table14[[#This Row],[spawner_sku]],LEN(Table14[[#This Row],[spawner_sku]])-FIND("/",Table14[[#This Row],[spawner_sku]])),Table1[Entity Prefab],0)),10,1,1,"Entities"))</f>
        <v>35</v>
      </c>
      <c r="DM313" s="75">
        <f ca="1">ROUND((Table14[[#This Row],[XP]]*Table14[[#This Row],[entity_spawned (AVG)]])*(Table14[[#This Row],[activating_chance]]/100),0)</f>
        <v>35</v>
      </c>
      <c r="DN31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13" s="72">
        <v>1</v>
      </c>
      <c r="DP313" s="72">
        <v>1</v>
      </c>
      <c r="DQ313" s="72" t="b">
        <v>0</v>
      </c>
      <c r="DS313" t="s">
        <v>254</v>
      </c>
      <c r="DT313">
        <v>1</v>
      </c>
      <c r="DU313">
        <v>140</v>
      </c>
      <c r="DV313">
        <v>100</v>
      </c>
      <c r="DW313" s="75">
        <f ca="1">INDIRECT(ADDRESS(11+(MATCH(RIGHT(Table18[[#This Row],[spawner_sku]],LEN(Table18[[#This Row],[spawner_sku]])-FIND("/",Table18[[#This Row],[spawner_sku]])),Table1[Entity Prefab],0)),10,1,1,"Entities"))</f>
        <v>70</v>
      </c>
      <c r="DX313" s="75">
        <f ca="1">ROUND((Table18[[#This Row],[XP]]*Table18[[#This Row],[entity_spawned (AVG)]])*(Table18[[#This Row],[activating_chance]]/100),0)</f>
        <v>70</v>
      </c>
      <c r="DY313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313">
        <v>1</v>
      </c>
      <c r="EA313">
        <v>1</v>
      </c>
      <c r="EB313" t="b">
        <v>0</v>
      </c>
    </row>
    <row r="314" spans="2:132" x14ac:dyDescent="0.25">
      <c r="B314" s="73" t="s">
        <v>240</v>
      </c>
      <c r="C314">
        <v>1</v>
      </c>
      <c r="D314">
        <v>2000</v>
      </c>
      <c r="E314">
        <v>100</v>
      </c>
      <c r="F314" s="75">
        <f ca="1">INDIRECT(ADDRESS(11+(MATCH(RIGHT(Table245[[#This Row],[spawner_sku]],LEN(Table245[[#This Row],[spawner_sku]])-FIND("/",Table245[[#This Row],[spawner_sku]])),Table1[Entity Prefab],0)),10,1,1,"Entities"))</f>
        <v>175</v>
      </c>
      <c r="G314" s="75">
        <f ca="1">ROUND((Table245[[#This Row],[XP]]*Table245[[#This Row],[entity_spawned (AVG)]])*(Table245[[#This Row],[activating_chance]]/100),0)</f>
        <v>175</v>
      </c>
      <c r="H31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4" s="72">
        <v>1</v>
      </c>
      <c r="J314" s="72">
        <v>1</v>
      </c>
      <c r="K314" s="72" t="b">
        <v>0</v>
      </c>
      <c r="AI314" t="s">
        <v>385</v>
      </c>
      <c r="AJ314">
        <v>1</v>
      </c>
      <c r="AK314">
        <v>200</v>
      </c>
      <c r="AL314">
        <v>100</v>
      </c>
      <c r="AM314" s="75">
        <f ca="1">INDIRECT(ADDRESS(11+(MATCH(RIGHT(Table2[[#This Row],[spawner_sku]],LEN(Table2[[#This Row],[spawner_sku]])-FIND("/",Table2[[#This Row],[spawner_sku]])),Table1[Entity Prefab],0)),10,1,1,"Entities"))</f>
        <v>75</v>
      </c>
      <c r="AN314" s="75">
        <f ca="1">ROUND((Table2[[#This Row],[XP]]*Table2[[#This Row],[entity_spawned (AVG)]])*(Table2[[#This Row],[activating_chance]]/100),0)</f>
        <v>75</v>
      </c>
      <c r="AO31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14" s="72">
        <v>1</v>
      </c>
      <c r="AQ314" s="72">
        <v>1</v>
      </c>
      <c r="AR314" s="72" t="b">
        <v>0</v>
      </c>
      <c r="BP314" t="s">
        <v>445</v>
      </c>
      <c r="BQ314">
        <v>1</v>
      </c>
      <c r="BR314">
        <v>220</v>
      </c>
      <c r="BS314">
        <v>100</v>
      </c>
      <c r="BT314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314" s="75">
        <f ca="1">ROUND((Table61011[[#This Row],[XP]]*Table61011[[#This Row],[entity_spawned (AVG)]])*(Table61011[[#This Row],[activating_chance]]/100),0)</f>
        <v>0</v>
      </c>
      <c r="BV31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14" s="72">
        <v>1</v>
      </c>
      <c r="BX314" s="72">
        <v>1</v>
      </c>
      <c r="BY314" s="72" t="b">
        <v>0</v>
      </c>
      <c r="CA314" t="s">
        <v>246</v>
      </c>
      <c r="CB314">
        <v>1</v>
      </c>
      <c r="CC314">
        <v>500</v>
      </c>
      <c r="CD314">
        <v>100</v>
      </c>
      <c r="CE314" s="75">
        <f ca="1">INDIRECT(ADDRESS(11+(MATCH(RIGHT(Table11[[#This Row],[spawner_sku]],LEN(Table11[[#This Row],[spawner_sku]])-FIND("/",Table11[[#This Row],[spawner_sku]])),Table1[Entity Prefab],0)),10,1,1,"Entities"))</f>
        <v>25</v>
      </c>
      <c r="CF314">
        <f ca="1">ROUND((Table11[[#This Row],[XP]]*Table11[[#This Row],[entity_spawned (AVG)]])*(Table11[[#This Row],[activating_chance]]/100),0)</f>
        <v>25</v>
      </c>
      <c r="CG314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14" s="72">
        <v>1</v>
      </c>
      <c r="CI314" s="72">
        <v>1</v>
      </c>
      <c r="CJ314" s="72" t="b">
        <v>0</v>
      </c>
      <c r="CW314" t="s">
        <v>384</v>
      </c>
      <c r="CX314">
        <v>1.5</v>
      </c>
      <c r="CY314">
        <v>100</v>
      </c>
      <c r="CZ314">
        <v>100</v>
      </c>
      <c r="DA314" s="75">
        <f ca="1">INDIRECT(ADDRESS(11+(MATCH(RIGHT(Table13[[#This Row],[spawner_sku]],LEN(Table13[[#This Row],[spawner_sku]])-FIND("/",Table13[[#This Row],[spawner_sku]])),Table1[Entity Prefab],0)),10,1,1,"Entities"))</f>
        <v>25</v>
      </c>
      <c r="DB314" s="75">
        <f ca="1">ROUND((Table13[[#This Row],[XP]]*Table13[[#This Row],[entity_spawned (AVG)]])*(Table13[[#This Row],[activating_chance]]/100),0)</f>
        <v>38</v>
      </c>
      <c r="DC314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14" s="72">
        <v>1</v>
      </c>
      <c r="DE314" s="72">
        <v>2</v>
      </c>
      <c r="DF314" s="72" t="b">
        <v>0</v>
      </c>
      <c r="DH314" t="s">
        <v>520</v>
      </c>
      <c r="DI314">
        <v>1</v>
      </c>
      <c r="DJ314">
        <v>100</v>
      </c>
      <c r="DK314">
        <v>30</v>
      </c>
      <c r="DL314" s="75">
        <f ca="1">INDIRECT(ADDRESS(11+(MATCH(RIGHT(Table14[[#This Row],[spawner_sku]],LEN(Table14[[#This Row],[spawner_sku]])-FIND("/",Table14[[#This Row],[spawner_sku]])),Table1[Entity Prefab],0)),10,1,1,"Entities"))</f>
        <v>35</v>
      </c>
      <c r="DM314" s="75">
        <f ca="1">ROUND((Table14[[#This Row],[XP]]*Table14[[#This Row],[entity_spawned (AVG)]])*(Table14[[#This Row],[activating_chance]]/100),0)</f>
        <v>11</v>
      </c>
      <c r="DN31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14" s="72">
        <v>1</v>
      </c>
      <c r="DP314" s="72">
        <v>1</v>
      </c>
      <c r="DQ314" s="72" t="b">
        <v>0</v>
      </c>
      <c r="DS314" t="s">
        <v>254</v>
      </c>
      <c r="DT314">
        <v>1</v>
      </c>
      <c r="DU314">
        <v>120</v>
      </c>
      <c r="DV314">
        <v>100</v>
      </c>
      <c r="DW314" s="75">
        <f ca="1">INDIRECT(ADDRESS(11+(MATCH(RIGHT(Table18[[#This Row],[spawner_sku]],LEN(Table18[[#This Row],[spawner_sku]])-FIND("/",Table18[[#This Row],[spawner_sku]])),Table1[Entity Prefab],0)),10,1,1,"Entities"))</f>
        <v>70</v>
      </c>
      <c r="DX314" s="75">
        <f ca="1">ROUND((Table18[[#This Row],[XP]]*Table18[[#This Row],[entity_spawned (AVG)]])*(Table18[[#This Row],[activating_chance]]/100),0)</f>
        <v>70</v>
      </c>
      <c r="DY314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314">
        <v>1</v>
      </c>
      <c r="EA314">
        <v>1</v>
      </c>
      <c r="EB314" t="b">
        <v>0</v>
      </c>
    </row>
    <row r="315" spans="2:132" x14ac:dyDescent="0.25">
      <c r="B315" s="73" t="s">
        <v>240</v>
      </c>
      <c r="C315">
        <v>1</v>
      </c>
      <c r="D315">
        <v>2000</v>
      </c>
      <c r="E315">
        <v>100</v>
      </c>
      <c r="F315" s="75">
        <f ca="1">INDIRECT(ADDRESS(11+(MATCH(RIGHT(Table245[[#This Row],[spawner_sku]],LEN(Table245[[#This Row],[spawner_sku]])-FIND("/",Table245[[#This Row],[spawner_sku]])),Table1[Entity Prefab],0)),10,1,1,"Entities"))</f>
        <v>175</v>
      </c>
      <c r="G315" s="75">
        <f ca="1">ROUND((Table245[[#This Row],[XP]]*Table245[[#This Row],[entity_spawned (AVG)]])*(Table245[[#This Row],[activating_chance]]/100),0)</f>
        <v>175</v>
      </c>
      <c r="H31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5" s="72">
        <v>1</v>
      </c>
      <c r="J315" s="72">
        <v>1</v>
      </c>
      <c r="K315" s="72" t="b">
        <v>0</v>
      </c>
      <c r="AI315" t="s">
        <v>385</v>
      </c>
      <c r="AJ315">
        <v>1</v>
      </c>
      <c r="AK315">
        <v>160</v>
      </c>
      <c r="AL315">
        <v>100</v>
      </c>
      <c r="AM315" s="75">
        <f ca="1">INDIRECT(ADDRESS(11+(MATCH(RIGHT(Table2[[#This Row],[spawner_sku]],LEN(Table2[[#This Row],[spawner_sku]])-FIND("/",Table2[[#This Row],[spawner_sku]])),Table1[Entity Prefab],0)),10,1,1,"Entities"))</f>
        <v>75</v>
      </c>
      <c r="AN315" s="75">
        <f ca="1">ROUND((Table2[[#This Row],[XP]]*Table2[[#This Row],[entity_spawned (AVG)]])*(Table2[[#This Row],[activating_chance]]/100),0)</f>
        <v>75</v>
      </c>
      <c r="AO31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15" s="72">
        <v>1</v>
      </c>
      <c r="AQ315" s="72">
        <v>1</v>
      </c>
      <c r="AR315" s="72" t="b">
        <v>0</v>
      </c>
      <c r="BP315" t="s">
        <v>445</v>
      </c>
      <c r="BQ315">
        <v>1</v>
      </c>
      <c r="BR315">
        <v>220</v>
      </c>
      <c r="BS315">
        <v>100</v>
      </c>
      <c r="BT315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315" s="75">
        <f ca="1">ROUND((Table61011[[#This Row],[XP]]*Table61011[[#This Row],[entity_spawned (AVG)]])*(Table61011[[#This Row],[activating_chance]]/100),0)</f>
        <v>0</v>
      </c>
      <c r="BV31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15" s="72">
        <v>1</v>
      </c>
      <c r="BX315" s="72">
        <v>1</v>
      </c>
      <c r="BY315" s="72" t="b">
        <v>0</v>
      </c>
      <c r="CA315" t="s">
        <v>246</v>
      </c>
      <c r="CB315">
        <v>1</v>
      </c>
      <c r="CC315">
        <v>500</v>
      </c>
      <c r="CD315">
        <v>100</v>
      </c>
      <c r="CE315" s="75">
        <f ca="1">INDIRECT(ADDRESS(11+(MATCH(RIGHT(Table11[[#This Row],[spawner_sku]],LEN(Table11[[#This Row],[spawner_sku]])-FIND("/",Table11[[#This Row],[spawner_sku]])),Table1[Entity Prefab],0)),10,1,1,"Entities"))</f>
        <v>25</v>
      </c>
      <c r="CF315">
        <f ca="1">ROUND((Table11[[#This Row],[XP]]*Table11[[#This Row],[entity_spawned (AVG)]])*(Table11[[#This Row],[activating_chance]]/100),0)</f>
        <v>25</v>
      </c>
      <c r="CG315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15" s="72">
        <v>1</v>
      </c>
      <c r="CI315" s="72">
        <v>1</v>
      </c>
      <c r="CJ315" s="72" t="b">
        <v>0</v>
      </c>
      <c r="CW315" t="s">
        <v>384</v>
      </c>
      <c r="CX315">
        <v>1.5</v>
      </c>
      <c r="CY315">
        <v>100</v>
      </c>
      <c r="CZ315">
        <v>100</v>
      </c>
      <c r="DA315" s="75">
        <f ca="1">INDIRECT(ADDRESS(11+(MATCH(RIGHT(Table13[[#This Row],[spawner_sku]],LEN(Table13[[#This Row],[spawner_sku]])-FIND("/",Table13[[#This Row],[spawner_sku]])),Table1[Entity Prefab],0)),10,1,1,"Entities"))</f>
        <v>25</v>
      </c>
      <c r="DB315" s="75">
        <f ca="1">ROUND((Table13[[#This Row],[XP]]*Table13[[#This Row],[entity_spawned (AVG)]])*(Table13[[#This Row],[activating_chance]]/100),0)</f>
        <v>38</v>
      </c>
      <c r="DC315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15" s="72">
        <v>1</v>
      </c>
      <c r="DE315" s="72">
        <v>2</v>
      </c>
      <c r="DF315" s="72" t="b">
        <v>0</v>
      </c>
      <c r="DH315" t="s">
        <v>520</v>
      </c>
      <c r="DI315">
        <v>1</v>
      </c>
      <c r="DJ315">
        <v>100</v>
      </c>
      <c r="DK315">
        <v>100</v>
      </c>
      <c r="DL315" s="75">
        <f ca="1">INDIRECT(ADDRESS(11+(MATCH(RIGHT(Table14[[#This Row],[spawner_sku]],LEN(Table14[[#This Row],[spawner_sku]])-FIND("/",Table14[[#This Row],[spawner_sku]])),Table1[Entity Prefab],0)),10,1,1,"Entities"))</f>
        <v>35</v>
      </c>
      <c r="DM315" s="75">
        <f ca="1">ROUND((Table14[[#This Row],[XP]]*Table14[[#This Row],[entity_spawned (AVG)]])*(Table14[[#This Row],[activating_chance]]/100),0)</f>
        <v>35</v>
      </c>
      <c r="DN31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15" s="72">
        <v>1</v>
      </c>
      <c r="DP315" s="72">
        <v>1</v>
      </c>
      <c r="DQ315" s="72" t="b">
        <v>0</v>
      </c>
      <c r="DS315" t="s">
        <v>254</v>
      </c>
      <c r="DT315">
        <v>1</v>
      </c>
      <c r="DU315">
        <v>120</v>
      </c>
      <c r="DV315">
        <v>30</v>
      </c>
      <c r="DW315" s="75">
        <f ca="1">INDIRECT(ADDRESS(11+(MATCH(RIGHT(Table18[[#This Row],[spawner_sku]],LEN(Table18[[#This Row],[spawner_sku]])-FIND("/",Table18[[#This Row],[spawner_sku]])),Table1[Entity Prefab],0)),10,1,1,"Entities"))</f>
        <v>70</v>
      </c>
      <c r="DX315" s="75">
        <f ca="1">ROUND((Table18[[#This Row],[XP]]*Table18[[#This Row],[entity_spawned (AVG)]])*(Table18[[#This Row],[activating_chance]]/100),0)</f>
        <v>21</v>
      </c>
      <c r="DY315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315">
        <v>1</v>
      </c>
      <c r="EA315">
        <v>1</v>
      </c>
      <c r="EB315" t="b">
        <v>0</v>
      </c>
    </row>
    <row r="316" spans="2:132" x14ac:dyDescent="0.25">
      <c r="B316" s="73" t="s">
        <v>241</v>
      </c>
      <c r="C316">
        <v>1</v>
      </c>
      <c r="D316">
        <v>1500</v>
      </c>
      <c r="E316">
        <v>100</v>
      </c>
      <c r="F316" s="75">
        <f ca="1">INDIRECT(ADDRESS(11+(MATCH(RIGHT(Table245[[#This Row],[spawner_sku]],LEN(Table245[[#This Row],[spawner_sku]])-FIND("/",Table245[[#This Row],[spawner_sku]])),Table1[Entity Prefab],0)),10,1,1,"Entities"))</f>
        <v>130</v>
      </c>
      <c r="G316" s="75">
        <f ca="1">ROUND((Table245[[#This Row],[XP]]*Table245[[#This Row],[entity_spawned (AVG)]])*(Table245[[#This Row],[activating_chance]]/100),0)</f>
        <v>130</v>
      </c>
      <c r="H31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6" s="72">
        <v>1</v>
      </c>
      <c r="J316" s="72">
        <v>1</v>
      </c>
      <c r="K316" s="72" t="b">
        <v>0</v>
      </c>
      <c r="AI316" t="s">
        <v>385</v>
      </c>
      <c r="AJ316">
        <v>1</v>
      </c>
      <c r="AK316">
        <v>140</v>
      </c>
      <c r="AL316">
        <v>100</v>
      </c>
      <c r="AM316" s="75">
        <f ca="1">INDIRECT(ADDRESS(11+(MATCH(RIGHT(Table2[[#This Row],[spawner_sku]],LEN(Table2[[#This Row],[spawner_sku]])-FIND("/",Table2[[#This Row],[spawner_sku]])),Table1[Entity Prefab],0)),10,1,1,"Entities"))</f>
        <v>75</v>
      </c>
      <c r="AN316" s="75">
        <f ca="1">ROUND((Table2[[#This Row],[XP]]*Table2[[#This Row],[entity_spawned (AVG)]])*(Table2[[#This Row],[activating_chance]]/100),0)</f>
        <v>75</v>
      </c>
      <c r="AO31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16" s="72">
        <v>1</v>
      </c>
      <c r="AQ316" s="72">
        <v>1</v>
      </c>
      <c r="AR316" s="72" t="b">
        <v>0</v>
      </c>
      <c r="BP316" t="s">
        <v>445</v>
      </c>
      <c r="BQ316">
        <v>1</v>
      </c>
      <c r="BR316">
        <v>200</v>
      </c>
      <c r="BS316">
        <v>100</v>
      </c>
      <c r="BT316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316" s="75">
        <f ca="1">ROUND((Table61011[[#This Row],[XP]]*Table61011[[#This Row],[entity_spawned (AVG)]])*(Table61011[[#This Row],[activating_chance]]/100),0)</f>
        <v>0</v>
      </c>
      <c r="BV31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16" s="72">
        <v>1</v>
      </c>
      <c r="BX316" s="72">
        <v>1</v>
      </c>
      <c r="BY316" s="72" t="b">
        <v>0</v>
      </c>
      <c r="CA316" t="s">
        <v>246</v>
      </c>
      <c r="CB316">
        <v>1</v>
      </c>
      <c r="CC316">
        <v>500</v>
      </c>
      <c r="CD316">
        <v>75</v>
      </c>
      <c r="CE316" s="75">
        <f ca="1">INDIRECT(ADDRESS(11+(MATCH(RIGHT(Table11[[#This Row],[spawner_sku]],LEN(Table11[[#This Row],[spawner_sku]])-FIND("/",Table11[[#This Row],[spawner_sku]])),Table1[Entity Prefab],0)),10,1,1,"Entities"))</f>
        <v>25</v>
      </c>
      <c r="CF316">
        <f ca="1">ROUND((Table11[[#This Row],[XP]]*Table11[[#This Row],[entity_spawned (AVG)]])*(Table11[[#This Row],[activating_chance]]/100),0)</f>
        <v>19</v>
      </c>
      <c r="CG316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16" s="72">
        <v>1</v>
      </c>
      <c r="CI316" s="72">
        <v>1</v>
      </c>
      <c r="CJ316" s="72" t="b">
        <v>0</v>
      </c>
      <c r="CW316" t="s">
        <v>384</v>
      </c>
      <c r="CX316">
        <v>2.5</v>
      </c>
      <c r="CY316">
        <v>100</v>
      </c>
      <c r="CZ316">
        <v>100</v>
      </c>
      <c r="DA316" s="75">
        <f ca="1">INDIRECT(ADDRESS(11+(MATCH(RIGHT(Table13[[#This Row],[spawner_sku]],LEN(Table13[[#This Row],[spawner_sku]])-FIND("/",Table13[[#This Row],[spawner_sku]])),Table1[Entity Prefab],0)),10,1,1,"Entities"))</f>
        <v>25</v>
      </c>
      <c r="DB316" s="75">
        <f ca="1">ROUND((Table13[[#This Row],[XP]]*Table13[[#This Row],[entity_spawned (AVG)]])*(Table13[[#This Row],[activating_chance]]/100),0)</f>
        <v>63</v>
      </c>
      <c r="DC316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16" s="72">
        <v>2</v>
      </c>
      <c r="DE316" s="72">
        <v>3</v>
      </c>
      <c r="DF316" s="72" t="b">
        <v>0</v>
      </c>
      <c r="DH316" t="s">
        <v>520</v>
      </c>
      <c r="DI316">
        <v>2.5</v>
      </c>
      <c r="DJ316">
        <v>120</v>
      </c>
      <c r="DK316">
        <v>100</v>
      </c>
      <c r="DL316" s="75">
        <f ca="1">INDIRECT(ADDRESS(11+(MATCH(RIGHT(Table14[[#This Row],[spawner_sku]],LEN(Table14[[#This Row],[spawner_sku]])-FIND("/",Table14[[#This Row],[spawner_sku]])),Table1[Entity Prefab],0)),10,1,1,"Entities"))</f>
        <v>35</v>
      </c>
      <c r="DM316" s="75">
        <f ca="1">ROUND((Table14[[#This Row],[XP]]*Table14[[#This Row],[entity_spawned (AVG)]])*(Table14[[#This Row],[activating_chance]]/100),0)</f>
        <v>88</v>
      </c>
      <c r="DN31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16" s="72">
        <v>2</v>
      </c>
      <c r="DP316" s="72">
        <v>3</v>
      </c>
      <c r="DQ316" s="72" t="b">
        <v>0</v>
      </c>
      <c r="DS316" t="s">
        <v>255</v>
      </c>
      <c r="DT316">
        <v>1</v>
      </c>
      <c r="DU316">
        <v>150</v>
      </c>
      <c r="DV316">
        <v>80</v>
      </c>
      <c r="DW316" s="75">
        <f ca="1">INDIRECT(ADDRESS(11+(MATCH(RIGHT(Table18[[#This Row],[spawner_sku]],LEN(Table18[[#This Row],[spawner_sku]])-FIND("/",Table18[[#This Row],[spawner_sku]])),Table1[Entity Prefab],0)),10,1,1,"Entities"))</f>
        <v>25</v>
      </c>
      <c r="DX316" s="75">
        <f ca="1">ROUND((Table18[[#This Row],[XP]]*Table18[[#This Row],[entity_spawned (AVG)]])*(Table18[[#This Row],[activating_chance]]/100),0)</f>
        <v>20</v>
      </c>
      <c r="DY31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316">
        <v>1</v>
      </c>
      <c r="EA316">
        <v>2</v>
      </c>
      <c r="EB316" t="b">
        <v>0</v>
      </c>
    </row>
    <row r="317" spans="2:132" x14ac:dyDescent="0.25">
      <c r="B317" s="73" t="s">
        <v>241</v>
      </c>
      <c r="C317">
        <v>1</v>
      </c>
      <c r="D317">
        <v>1500</v>
      </c>
      <c r="E317">
        <v>100</v>
      </c>
      <c r="F317" s="75">
        <f ca="1">INDIRECT(ADDRESS(11+(MATCH(RIGHT(Table245[[#This Row],[spawner_sku]],LEN(Table245[[#This Row],[spawner_sku]])-FIND("/",Table245[[#This Row],[spawner_sku]])),Table1[Entity Prefab],0)),10,1,1,"Entities"))</f>
        <v>130</v>
      </c>
      <c r="G317" s="75">
        <f ca="1">ROUND((Table245[[#This Row],[XP]]*Table245[[#This Row],[entity_spawned (AVG)]])*(Table245[[#This Row],[activating_chance]]/100),0)</f>
        <v>130</v>
      </c>
      <c r="H31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7" s="72">
        <v>1</v>
      </c>
      <c r="J317" s="72">
        <v>1</v>
      </c>
      <c r="K317" s="72" t="b">
        <v>0</v>
      </c>
      <c r="AI317" t="s">
        <v>385</v>
      </c>
      <c r="AJ317">
        <v>1</v>
      </c>
      <c r="AK317">
        <v>200</v>
      </c>
      <c r="AL317">
        <v>100</v>
      </c>
      <c r="AM317" s="75">
        <f ca="1">INDIRECT(ADDRESS(11+(MATCH(RIGHT(Table2[[#This Row],[spawner_sku]],LEN(Table2[[#This Row],[spawner_sku]])-FIND("/",Table2[[#This Row],[spawner_sku]])),Table1[Entity Prefab],0)),10,1,1,"Entities"))</f>
        <v>75</v>
      </c>
      <c r="AN317" s="75">
        <f ca="1">ROUND((Table2[[#This Row],[XP]]*Table2[[#This Row],[entity_spawned (AVG)]])*(Table2[[#This Row],[activating_chance]]/100),0)</f>
        <v>75</v>
      </c>
      <c r="AO31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17" s="72">
        <v>1</v>
      </c>
      <c r="AQ317" s="72">
        <v>1</v>
      </c>
      <c r="AR317" s="72" t="b">
        <v>0</v>
      </c>
      <c r="BP317" t="s">
        <v>445</v>
      </c>
      <c r="BQ317">
        <v>1</v>
      </c>
      <c r="BR317">
        <v>200</v>
      </c>
      <c r="BS317">
        <v>100</v>
      </c>
      <c r="BT317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317" s="75">
        <f ca="1">ROUND((Table61011[[#This Row],[XP]]*Table61011[[#This Row],[entity_spawned (AVG)]])*(Table61011[[#This Row],[activating_chance]]/100),0)</f>
        <v>0</v>
      </c>
      <c r="BV31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17" s="72">
        <v>1</v>
      </c>
      <c r="BX317" s="72">
        <v>1</v>
      </c>
      <c r="BY317" s="72" t="b">
        <v>0</v>
      </c>
      <c r="CA317" t="s">
        <v>246</v>
      </c>
      <c r="CB317">
        <v>1</v>
      </c>
      <c r="CC317">
        <v>500</v>
      </c>
      <c r="CD317">
        <v>100</v>
      </c>
      <c r="CE317" s="75">
        <f ca="1">INDIRECT(ADDRESS(11+(MATCH(RIGHT(Table11[[#This Row],[spawner_sku]],LEN(Table11[[#This Row],[spawner_sku]])-FIND("/",Table11[[#This Row],[spawner_sku]])),Table1[Entity Prefab],0)),10,1,1,"Entities"))</f>
        <v>25</v>
      </c>
      <c r="CF317">
        <f ca="1">ROUND((Table11[[#This Row],[XP]]*Table11[[#This Row],[entity_spawned (AVG)]])*(Table11[[#This Row],[activating_chance]]/100),0)</f>
        <v>25</v>
      </c>
      <c r="CG317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17" s="72">
        <v>1</v>
      </c>
      <c r="CI317" s="72">
        <v>1</v>
      </c>
      <c r="CJ317" s="72" t="b">
        <v>0</v>
      </c>
      <c r="CW317" t="s">
        <v>384</v>
      </c>
      <c r="CX317">
        <v>3.5</v>
      </c>
      <c r="CY317">
        <v>100</v>
      </c>
      <c r="CZ317">
        <v>100</v>
      </c>
      <c r="DA317" s="75">
        <f ca="1">INDIRECT(ADDRESS(11+(MATCH(RIGHT(Table13[[#This Row],[spawner_sku]],LEN(Table13[[#This Row],[spawner_sku]])-FIND("/",Table13[[#This Row],[spawner_sku]])),Table1[Entity Prefab],0)),10,1,1,"Entities"))</f>
        <v>25</v>
      </c>
      <c r="DB317" s="75">
        <f ca="1">ROUND((Table13[[#This Row],[XP]]*Table13[[#This Row],[entity_spawned (AVG)]])*(Table13[[#This Row],[activating_chance]]/100),0)</f>
        <v>88</v>
      </c>
      <c r="DC317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17" s="72">
        <v>3</v>
      </c>
      <c r="DE317" s="72">
        <v>4</v>
      </c>
      <c r="DF317" s="72" t="b">
        <v>0</v>
      </c>
      <c r="DH317" t="s">
        <v>520</v>
      </c>
      <c r="DI317">
        <v>1</v>
      </c>
      <c r="DJ317">
        <v>120</v>
      </c>
      <c r="DK317">
        <v>100</v>
      </c>
      <c r="DL317" s="75">
        <f ca="1">INDIRECT(ADDRESS(11+(MATCH(RIGHT(Table14[[#This Row],[spawner_sku]],LEN(Table14[[#This Row],[spawner_sku]])-FIND("/",Table14[[#This Row],[spawner_sku]])),Table1[Entity Prefab],0)),10,1,1,"Entities"))</f>
        <v>35</v>
      </c>
      <c r="DM317" s="75">
        <f ca="1">ROUND((Table14[[#This Row],[XP]]*Table14[[#This Row],[entity_spawned (AVG)]])*(Table14[[#This Row],[activating_chance]]/100),0)</f>
        <v>35</v>
      </c>
      <c r="DN31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17" s="72">
        <v>1</v>
      </c>
      <c r="DP317" s="72">
        <v>1</v>
      </c>
      <c r="DQ317" s="72" t="b">
        <v>0</v>
      </c>
      <c r="DS317" t="s">
        <v>255</v>
      </c>
      <c r="DT317">
        <v>1</v>
      </c>
      <c r="DU317">
        <v>150</v>
      </c>
      <c r="DV317">
        <v>80</v>
      </c>
      <c r="DW317" s="75">
        <f ca="1">INDIRECT(ADDRESS(11+(MATCH(RIGHT(Table18[[#This Row],[spawner_sku]],LEN(Table18[[#This Row],[spawner_sku]])-FIND("/",Table18[[#This Row],[spawner_sku]])),Table1[Entity Prefab],0)),10,1,1,"Entities"))</f>
        <v>25</v>
      </c>
      <c r="DX317" s="75">
        <f ca="1">ROUND((Table18[[#This Row],[XP]]*Table18[[#This Row],[entity_spawned (AVG)]])*(Table18[[#This Row],[activating_chance]]/100),0)</f>
        <v>20</v>
      </c>
      <c r="DY31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317">
        <v>1</v>
      </c>
      <c r="EA317">
        <v>2</v>
      </c>
      <c r="EB317" t="b">
        <v>0</v>
      </c>
    </row>
    <row r="318" spans="2:132" x14ac:dyDescent="0.25">
      <c r="B318" s="73" t="s">
        <v>241</v>
      </c>
      <c r="C318">
        <v>1</v>
      </c>
      <c r="D318">
        <v>1500</v>
      </c>
      <c r="E318">
        <v>100</v>
      </c>
      <c r="F318" s="75">
        <f ca="1">INDIRECT(ADDRESS(11+(MATCH(RIGHT(Table245[[#This Row],[spawner_sku]],LEN(Table245[[#This Row],[spawner_sku]])-FIND("/",Table245[[#This Row],[spawner_sku]])),Table1[Entity Prefab],0)),10,1,1,"Entities"))</f>
        <v>130</v>
      </c>
      <c r="G318" s="75">
        <f ca="1">ROUND((Table245[[#This Row],[XP]]*Table245[[#This Row],[entity_spawned (AVG)]])*(Table245[[#This Row],[activating_chance]]/100),0)</f>
        <v>130</v>
      </c>
      <c r="H31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8" s="72">
        <v>1</v>
      </c>
      <c r="J318" s="72">
        <v>1</v>
      </c>
      <c r="K318" s="72" t="b">
        <v>0</v>
      </c>
      <c r="AI318" t="s">
        <v>385</v>
      </c>
      <c r="AJ318">
        <v>1</v>
      </c>
      <c r="AK318">
        <v>150</v>
      </c>
      <c r="AL318">
        <v>100</v>
      </c>
      <c r="AM318" s="75">
        <f ca="1">INDIRECT(ADDRESS(11+(MATCH(RIGHT(Table2[[#This Row],[spawner_sku]],LEN(Table2[[#This Row],[spawner_sku]])-FIND("/",Table2[[#This Row],[spawner_sku]])),Table1[Entity Prefab],0)),10,1,1,"Entities"))</f>
        <v>75</v>
      </c>
      <c r="AN318" s="75">
        <f ca="1">ROUND((Table2[[#This Row],[XP]]*Table2[[#This Row],[entity_spawned (AVG)]])*(Table2[[#This Row],[activating_chance]]/100),0)</f>
        <v>75</v>
      </c>
      <c r="AO31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18" s="72">
        <v>1</v>
      </c>
      <c r="AQ318" s="72">
        <v>1</v>
      </c>
      <c r="AR318" s="72" t="b">
        <v>0</v>
      </c>
      <c r="BP318" t="s">
        <v>445</v>
      </c>
      <c r="BQ318">
        <v>1</v>
      </c>
      <c r="BR318">
        <v>220</v>
      </c>
      <c r="BS318">
        <v>100</v>
      </c>
      <c r="BT318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318" s="75">
        <f ca="1">ROUND((Table61011[[#This Row],[XP]]*Table61011[[#This Row],[entity_spawned (AVG)]])*(Table61011[[#This Row],[activating_chance]]/100),0)</f>
        <v>0</v>
      </c>
      <c r="BV31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18" s="72">
        <v>1</v>
      </c>
      <c r="BX318" s="72">
        <v>1</v>
      </c>
      <c r="BY318" s="72" t="b">
        <v>0</v>
      </c>
      <c r="CA318" t="s">
        <v>246</v>
      </c>
      <c r="CB318">
        <v>1</v>
      </c>
      <c r="CC318">
        <v>500</v>
      </c>
      <c r="CD318">
        <v>75</v>
      </c>
      <c r="CE318" s="75">
        <f ca="1">INDIRECT(ADDRESS(11+(MATCH(RIGHT(Table11[[#This Row],[spawner_sku]],LEN(Table11[[#This Row],[spawner_sku]])-FIND("/",Table11[[#This Row],[spawner_sku]])),Table1[Entity Prefab],0)),10,1,1,"Entities"))</f>
        <v>25</v>
      </c>
      <c r="CF318">
        <f ca="1">ROUND((Table11[[#This Row],[XP]]*Table11[[#This Row],[entity_spawned (AVG)]])*(Table11[[#This Row],[activating_chance]]/100),0)</f>
        <v>19</v>
      </c>
      <c r="CG318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18" s="72">
        <v>1</v>
      </c>
      <c r="CI318" s="72">
        <v>1</v>
      </c>
      <c r="CJ318" s="72" t="b">
        <v>0</v>
      </c>
      <c r="CW318" t="s">
        <v>384</v>
      </c>
      <c r="CX318">
        <v>2.5</v>
      </c>
      <c r="CY318">
        <v>100</v>
      </c>
      <c r="CZ318">
        <v>100</v>
      </c>
      <c r="DA318" s="75">
        <f ca="1">INDIRECT(ADDRESS(11+(MATCH(RIGHT(Table13[[#This Row],[spawner_sku]],LEN(Table13[[#This Row],[spawner_sku]])-FIND("/",Table13[[#This Row],[spawner_sku]])),Table1[Entity Prefab],0)),10,1,1,"Entities"))</f>
        <v>25</v>
      </c>
      <c r="DB318" s="75">
        <f ca="1">ROUND((Table13[[#This Row],[XP]]*Table13[[#This Row],[entity_spawned (AVG)]])*(Table13[[#This Row],[activating_chance]]/100),0)</f>
        <v>63</v>
      </c>
      <c r="DC318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18" s="72">
        <v>2</v>
      </c>
      <c r="DE318" s="72">
        <v>3</v>
      </c>
      <c r="DF318" s="72" t="b">
        <v>0</v>
      </c>
      <c r="DH318" t="s">
        <v>520</v>
      </c>
      <c r="DI318">
        <v>1</v>
      </c>
      <c r="DJ318">
        <v>100</v>
      </c>
      <c r="DK318">
        <v>30</v>
      </c>
      <c r="DL318" s="75">
        <f ca="1">INDIRECT(ADDRESS(11+(MATCH(RIGHT(Table14[[#This Row],[spawner_sku]],LEN(Table14[[#This Row],[spawner_sku]])-FIND("/",Table14[[#This Row],[spawner_sku]])),Table1[Entity Prefab],0)),10,1,1,"Entities"))</f>
        <v>35</v>
      </c>
      <c r="DM318" s="75">
        <f ca="1">ROUND((Table14[[#This Row],[XP]]*Table14[[#This Row],[entity_spawned (AVG)]])*(Table14[[#This Row],[activating_chance]]/100),0)</f>
        <v>11</v>
      </c>
      <c r="DN31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18" s="72">
        <v>1</v>
      </c>
      <c r="DP318" s="72">
        <v>1</v>
      </c>
      <c r="DQ318" s="72" t="b">
        <v>0</v>
      </c>
      <c r="DS318" t="s">
        <v>255</v>
      </c>
      <c r="DT318">
        <v>1</v>
      </c>
      <c r="DU318">
        <v>100</v>
      </c>
      <c r="DV318">
        <v>100</v>
      </c>
      <c r="DW318" s="75">
        <f ca="1">INDIRECT(ADDRESS(11+(MATCH(RIGHT(Table18[[#This Row],[spawner_sku]],LEN(Table18[[#This Row],[spawner_sku]])-FIND("/",Table18[[#This Row],[spawner_sku]])),Table1[Entity Prefab],0)),10,1,1,"Entities"))</f>
        <v>25</v>
      </c>
      <c r="DX318" s="75">
        <f ca="1">ROUND((Table18[[#This Row],[XP]]*Table18[[#This Row],[entity_spawned (AVG)]])*(Table18[[#This Row],[activating_chance]]/100),0)</f>
        <v>25</v>
      </c>
      <c r="DY31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318">
        <v>1</v>
      </c>
      <c r="EA318">
        <v>1</v>
      </c>
      <c r="EB318" t="b">
        <v>0</v>
      </c>
    </row>
    <row r="319" spans="2:132" x14ac:dyDescent="0.25">
      <c r="B319" s="73" t="s">
        <v>241</v>
      </c>
      <c r="C319">
        <v>1</v>
      </c>
      <c r="D319">
        <v>1500</v>
      </c>
      <c r="E319">
        <v>100</v>
      </c>
      <c r="F319" s="75">
        <f ca="1">INDIRECT(ADDRESS(11+(MATCH(RIGHT(Table245[[#This Row],[spawner_sku]],LEN(Table245[[#This Row],[spawner_sku]])-FIND("/",Table245[[#This Row],[spawner_sku]])),Table1[Entity Prefab],0)),10,1,1,"Entities"))</f>
        <v>130</v>
      </c>
      <c r="G319" s="75">
        <f ca="1">ROUND((Table245[[#This Row],[XP]]*Table245[[#This Row],[entity_spawned (AVG)]])*(Table245[[#This Row],[activating_chance]]/100),0)</f>
        <v>130</v>
      </c>
      <c r="H31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9" s="72">
        <v>1</v>
      </c>
      <c r="J319" s="72">
        <v>1</v>
      </c>
      <c r="K319" s="72" t="b">
        <v>0</v>
      </c>
      <c r="AI319" t="s">
        <v>385</v>
      </c>
      <c r="AJ319">
        <v>1</v>
      </c>
      <c r="AK319">
        <v>220</v>
      </c>
      <c r="AL319">
        <v>100</v>
      </c>
      <c r="AM319" s="75">
        <f ca="1">INDIRECT(ADDRESS(11+(MATCH(RIGHT(Table2[[#This Row],[spawner_sku]],LEN(Table2[[#This Row],[spawner_sku]])-FIND("/",Table2[[#This Row],[spawner_sku]])),Table1[Entity Prefab],0)),10,1,1,"Entities"))</f>
        <v>75</v>
      </c>
      <c r="AN319" s="75">
        <f ca="1">ROUND((Table2[[#This Row],[XP]]*Table2[[#This Row],[entity_spawned (AVG)]])*(Table2[[#This Row],[activating_chance]]/100),0)</f>
        <v>75</v>
      </c>
      <c r="AO31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19" s="72">
        <v>1</v>
      </c>
      <c r="AQ319" s="72">
        <v>1</v>
      </c>
      <c r="AR319" s="72" t="b">
        <v>0</v>
      </c>
      <c r="BP319" t="s">
        <v>445</v>
      </c>
      <c r="BQ319">
        <v>1</v>
      </c>
      <c r="BR319">
        <v>180</v>
      </c>
      <c r="BS319">
        <v>100</v>
      </c>
      <c r="BT319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319" s="75">
        <f ca="1">ROUND((Table61011[[#This Row],[XP]]*Table61011[[#This Row],[entity_spawned (AVG)]])*(Table61011[[#This Row],[activating_chance]]/100),0)</f>
        <v>0</v>
      </c>
      <c r="BV31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19" s="72">
        <v>1</v>
      </c>
      <c r="BX319" s="72">
        <v>1</v>
      </c>
      <c r="BY319" s="72" t="b">
        <v>0</v>
      </c>
      <c r="CA319" t="s">
        <v>246</v>
      </c>
      <c r="CB319">
        <v>1</v>
      </c>
      <c r="CC319">
        <v>500</v>
      </c>
      <c r="CD319">
        <v>100</v>
      </c>
      <c r="CE319" s="75">
        <f ca="1">INDIRECT(ADDRESS(11+(MATCH(RIGHT(Table11[[#This Row],[spawner_sku]],LEN(Table11[[#This Row],[spawner_sku]])-FIND("/",Table11[[#This Row],[spawner_sku]])),Table1[Entity Prefab],0)),10,1,1,"Entities"))</f>
        <v>25</v>
      </c>
      <c r="CF319">
        <f ca="1">ROUND((Table11[[#This Row],[XP]]*Table11[[#This Row],[entity_spawned (AVG)]])*(Table11[[#This Row],[activating_chance]]/100),0)</f>
        <v>25</v>
      </c>
      <c r="CG319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19" s="72">
        <v>1</v>
      </c>
      <c r="CI319" s="72">
        <v>1</v>
      </c>
      <c r="CJ319" s="72" t="b">
        <v>0</v>
      </c>
      <c r="CW319" t="s">
        <v>384</v>
      </c>
      <c r="CX319">
        <v>2</v>
      </c>
      <c r="CY319">
        <v>100</v>
      </c>
      <c r="CZ319">
        <v>100</v>
      </c>
      <c r="DA319" s="75">
        <f ca="1">INDIRECT(ADDRESS(11+(MATCH(RIGHT(Table13[[#This Row],[spawner_sku]],LEN(Table13[[#This Row],[spawner_sku]])-FIND("/",Table13[[#This Row],[spawner_sku]])),Table1[Entity Prefab],0)),10,1,1,"Entities"))</f>
        <v>25</v>
      </c>
      <c r="DB319" s="75">
        <f ca="1">ROUND((Table13[[#This Row],[XP]]*Table13[[#This Row],[entity_spawned (AVG)]])*(Table13[[#This Row],[activating_chance]]/100),0)</f>
        <v>50</v>
      </c>
      <c r="DC319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19" s="72">
        <v>1</v>
      </c>
      <c r="DE319" s="72">
        <v>3</v>
      </c>
      <c r="DF319" s="72" t="b">
        <v>0</v>
      </c>
      <c r="DH319" t="s">
        <v>520</v>
      </c>
      <c r="DI319">
        <v>1</v>
      </c>
      <c r="DJ319">
        <v>120</v>
      </c>
      <c r="DK319">
        <v>30</v>
      </c>
      <c r="DL319" s="75">
        <f ca="1">INDIRECT(ADDRESS(11+(MATCH(RIGHT(Table14[[#This Row],[spawner_sku]],LEN(Table14[[#This Row],[spawner_sku]])-FIND("/",Table14[[#This Row],[spawner_sku]])),Table1[Entity Prefab],0)),10,1,1,"Entities"))</f>
        <v>35</v>
      </c>
      <c r="DM319" s="75">
        <f ca="1">ROUND((Table14[[#This Row],[XP]]*Table14[[#This Row],[entity_spawned (AVG)]])*(Table14[[#This Row],[activating_chance]]/100),0)</f>
        <v>11</v>
      </c>
      <c r="DN31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19" s="72">
        <v>1</v>
      </c>
      <c r="DP319" s="72">
        <v>1</v>
      </c>
      <c r="DQ319" s="72" t="b">
        <v>0</v>
      </c>
      <c r="DS319" t="s">
        <v>255</v>
      </c>
      <c r="DT319">
        <v>1</v>
      </c>
      <c r="DU319">
        <v>130</v>
      </c>
      <c r="DV319">
        <v>100</v>
      </c>
      <c r="DW319" s="75">
        <f ca="1">INDIRECT(ADDRESS(11+(MATCH(RIGHT(Table18[[#This Row],[spawner_sku]],LEN(Table18[[#This Row],[spawner_sku]])-FIND("/",Table18[[#This Row],[spawner_sku]])),Table1[Entity Prefab],0)),10,1,1,"Entities"))</f>
        <v>25</v>
      </c>
      <c r="DX319" s="75">
        <f ca="1">ROUND((Table18[[#This Row],[XP]]*Table18[[#This Row],[entity_spawned (AVG)]])*(Table18[[#This Row],[activating_chance]]/100),0)</f>
        <v>25</v>
      </c>
      <c r="DY31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319">
        <v>1</v>
      </c>
      <c r="EA319">
        <v>1</v>
      </c>
      <c r="EB319" t="b">
        <v>0</v>
      </c>
    </row>
    <row r="320" spans="2:132" x14ac:dyDescent="0.25">
      <c r="B320" s="73" t="s">
        <v>241</v>
      </c>
      <c r="C320">
        <v>1</v>
      </c>
      <c r="D320">
        <v>1500</v>
      </c>
      <c r="E320">
        <v>100</v>
      </c>
      <c r="F320" s="75">
        <f ca="1">INDIRECT(ADDRESS(11+(MATCH(RIGHT(Table245[[#This Row],[spawner_sku]],LEN(Table245[[#This Row],[spawner_sku]])-FIND("/",Table245[[#This Row],[spawner_sku]])),Table1[Entity Prefab],0)),10,1,1,"Entities"))</f>
        <v>130</v>
      </c>
      <c r="G320" s="75">
        <f ca="1">ROUND((Table245[[#This Row],[XP]]*Table245[[#This Row],[entity_spawned (AVG)]])*(Table245[[#This Row],[activating_chance]]/100),0)</f>
        <v>130</v>
      </c>
      <c r="H32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0" s="72">
        <v>1</v>
      </c>
      <c r="J320" s="72">
        <v>1</v>
      </c>
      <c r="K320" s="72" t="b">
        <v>0</v>
      </c>
      <c r="AI320" t="s">
        <v>385</v>
      </c>
      <c r="AJ320">
        <v>1</v>
      </c>
      <c r="AK320">
        <v>220</v>
      </c>
      <c r="AL320">
        <v>100</v>
      </c>
      <c r="AM320" s="75">
        <f ca="1">INDIRECT(ADDRESS(11+(MATCH(RIGHT(Table2[[#This Row],[spawner_sku]],LEN(Table2[[#This Row],[spawner_sku]])-FIND("/",Table2[[#This Row],[spawner_sku]])),Table1[Entity Prefab],0)),10,1,1,"Entities"))</f>
        <v>75</v>
      </c>
      <c r="AN320" s="75">
        <f ca="1">ROUND((Table2[[#This Row],[XP]]*Table2[[#This Row],[entity_spawned (AVG)]])*(Table2[[#This Row],[activating_chance]]/100),0)</f>
        <v>75</v>
      </c>
      <c r="AO32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20" s="72">
        <v>1</v>
      </c>
      <c r="AQ320" s="72">
        <v>1</v>
      </c>
      <c r="AR320" s="72" t="b">
        <v>0</v>
      </c>
      <c r="BP320" t="s">
        <v>445</v>
      </c>
      <c r="BQ320">
        <v>1</v>
      </c>
      <c r="BR320">
        <v>200</v>
      </c>
      <c r="BS320">
        <v>100</v>
      </c>
      <c r="BT320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320" s="75">
        <f ca="1">ROUND((Table61011[[#This Row],[XP]]*Table61011[[#This Row],[entity_spawned (AVG)]])*(Table61011[[#This Row],[activating_chance]]/100),0)</f>
        <v>0</v>
      </c>
      <c r="BV32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20" s="72">
        <v>1</v>
      </c>
      <c r="BX320" s="72">
        <v>1</v>
      </c>
      <c r="BY320" s="72" t="b">
        <v>0</v>
      </c>
      <c r="CA320" t="s">
        <v>246</v>
      </c>
      <c r="CB320">
        <v>1</v>
      </c>
      <c r="CC320">
        <v>500</v>
      </c>
      <c r="CD320">
        <v>75</v>
      </c>
      <c r="CE320" s="75">
        <f ca="1">INDIRECT(ADDRESS(11+(MATCH(RIGHT(Table11[[#This Row],[spawner_sku]],LEN(Table11[[#This Row],[spawner_sku]])-FIND("/",Table11[[#This Row],[spawner_sku]])),Table1[Entity Prefab],0)),10,1,1,"Entities"))</f>
        <v>25</v>
      </c>
      <c r="CF320">
        <f ca="1">ROUND((Table11[[#This Row],[XP]]*Table11[[#This Row],[entity_spawned (AVG)]])*(Table11[[#This Row],[activating_chance]]/100),0)</f>
        <v>19</v>
      </c>
      <c r="CG320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20" s="72">
        <v>1</v>
      </c>
      <c r="CI320" s="72">
        <v>1</v>
      </c>
      <c r="CJ320" s="72" t="b">
        <v>0</v>
      </c>
      <c r="CW320" t="s">
        <v>384</v>
      </c>
      <c r="CX320">
        <v>1.5</v>
      </c>
      <c r="CY320">
        <v>100</v>
      </c>
      <c r="CZ320">
        <v>100</v>
      </c>
      <c r="DA320" s="75">
        <f ca="1">INDIRECT(ADDRESS(11+(MATCH(RIGHT(Table13[[#This Row],[spawner_sku]],LEN(Table13[[#This Row],[spawner_sku]])-FIND("/",Table13[[#This Row],[spawner_sku]])),Table1[Entity Prefab],0)),10,1,1,"Entities"))</f>
        <v>25</v>
      </c>
      <c r="DB320" s="75">
        <f ca="1">ROUND((Table13[[#This Row],[XP]]*Table13[[#This Row],[entity_spawned (AVG)]])*(Table13[[#This Row],[activating_chance]]/100),0)</f>
        <v>38</v>
      </c>
      <c r="DC320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20" s="72">
        <v>1</v>
      </c>
      <c r="DE320" s="72">
        <v>2</v>
      </c>
      <c r="DF320" s="72" t="b">
        <v>0</v>
      </c>
      <c r="DH320" t="s">
        <v>520</v>
      </c>
      <c r="DI320">
        <v>1</v>
      </c>
      <c r="DJ320">
        <v>100</v>
      </c>
      <c r="DK320">
        <v>30</v>
      </c>
      <c r="DL320" s="75">
        <f ca="1">INDIRECT(ADDRESS(11+(MATCH(RIGHT(Table14[[#This Row],[spawner_sku]],LEN(Table14[[#This Row],[spawner_sku]])-FIND("/",Table14[[#This Row],[spawner_sku]])),Table1[Entity Prefab],0)),10,1,1,"Entities"))</f>
        <v>35</v>
      </c>
      <c r="DM320" s="75">
        <f ca="1">ROUND((Table14[[#This Row],[XP]]*Table14[[#This Row],[entity_spawned (AVG)]])*(Table14[[#This Row],[activating_chance]]/100),0)</f>
        <v>11</v>
      </c>
      <c r="DN32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20" s="72">
        <v>1</v>
      </c>
      <c r="DP320" s="72">
        <v>1</v>
      </c>
      <c r="DQ320" s="72" t="b">
        <v>0</v>
      </c>
      <c r="DS320" t="s">
        <v>255</v>
      </c>
      <c r="DT320">
        <v>1</v>
      </c>
      <c r="DU320">
        <v>150</v>
      </c>
      <c r="DV320">
        <v>100</v>
      </c>
      <c r="DW320" s="75">
        <f ca="1">INDIRECT(ADDRESS(11+(MATCH(RIGHT(Table18[[#This Row],[spawner_sku]],LEN(Table18[[#This Row],[spawner_sku]])-FIND("/",Table18[[#This Row],[spawner_sku]])),Table1[Entity Prefab],0)),10,1,1,"Entities"))</f>
        <v>25</v>
      </c>
      <c r="DX320" s="75">
        <f ca="1">ROUND((Table18[[#This Row],[XP]]*Table18[[#This Row],[entity_spawned (AVG)]])*(Table18[[#This Row],[activating_chance]]/100),0)</f>
        <v>25</v>
      </c>
      <c r="DY32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320">
        <v>1</v>
      </c>
      <c r="EA320">
        <v>1</v>
      </c>
      <c r="EB320" t="b">
        <v>0</v>
      </c>
    </row>
    <row r="321" spans="2:132" x14ac:dyDescent="0.25">
      <c r="B321" s="73" t="s">
        <v>241</v>
      </c>
      <c r="C321">
        <v>1</v>
      </c>
      <c r="D321">
        <v>1500</v>
      </c>
      <c r="E321">
        <v>100</v>
      </c>
      <c r="F321" s="75">
        <f ca="1">INDIRECT(ADDRESS(11+(MATCH(RIGHT(Table245[[#This Row],[spawner_sku]],LEN(Table245[[#This Row],[spawner_sku]])-FIND("/",Table245[[#This Row],[spawner_sku]])),Table1[Entity Prefab],0)),10,1,1,"Entities"))</f>
        <v>130</v>
      </c>
      <c r="G321" s="75">
        <f ca="1">ROUND((Table245[[#This Row],[XP]]*Table245[[#This Row],[entity_spawned (AVG)]])*(Table245[[#This Row],[activating_chance]]/100),0)</f>
        <v>130</v>
      </c>
      <c r="H32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1" s="72">
        <v>1</v>
      </c>
      <c r="J321" s="72">
        <v>1</v>
      </c>
      <c r="K321" s="72" t="b">
        <v>0</v>
      </c>
      <c r="AI321" t="s">
        <v>385</v>
      </c>
      <c r="AJ321">
        <v>1</v>
      </c>
      <c r="AK321">
        <v>220</v>
      </c>
      <c r="AL321">
        <v>100</v>
      </c>
      <c r="AM321" s="75">
        <f ca="1">INDIRECT(ADDRESS(11+(MATCH(RIGHT(Table2[[#This Row],[spawner_sku]],LEN(Table2[[#This Row],[spawner_sku]])-FIND("/",Table2[[#This Row],[spawner_sku]])),Table1[Entity Prefab],0)),10,1,1,"Entities"))</f>
        <v>75</v>
      </c>
      <c r="AN321" s="75">
        <f ca="1">ROUND((Table2[[#This Row],[XP]]*Table2[[#This Row],[entity_spawned (AVG)]])*(Table2[[#This Row],[activating_chance]]/100),0)</f>
        <v>75</v>
      </c>
      <c r="AO32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21" s="72">
        <v>1</v>
      </c>
      <c r="AQ321" s="72">
        <v>1</v>
      </c>
      <c r="AR321" s="72" t="b">
        <v>0</v>
      </c>
      <c r="BP321" t="s">
        <v>445</v>
      </c>
      <c r="BQ321">
        <v>1</v>
      </c>
      <c r="BR321">
        <v>180</v>
      </c>
      <c r="BS321">
        <v>100</v>
      </c>
      <c r="BT321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321" s="75">
        <f ca="1">ROUND((Table61011[[#This Row],[XP]]*Table61011[[#This Row],[entity_spawned (AVG)]])*(Table61011[[#This Row],[activating_chance]]/100),0)</f>
        <v>0</v>
      </c>
      <c r="BV32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21" s="72">
        <v>1</v>
      </c>
      <c r="BX321" s="72">
        <v>1</v>
      </c>
      <c r="BY321" s="72" t="b">
        <v>0</v>
      </c>
      <c r="CA321" t="s">
        <v>491</v>
      </c>
      <c r="CB321">
        <v>1</v>
      </c>
      <c r="CC321">
        <v>90</v>
      </c>
      <c r="CD321">
        <v>50</v>
      </c>
      <c r="CE321" s="75">
        <f ca="1">INDIRECT(ADDRESS(11+(MATCH(RIGHT(Table11[[#This Row],[spawner_sku]],LEN(Table11[[#This Row],[spawner_sku]])-FIND("/",Table11[[#This Row],[spawner_sku]])),Table1[Entity Prefab],0)),10,1,1,"Entities"))</f>
        <v>25</v>
      </c>
      <c r="CF321">
        <f ca="1">ROUND((Table11[[#This Row],[XP]]*Table11[[#This Row],[entity_spawned (AVG)]])*(Table11[[#This Row],[activating_chance]]/100),0)</f>
        <v>13</v>
      </c>
      <c r="CG321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21" s="72">
        <v>1</v>
      </c>
      <c r="CI321" s="72">
        <v>1</v>
      </c>
      <c r="CJ321" s="72" t="b">
        <v>0</v>
      </c>
      <c r="CW321" t="s">
        <v>384</v>
      </c>
      <c r="CX321">
        <v>7</v>
      </c>
      <c r="CY321">
        <v>100</v>
      </c>
      <c r="CZ321">
        <v>80</v>
      </c>
      <c r="DA321" s="75">
        <f ca="1">INDIRECT(ADDRESS(11+(MATCH(RIGHT(Table13[[#This Row],[spawner_sku]],LEN(Table13[[#This Row],[spawner_sku]])-FIND("/",Table13[[#This Row],[spawner_sku]])),Table1[Entity Prefab],0)),10,1,1,"Entities"))</f>
        <v>25</v>
      </c>
      <c r="DB321" s="75">
        <f ca="1">ROUND((Table13[[#This Row],[XP]]*Table13[[#This Row],[entity_spawned (AVG)]])*(Table13[[#This Row],[activating_chance]]/100),0)</f>
        <v>140</v>
      </c>
      <c r="DC321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21" s="72">
        <v>6</v>
      </c>
      <c r="DE321" s="72">
        <v>8</v>
      </c>
      <c r="DF321" s="72" t="b">
        <v>1</v>
      </c>
      <c r="DH321" t="s">
        <v>520</v>
      </c>
      <c r="DI321">
        <v>1</v>
      </c>
      <c r="DJ321">
        <v>100</v>
      </c>
      <c r="DK321">
        <v>100</v>
      </c>
      <c r="DL321" s="75">
        <f ca="1">INDIRECT(ADDRESS(11+(MATCH(RIGHT(Table14[[#This Row],[spawner_sku]],LEN(Table14[[#This Row],[spawner_sku]])-FIND("/",Table14[[#This Row],[spawner_sku]])),Table1[Entity Prefab],0)),10,1,1,"Entities"))</f>
        <v>35</v>
      </c>
      <c r="DM321" s="75">
        <f ca="1">ROUND((Table14[[#This Row],[XP]]*Table14[[#This Row],[entity_spawned (AVG)]])*(Table14[[#This Row],[activating_chance]]/100),0)</f>
        <v>35</v>
      </c>
      <c r="DN32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21" s="72">
        <v>1</v>
      </c>
      <c r="DP321" s="72">
        <v>1</v>
      </c>
      <c r="DQ321" s="72" t="b">
        <v>0</v>
      </c>
      <c r="DS321" t="s">
        <v>255</v>
      </c>
      <c r="DT321">
        <v>1</v>
      </c>
      <c r="DU321">
        <v>150</v>
      </c>
      <c r="DV321">
        <v>10</v>
      </c>
      <c r="DW321" s="75">
        <f ca="1">INDIRECT(ADDRESS(11+(MATCH(RIGHT(Table18[[#This Row],[spawner_sku]],LEN(Table18[[#This Row],[spawner_sku]])-FIND("/",Table18[[#This Row],[spawner_sku]])),Table1[Entity Prefab],0)),10,1,1,"Entities"))</f>
        <v>25</v>
      </c>
      <c r="DX321" s="75">
        <f ca="1">ROUND((Table18[[#This Row],[XP]]*Table18[[#This Row],[entity_spawned (AVG)]])*(Table18[[#This Row],[activating_chance]]/100),0)</f>
        <v>3</v>
      </c>
      <c r="DY32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321">
        <v>1</v>
      </c>
      <c r="EA321">
        <v>1</v>
      </c>
      <c r="EB321" t="b">
        <v>0</v>
      </c>
    </row>
    <row r="322" spans="2:132" x14ac:dyDescent="0.25">
      <c r="B322" s="73" t="s">
        <v>241</v>
      </c>
      <c r="C322">
        <v>1</v>
      </c>
      <c r="D322">
        <v>1500</v>
      </c>
      <c r="E322">
        <v>100</v>
      </c>
      <c r="F322" s="75">
        <f ca="1">INDIRECT(ADDRESS(11+(MATCH(RIGHT(Table245[[#This Row],[spawner_sku]],LEN(Table245[[#This Row],[spawner_sku]])-FIND("/",Table245[[#This Row],[spawner_sku]])),Table1[Entity Prefab],0)),10,1,1,"Entities"))</f>
        <v>130</v>
      </c>
      <c r="G322" s="75">
        <f ca="1">ROUND((Table245[[#This Row],[XP]]*Table245[[#This Row],[entity_spawned (AVG)]])*(Table245[[#This Row],[activating_chance]]/100),0)</f>
        <v>130</v>
      </c>
      <c r="H32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2" s="72">
        <v>1</v>
      </c>
      <c r="J322" s="72">
        <v>1</v>
      </c>
      <c r="K322" s="72" t="b">
        <v>0</v>
      </c>
      <c r="AI322" t="s">
        <v>385</v>
      </c>
      <c r="AJ322">
        <v>1</v>
      </c>
      <c r="AK322">
        <v>170</v>
      </c>
      <c r="AL322">
        <v>100</v>
      </c>
      <c r="AM322" s="75">
        <f ca="1">INDIRECT(ADDRESS(11+(MATCH(RIGHT(Table2[[#This Row],[spawner_sku]],LEN(Table2[[#This Row],[spawner_sku]])-FIND("/",Table2[[#This Row],[spawner_sku]])),Table1[Entity Prefab],0)),10,1,1,"Entities"))</f>
        <v>75</v>
      </c>
      <c r="AN322" s="75">
        <f ca="1">ROUND((Table2[[#This Row],[XP]]*Table2[[#This Row],[entity_spawned (AVG)]])*(Table2[[#This Row],[activating_chance]]/100),0)</f>
        <v>75</v>
      </c>
      <c r="AO32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22" s="72">
        <v>1</v>
      </c>
      <c r="AQ322" s="72">
        <v>1</v>
      </c>
      <c r="AR322" s="72" t="b">
        <v>0</v>
      </c>
      <c r="BP322" t="s">
        <v>445</v>
      </c>
      <c r="BQ322">
        <v>1</v>
      </c>
      <c r="BR322">
        <v>200</v>
      </c>
      <c r="BS322">
        <v>100</v>
      </c>
      <c r="BT322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322" s="75">
        <f ca="1">ROUND((Table61011[[#This Row],[XP]]*Table61011[[#This Row],[entity_spawned (AVG)]])*(Table61011[[#This Row],[activating_chance]]/100),0)</f>
        <v>0</v>
      </c>
      <c r="BV32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22" s="72">
        <v>1</v>
      </c>
      <c r="BX322" s="72">
        <v>1</v>
      </c>
      <c r="BY322" s="72" t="b">
        <v>0</v>
      </c>
      <c r="CA322" t="s">
        <v>491</v>
      </c>
      <c r="CB322">
        <v>1</v>
      </c>
      <c r="CC322">
        <v>120</v>
      </c>
      <c r="CD322">
        <v>100</v>
      </c>
      <c r="CE322" s="75">
        <f ca="1">INDIRECT(ADDRESS(11+(MATCH(RIGHT(Table11[[#This Row],[spawner_sku]],LEN(Table11[[#This Row],[spawner_sku]])-FIND("/",Table11[[#This Row],[spawner_sku]])),Table1[Entity Prefab],0)),10,1,1,"Entities"))</f>
        <v>25</v>
      </c>
      <c r="CF322">
        <f ca="1">ROUND((Table11[[#This Row],[XP]]*Table11[[#This Row],[entity_spawned (AVG)]])*(Table11[[#This Row],[activating_chance]]/100),0)</f>
        <v>25</v>
      </c>
      <c r="CG322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22" s="72">
        <v>1</v>
      </c>
      <c r="CI322" s="72">
        <v>1</v>
      </c>
      <c r="CJ322" s="72" t="b">
        <v>0</v>
      </c>
      <c r="CW322" t="s">
        <v>384</v>
      </c>
      <c r="CX322">
        <v>7</v>
      </c>
      <c r="CY322">
        <v>100</v>
      </c>
      <c r="CZ322">
        <v>30</v>
      </c>
      <c r="DA322" s="75">
        <f ca="1">INDIRECT(ADDRESS(11+(MATCH(RIGHT(Table13[[#This Row],[spawner_sku]],LEN(Table13[[#This Row],[spawner_sku]])-FIND("/",Table13[[#This Row],[spawner_sku]])),Table1[Entity Prefab],0)),10,1,1,"Entities"))</f>
        <v>25</v>
      </c>
      <c r="DB322" s="75">
        <f ca="1">ROUND((Table13[[#This Row],[XP]]*Table13[[#This Row],[entity_spawned (AVG)]])*(Table13[[#This Row],[activating_chance]]/100),0)</f>
        <v>53</v>
      </c>
      <c r="DC322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22" s="72">
        <v>6</v>
      </c>
      <c r="DE322" s="72">
        <v>8</v>
      </c>
      <c r="DF322" s="72" t="b">
        <v>1</v>
      </c>
      <c r="DH322" t="s">
        <v>520</v>
      </c>
      <c r="DI322">
        <v>1</v>
      </c>
      <c r="DJ322">
        <v>120</v>
      </c>
      <c r="DK322">
        <v>80</v>
      </c>
      <c r="DL322" s="75">
        <f ca="1">INDIRECT(ADDRESS(11+(MATCH(RIGHT(Table14[[#This Row],[spawner_sku]],LEN(Table14[[#This Row],[spawner_sku]])-FIND("/",Table14[[#This Row],[spawner_sku]])),Table1[Entity Prefab],0)),10,1,1,"Entities"))</f>
        <v>35</v>
      </c>
      <c r="DM322" s="75">
        <f ca="1">ROUND((Table14[[#This Row],[XP]]*Table14[[#This Row],[entity_spawned (AVG)]])*(Table14[[#This Row],[activating_chance]]/100),0)</f>
        <v>28</v>
      </c>
      <c r="DN32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22" s="72">
        <v>1</v>
      </c>
      <c r="DP322" s="72">
        <v>1</v>
      </c>
      <c r="DQ322" s="72" t="b">
        <v>0</v>
      </c>
      <c r="DS322" t="s">
        <v>255</v>
      </c>
      <c r="DT322">
        <v>1</v>
      </c>
      <c r="DU322">
        <v>150</v>
      </c>
      <c r="DV322">
        <v>30</v>
      </c>
      <c r="DW322" s="75">
        <f ca="1">INDIRECT(ADDRESS(11+(MATCH(RIGHT(Table18[[#This Row],[spawner_sku]],LEN(Table18[[#This Row],[spawner_sku]])-FIND("/",Table18[[#This Row],[spawner_sku]])),Table1[Entity Prefab],0)),10,1,1,"Entities"))</f>
        <v>25</v>
      </c>
      <c r="DX322" s="75">
        <f ca="1">ROUND((Table18[[#This Row],[XP]]*Table18[[#This Row],[entity_spawned (AVG)]])*(Table18[[#This Row],[activating_chance]]/100),0)</f>
        <v>8</v>
      </c>
      <c r="DY32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322">
        <v>1</v>
      </c>
      <c r="EA322">
        <v>1</v>
      </c>
      <c r="EB322" t="b">
        <v>0</v>
      </c>
    </row>
    <row r="323" spans="2:132" x14ac:dyDescent="0.25">
      <c r="B323" s="73" t="s">
        <v>241</v>
      </c>
      <c r="C323">
        <v>1</v>
      </c>
      <c r="D323">
        <v>1500</v>
      </c>
      <c r="E323">
        <v>100</v>
      </c>
      <c r="F323" s="75">
        <f ca="1">INDIRECT(ADDRESS(11+(MATCH(RIGHT(Table245[[#This Row],[spawner_sku]],LEN(Table245[[#This Row],[spawner_sku]])-FIND("/",Table245[[#This Row],[spawner_sku]])),Table1[Entity Prefab],0)),10,1,1,"Entities"))</f>
        <v>130</v>
      </c>
      <c r="G323" s="75">
        <f ca="1">ROUND((Table245[[#This Row],[XP]]*Table245[[#This Row],[entity_spawned (AVG)]])*(Table245[[#This Row],[activating_chance]]/100),0)</f>
        <v>130</v>
      </c>
      <c r="H32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3" s="72">
        <v>1</v>
      </c>
      <c r="J323" s="72">
        <v>1</v>
      </c>
      <c r="K323" s="72" t="b">
        <v>0</v>
      </c>
      <c r="AI323" t="s">
        <v>385</v>
      </c>
      <c r="AJ323">
        <v>1</v>
      </c>
      <c r="AK323">
        <v>170</v>
      </c>
      <c r="AL323">
        <v>100</v>
      </c>
      <c r="AM323" s="75">
        <f ca="1">INDIRECT(ADDRESS(11+(MATCH(RIGHT(Table2[[#This Row],[spawner_sku]],LEN(Table2[[#This Row],[spawner_sku]])-FIND("/",Table2[[#This Row],[spawner_sku]])),Table1[Entity Prefab],0)),10,1,1,"Entities"))</f>
        <v>75</v>
      </c>
      <c r="AN323" s="75">
        <f ca="1">ROUND((Table2[[#This Row],[XP]]*Table2[[#This Row],[entity_spawned (AVG)]])*(Table2[[#This Row],[activating_chance]]/100),0)</f>
        <v>75</v>
      </c>
      <c r="AO32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23" s="72">
        <v>1</v>
      </c>
      <c r="AQ323" s="72">
        <v>1</v>
      </c>
      <c r="AR323" s="72" t="b">
        <v>0</v>
      </c>
      <c r="BP323" t="s">
        <v>445</v>
      </c>
      <c r="BQ323">
        <v>1</v>
      </c>
      <c r="BR323">
        <v>200</v>
      </c>
      <c r="BS323">
        <v>100</v>
      </c>
      <c r="BT323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323" s="75">
        <f ca="1">ROUND((Table61011[[#This Row],[XP]]*Table61011[[#This Row],[entity_spawned (AVG)]])*(Table61011[[#This Row],[activating_chance]]/100),0)</f>
        <v>0</v>
      </c>
      <c r="BV32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23" s="72">
        <v>1</v>
      </c>
      <c r="BX323" s="72">
        <v>1</v>
      </c>
      <c r="BY323" s="72" t="b">
        <v>0</v>
      </c>
      <c r="CA323" t="s">
        <v>491</v>
      </c>
      <c r="CB323">
        <v>1</v>
      </c>
      <c r="CC323">
        <v>90</v>
      </c>
      <c r="CD323">
        <v>100</v>
      </c>
      <c r="CE323" s="75">
        <f ca="1">INDIRECT(ADDRESS(11+(MATCH(RIGHT(Table11[[#This Row],[spawner_sku]],LEN(Table11[[#This Row],[spawner_sku]])-FIND("/",Table11[[#This Row],[spawner_sku]])),Table1[Entity Prefab],0)),10,1,1,"Entities"))</f>
        <v>25</v>
      </c>
      <c r="CF323">
        <f ca="1">ROUND((Table11[[#This Row],[XP]]*Table11[[#This Row],[entity_spawned (AVG)]])*(Table11[[#This Row],[activating_chance]]/100),0)</f>
        <v>25</v>
      </c>
      <c r="CG323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23" s="72">
        <v>1</v>
      </c>
      <c r="CI323" s="72">
        <v>1</v>
      </c>
      <c r="CJ323" s="72" t="b">
        <v>0</v>
      </c>
      <c r="CW323" t="s">
        <v>384</v>
      </c>
      <c r="CX323">
        <v>2.5</v>
      </c>
      <c r="CY323">
        <v>100</v>
      </c>
      <c r="CZ323">
        <v>80</v>
      </c>
      <c r="DA323" s="75">
        <f ca="1">INDIRECT(ADDRESS(11+(MATCH(RIGHT(Table13[[#This Row],[spawner_sku]],LEN(Table13[[#This Row],[spawner_sku]])-FIND("/",Table13[[#This Row],[spawner_sku]])),Table1[Entity Prefab],0)),10,1,1,"Entities"))</f>
        <v>25</v>
      </c>
      <c r="DB323" s="75">
        <f ca="1">ROUND((Table13[[#This Row],[XP]]*Table13[[#This Row],[entity_spawned (AVG)]])*(Table13[[#This Row],[activating_chance]]/100),0)</f>
        <v>50</v>
      </c>
      <c r="DC323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23" s="72">
        <v>2</v>
      </c>
      <c r="DE323" s="72">
        <v>3</v>
      </c>
      <c r="DF323" s="72" t="b">
        <v>0</v>
      </c>
      <c r="DH323" t="s">
        <v>520</v>
      </c>
      <c r="DI323">
        <v>3</v>
      </c>
      <c r="DJ323">
        <v>100</v>
      </c>
      <c r="DK323">
        <v>80</v>
      </c>
      <c r="DL323" s="75">
        <f ca="1">INDIRECT(ADDRESS(11+(MATCH(RIGHT(Table14[[#This Row],[spawner_sku]],LEN(Table14[[#This Row],[spawner_sku]])-FIND("/",Table14[[#This Row],[spawner_sku]])),Table1[Entity Prefab],0)),10,1,1,"Entities"))</f>
        <v>35</v>
      </c>
      <c r="DM323" s="75">
        <f ca="1">ROUND((Table14[[#This Row],[XP]]*Table14[[#This Row],[entity_spawned (AVG)]])*(Table14[[#This Row],[activating_chance]]/100),0)</f>
        <v>84</v>
      </c>
      <c r="DN32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23" s="72">
        <v>3</v>
      </c>
      <c r="DP323" s="72">
        <v>3</v>
      </c>
      <c r="DQ323" s="72" t="b">
        <v>0</v>
      </c>
      <c r="DS323" t="s">
        <v>255</v>
      </c>
      <c r="DT323">
        <v>1</v>
      </c>
      <c r="DU323">
        <v>130</v>
      </c>
      <c r="DV323">
        <v>100</v>
      </c>
      <c r="DW323" s="75">
        <f ca="1">INDIRECT(ADDRESS(11+(MATCH(RIGHT(Table18[[#This Row],[spawner_sku]],LEN(Table18[[#This Row],[spawner_sku]])-FIND("/",Table18[[#This Row],[spawner_sku]])),Table1[Entity Prefab],0)),10,1,1,"Entities"))</f>
        <v>25</v>
      </c>
      <c r="DX323" s="75">
        <f ca="1">ROUND((Table18[[#This Row],[XP]]*Table18[[#This Row],[entity_spawned (AVG)]])*(Table18[[#This Row],[activating_chance]]/100),0)</f>
        <v>25</v>
      </c>
      <c r="DY32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323">
        <v>1</v>
      </c>
      <c r="EA323">
        <v>1</v>
      </c>
      <c r="EB323" t="b">
        <v>0</v>
      </c>
    </row>
    <row r="324" spans="2:132" x14ac:dyDescent="0.25">
      <c r="B324" s="73" t="s">
        <v>241</v>
      </c>
      <c r="C324">
        <v>1</v>
      </c>
      <c r="D324">
        <v>1500</v>
      </c>
      <c r="E324">
        <v>100</v>
      </c>
      <c r="F324" s="75">
        <f ca="1">INDIRECT(ADDRESS(11+(MATCH(RIGHT(Table245[[#This Row],[spawner_sku]],LEN(Table245[[#This Row],[spawner_sku]])-FIND("/",Table245[[#This Row],[spawner_sku]])),Table1[Entity Prefab],0)),10,1,1,"Entities"))</f>
        <v>130</v>
      </c>
      <c r="G324" s="75">
        <f ca="1">ROUND((Table245[[#This Row],[XP]]*Table245[[#This Row],[entity_spawned (AVG)]])*(Table245[[#This Row],[activating_chance]]/100),0)</f>
        <v>130</v>
      </c>
      <c r="H32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4" s="72">
        <v>1</v>
      </c>
      <c r="J324" s="72">
        <v>1</v>
      </c>
      <c r="K324" s="72" t="b">
        <v>0</v>
      </c>
      <c r="AI324" t="s">
        <v>385</v>
      </c>
      <c r="AJ324">
        <v>1</v>
      </c>
      <c r="AK324">
        <v>200</v>
      </c>
      <c r="AL324">
        <v>100</v>
      </c>
      <c r="AM324" s="75">
        <f ca="1">INDIRECT(ADDRESS(11+(MATCH(RIGHT(Table2[[#This Row],[spawner_sku]],LEN(Table2[[#This Row],[spawner_sku]])-FIND("/",Table2[[#This Row],[spawner_sku]])),Table1[Entity Prefab],0)),10,1,1,"Entities"))</f>
        <v>75</v>
      </c>
      <c r="AN324" s="75">
        <f ca="1">ROUND((Table2[[#This Row],[XP]]*Table2[[#This Row],[entity_spawned (AVG)]])*(Table2[[#This Row],[activating_chance]]/100),0)</f>
        <v>75</v>
      </c>
      <c r="AO32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24" s="72">
        <v>1</v>
      </c>
      <c r="AQ324" s="72">
        <v>1</v>
      </c>
      <c r="AR324" s="72" t="b">
        <v>0</v>
      </c>
      <c r="BP324" t="s">
        <v>445</v>
      </c>
      <c r="BQ324">
        <v>1</v>
      </c>
      <c r="BR324">
        <v>200</v>
      </c>
      <c r="BS324">
        <v>100</v>
      </c>
      <c r="BT324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324" s="75">
        <f ca="1">ROUND((Table61011[[#This Row],[XP]]*Table61011[[#This Row],[entity_spawned (AVG)]])*(Table61011[[#This Row],[activating_chance]]/100),0)</f>
        <v>0</v>
      </c>
      <c r="BV32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24" s="72">
        <v>1</v>
      </c>
      <c r="BX324" s="72">
        <v>1</v>
      </c>
      <c r="BY324" s="72" t="b">
        <v>0</v>
      </c>
      <c r="CA324" t="s">
        <v>491</v>
      </c>
      <c r="CB324">
        <v>1</v>
      </c>
      <c r="CC324">
        <v>120</v>
      </c>
      <c r="CD324">
        <v>50</v>
      </c>
      <c r="CE324" s="75">
        <f ca="1">INDIRECT(ADDRESS(11+(MATCH(RIGHT(Table11[[#This Row],[spawner_sku]],LEN(Table11[[#This Row],[spawner_sku]])-FIND("/",Table11[[#This Row],[spawner_sku]])),Table1[Entity Prefab],0)),10,1,1,"Entities"))</f>
        <v>25</v>
      </c>
      <c r="CF324">
        <f ca="1">ROUND((Table11[[#This Row],[XP]]*Table11[[#This Row],[entity_spawned (AVG)]])*(Table11[[#This Row],[activating_chance]]/100),0)</f>
        <v>13</v>
      </c>
      <c r="CG324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24" s="72">
        <v>1</v>
      </c>
      <c r="CI324" s="72">
        <v>1</v>
      </c>
      <c r="CJ324" s="72" t="b">
        <v>0</v>
      </c>
      <c r="CW324" t="s">
        <v>384</v>
      </c>
      <c r="CX324">
        <v>1.5</v>
      </c>
      <c r="CY324">
        <v>100</v>
      </c>
      <c r="CZ324">
        <v>100</v>
      </c>
      <c r="DA324" s="75">
        <f ca="1">INDIRECT(ADDRESS(11+(MATCH(RIGHT(Table13[[#This Row],[spawner_sku]],LEN(Table13[[#This Row],[spawner_sku]])-FIND("/",Table13[[#This Row],[spawner_sku]])),Table1[Entity Prefab],0)),10,1,1,"Entities"))</f>
        <v>25</v>
      </c>
      <c r="DB324" s="75">
        <f ca="1">ROUND((Table13[[#This Row],[XP]]*Table13[[#This Row],[entity_spawned (AVG)]])*(Table13[[#This Row],[activating_chance]]/100),0)</f>
        <v>38</v>
      </c>
      <c r="DC324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24" s="72">
        <v>1</v>
      </c>
      <c r="DE324" s="72">
        <v>2</v>
      </c>
      <c r="DF324" s="72" t="b">
        <v>0</v>
      </c>
      <c r="DH324" t="s">
        <v>520</v>
      </c>
      <c r="DI324">
        <v>1</v>
      </c>
      <c r="DJ324">
        <v>100</v>
      </c>
      <c r="DK324">
        <v>100</v>
      </c>
      <c r="DL324" s="75">
        <f ca="1">INDIRECT(ADDRESS(11+(MATCH(RIGHT(Table14[[#This Row],[spawner_sku]],LEN(Table14[[#This Row],[spawner_sku]])-FIND("/",Table14[[#This Row],[spawner_sku]])),Table1[Entity Prefab],0)),10,1,1,"Entities"))</f>
        <v>35</v>
      </c>
      <c r="DM324" s="75">
        <f ca="1">ROUND((Table14[[#This Row],[XP]]*Table14[[#This Row],[entity_spawned (AVG)]])*(Table14[[#This Row],[activating_chance]]/100),0)</f>
        <v>35</v>
      </c>
      <c r="DN32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24" s="72">
        <v>1</v>
      </c>
      <c r="DP324" s="72">
        <v>1</v>
      </c>
      <c r="DQ324" s="72" t="b">
        <v>0</v>
      </c>
      <c r="DS324" t="s">
        <v>255</v>
      </c>
      <c r="DT324">
        <v>1</v>
      </c>
      <c r="DU324">
        <v>130</v>
      </c>
      <c r="DV324">
        <v>30</v>
      </c>
      <c r="DW324" s="75">
        <f ca="1">INDIRECT(ADDRESS(11+(MATCH(RIGHT(Table18[[#This Row],[spawner_sku]],LEN(Table18[[#This Row],[spawner_sku]])-FIND("/",Table18[[#This Row],[spawner_sku]])),Table1[Entity Prefab],0)),10,1,1,"Entities"))</f>
        <v>25</v>
      </c>
      <c r="DX324" s="75">
        <f ca="1">ROUND((Table18[[#This Row],[XP]]*Table18[[#This Row],[entity_spawned (AVG)]])*(Table18[[#This Row],[activating_chance]]/100),0)</f>
        <v>8</v>
      </c>
      <c r="DY32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324">
        <v>1</v>
      </c>
      <c r="EA324">
        <v>1</v>
      </c>
      <c r="EB324" t="b">
        <v>0</v>
      </c>
    </row>
    <row r="325" spans="2:132" x14ac:dyDescent="0.25">
      <c r="B325" s="73" t="s">
        <v>241</v>
      </c>
      <c r="C325">
        <v>1</v>
      </c>
      <c r="D325">
        <v>1500</v>
      </c>
      <c r="E325">
        <v>100</v>
      </c>
      <c r="F325" s="75">
        <f ca="1">INDIRECT(ADDRESS(11+(MATCH(RIGHT(Table245[[#This Row],[spawner_sku]],LEN(Table245[[#This Row],[spawner_sku]])-FIND("/",Table245[[#This Row],[spawner_sku]])),Table1[Entity Prefab],0)),10,1,1,"Entities"))</f>
        <v>130</v>
      </c>
      <c r="G325" s="75">
        <f ca="1">ROUND((Table245[[#This Row],[XP]]*Table245[[#This Row],[entity_spawned (AVG)]])*(Table245[[#This Row],[activating_chance]]/100),0)</f>
        <v>130</v>
      </c>
      <c r="H32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5" s="72">
        <v>1</v>
      </c>
      <c r="J325" s="72">
        <v>1</v>
      </c>
      <c r="K325" s="72" t="b">
        <v>0</v>
      </c>
      <c r="AI325" t="s">
        <v>385</v>
      </c>
      <c r="AJ325">
        <v>1</v>
      </c>
      <c r="AK325">
        <v>220</v>
      </c>
      <c r="AL325">
        <v>80</v>
      </c>
      <c r="AM325" s="75">
        <f ca="1">INDIRECT(ADDRESS(11+(MATCH(RIGHT(Table2[[#This Row],[spawner_sku]],LEN(Table2[[#This Row],[spawner_sku]])-FIND("/",Table2[[#This Row],[spawner_sku]])),Table1[Entity Prefab],0)),10,1,1,"Entities"))</f>
        <v>75</v>
      </c>
      <c r="AN325" s="75">
        <f ca="1">ROUND((Table2[[#This Row],[XP]]*Table2[[#This Row],[entity_spawned (AVG)]])*(Table2[[#This Row],[activating_chance]]/100),0)</f>
        <v>60</v>
      </c>
      <c r="AO32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25" s="72">
        <v>1</v>
      </c>
      <c r="AQ325" s="72">
        <v>1</v>
      </c>
      <c r="AR325" s="72" t="b">
        <v>0</v>
      </c>
      <c r="BP325" t="s">
        <v>445</v>
      </c>
      <c r="BQ325">
        <v>1</v>
      </c>
      <c r="BR325">
        <v>180</v>
      </c>
      <c r="BS325">
        <v>100</v>
      </c>
      <c r="BT325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325" s="75">
        <f ca="1">ROUND((Table61011[[#This Row],[XP]]*Table61011[[#This Row],[entity_spawned (AVG)]])*(Table61011[[#This Row],[activating_chance]]/100),0)</f>
        <v>0</v>
      </c>
      <c r="BV32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25" s="72">
        <v>1</v>
      </c>
      <c r="BX325" s="72">
        <v>1</v>
      </c>
      <c r="BY325" s="72" t="b">
        <v>0</v>
      </c>
      <c r="CA325" t="s">
        <v>491</v>
      </c>
      <c r="CB325">
        <v>1.5</v>
      </c>
      <c r="CC325">
        <v>140</v>
      </c>
      <c r="CD325">
        <v>100</v>
      </c>
      <c r="CE325" s="75">
        <f ca="1">INDIRECT(ADDRESS(11+(MATCH(RIGHT(Table11[[#This Row],[spawner_sku]],LEN(Table11[[#This Row],[spawner_sku]])-FIND("/",Table11[[#This Row],[spawner_sku]])),Table1[Entity Prefab],0)),10,1,1,"Entities"))</f>
        <v>25</v>
      </c>
      <c r="CF325">
        <f ca="1">ROUND((Table11[[#This Row],[XP]]*Table11[[#This Row],[entity_spawned (AVG)]])*(Table11[[#This Row],[activating_chance]]/100),0)</f>
        <v>38</v>
      </c>
      <c r="CG325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25" s="72">
        <v>1</v>
      </c>
      <c r="CI325" s="72">
        <v>2</v>
      </c>
      <c r="CJ325" s="72" t="b">
        <v>0</v>
      </c>
      <c r="CW325" t="s">
        <v>384</v>
      </c>
      <c r="CX325">
        <v>5.5</v>
      </c>
      <c r="CY325">
        <v>100</v>
      </c>
      <c r="CZ325">
        <v>100</v>
      </c>
      <c r="DA325" s="75">
        <f ca="1">INDIRECT(ADDRESS(11+(MATCH(RIGHT(Table13[[#This Row],[spawner_sku]],LEN(Table13[[#This Row],[spawner_sku]])-FIND("/",Table13[[#This Row],[spawner_sku]])),Table1[Entity Prefab],0)),10,1,1,"Entities"))</f>
        <v>25</v>
      </c>
      <c r="DB325" s="75">
        <f ca="1">ROUND((Table13[[#This Row],[XP]]*Table13[[#This Row],[entity_spawned (AVG)]])*(Table13[[#This Row],[activating_chance]]/100),0)</f>
        <v>138</v>
      </c>
      <c r="DC325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25" s="72">
        <v>5</v>
      </c>
      <c r="DE325" s="72">
        <v>6</v>
      </c>
      <c r="DF325" s="72" t="b">
        <v>1</v>
      </c>
      <c r="DH325" t="s">
        <v>520</v>
      </c>
      <c r="DI325">
        <v>3</v>
      </c>
      <c r="DJ325">
        <v>150</v>
      </c>
      <c r="DK325">
        <v>100</v>
      </c>
      <c r="DL325" s="75">
        <f ca="1">INDIRECT(ADDRESS(11+(MATCH(RIGHT(Table14[[#This Row],[spawner_sku]],LEN(Table14[[#This Row],[spawner_sku]])-FIND("/",Table14[[#This Row],[spawner_sku]])),Table1[Entity Prefab],0)),10,1,1,"Entities"))</f>
        <v>35</v>
      </c>
      <c r="DM325" s="75">
        <f ca="1">ROUND((Table14[[#This Row],[XP]]*Table14[[#This Row],[entity_spawned (AVG)]])*(Table14[[#This Row],[activating_chance]]/100),0)</f>
        <v>105</v>
      </c>
      <c r="DN32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25" s="72">
        <v>3</v>
      </c>
      <c r="DP325" s="72">
        <v>3</v>
      </c>
      <c r="DQ325" s="72" t="b">
        <v>0</v>
      </c>
      <c r="DS325" t="s">
        <v>255</v>
      </c>
      <c r="DT325">
        <v>1</v>
      </c>
      <c r="DU325">
        <v>100</v>
      </c>
      <c r="DV325">
        <v>100</v>
      </c>
      <c r="DW325" s="75">
        <f ca="1">INDIRECT(ADDRESS(11+(MATCH(RIGHT(Table18[[#This Row],[spawner_sku]],LEN(Table18[[#This Row],[spawner_sku]])-FIND("/",Table18[[#This Row],[spawner_sku]])),Table1[Entity Prefab],0)),10,1,1,"Entities"))</f>
        <v>25</v>
      </c>
      <c r="DX325" s="75">
        <f ca="1">ROUND((Table18[[#This Row],[XP]]*Table18[[#This Row],[entity_spawned (AVG)]])*(Table18[[#This Row],[activating_chance]]/100),0)</f>
        <v>25</v>
      </c>
      <c r="DY32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325">
        <v>1</v>
      </c>
      <c r="EA325">
        <v>1</v>
      </c>
      <c r="EB325" t="b">
        <v>0</v>
      </c>
    </row>
    <row r="326" spans="2:132" x14ac:dyDescent="0.25">
      <c r="B326" s="73" t="s">
        <v>242</v>
      </c>
      <c r="C326">
        <v>1</v>
      </c>
      <c r="D326">
        <v>1500</v>
      </c>
      <c r="E326">
        <v>80</v>
      </c>
      <c r="F326" s="75">
        <f ca="1">INDIRECT(ADDRESS(11+(MATCH(RIGHT(Table245[[#This Row],[spawner_sku]],LEN(Table245[[#This Row],[spawner_sku]])-FIND("/",Table245[[#This Row],[spawner_sku]])),Table1[Entity Prefab],0)),10,1,1,"Entities"))</f>
        <v>130</v>
      </c>
      <c r="G326" s="75">
        <f ca="1">ROUND((Table245[[#This Row],[XP]]*Table245[[#This Row],[entity_spawned (AVG)]])*(Table245[[#This Row],[activating_chance]]/100),0)</f>
        <v>104</v>
      </c>
      <c r="H32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6" s="72">
        <v>1</v>
      </c>
      <c r="J326" s="72">
        <v>1</v>
      </c>
      <c r="K326" s="72" t="b">
        <v>0</v>
      </c>
      <c r="AI326" t="s">
        <v>385</v>
      </c>
      <c r="AJ326">
        <v>1</v>
      </c>
      <c r="AK326">
        <v>200</v>
      </c>
      <c r="AL326">
        <v>80</v>
      </c>
      <c r="AM326" s="75">
        <f ca="1">INDIRECT(ADDRESS(11+(MATCH(RIGHT(Table2[[#This Row],[spawner_sku]],LEN(Table2[[#This Row],[spawner_sku]])-FIND("/",Table2[[#This Row],[spawner_sku]])),Table1[Entity Prefab],0)),10,1,1,"Entities"))</f>
        <v>75</v>
      </c>
      <c r="AN326" s="75">
        <f ca="1">ROUND((Table2[[#This Row],[XP]]*Table2[[#This Row],[entity_spawned (AVG)]])*(Table2[[#This Row],[activating_chance]]/100),0)</f>
        <v>60</v>
      </c>
      <c r="AO32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26" s="72">
        <v>1</v>
      </c>
      <c r="AQ326" s="72">
        <v>1</v>
      </c>
      <c r="AR326" s="72" t="b">
        <v>0</v>
      </c>
      <c r="BP326" t="s">
        <v>445</v>
      </c>
      <c r="BQ326">
        <v>1</v>
      </c>
      <c r="BR326">
        <v>220</v>
      </c>
      <c r="BS326">
        <v>100</v>
      </c>
      <c r="BT326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326" s="75">
        <f ca="1">ROUND((Table61011[[#This Row],[XP]]*Table61011[[#This Row],[entity_spawned (AVG)]])*(Table61011[[#This Row],[activating_chance]]/100),0)</f>
        <v>0</v>
      </c>
      <c r="BV32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26" s="72">
        <v>1</v>
      </c>
      <c r="BX326" s="72">
        <v>1</v>
      </c>
      <c r="BY326" s="72" t="b">
        <v>0</v>
      </c>
      <c r="CA326" t="s">
        <v>491</v>
      </c>
      <c r="CB326">
        <v>1</v>
      </c>
      <c r="CC326">
        <v>140</v>
      </c>
      <c r="CD326">
        <v>50</v>
      </c>
      <c r="CE326" s="75">
        <f ca="1">INDIRECT(ADDRESS(11+(MATCH(RIGHT(Table11[[#This Row],[spawner_sku]],LEN(Table11[[#This Row],[spawner_sku]])-FIND("/",Table11[[#This Row],[spawner_sku]])),Table1[Entity Prefab],0)),10,1,1,"Entities"))</f>
        <v>25</v>
      </c>
      <c r="CF326">
        <f ca="1">ROUND((Table11[[#This Row],[XP]]*Table11[[#This Row],[entity_spawned (AVG)]])*(Table11[[#This Row],[activating_chance]]/100),0)</f>
        <v>13</v>
      </c>
      <c r="CG326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26" s="72">
        <v>1</v>
      </c>
      <c r="CI326" s="72">
        <v>1</v>
      </c>
      <c r="CJ326" s="72" t="b">
        <v>0</v>
      </c>
      <c r="CW326" t="s">
        <v>384</v>
      </c>
      <c r="CX326">
        <v>3.5</v>
      </c>
      <c r="CY326">
        <v>100</v>
      </c>
      <c r="CZ326">
        <v>100</v>
      </c>
      <c r="DA326" s="75">
        <f ca="1">INDIRECT(ADDRESS(11+(MATCH(RIGHT(Table13[[#This Row],[spawner_sku]],LEN(Table13[[#This Row],[spawner_sku]])-FIND("/",Table13[[#This Row],[spawner_sku]])),Table1[Entity Prefab],0)),10,1,1,"Entities"))</f>
        <v>25</v>
      </c>
      <c r="DB326" s="75">
        <f ca="1">ROUND((Table13[[#This Row],[XP]]*Table13[[#This Row],[entity_spawned (AVG)]])*(Table13[[#This Row],[activating_chance]]/100),0)</f>
        <v>88</v>
      </c>
      <c r="DC326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26" s="72">
        <v>3</v>
      </c>
      <c r="DE326" s="72">
        <v>4</v>
      </c>
      <c r="DF326" s="72" t="b">
        <v>0</v>
      </c>
      <c r="DH326" t="s">
        <v>520</v>
      </c>
      <c r="DI326">
        <v>1</v>
      </c>
      <c r="DJ326">
        <v>120</v>
      </c>
      <c r="DK326">
        <v>70</v>
      </c>
      <c r="DL326" s="75">
        <f ca="1">INDIRECT(ADDRESS(11+(MATCH(RIGHT(Table14[[#This Row],[spawner_sku]],LEN(Table14[[#This Row],[spawner_sku]])-FIND("/",Table14[[#This Row],[spawner_sku]])),Table1[Entity Prefab],0)),10,1,1,"Entities"))</f>
        <v>35</v>
      </c>
      <c r="DM326" s="75">
        <f ca="1">ROUND((Table14[[#This Row],[XP]]*Table14[[#This Row],[entity_spawned (AVG)]])*(Table14[[#This Row],[activating_chance]]/100),0)</f>
        <v>25</v>
      </c>
      <c r="DN32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26" s="72">
        <v>1</v>
      </c>
      <c r="DP326" s="72">
        <v>1</v>
      </c>
      <c r="DQ326" s="72" t="b">
        <v>0</v>
      </c>
      <c r="DS326" t="s">
        <v>255</v>
      </c>
      <c r="DT326">
        <v>1</v>
      </c>
      <c r="DU326">
        <v>100</v>
      </c>
      <c r="DV326">
        <v>100</v>
      </c>
      <c r="DW326" s="75">
        <f ca="1">INDIRECT(ADDRESS(11+(MATCH(RIGHT(Table18[[#This Row],[spawner_sku]],LEN(Table18[[#This Row],[spawner_sku]])-FIND("/",Table18[[#This Row],[spawner_sku]])),Table1[Entity Prefab],0)),10,1,1,"Entities"))</f>
        <v>25</v>
      </c>
      <c r="DX326" s="75">
        <f ca="1">ROUND((Table18[[#This Row],[XP]]*Table18[[#This Row],[entity_spawned (AVG)]])*(Table18[[#This Row],[activating_chance]]/100),0)</f>
        <v>25</v>
      </c>
      <c r="DY32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326">
        <v>1</v>
      </c>
      <c r="EA326">
        <v>1</v>
      </c>
      <c r="EB326" t="b">
        <v>0</v>
      </c>
    </row>
    <row r="327" spans="2:132" x14ac:dyDescent="0.25">
      <c r="B327" s="73" t="s">
        <v>242</v>
      </c>
      <c r="C327">
        <v>1</v>
      </c>
      <c r="D327">
        <v>1500</v>
      </c>
      <c r="E327">
        <v>100</v>
      </c>
      <c r="F327" s="75">
        <f ca="1">INDIRECT(ADDRESS(11+(MATCH(RIGHT(Table245[[#This Row],[spawner_sku]],LEN(Table245[[#This Row],[spawner_sku]])-FIND("/",Table245[[#This Row],[spawner_sku]])),Table1[Entity Prefab],0)),10,1,1,"Entities"))</f>
        <v>130</v>
      </c>
      <c r="G327" s="75">
        <f ca="1">ROUND((Table245[[#This Row],[XP]]*Table245[[#This Row],[entity_spawned (AVG)]])*(Table245[[#This Row],[activating_chance]]/100),0)</f>
        <v>130</v>
      </c>
      <c r="H32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7" s="72">
        <v>1</v>
      </c>
      <c r="J327" s="72">
        <v>1</v>
      </c>
      <c r="K327" s="72" t="b">
        <v>0</v>
      </c>
      <c r="AI327" t="s">
        <v>385</v>
      </c>
      <c r="AJ327">
        <v>1</v>
      </c>
      <c r="AK327">
        <v>200</v>
      </c>
      <c r="AL327">
        <v>100</v>
      </c>
      <c r="AM327" s="75">
        <f ca="1">INDIRECT(ADDRESS(11+(MATCH(RIGHT(Table2[[#This Row],[spawner_sku]],LEN(Table2[[#This Row],[spawner_sku]])-FIND("/",Table2[[#This Row],[spawner_sku]])),Table1[Entity Prefab],0)),10,1,1,"Entities"))</f>
        <v>75</v>
      </c>
      <c r="AN327" s="75">
        <f ca="1">ROUND((Table2[[#This Row],[XP]]*Table2[[#This Row],[entity_spawned (AVG)]])*(Table2[[#This Row],[activating_chance]]/100),0)</f>
        <v>75</v>
      </c>
      <c r="AO32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27" s="72">
        <v>1</v>
      </c>
      <c r="AQ327" s="72">
        <v>1</v>
      </c>
      <c r="AR327" s="72" t="b">
        <v>0</v>
      </c>
      <c r="BP327" t="s">
        <v>445</v>
      </c>
      <c r="BQ327">
        <v>1</v>
      </c>
      <c r="BR327">
        <v>200</v>
      </c>
      <c r="BS327">
        <v>100</v>
      </c>
      <c r="BT327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327" s="75">
        <f ca="1">ROUND((Table61011[[#This Row],[XP]]*Table61011[[#This Row],[entity_spawned (AVG)]])*(Table61011[[#This Row],[activating_chance]]/100),0)</f>
        <v>0</v>
      </c>
      <c r="BV32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27" s="72">
        <v>1</v>
      </c>
      <c r="BX327" s="72">
        <v>1</v>
      </c>
      <c r="BY327" s="72" t="b">
        <v>0</v>
      </c>
      <c r="CA327" t="s">
        <v>491</v>
      </c>
      <c r="CB327">
        <v>1</v>
      </c>
      <c r="CC327">
        <v>90</v>
      </c>
      <c r="CD327">
        <v>50</v>
      </c>
      <c r="CE327" s="75">
        <f ca="1">INDIRECT(ADDRESS(11+(MATCH(RIGHT(Table11[[#This Row],[spawner_sku]],LEN(Table11[[#This Row],[spawner_sku]])-FIND("/",Table11[[#This Row],[spawner_sku]])),Table1[Entity Prefab],0)),10,1,1,"Entities"))</f>
        <v>25</v>
      </c>
      <c r="CF327">
        <f ca="1">ROUND((Table11[[#This Row],[XP]]*Table11[[#This Row],[entity_spawned (AVG)]])*(Table11[[#This Row],[activating_chance]]/100),0)</f>
        <v>13</v>
      </c>
      <c r="CG327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27" s="72">
        <v>1</v>
      </c>
      <c r="CI327" s="72">
        <v>1</v>
      </c>
      <c r="CJ327" s="72" t="b">
        <v>0</v>
      </c>
      <c r="CW327" t="s">
        <v>384</v>
      </c>
      <c r="CX327">
        <v>1</v>
      </c>
      <c r="CY327">
        <v>100</v>
      </c>
      <c r="CZ327">
        <v>80</v>
      </c>
      <c r="DA327" s="75">
        <f ca="1">INDIRECT(ADDRESS(11+(MATCH(RIGHT(Table13[[#This Row],[spawner_sku]],LEN(Table13[[#This Row],[spawner_sku]])-FIND("/",Table13[[#This Row],[spawner_sku]])),Table1[Entity Prefab],0)),10,1,1,"Entities"))</f>
        <v>25</v>
      </c>
      <c r="DB327" s="75">
        <f ca="1">ROUND((Table13[[#This Row],[XP]]*Table13[[#This Row],[entity_spawned (AVG)]])*(Table13[[#This Row],[activating_chance]]/100),0)</f>
        <v>20</v>
      </c>
      <c r="DC327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27" s="72">
        <v>1</v>
      </c>
      <c r="DE327" s="72">
        <v>1</v>
      </c>
      <c r="DF327" s="72" t="b">
        <v>0</v>
      </c>
      <c r="DH327" t="s">
        <v>520</v>
      </c>
      <c r="DI327">
        <v>1</v>
      </c>
      <c r="DJ327">
        <v>100</v>
      </c>
      <c r="DK327">
        <v>100</v>
      </c>
      <c r="DL327" s="75">
        <f ca="1">INDIRECT(ADDRESS(11+(MATCH(RIGHT(Table14[[#This Row],[spawner_sku]],LEN(Table14[[#This Row],[spawner_sku]])-FIND("/",Table14[[#This Row],[spawner_sku]])),Table1[Entity Prefab],0)),10,1,1,"Entities"))</f>
        <v>35</v>
      </c>
      <c r="DM327" s="75">
        <f ca="1">ROUND((Table14[[#This Row],[XP]]*Table14[[#This Row],[entity_spawned (AVG)]])*(Table14[[#This Row],[activating_chance]]/100),0)</f>
        <v>35</v>
      </c>
      <c r="DN32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27" s="72">
        <v>1</v>
      </c>
      <c r="DP327" s="72">
        <v>1</v>
      </c>
      <c r="DQ327" s="72" t="b">
        <v>0</v>
      </c>
      <c r="DS327" t="s">
        <v>255</v>
      </c>
      <c r="DT327">
        <v>1</v>
      </c>
      <c r="DU327">
        <v>100</v>
      </c>
      <c r="DV327">
        <v>100</v>
      </c>
      <c r="DW327" s="75">
        <f ca="1">INDIRECT(ADDRESS(11+(MATCH(RIGHT(Table18[[#This Row],[spawner_sku]],LEN(Table18[[#This Row],[spawner_sku]])-FIND("/",Table18[[#This Row],[spawner_sku]])),Table1[Entity Prefab],0)),10,1,1,"Entities"))</f>
        <v>25</v>
      </c>
      <c r="DX327" s="75">
        <f ca="1">ROUND((Table18[[#This Row],[XP]]*Table18[[#This Row],[entity_spawned (AVG)]])*(Table18[[#This Row],[activating_chance]]/100),0)</f>
        <v>25</v>
      </c>
      <c r="DY32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327">
        <v>1</v>
      </c>
      <c r="EA327">
        <v>1</v>
      </c>
      <c r="EB327" t="b">
        <v>0</v>
      </c>
    </row>
    <row r="328" spans="2:132" x14ac:dyDescent="0.25">
      <c r="B328" s="73" t="s">
        <v>242</v>
      </c>
      <c r="C328">
        <v>1</v>
      </c>
      <c r="D328">
        <v>1500</v>
      </c>
      <c r="E328">
        <v>80</v>
      </c>
      <c r="F328" s="75">
        <f ca="1">INDIRECT(ADDRESS(11+(MATCH(RIGHT(Table245[[#This Row],[spawner_sku]],LEN(Table245[[#This Row],[spawner_sku]])-FIND("/",Table245[[#This Row],[spawner_sku]])),Table1[Entity Prefab],0)),10,1,1,"Entities"))</f>
        <v>130</v>
      </c>
      <c r="G328" s="75">
        <f ca="1">ROUND((Table245[[#This Row],[XP]]*Table245[[#This Row],[entity_spawned (AVG)]])*(Table245[[#This Row],[activating_chance]]/100),0)</f>
        <v>104</v>
      </c>
      <c r="H32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8" s="72">
        <v>1</v>
      </c>
      <c r="J328" s="72">
        <v>1</v>
      </c>
      <c r="K328" s="72" t="b">
        <v>0</v>
      </c>
      <c r="AI328" t="s">
        <v>385</v>
      </c>
      <c r="AJ328">
        <v>1</v>
      </c>
      <c r="AK328">
        <v>220</v>
      </c>
      <c r="AL328">
        <v>100</v>
      </c>
      <c r="AM328" s="75">
        <f ca="1">INDIRECT(ADDRESS(11+(MATCH(RIGHT(Table2[[#This Row],[spawner_sku]],LEN(Table2[[#This Row],[spawner_sku]])-FIND("/",Table2[[#This Row],[spawner_sku]])),Table1[Entity Prefab],0)),10,1,1,"Entities"))</f>
        <v>75</v>
      </c>
      <c r="AN328" s="75">
        <f ca="1">ROUND((Table2[[#This Row],[XP]]*Table2[[#This Row],[entity_spawned (AVG)]])*(Table2[[#This Row],[activating_chance]]/100),0)</f>
        <v>75</v>
      </c>
      <c r="AO32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28" s="72">
        <v>1</v>
      </c>
      <c r="AQ328" s="72">
        <v>1</v>
      </c>
      <c r="AR328" s="72" t="b">
        <v>0</v>
      </c>
      <c r="BP328" t="s">
        <v>606</v>
      </c>
      <c r="BQ328">
        <v>1</v>
      </c>
      <c r="BR328">
        <v>5000</v>
      </c>
      <c r="BS328">
        <v>30</v>
      </c>
      <c r="BT32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28" s="75">
        <f ca="1">ROUND((Table61011[[#This Row],[XP]]*Table61011[[#This Row],[entity_spawned (AVG)]])*(Table61011[[#This Row],[activating_chance]]/100),0)</f>
        <v>8</v>
      </c>
      <c r="BV32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28" s="72">
        <v>1</v>
      </c>
      <c r="BX328" s="72">
        <v>1</v>
      </c>
      <c r="BY328" s="72" t="b">
        <v>0</v>
      </c>
      <c r="CA328" t="s">
        <v>491</v>
      </c>
      <c r="CB328">
        <v>1</v>
      </c>
      <c r="CC328">
        <v>140</v>
      </c>
      <c r="CD328">
        <v>100</v>
      </c>
      <c r="CE328" s="75">
        <f ca="1">INDIRECT(ADDRESS(11+(MATCH(RIGHT(Table11[[#This Row],[spawner_sku]],LEN(Table11[[#This Row],[spawner_sku]])-FIND("/",Table11[[#This Row],[spawner_sku]])),Table1[Entity Prefab],0)),10,1,1,"Entities"))</f>
        <v>25</v>
      </c>
      <c r="CF328">
        <f ca="1">ROUND((Table11[[#This Row],[XP]]*Table11[[#This Row],[entity_spawned (AVG)]])*(Table11[[#This Row],[activating_chance]]/100),0)</f>
        <v>25</v>
      </c>
      <c r="CG328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28" s="72">
        <v>1</v>
      </c>
      <c r="CI328" s="72">
        <v>1</v>
      </c>
      <c r="CJ328" s="72" t="b">
        <v>0</v>
      </c>
      <c r="CW328" t="s">
        <v>384</v>
      </c>
      <c r="CX328">
        <v>2</v>
      </c>
      <c r="CY328">
        <v>100</v>
      </c>
      <c r="CZ328">
        <v>100</v>
      </c>
      <c r="DA328" s="75">
        <f ca="1">INDIRECT(ADDRESS(11+(MATCH(RIGHT(Table13[[#This Row],[spawner_sku]],LEN(Table13[[#This Row],[spawner_sku]])-FIND("/",Table13[[#This Row],[spawner_sku]])),Table1[Entity Prefab],0)),10,1,1,"Entities"))</f>
        <v>25</v>
      </c>
      <c r="DB328" s="75">
        <f ca="1">ROUND((Table13[[#This Row],[XP]]*Table13[[#This Row],[entity_spawned (AVG)]])*(Table13[[#This Row],[activating_chance]]/100),0)</f>
        <v>50</v>
      </c>
      <c r="DC328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28" s="72">
        <v>2</v>
      </c>
      <c r="DE328" s="72">
        <v>2</v>
      </c>
      <c r="DF328" s="72" t="b">
        <v>0</v>
      </c>
      <c r="DH328" t="s">
        <v>520</v>
      </c>
      <c r="DI328">
        <v>2</v>
      </c>
      <c r="DJ328">
        <v>100</v>
      </c>
      <c r="DK328">
        <v>30</v>
      </c>
      <c r="DL328" s="75">
        <f ca="1">INDIRECT(ADDRESS(11+(MATCH(RIGHT(Table14[[#This Row],[spawner_sku]],LEN(Table14[[#This Row],[spawner_sku]])-FIND("/",Table14[[#This Row],[spawner_sku]])),Table1[Entity Prefab],0)),10,1,1,"Entities"))</f>
        <v>35</v>
      </c>
      <c r="DM328" s="75">
        <f ca="1">ROUND((Table14[[#This Row],[XP]]*Table14[[#This Row],[entity_spawned (AVG)]])*(Table14[[#This Row],[activating_chance]]/100),0)</f>
        <v>21</v>
      </c>
      <c r="DN32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28" s="72">
        <v>2</v>
      </c>
      <c r="DP328" s="72">
        <v>2</v>
      </c>
      <c r="DQ328" s="72" t="b">
        <v>0</v>
      </c>
      <c r="DS328" t="s">
        <v>255</v>
      </c>
      <c r="DT328">
        <v>1</v>
      </c>
      <c r="DU328">
        <v>100</v>
      </c>
      <c r="DV328">
        <v>100</v>
      </c>
      <c r="DW328" s="75">
        <f ca="1">INDIRECT(ADDRESS(11+(MATCH(RIGHT(Table18[[#This Row],[spawner_sku]],LEN(Table18[[#This Row],[spawner_sku]])-FIND("/",Table18[[#This Row],[spawner_sku]])),Table1[Entity Prefab],0)),10,1,1,"Entities"))</f>
        <v>25</v>
      </c>
      <c r="DX328" s="75">
        <f ca="1">ROUND((Table18[[#This Row],[XP]]*Table18[[#This Row],[entity_spawned (AVG)]])*(Table18[[#This Row],[activating_chance]]/100),0)</f>
        <v>25</v>
      </c>
      <c r="DY32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328">
        <v>1</v>
      </c>
      <c r="EA328">
        <v>1</v>
      </c>
      <c r="EB328" t="b">
        <v>0</v>
      </c>
    </row>
    <row r="329" spans="2:132" x14ac:dyDescent="0.25">
      <c r="B329" s="73" t="s">
        <v>242</v>
      </c>
      <c r="C329">
        <v>1</v>
      </c>
      <c r="D329">
        <v>1500</v>
      </c>
      <c r="E329">
        <v>100</v>
      </c>
      <c r="F329" s="75">
        <f ca="1">INDIRECT(ADDRESS(11+(MATCH(RIGHT(Table245[[#This Row],[spawner_sku]],LEN(Table245[[#This Row],[spawner_sku]])-FIND("/",Table245[[#This Row],[spawner_sku]])),Table1[Entity Prefab],0)),10,1,1,"Entities"))</f>
        <v>130</v>
      </c>
      <c r="G329" s="75">
        <f ca="1">ROUND((Table245[[#This Row],[XP]]*Table245[[#This Row],[entity_spawned (AVG)]])*(Table245[[#This Row],[activating_chance]]/100),0)</f>
        <v>130</v>
      </c>
      <c r="H32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9" s="72">
        <v>1</v>
      </c>
      <c r="J329" s="72">
        <v>1</v>
      </c>
      <c r="K329" s="72" t="b">
        <v>0</v>
      </c>
      <c r="AI329" t="s">
        <v>385</v>
      </c>
      <c r="AJ329">
        <v>1</v>
      </c>
      <c r="AK329">
        <v>200</v>
      </c>
      <c r="AL329">
        <v>100</v>
      </c>
      <c r="AM329" s="75">
        <f ca="1">INDIRECT(ADDRESS(11+(MATCH(RIGHT(Table2[[#This Row],[spawner_sku]],LEN(Table2[[#This Row],[spawner_sku]])-FIND("/",Table2[[#This Row],[spawner_sku]])),Table1[Entity Prefab],0)),10,1,1,"Entities"))</f>
        <v>75</v>
      </c>
      <c r="AN329" s="75">
        <f ca="1">ROUND((Table2[[#This Row],[XP]]*Table2[[#This Row],[entity_spawned (AVG)]])*(Table2[[#This Row],[activating_chance]]/100),0)</f>
        <v>75</v>
      </c>
      <c r="AO32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29" s="72">
        <v>1</v>
      </c>
      <c r="AQ329" s="72">
        <v>1</v>
      </c>
      <c r="AR329" s="72" t="b">
        <v>0</v>
      </c>
      <c r="BP329" t="s">
        <v>606</v>
      </c>
      <c r="BQ329">
        <v>1</v>
      </c>
      <c r="BR329">
        <v>5000</v>
      </c>
      <c r="BS329">
        <v>30</v>
      </c>
      <c r="BT32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29" s="75">
        <f ca="1">ROUND((Table61011[[#This Row],[XP]]*Table61011[[#This Row],[entity_spawned (AVG)]])*(Table61011[[#This Row],[activating_chance]]/100),0)</f>
        <v>8</v>
      </c>
      <c r="BV32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29" s="72">
        <v>1</v>
      </c>
      <c r="BX329" s="72">
        <v>1</v>
      </c>
      <c r="BY329" s="72" t="b">
        <v>0</v>
      </c>
      <c r="CA329" t="s">
        <v>491</v>
      </c>
      <c r="CB329">
        <v>1</v>
      </c>
      <c r="CC329">
        <v>120</v>
      </c>
      <c r="CD329">
        <v>50</v>
      </c>
      <c r="CE329" s="75">
        <f ca="1">INDIRECT(ADDRESS(11+(MATCH(RIGHT(Table11[[#This Row],[spawner_sku]],LEN(Table11[[#This Row],[spawner_sku]])-FIND("/",Table11[[#This Row],[spawner_sku]])),Table1[Entity Prefab],0)),10,1,1,"Entities"))</f>
        <v>25</v>
      </c>
      <c r="CF329">
        <f ca="1">ROUND((Table11[[#This Row],[XP]]*Table11[[#This Row],[entity_spawned (AVG)]])*(Table11[[#This Row],[activating_chance]]/100),0)</f>
        <v>13</v>
      </c>
      <c r="CG329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29" s="72">
        <v>1</v>
      </c>
      <c r="CI329" s="72">
        <v>1</v>
      </c>
      <c r="CJ329" s="72" t="b">
        <v>0</v>
      </c>
      <c r="CW329" t="s">
        <v>384</v>
      </c>
      <c r="CX329">
        <v>3.5</v>
      </c>
      <c r="CY329">
        <v>100</v>
      </c>
      <c r="CZ329">
        <v>80</v>
      </c>
      <c r="DA329" s="75">
        <f ca="1">INDIRECT(ADDRESS(11+(MATCH(RIGHT(Table13[[#This Row],[spawner_sku]],LEN(Table13[[#This Row],[spawner_sku]])-FIND("/",Table13[[#This Row],[spawner_sku]])),Table1[Entity Prefab],0)),10,1,1,"Entities"))</f>
        <v>25</v>
      </c>
      <c r="DB329" s="75">
        <f ca="1">ROUND((Table13[[#This Row],[XP]]*Table13[[#This Row],[entity_spawned (AVG)]])*(Table13[[#This Row],[activating_chance]]/100),0)</f>
        <v>70</v>
      </c>
      <c r="DC329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29" s="72">
        <v>3</v>
      </c>
      <c r="DE329" s="72">
        <v>4</v>
      </c>
      <c r="DF329" s="72" t="b">
        <v>0</v>
      </c>
      <c r="DH329" t="s">
        <v>520</v>
      </c>
      <c r="DI329">
        <v>1</v>
      </c>
      <c r="DJ329">
        <v>120</v>
      </c>
      <c r="DK329">
        <v>100</v>
      </c>
      <c r="DL329" s="75">
        <f ca="1">INDIRECT(ADDRESS(11+(MATCH(RIGHT(Table14[[#This Row],[spawner_sku]],LEN(Table14[[#This Row],[spawner_sku]])-FIND("/",Table14[[#This Row],[spawner_sku]])),Table1[Entity Prefab],0)),10,1,1,"Entities"))</f>
        <v>35</v>
      </c>
      <c r="DM329" s="75">
        <f ca="1">ROUND((Table14[[#This Row],[XP]]*Table14[[#This Row],[entity_spawned (AVG)]])*(Table14[[#This Row],[activating_chance]]/100),0)</f>
        <v>35</v>
      </c>
      <c r="DN32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29" s="72">
        <v>1</v>
      </c>
      <c r="DP329" s="72">
        <v>1</v>
      </c>
      <c r="DQ329" s="72" t="b">
        <v>0</v>
      </c>
      <c r="DS329" t="s">
        <v>255</v>
      </c>
      <c r="DT329">
        <v>1</v>
      </c>
      <c r="DU329">
        <v>150</v>
      </c>
      <c r="DV329">
        <v>80</v>
      </c>
      <c r="DW329" s="75">
        <f ca="1">INDIRECT(ADDRESS(11+(MATCH(RIGHT(Table18[[#This Row],[spawner_sku]],LEN(Table18[[#This Row],[spawner_sku]])-FIND("/",Table18[[#This Row],[spawner_sku]])),Table1[Entity Prefab],0)),10,1,1,"Entities"))</f>
        <v>25</v>
      </c>
      <c r="DX329" s="75">
        <f ca="1">ROUND((Table18[[#This Row],[XP]]*Table18[[#This Row],[entity_spawned (AVG)]])*(Table18[[#This Row],[activating_chance]]/100),0)</f>
        <v>20</v>
      </c>
      <c r="DY32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329">
        <v>1</v>
      </c>
      <c r="EA329">
        <v>1</v>
      </c>
      <c r="EB329" t="b">
        <v>0</v>
      </c>
    </row>
    <row r="330" spans="2:132" x14ac:dyDescent="0.25">
      <c r="B330" s="73" t="s">
        <v>242</v>
      </c>
      <c r="C330">
        <v>1</v>
      </c>
      <c r="D330">
        <v>1500</v>
      </c>
      <c r="E330">
        <v>80</v>
      </c>
      <c r="F330" s="75">
        <f ca="1">INDIRECT(ADDRESS(11+(MATCH(RIGHT(Table245[[#This Row],[spawner_sku]],LEN(Table245[[#This Row],[spawner_sku]])-FIND("/",Table245[[#This Row],[spawner_sku]])),Table1[Entity Prefab],0)),10,1,1,"Entities"))</f>
        <v>130</v>
      </c>
      <c r="G330" s="75">
        <f ca="1">ROUND((Table245[[#This Row],[XP]]*Table245[[#This Row],[entity_spawned (AVG)]])*(Table245[[#This Row],[activating_chance]]/100),0)</f>
        <v>104</v>
      </c>
      <c r="H33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0" s="72">
        <v>1</v>
      </c>
      <c r="J330" s="72">
        <v>1</v>
      </c>
      <c r="K330" s="72" t="b">
        <v>0</v>
      </c>
      <c r="AI330" t="s">
        <v>385</v>
      </c>
      <c r="AJ330">
        <v>1</v>
      </c>
      <c r="AK330">
        <v>220</v>
      </c>
      <c r="AL330">
        <v>100</v>
      </c>
      <c r="AM330" s="75">
        <f ca="1">INDIRECT(ADDRESS(11+(MATCH(RIGHT(Table2[[#This Row],[spawner_sku]],LEN(Table2[[#This Row],[spawner_sku]])-FIND("/",Table2[[#This Row],[spawner_sku]])),Table1[Entity Prefab],0)),10,1,1,"Entities"))</f>
        <v>75</v>
      </c>
      <c r="AN330" s="75">
        <f ca="1">ROUND((Table2[[#This Row],[XP]]*Table2[[#This Row],[entity_spawned (AVG)]])*(Table2[[#This Row],[activating_chance]]/100),0)</f>
        <v>75</v>
      </c>
      <c r="AO33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30" s="72">
        <v>1</v>
      </c>
      <c r="AQ330" s="72">
        <v>1</v>
      </c>
      <c r="AR330" s="72" t="b">
        <v>0</v>
      </c>
      <c r="BP330" t="s">
        <v>606</v>
      </c>
      <c r="BQ330">
        <v>1</v>
      </c>
      <c r="BR330">
        <v>5000</v>
      </c>
      <c r="BS330">
        <v>30</v>
      </c>
      <c r="BT33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30" s="75">
        <f ca="1">ROUND((Table61011[[#This Row],[XP]]*Table61011[[#This Row],[entity_spawned (AVG)]])*(Table61011[[#This Row],[activating_chance]]/100),0)</f>
        <v>8</v>
      </c>
      <c r="BV33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30" s="72">
        <v>1</v>
      </c>
      <c r="BX330" s="72">
        <v>1</v>
      </c>
      <c r="BY330" s="72" t="b">
        <v>0</v>
      </c>
      <c r="CA330" t="s">
        <v>491</v>
      </c>
      <c r="CB330">
        <v>1</v>
      </c>
      <c r="CC330">
        <v>140</v>
      </c>
      <c r="CD330">
        <v>50</v>
      </c>
      <c r="CE330" s="75">
        <f ca="1">INDIRECT(ADDRESS(11+(MATCH(RIGHT(Table11[[#This Row],[spawner_sku]],LEN(Table11[[#This Row],[spawner_sku]])-FIND("/",Table11[[#This Row],[spawner_sku]])),Table1[Entity Prefab],0)),10,1,1,"Entities"))</f>
        <v>25</v>
      </c>
      <c r="CF330">
        <f ca="1">ROUND((Table11[[#This Row],[XP]]*Table11[[#This Row],[entity_spawned (AVG)]])*(Table11[[#This Row],[activating_chance]]/100),0)</f>
        <v>13</v>
      </c>
      <c r="CG330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30" s="72">
        <v>1</v>
      </c>
      <c r="CI330" s="72">
        <v>1</v>
      </c>
      <c r="CJ330" s="72" t="b">
        <v>0</v>
      </c>
      <c r="CW330" t="s">
        <v>384</v>
      </c>
      <c r="CX330">
        <v>1.5</v>
      </c>
      <c r="CY330">
        <v>100</v>
      </c>
      <c r="CZ330">
        <v>100</v>
      </c>
      <c r="DA330" s="75">
        <f ca="1">INDIRECT(ADDRESS(11+(MATCH(RIGHT(Table13[[#This Row],[spawner_sku]],LEN(Table13[[#This Row],[spawner_sku]])-FIND("/",Table13[[#This Row],[spawner_sku]])),Table1[Entity Prefab],0)),10,1,1,"Entities"))</f>
        <v>25</v>
      </c>
      <c r="DB330" s="75">
        <f ca="1">ROUND((Table13[[#This Row],[XP]]*Table13[[#This Row],[entity_spawned (AVG)]])*(Table13[[#This Row],[activating_chance]]/100),0)</f>
        <v>38</v>
      </c>
      <c r="DC330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30" s="72">
        <v>1</v>
      </c>
      <c r="DE330" s="72">
        <v>2</v>
      </c>
      <c r="DF330" s="72" t="b">
        <v>0</v>
      </c>
      <c r="DH330" t="s">
        <v>520</v>
      </c>
      <c r="DI330">
        <v>2</v>
      </c>
      <c r="DJ330">
        <v>100</v>
      </c>
      <c r="DK330">
        <v>100</v>
      </c>
      <c r="DL330" s="75">
        <f ca="1">INDIRECT(ADDRESS(11+(MATCH(RIGHT(Table14[[#This Row],[spawner_sku]],LEN(Table14[[#This Row],[spawner_sku]])-FIND("/",Table14[[#This Row],[spawner_sku]])),Table1[Entity Prefab],0)),10,1,1,"Entities"))</f>
        <v>35</v>
      </c>
      <c r="DM330" s="75">
        <f ca="1">ROUND((Table14[[#This Row],[XP]]*Table14[[#This Row],[entity_spawned (AVG)]])*(Table14[[#This Row],[activating_chance]]/100),0)</f>
        <v>70</v>
      </c>
      <c r="DN33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30" s="72">
        <v>2</v>
      </c>
      <c r="DP330" s="72">
        <v>2</v>
      </c>
      <c r="DQ330" s="72" t="b">
        <v>0</v>
      </c>
      <c r="DS330" t="s">
        <v>255</v>
      </c>
      <c r="DT330">
        <v>2</v>
      </c>
      <c r="DU330">
        <v>150</v>
      </c>
      <c r="DV330">
        <v>30</v>
      </c>
      <c r="DW330" s="75">
        <f ca="1">INDIRECT(ADDRESS(11+(MATCH(RIGHT(Table18[[#This Row],[spawner_sku]],LEN(Table18[[#This Row],[spawner_sku]])-FIND("/",Table18[[#This Row],[spawner_sku]])),Table1[Entity Prefab],0)),10,1,1,"Entities"))</f>
        <v>25</v>
      </c>
      <c r="DX330" s="75">
        <f ca="1">ROUND((Table18[[#This Row],[XP]]*Table18[[#This Row],[entity_spawned (AVG)]])*(Table18[[#This Row],[activating_chance]]/100),0)</f>
        <v>15</v>
      </c>
      <c r="DY33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330">
        <v>2</v>
      </c>
      <c r="EA330">
        <v>3</v>
      </c>
      <c r="EB330" t="b">
        <v>0</v>
      </c>
    </row>
    <row r="331" spans="2:132" x14ac:dyDescent="0.25">
      <c r="B331" s="73" t="s">
        <v>242</v>
      </c>
      <c r="C331">
        <v>1</v>
      </c>
      <c r="D331">
        <v>1500</v>
      </c>
      <c r="E331">
        <v>100</v>
      </c>
      <c r="F331" s="75">
        <f ca="1">INDIRECT(ADDRESS(11+(MATCH(RIGHT(Table245[[#This Row],[spawner_sku]],LEN(Table245[[#This Row],[spawner_sku]])-FIND("/",Table245[[#This Row],[spawner_sku]])),Table1[Entity Prefab],0)),10,1,1,"Entities"))</f>
        <v>130</v>
      </c>
      <c r="G331" s="75">
        <f ca="1">ROUND((Table245[[#This Row],[XP]]*Table245[[#This Row],[entity_spawned (AVG)]])*(Table245[[#This Row],[activating_chance]]/100),0)</f>
        <v>130</v>
      </c>
      <c r="H33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1" s="72">
        <v>1</v>
      </c>
      <c r="J331" s="72">
        <v>1</v>
      </c>
      <c r="K331" s="72" t="b">
        <v>0</v>
      </c>
      <c r="AI331" t="s">
        <v>385</v>
      </c>
      <c r="AJ331">
        <v>1</v>
      </c>
      <c r="AK331">
        <v>170</v>
      </c>
      <c r="AL331">
        <v>100</v>
      </c>
      <c r="AM331" s="75">
        <f ca="1">INDIRECT(ADDRESS(11+(MATCH(RIGHT(Table2[[#This Row],[spawner_sku]],LEN(Table2[[#This Row],[spawner_sku]])-FIND("/",Table2[[#This Row],[spawner_sku]])),Table1[Entity Prefab],0)),10,1,1,"Entities"))</f>
        <v>75</v>
      </c>
      <c r="AN331" s="75">
        <f ca="1">ROUND((Table2[[#This Row],[XP]]*Table2[[#This Row],[entity_spawned (AVG)]])*(Table2[[#This Row],[activating_chance]]/100),0)</f>
        <v>75</v>
      </c>
      <c r="AO33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31" s="72">
        <v>1</v>
      </c>
      <c r="AQ331" s="72">
        <v>1</v>
      </c>
      <c r="AR331" s="72" t="b">
        <v>0</v>
      </c>
      <c r="BP331" t="s">
        <v>606</v>
      </c>
      <c r="BQ331">
        <v>1</v>
      </c>
      <c r="BR331">
        <v>5000</v>
      </c>
      <c r="BS331">
        <v>30</v>
      </c>
      <c r="BT33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31" s="75">
        <f ca="1">ROUND((Table61011[[#This Row],[XP]]*Table61011[[#This Row],[entity_spawned (AVG)]])*(Table61011[[#This Row],[activating_chance]]/100),0)</f>
        <v>8</v>
      </c>
      <c r="BV33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31" s="72">
        <v>1</v>
      </c>
      <c r="BX331" s="72">
        <v>1</v>
      </c>
      <c r="BY331" s="72" t="b">
        <v>0</v>
      </c>
      <c r="CA331" t="s">
        <v>492</v>
      </c>
      <c r="CB331">
        <v>1</v>
      </c>
      <c r="CC331">
        <v>70</v>
      </c>
      <c r="CD331">
        <v>100</v>
      </c>
      <c r="CE331" s="75">
        <f ca="1">INDIRECT(ADDRESS(11+(MATCH(RIGHT(Table11[[#This Row],[spawner_sku]],LEN(Table11[[#This Row],[spawner_sku]])-FIND("/",Table11[[#This Row],[spawner_sku]])),Table1[Entity Prefab],0)),10,1,1,"Entities"))</f>
        <v>75</v>
      </c>
      <c r="CF331">
        <f ca="1">ROUND((Table11[[#This Row],[XP]]*Table11[[#This Row],[entity_spawned (AVG)]])*(Table11[[#This Row],[activating_chance]]/100),0)</f>
        <v>75</v>
      </c>
      <c r="CG331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31" s="72">
        <v>1</v>
      </c>
      <c r="CI331" s="72">
        <v>1</v>
      </c>
      <c r="CJ331" s="72" t="b">
        <v>0</v>
      </c>
      <c r="CW331" t="s">
        <v>384</v>
      </c>
      <c r="CX331">
        <v>1.5</v>
      </c>
      <c r="CY331">
        <v>100</v>
      </c>
      <c r="CZ331">
        <v>100</v>
      </c>
      <c r="DA331" s="75">
        <f ca="1">INDIRECT(ADDRESS(11+(MATCH(RIGHT(Table13[[#This Row],[spawner_sku]],LEN(Table13[[#This Row],[spawner_sku]])-FIND("/",Table13[[#This Row],[spawner_sku]])),Table1[Entity Prefab],0)),10,1,1,"Entities"))</f>
        <v>25</v>
      </c>
      <c r="DB331" s="75">
        <f ca="1">ROUND((Table13[[#This Row],[XP]]*Table13[[#This Row],[entity_spawned (AVG)]])*(Table13[[#This Row],[activating_chance]]/100),0)</f>
        <v>38</v>
      </c>
      <c r="DC331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31" s="72">
        <v>1</v>
      </c>
      <c r="DE331" s="72">
        <v>2</v>
      </c>
      <c r="DF331" s="72" t="b">
        <v>0</v>
      </c>
      <c r="DH331" t="s">
        <v>520</v>
      </c>
      <c r="DI331">
        <v>2.5</v>
      </c>
      <c r="DJ331">
        <v>100</v>
      </c>
      <c r="DK331">
        <v>100</v>
      </c>
      <c r="DL331" s="75">
        <f ca="1">INDIRECT(ADDRESS(11+(MATCH(RIGHT(Table14[[#This Row],[spawner_sku]],LEN(Table14[[#This Row],[spawner_sku]])-FIND("/",Table14[[#This Row],[spawner_sku]])),Table1[Entity Prefab],0)),10,1,1,"Entities"))</f>
        <v>35</v>
      </c>
      <c r="DM331" s="75">
        <f ca="1">ROUND((Table14[[#This Row],[XP]]*Table14[[#This Row],[entity_spawned (AVG)]])*(Table14[[#This Row],[activating_chance]]/100),0)</f>
        <v>88</v>
      </c>
      <c r="DN33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31" s="72">
        <v>2</v>
      </c>
      <c r="DP331" s="72">
        <v>3</v>
      </c>
      <c r="DQ331" s="72" t="b">
        <v>0</v>
      </c>
      <c r="DS331" t="s">
        <v>255</v>
      </c>
      <c r="DT331">
        <v>1</v>
      </c>
      <c r="DU331">
        <v>100</v>
      </c>
      <c r="DV331">
        <v>100</v>
      </c>
      <c r="DW331" s="75">
        <f ca="1">INDIRECT(ADDRESS(11+(MATCH(RIGHT(Table18[[#This Row],[spawner_sku]],LEN(Table18[[#This Row],[spawner_sku]])-FIND("/",Table18[[#This Row],[spawner_sku]])),Table1[Entity Prefab],0)),10,1,1,"Entities"))</f>
        <v>25</v>
      </c>
      <c r="DX331" s="75">
        <f ca="1">ROUND((Table18[[#This Row],[XP]]*Table18[[#This Row],[entity_spawned (AVG)]])*(Table18[[#This Row],[activating_chance]]/100),0)</f>
        <v>25</v>
      </c>
      <c r="DY33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331">
        <v>1</v>
      </c>
      <c r="EA331">
        <v>1</v>
      </c>
      <c r="EB331" t="b">
        <v>0</v>
      </c>
    </row>
    <row r="332" spans="2:132" x14ac:dyDescent="0.25">
      <c r="B332" s="73" t="s">
        <v>242</v>
      </c>
      <c r="C332">
        <v>1</v>
      </c>
      <c r="D332">
        <v>1500</v>
      </c>
      <c r="E332">
        <v>100</v>
      </c>
      <c r="F332" s="75">
        <f ca="1">INDIRECT(ADDRESS(11+(MATCH(RIGHT(Table245[[#This Row],[spawner_sku]],LEN(Table245[[#This Row],[spawner_sku]])-FIND("/",Table245[[#This Row],[spawner_sku]])),Table1[Entity Prefab],0)),10,1,1,"Entities"))</f>
        <v>130</v>
      </c>
      <c r="G332" s="75">
        <f ca="1">ROUND((Table245[[#This Row],[XP]]*Table245[[#This Row],[entity_spawned (AVG)]])*(Table245[[#This Row],[activating_chance]]/100),0)</f>
        <v>130</v>
      </c>
      <c r="H33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2" s="72">
        <v>1</v>
      </c>
      <c r="J332" s="72">
        <v>1</v>
      </c>
      <c r="K332" s="72" t="b">
        <v>0</v>
      </c>
      <c r="AI332" t="s">
        <v>385</v>
      </c>
      <c r="AJ332">
        <v>1</v>
      </c>
      <c r="AK332">
        <v>200</v>
      </c>
      <c r="AL332">
        <v>30</v>
      </c>
      <c r="AM332" s="75">
        <f ca="1">INDIRECT(ADDRESS(11+(MATCH(RIGHT(Table2[[#This Row],[spawner_sku]],LEN(Table2[[#This Row],[spawner_sku]])-FIND("/",Table2[[#This Row],[spawner_sku]])),Table1[Entity Prefab],0)),10,1,1,"Entities"))</f>
        <v>75</v>
      </c>
      <c r="AN332" s="75">
        <f ca="1">ROUND((Table2[[#This Row],[XP]]*Table2[[#This Row],[entity_spawned (AVG)]])*(Table2[[#This Row],[activating_chance]]/100),0)</f>
        <v>23</v>
      </c>
      <c r="AO33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32" s="72">
        <v>1</v>
      </c>
      <c r="AQ332" s="72">
        <v>1</v>
      </c>
      <c r="AR332" s="72" t="b">
        <v>0</v>
      </c>
      <c r="BP332" t="s">
        <v>606</v>
      </c>
      <c r="BQ332">
        <v>1</v>
      </c>
      <c r="BR332">
        <v>5000</v>
      </c>
      <c r="BS332">
        <v>30</v>
      </c>
      <c r="BT33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32" s="75">
        <f ca="1">ROUND((Table61011[[#This Row],[XP]]*Table61011[[#This Row],[entity_spawned (AVG)]])*(Table61011[[#This Row],[activating_chance]]/100),0)</f>
        <v>8</v>
      </c>
      <c r="BV33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32" s="72">
        <v>1</v>
      </c>
      <c r="BX332" s="72">
        <v>1</v>
      </c>
      <c r="BY332" s="72" t="b">
        <v>0</v>
      </c>
      <c r="CA332" t="s">
        <v>492</v>
      </c>
      <c r="CB332">
        <v>1</v>
      </c>
      <c r="CC332">
        <v>70</v>
      </c>
      <c r="CD332">
        <v>100</v>
      </c>
      <c r="CE332" s="75">
        <f ca="1">INDIRECT(ADDRESS(11+(MATCH(RIGHT(Table11[[#This Row],[spawner_sku]],LEN(Table11[[#This Row],[spawner_sku]])-FIND("/",Table11[[#This Row],[spawner_sku]])),Table1[Entity Prefab],0)),10,1,1,"Entities"))</f>
        <v>75</v>
      </c>
      <c r="CF332">
        <f ca="1">ROUND((Table11[[#This Row],[XP]]*Table11[[#This Row],[entity_spawned (AVG)]])*(Table11[[#This Row],[activating_chance]]/100),0)</f>
        <v>75</v>
      </c>
      <c r="CG332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32" s="72">
        <v>1</v>
      </c>
      <c r="CI332" s="72">
        <v>1</v>
      </c>
      <c r="CJ332" s="72" t="b">
        <v>0</v>
      </c>
      <c r="CW332" t="s">
        <v>384</v>
      </c>
      <c r="CX332">
        <v>1</v>
      </c>
      <c r="CY332">
        <v>100</v>
      </c>
      <c r="CZ332">
        <v>30</v>
      </c>
      <c r="DA332" s="75">
        <f ca="1">INDIRECT(ADDRESS(11+(MATCH(RIGHT(Table13[[#This Row],[spawner_sku]],LEN(Table13[[#This Row],[spawner_sku]])-FIND("/",Table13[[#This Row],[spawner_sku]])),Table1[Entity Prefab],0)),10,1,1,"Entities"))</f>
        <v>25</v>
      </c>
      <c r="DB332" s="75">
        <f ca="1">ROUND((Table13[[#This Row],[XP]]*Table13[[#This Row],[entity_spawned (AVG)]])*(Table13[[#This Row],[activating_chance]]/100),0)</f>
        <v>8</v>
      </c>
      <c r="DC332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32" s="72">
        <v>1</v>
      </c>
      <c r="DE332" s="72">
        <v>1</v>
      </c>
      <c r="DF332" s="72" t="b">
        <v>0</v>
      </c>
      <c r="DH332" t="s">
        <v>520</v>
      </c>
      <c r="DI332">
        <v>2</v>
      </c>
      <c r="DJ332">
        <v>120</v>
      </c>
      <c r="DK332">
        <v>10</v>
      </c>
      <c r="DL332" s="75">
        <f ca="1">INDIRECT(ADDRESS(11+(MATCH(RIGHT(Table14[[#This Row],[spawner_sku]],LEN(Table14[[#This Row],[spawner_sku]])-FIND("/",Table14[[#This Row],[spawner_sku]])),Table1[Entity Prefab],0)),10,1,1,"Entities"))</f>
        <v>35</v>
      </c>
      <c r="DM332" s="75">
        <f ca="1">ROUND((Table14[[#This Row],[XP]]*Table14[[#This Row],[entity_spawned (AVG)]])*(Table14[[#This Row],[activating_chance]]/100),0)</f>
        <v>7</v>
      </c>
      <c r="DN33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32" s="72">
        <v>2</v>
      </c>
      <c r="DP332" s="72">
        <v>2</v>
      </c>
      <c r="DQ332" s="72" t="b">
        <v>0</v>
      </c>
      <c r="DS332" t="s">
        <v>255</v>
      </c>
      <c r="DT332">
        <v>1</v>
      </c>
      <c r="DU332">
        <v>130</v>
      </c>
      <c r="DV332">
        <v>100</v>
      </c>
      <c r="DW332" s="75">
        <f ca="1">INDIRECT(ADDRESS(11+(MATCH(RIGHT(Table18[[#This Row],[spawner_sku]],LEN(Table18[[#This Row],[spawner_sku]])-FIND("/",Table18[[#This Row],[spawner_sku]])),Table1[Entity Prefab],0)),10,1,1,"Entities"))</f>
        <v>25</v>
      </c>
      <c r="DX332" s="75">
        <f ca="1">ROUND((Table18[[#This Row],[XP]]*Table18[[#This Row],[entity_spawned (AVG)]])*(Table18[[#This Row],[activating_chance]]/100),0)</f>
        <v>25</v>
      </c>
      <c r="DY33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332">
        <v>1</v>
      </c>
      <c r="EA332">
        <v>1</v>
      </c>
      <c r="EB332" t="b">
        <v>0</v>
      </c>
    </row>
    <row r="333" spans="2:132" x14ac:dyDescent="0.25">
      <c r="B333" s="73" t="s">
        <v>242</v>
      </c>
      <c r="C333">
        <v>1</v>
      </c>
      <c r="D333">
        <v>1500</v>
      </c>
      <c r="E333">
        <v>100</v>
      </c>
      <c r="F333" s="75">
        <f ca="1">INDIRECT(ADDRESS(11+(MATCH(RIGHT(Table245[[#This Row],[spawner_sku]],LEN(Table245[[#This Row],[spawner_sku]])-FIND("/",Table245[[#This Row],[spawner_sku]])),Table1[Entity Prefab],0)),10,1,1,"Entities"))</f>
        <v>130</v>
      </c>
      <c r="G333" s="75">
        <f ca="1">ROUND((Table245[[#This Row],[XP]]*Table245[[#This Row],[entity_spawned (AVG)]])*(Table245[[#This Row],[activating_chance]]/100),0)</f>
        <v>130</v>
      </c>
      <c r="H33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3" s="72">
        <v>1</v>
      </c>
      <c r="J333" s="72">
        <v>1</v>
      </c>
      <c r="K333" s="72" t="b">
        <v>0</v>
      </c>
      <c r="AI333" t="s">
        <v>385</v>
      </c>
      <c r="AJ333">
        <v>1</v>
      </c>
      <c r="AK333">
        <v>200</v>
      </c>
      <c r="AL333">
        <v>30</v>
      </c>
      <c r="AM333" s="75">
        <f ca="1">INDIRECT(ADDRESS(11+(MATCH(RIGHT(Table2[[#This Row],[spawner_sku]],LEN(Table2[[#This Row],[spawner_sku]])-FIND("/",Table2[[#This Row],[spawner_sku]])),Table1[Entity Prefab],0)),10,1,1,"Entities"))</f>
        <v>75</v>
      </c>
      <c r="AN333" s="75">
        <f ca="1">ROUND((Table2[[#This Row],[XP]]*Table2[[#This Row],[entity_spawned (AVG)]])*(Table2[[#This Row],[activating_chance]]/100),0)</f>
        <v>23</v>
      </c>
      <c r="AO33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33" s="72">
        <v>1</v>
      </c>
      <c r="AQ333" s="72">
        <v>1</v>
      </c>
      <c r="AR333" s="72" t="b">
        <v>0</v>
      </c>
      <c r="BP333" t="s">
        <v>606</v>
      </c>
      <c r="BQ333">
        <v>1</v>
      </c>
      <c r="BR333">
        <v>5000</v>
      </c>
      <c r="BS333">
        <v>30</v>
      </c>
      <c r="BT33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33" s="75">
        <f ca="1">ROUND((Table61011[[#This Row],[XP]]*Table61011[[#This Row],[entity_spawned (AVG)]])*(Table61011[[#This Row],[activating_chance]]/100),0)</f>
        <v>8</v>
      </c>
      <c r="BV33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33" s="72">
        <v>1</v>
      </c>
      <c r="BX333" s="72">
        <v>1</v>
      </c>
      <c r="BY333" s="72" t="b">
        <v>0</v>
      </c>
      <c r="CA333" t="s">
        <v>492</v>
      </c>
      <c r="CB333">
        <v>1</v>
      </c>
      <c r="CC333">
        <v>70</v>
      </c>
      <c r="CD333">
        <v>100</v>
      </c>
      <c r="CE333" s="75">
        <f ca="1">INDIRECT(ADDRESS(11+(MATCH(RIGHT(Table11[[#This Row],[spawner_sku]],LEN(Table11[[#This Row],[spawner_sku]])-FIND("/",Table11[[#This Row],[spawner_sku]])),Table1[Entity Prefab],0)),10,1,1,"Entities"))</f>
        <v>75</v>
      </c>
      <c r="CF333">
        <f ca="1">ROUND((Table11[[#This Row],[XP]]*Table11[[#This Row],[entity_spawned (AVG)]])*(Table11[[#This Row],[activating_chance]]/100),0)</f>
        <v>75</v>
      </c>
      <c r="CG333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33" s="72">
        <v>1</v>
      </c>
      <c r="CI333" s="72">
        <v>1</v>
      </c>
      <c r="CJ333" s="72" t="b">
        <v>0</v>
      </c>
      <c r="CW333" t="s">
        <v>384</v>
      </c>
      <c r="CX333">
        <v>2.5</v>
      </c>
      <c r="CY333">
        <v>100</v>
      </c>
      <c r="CZ333">
        <v>100</v>
      </c>
      <c r="DA333" s="75">
        <f ca="1">INDIRECT(ADDRESS(11+(MATCH(RIGHT(Table13[[#This Row],[spawner_sku]],LEN(Table13[[#This Row],[spawner_sku]])-FIND("/",Table13[[#This Row],[spawner_sku]])),Table1[Entity Prefab],0)),10,1,1,"Entities"))</f>
        <v>25</v>
      </c>
      <c r="DB333" s="75">
        <f ca="1">ROUND((Table13[[#This Row],[XP]]*Table13[[#This Row],[entity_spawned (AVG)]])*(Table13[[#This Row],[activating_chance]]/100),0)</f>
        <v>63</v>
      </c>
      <c r="DC333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33" s="72">
        <v>2</v>
      </c>
      <c r="DE333" s="72">
        <v>3</v>
      </c>
      <c r="DF333" s="72" t="b">
        <v>0</v>
      </c>
      <c r="DH333" t="s">
        <v>520</v>
      </c>
      <c r="DI333">
        <v>2</v>
      </c>
      <c r="DJ333">
        <v>120</v>
      </c>
      <c r="DK333">
        <v>100</v>
      </c>
      <c r="DL333" s="75">
        <f ca="1">INDIRECT(ADDRESS(11+(MATCH(RIGHT(Table14[[#This Row],[spawner_sku]],LEN(Table14[[#This Row],[spawner_sku]])-FIND("/",Table14[[#This Row],[spawner_sku]])),Table1[Entity Prefab],0)),10,1,1,"Entities"))</f>
        <v>35</v>
      </c>
      <c r="DM333" s="75">
        <f ca="1">ROUND((Table14[[#This Row],[XP]]*Table14[[#This Row],[entity_spawned (AVG)]])*(Table14[[#This Row],[activating_chance]]/100),0)</f>
        <v>70</v>
      </c>
      <c r="DN33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33" s="72">
        <v>2</v>
      </c>
      <c r="DP333" s="72">
        <v>2</v>
      </c>
      <c r="DQ333" s="72" t="b">
        <v>0</v>
      </c>
      <c r="DS333" t="s">
        <v>255</v>
      </c>
      <c r="DT333">
        <v>1</v>
      </c>
      <c r="DU333">
        <v>130</v>
      </c>
      <c r="DV333">
        <v>100</v>
      </c>
      <c r="DW333" s="75">
        <f ca="1">INDIRECT(ADDRESS(11+(MATCH(RIGHT(Table18[[#This Row],[spawner_sku]],LEN(Table18[[#This Row],[spawner_sku]])-FIND("/",Table18[[#This Row],[spawner_sku]])),Table1[Entity Prefab],0)),10,1,1,"Entities"))</f>
        <v>25</v>
      </c>
      <c r="DX333" s="75">
        <f ca="1">ROUND((Table18[[#This Row],[XP]]*Table18[[#This Row],[entity_spawned (AVG)]])*(Table18[[#This Row],[activating_chance]]/100),0)</f>
        <v>25</v>
      </c>
      <c r="DY33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333">
        <v>1</v>
      </c>
      <c r="EA333">
        <v>1</v>
      </c>
      <c r="EB333" t="b">
        <v>0</v>
      </c>
    </row>
    <row r="334" spans="2:132" x14ac:dyDescent="0.25">
      <c r="B334" s="73" t="s">
        <v>242</v>
      </c>
      <c r="C334">
        <v>1</v>
      </c>
      <c r="D334">
        <v>1500</v>
      </c>
      <c r="E334">
        <v>100</v>
      </c>
      <c r="F334" s="75">
        <f ca="1">INDIRECT(ADDRESS(11+(MATCH(RIGHT(Table245[[#This Row],[spawner_sku]],LEN(Table245[[#This Row],[spawner_sku]])-FIND("/",Table245[[#This Row],[spawner_sku]])),Table1[Entity Prefab],0)),10,1,1,"Entities"))</f>
        <v>130</v>
      </c>
      <c r="G334" s="75">
        <f ca="1">ROUND((Table245[[#This Row],[XP]]*Table245[[#This Row],[entity_spawned (AVG)]])*(Table245[[#This Row],[activating_chance]]/100),0)</f>
        <v>130</v>
      </c>
      <c r="H33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4" s="72">
        <v>1</v>
      </c>
      <c r="J334" s="72">
        <v>1</v>
      </c>
      <c r="K334" s="72" t="b">
        <v>0</v>
      </c>
      <c r="AI334" t="s">
        <v>385</v>
      </c>
      <c r="AJ334">
        <v>1</v>
      </c>
      <c r="AK334">
        <v>150</v>
      </c>
      <c r="AL334">
        <v>100</v>
      </c>
      <c r="AM334" s="75">
        <f ca="1">INDIRECT(ADDRESS(11+(MATCH(RIGHT(Table2[[#This Row],[spawner_sku]],LEN(Table2[[#This Row],[spawner_sku]])-FIND("/",Table2[[#This Row],[spawner_sku]])),Table1[Entity Prefab],0)),10,1,1,"Entities"))</f>
        <v>75</v>
      </c>
      <c r="AN334" s="75">
        <f ca="1">ROUND((Table2[[#This Row],[XP]]*Table2[[#This Row],[entity_spawned (AVG)]])*(Table2[[#This Row],[activating_chance]]/100),0)</f>
        <v>75</v>
      </c>
      <c r="AO33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34" s="72">
        <v>1</v>
      </c>
      <c r="AQ334" s="72">
        <v>1</v>
      </c>
      <c r="AR334" s="72" t="b">
        <v>0</v>
      </c>
      <c r="BP334" t="s">
        <v>606</v>
      </c>
      <c r="BQ334">
        <v>1</v>
      </c>
      <c r="BR334">
        <v>5000</v>
      </c>
      <c r="BS334">
        <v>30</v>
      </c>
      <c r="BT33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34" s="75">
        <f ca="1">ROUND((Table61011[[#This Row],[XP]]*Table61011[[#This Row],[entity_spawned (AVG)]])*(Table61011[[#This Row],[activating_chance]]/100),0)</f>
        <v>8</v>
      </c>
      <c r="BV33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34" s="72">
        <v>1</v>
      </c>
      <c r="BX334" s="72">
        <v>1</v>
      </c>
      <c r="BY334" s="72" t="b">
        <v>0</v>
      </c>
      <c r="CA334" t="s">
        <v>492</v>
      </c>
      <c r="CB334">
        <v>1</v>
      </c>
      <c r="CC334">
        <v>70</v>
      </c>
      <c r="CD334">
        <v>100</v>
      </c>
      <c r="CE334" s="75">
        <f ca="1">INDIRECT(ADDRESS(11+(MATCH(RIGHT(Table11[[#This Row],[spawner_sku]],LEN(Table11[[#This Row],[spawner_sku]])-FIND("/",Table11[[#This Row],[spawner_sku]])),Table1[Entity Prefab],0)),10,1,1,"Entities"))</f>
        <v>75</v>
      </c>
      <c r="CF334">
        <f ca="1">ROUND((Table11[[#This Row],[XP]]*Table11[[#This Row],[entity_spawned (AVG)]])*(Table11[[#This Row],[activating_chance]]/100),0)</f>
        <v>75</v>
      </c>
      <c r="CG334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34" s="72">
        <v>1</v>
      </c>
      <c r="CI334" s="72">
        <v>1</v>
      </c>
      <c r="CJ334" s="72" t="b">
        <v>0</v>
      </c>
      <c r="CW334" t="s">
        <v>384</v>
      </c>
      <c r="CX334">
        <v>2.5</v>
      </c>
      <c r="CY334">
        <v>100</v>
      </c>
      <c r="CZ334">
        <v>100</v>
      </c>
      <c r="DA334" s="75">
        <f ca="1">INDIRECT(ADDRESS(11+(MATCH(RIGHT(Table13[[#This Row],[spawner_sku]],LEN(Table13[[#This Row],[spawner_sku]])-FIND("/",Table13[[#This Row],[spawner_sku]])),Table1[Entity Prefab],0)),10,1,1,"Entities"))</f>
        <v>25</v>
      </c>
      <c r="DB334" s="75">
        <f ca="1">ROUND((Table13[[#This Row],[XP]]*Table13[[#This Row],[entity_spawned (AVG)]])*(Table13[[#This Row],[activating_chance]]/100),0)</f>
        <v>63</v>
      </c>
      <c r="DC334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34" s="72">
        <v>2</v>
      </c>
      <c r="DE334" s="72">
        <v>3</v>
      </c>
      <c r="DF334" s="72" t="b">
        <v>0</v>
      </c>
      <c r="DH334" t="s">
        <v>520</v>
      </c>
      <c r="DI334">
        <v>2</v>
      </c>
      <c r="DJ334">
        <v>120</v>
      </c>
      <c r="DK334">
        <v>100</v>
      </c>
      <c r="DL334" s="75">
        <f ca="1">INDIRECT(ADDRESS(11+(MATCH(RIGHT(Table14[[#This Row],[spawner_sku]],LEN(Table14[[#This Row],[spawner_sku]])-FIND("/",Table14[[#This Row],[spawner_sku]])),Table1[Entity Prefab],0)),10,1,1,"Entities"))</f>
        <v>35</v>
      </c>
      <c r="DM334" s="75">
        <f ca="1">ROUND((Table14[[#This Row],[XP]]*Table14[[#This Row],[entity_spawned (AVG)]])*(Table14[[#This Row],[activating_chance]]/100),0)</f>
        <v>70</v>
      </c>
      <c r="DN33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34" s="72">
        <v>2</v>
      </c>
      <c r="DP334" s="72">
        <v>2</v>
      </c>
      <c r="DQ334" s="72" t="b">
        <v>0</v>
      </c>
      <c r="DS334" t="s">
        <v>255</v>
      </c>
      <c r="DT334">
        <v>1</v>
      </c>
      <c r="DU334">
        <v>100</v>
      </c>
      <c r="DV334">
        <v>100</v>
      </c>
      <c r="DW334" s="75">
        <f ca="1">INDIRECT(ADDRESS(11+(MATCH(RIGHT(Table18[[#This Row],[spawner_sku]],LEN(Table18[[#This Row],[spawner_sku]])-FIND("/",Table18[[#This Row],[spawner_sku]])),Table1[Entity Prefab],0)),10,1,1,"Entities"))</f>
        <v>25</v>
      </c>
      <c r="DX334" s="75">
        <f ca="1">ROUND((Table18[[#This Row],[XP]]*Table18[[#This Row],[entity_spawned (AVG)]])*(Table18[[#This Row],[activating_chance]]/100),0)</f>
        <v>25</v>
      </c>
      <c r="DY33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334">
        <v>1</v>
      </c>
      <c r="EA334">
        <v>1</v>
      </c>
      <c r="EB334" t="b">
        <v>0</v>
      </c>
    </row>
    <row r="335" spans="2:132" x14ac:dyDescent="0.25">
      <c r="B335" s="73" t="s">
        <v>242</v>
      </c>
      <c r="C335">
        <v>1</v>
      </c>
      <c r="D335">
        <v>1500</v>
      </c>
      <c r="E335">
        <v>100</v>
      </c>
      <c r="F335" s="75">
        <f ca="1">INDIRECT(ADDRESS(11+(MATCH(RIGHT(Table245[[#This Row],[spawner_sku]],LEN(Table245[[#This Row],[spawner_sku]])-FIND("/",Table245[[#This Row],[spawner_sku]])),Table1[Entity Prefab],0)),10,1,1,"Entities"))</f>
        <v>130</v>
      </c>
      <c r="G335" s="75">
        <f ca="1">ROUND((Table245[[#This Row],[XP]]*Table245[[#This Row],[entity_spawned (AVG)]])*(Table245[[#This Row],[activating_chance]]/100),0)</f>
        <v>130</v>
      </c>
      <c r="H33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5" s="72">
        <v>1</v>
      </c>
      <c r="J335" s="72">
        <v>1</v>
      </c>
      <c r="K335" s="72" t="b">
        <v>0</v>
      </c>
      <c r="AI335" t="s">
        <v>385</v>
      </c>
      <c r="AJ335">
        <v>1</v>
      </c>
      <c r="AK335">
        <v>180</v>
      </c>
      <c r="AL335">
        <v>100</v>
      </c>
      <c r="AM335" s="75">
        <f ca="1">INDIRECT(ADDRESS(11+(MATCH(RIGHT(Table2[[#This Row],[spawner_sku]],LEN(Table2[[#This Row],[spawner_sku]])-FIND("/",Table2[[#This Row],[spawner_sku]])),Table1[Entity Prefab],0)),10,1,1,"Entities"))</f>
        <v>75</v>
      </c>
      <c r="AN335" s="75">
        <f ca="1">ROUND((Table2[[#This Row],[XP]]*Table2[[#This Row],[entity_spawned (AVG)]])*(Table2[[#This Row],[activating_chance]]/100),0)</f>
        <v>75</v>
      </c>
      <c r="AO33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35" s="72">
        <v>1</v>
      </c>
      <c r="AQ335" s="72">
        <v>1</v>
      </c>
      <c r="AR335" s="72" t="b">
        <v>0</v>
      </c>
      <c r="BP335" t="s">
        <v>246</v>
      </c>
      <c r="BQ335">
        <v>1</v>
      </c>
      <c r="BR335">
        <v>500</v>
      </c>
      <c r="BS335">
        <v>75</v>
      </c>
      <c r="BT33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35" s="75">
        <f ca="1">ROUND((Table61011[[#This Row],[XP]]*Table61011[[#This Row],[entity_spawned (AVG)]])*(Table61011[[#This Row],[activating_chance]]/100),0)</f>
        <v>19</v>
      </c>
      <c r="BV33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35" s="72">
        <v>1</v>
      </c>
      <c r="BX335" s="72">
        <v>1</v>
      </c>
      <c r="BY335" s="72" t="b">
        <v>0</v>
      </c>
      <c r="CA335" t="s">
        <v>492</v>
      </c>
      <c r="CB335">
        <v>1</v>
      </c>
      <c r="CC335">
        <v>70</v>
      </c>
      <c r="CD335">
        <v>100</v>
      </c>
      <c r="CE335" s="75">
        <f ca="1">INDIRECT(ADDRESS(11+(MATCH(RIGHT(Table11[[#This Row],[spawner_sku]],LEN(Table11[[#This Row],[spawner_sku]])-FIND("/",Table11[[#This Row],[spawner_sku]])),Table1[Entity Prefab],0)),10,1,1,"Entities"))</f>
        <v>75</v>
      </c>
      <c r="CF335">
        <f ca="1">ROUND((Table11[[#This Row],[XP]]*Table11[[#This Row],[entity_spawned (AVG)]])*(Table11[[#This Row],[activating_chance]]/100),0)</f>
        <v>75</v>
      </c>
      <c r="CG335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35" s="72">
        <v>1</v>
      </c>
      <c r="CI335" s="72">
        <v>1</v>
      </c>
      <c r="CJ335" s="72" t="b">
        <v>0</v>
      </c>
      <c r="CW335" t="s">
        <v>384</v>
      </c>
      <c r="CX335">
        <v>1</v>
      </c>
      <c r="CY335">
        <v>100</v>
      </c>
      <c r="CZ335">
        <v>80</v>
      </c>
      <c r="DA335" s="75">
        <f ca="1">INDIRECT(ADDRESS(11+(MATCH(RIGHT(Table13[[#This Row],[spawner_sku]],LEN(Table13[[#This Row],[spawner_sku]])-FIND("/",Table13[[#This Row],[spawner_sku]])),Table1[Entity Prefab],0)),10,1,1,"Entities"))</f>
        <v>25</v>
      </c>
      <c r="DB335" s="75">
        <f ca="1">ROUND((Table13[[#This Row],[XP]]*Table13[[#This Row],[entity_spawned (AVG)]])*(Table13[[#This Row],[activating_chance]]/100),0)</f>
        <v>20</v>
      </c>
      <c r="DC335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35" s="72">
        <v>1</v>
      </c>
      <c r="DE335" s="72">
        <v>1</v>
      </c>
      <c r="DF335" s="72" t="b">
        <v>0</v>
      </c>
      <c r="DH335" t="s">
        <v>520</v>
      </c>
      <c r="DI335">
        <v>1</v>
      </c>
      <c r="DJ335">
        <v>140</v>
      </c>
      <c r="DK335">
        <v>100</v>
      </c>
      <c r="DL335" s="75">
        <f ca="1">INDIRECT(ADDRESS(11+(MATCH(RIGHT(Table14[[#This Row],[spawner_sku]],LEN(Table14[[#This Row],[spawner_sku]])-FIND("/",Table14[[#This Row],[spawner_sku]])),Table1[Entity Prefab],0)),10,1,1,"Entities"))</f>
        <v>35</v>
      </c>
      <c r="DM335" s="75">
        <f ca="1">ROUND((Table14[[#This Row],[XP]]*Table14[[#This Row],[entity_spawned (AVG)]])*(Table14[[#This Row],[activating_chance]]/100),0)</f>
        <v>35</v>
      </c>
      <c r="DN33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35" s="72">
        <v>1</v>
      </c>
      <c r="DP335" s="72">
        <v>1</v>
      </c>
      <c r="DQ335" s="72" t="b">
        <v>0</v>
      </c>
      <c r="DS335" t="s">
        <v>255</v>
      </c>
      <c r="DT335">
        <v>1</v>
      </c>
      <c r="DU335">
        <v>100</v>
      </c>
      <c r="DV335">
        <v>100</v>
      </c>
      <c r="DW335" s="75">
        <f ca="1">INDIRECT(ADDRESS(11+(MATCH(RIGHT(Table18[[#This Row],[spawner_sku]],LEN(Table18[[#This Row],[spawner_sku]])-FIND("/",Table18[[#This Row],[spawner_sku]])),Table1[Entity Prefab],0)),10,1,1,"Entities"))</f>
        <v>25</v>
      </c>
      <c r="DX335" s="75">
        <f ca="1">ROUND((Table18[[#This Row],[XP]]*Table18[[#This Row],[entity_spawned (AVG)]])*(Table18[[#This Row],[activating_chance]]/100),0)</f>
        <v>25</v>
      </c>
      <c r="DY33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335">
        <v>1</v>
      </c>
      <c r="EA335">
        <v>1</v>
      </c>
      <c r="EB335" t="b">
        <v>0</v>
      </c>
    </row>
    <row r="336" spans="2:132" x14ac:dyDescent="0.25">
      <c r="B336" s="73" t="s">
        <v>242</v>
      </c>
      <c r="C336">
        <v>1</v>
      </c>
      <c r="D336">
        <v>1500</v>
      </c>
      <c r="E336">
        <v>100</v>
      </c>
      <c r="F336" s="75">
        <f ca="1">INDIRECT(ADDRESS(11+(MATCH(RIGHT(Table245[[#This Row],[spawner_sku]],LEN(Table245[[#This Row],[spawner_sku]])-FIND("/",Table245[[#This Row],[spawner_sku]])),Table1[Entity Prefab],0)),10,1,1,"Entities"))</f>
        <v>130</v>
      </c>
      <c r="G336" s="75">
        <f ca="1">ROUND((Table245[[#This Row],[XP]]*Table245[[#This Row],[entity_spawned (AVG)]])*(Table245[[#This Row],[activating_chance]]/100),0)</f>
        <v>130</v>
      </c>
      <c r="H33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6" s="72">
        <v>1</v>
      </c>
      <c r="J336" s="72">
        <v>1</v>
      </c>
      <c r="K336" s="72" t="b">
        <v>0</v>
      </c>
      <c r="AI336" t="s">
        <v>385</v>
      </c>
      <c r="AJ336">
        <v>1</v>
      </c>
      <c r="AK336">
        <v>220</v>
      </c>
      <c r="AL336">
        <v>80</v>
      </c>
      <c r="AM336" s="75">
        <f ca="1">INDIRECT(ADDRESS(11+(MATCH(RIGHT(Table2[[#This Row],[spawner_sku]],LEN(Table2[[#This Row],[spawner_sku]])-FIND("/",Table2[[#This Row],[spawner_sku]])),Table1[Entity Prefab],0)),10,1,1,"Entities"))</f>
        <v>75</v>
      </c>
      <c r="AN336" s="75">
        <f ca="1">ROUND((Table2[[#This Row],[XP]]*Table2[[#This Row],[entity_spawned (AVG)]])*(Table2[[#This Row],[activating_chance]]/100),0)</f>
        <v>60</v>
      </c>
      <c r="AO33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36" s="72">
        <v>1</v>
      </c>
      <c r="AQ336" s="72">
        <v>1</v>
      </c>
      <c r="AR336" s="72" t="b">
        <v>0</v>
      </c>
      <c r="BP336" t="s">
        <v>246</v>
      </c>
      <c r="BQ336">
        <v>1</v>
      </c>
      <c r="BR336">
        <v>500</v>
      </c>
      <c r="BS336">
        <v>75</v>
      </c>
      <c r="BT33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36" s="75">
        <f ca="1">ROUND((Table61011[[#This Row],[XP]]*Table61011[[#This Row],[entity_spawned (AVG)]])*(Table61011[[#This Row],[activating_chance]]/100),0)</f>
        <v>19</v>
      </c>
      <c r="BV33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36" s="72">
        <v>1</v>
      </c>
      <c r="BX336" s="72">
        <v>1</v>
      </c>
      <c r="BY336" s="72" t="b">
        <v>0</v>
      </c>
      <c r="CA336" t="s">
        <v>492</v>
      </c>
      <c r="CB336">
        <v>1</v>
      </c>
      <c r="CC336">
        <v>70</v>
      </c>
      <c r="CD336">
        <v>100</v>
      </c>
      <c r="CE336" s="75">
        <f ca="1">INDIRECT(ADDRESS(11+(MATCH(RIGHT(Table11[[#This Row],[spawner_sku]],LEN(Table11[[#This Row],[spawner_sku]])-FIND("/",Table11[[#This Row],[spawner_sku]])),Table1[Entity Prefab],0)),10,1,1,"Entities"))</f>
        <v>75</v>
      </c>
      <c r="CF336">
        <f ca="1">ROUND((Table11[[#This Row],[XP]]*Table11[[#This Row],[entity_spawned (AVG)]])*(Table11[[#This Row],[activating_chance]]/100),0)</f>
        <v>75</v>
      </c>
      <c r="CG336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36" s="72">
        <v>1</v>
      </c>
      <c r="CI336" s="72">
        <v>1</v>
      </c>
      <c r="CJ336" s="72" t="b">
        <v>0</v>
      </c>
      <c r="CW336" t="s">
        <v>384</v>
      </c>
      <c r="CX336">
        <v>1</v>
      </c>
      <c r="CY336">
        <v>100</v>
      </c>
      <c r="CZ336">
        <v>80</v>
      </c>
      <c r="DA336" s="75">
        <f ca="1">INDIRECT(ADDRESS(11+(MATCH(RIGHT(Table13[[#This Row],[spawner_sku]],LEN(Table13[[#This Row],[spawner_sku]])-FIND("/",Table13[[#This Row],[spawner_sku]])),Table1[Entity Prefab],0)),10,1,1,"Entities"))</f>
        <v>25</v>
      </c>
      <c r="DB336" s="75">
        <f ca="1">ROUND((Table13[[#This Row],[XP]]*Table13[[#This Row],[entity_spawned (AVG)]])*(Table13[[#This Row],[activating_chance]]/100),0)</f>
        <v>20</v>
      </c>
      <c r="DC336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36" s="72">
        <v>1</v>
      </c>
      <c r="DE336" s="72">
        <v>1</v>
      </c>
      <c r="DF336" s="72" t="b">
        <v>0</v>
      </c>
      <c r="DH336" t="s">
        <v>520</v>
      </c>
      <c r="DI336">
        <v>1</v>
      </c>
      <c r="DJ336">
        <v>100</v>
      </c>
      <c r="DK336">
        <v>100</v>
      </c>
      <c r="DL336" s="75">
        <f ca="1">INDIRECT(ADDRESS(11+(MATCH(RIGHT(Table14[[#This Row],[spawner_sku]],LEN(Table14[[#This Row],[spawner_sku]])-FIND("/",Table14[[#This Row],[spawner_sku]])),Table1[Entity Prefab],0)),10,1,1,"Entities"))</f>
        <v>35</v>
      </c>
      <c r="DM336" s="75">
        <f ca="1">ROUND((Table14[[#This Row],[XP]]*Table14[[#This Row],[entity_spawned (AVG)]])*(Table14[[#This Row],[activating_chance]]/100),0)</f>
        <v>35</v>
      </c>
      <c r="DN33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36" s="72">
        <v>1</v>
      </c>
      <c r="DP336" s="72">
        <v>1</v>
      </c>
      <c r="DQ336" s="72" t="b">
        <v>0</v>
      </c>
      <c r="DS336" t="s">
        <v>255</v>
      </c>
      <c r="DT336">
        <v>1</v>
      </c>
      <c r="DU336">
        <v>100</v>
      </c>
      <c r="DV336">
        <v>100</v>
      </c>
      <c r="DW336" s="75">
        <f ca="1">INDIRECT(ADDRESS(11+(MATCH(RIGHT(Table18[[#This Row],[spawner_sku]],LEN(Table18[[#This Row],[spawner_sku]])-FIND("/",Table18[[#This Row],[spawner_sku]])),Table1[Entity Prefab],0)),10,1,1,"Entities"))</f>
        <v>25</v>
      </c>
      <c r="DX336" s="75">
        <f ca="1">ROUND((Table18[[#This Row],[XP]]*Table18[[#This Row],[entity_spawned (AVG)]])*(Table18[[#This Row],[activating_chance]]/100),0)</f>
        <v>25</v>
      </c>
      <c r="DY33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336">
        <v>1</v>
      </c>
      <c r="EA336">
        <v>1</v>
      </c>
      <c r="EB336" t="b">
        <v>0</v>
      </c>
    </row>
    <row r="337" spans="2:132" x14ac:dyDescent="0.25">
      <c r="B337" s="73" t="s">
        <v>242</v>
      </c>
      <c r="C337">
        <v>1</v>
      </c>
      <c r="D337">
        <v>1500</v>
      </c>
      <c r="E337">
        <v>100</v>
      </c>
      <c r="F337" s="75">
        <f ca="1">INDIRECT(ADDRESS(11+(MATCH(RIGHT(Table245[[#This Row],[spawner_sku]],LEN(Table245[[#This Row],[spawner_sku]])-FIND("/",Table245[[#This Row],[spawner_sku]])),Table1[Entity Prefab],0)),10,1,1,"Entities"))</f>
        <v>130</v>
      </c>
      <c r="G337" s="75">
        <f ca="1">ROUND((Table245[[#This Row],[XP]]*Table245[[#This Row],[entity_spawned (AVG)]])*(Table245[[#This Row],[activating_chance]]/100),0)</f>
        <v>130</v>
      </c>
      <c r="H33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7" s="72">
        <v>1</v>
      </c>
      <c r="J337" s="72">
        <v>1</v>
      </c>
      <c r="K337" s="72" t="b">
        <v>0</v>
      </c>
      <c r="AI337" t="s">
        <v>385</v>
      </c>
      <c r="AJ337">
        <v>1</v>
      </c>
      <c r="AK337">
        <v>200</v>
      </c>
      <c r="AL337">
        <v>100</v>
      </c>
      <c r="AM337" s="75">
        <f ca="1">INDIRECT(ADDRESS(11+(MATCH(RIGHT(Table2[[#This Row],[spawner_sku]],LEN(Table2[[#This Row],[spawner_sku]])-FIND("/",Table2[[#This Row],[spawner_sku]])),Table1[Entity Prefab],0)),10,1,1,"Entities"))</f>
        <v>75</v>
      </c>
      <c r="AN337" s="75">
        <f ca="1">ROUND((Table2[[#This Row],[XP]]*Table2[[#This Row],[entity_spawned (AVG)]])*(Table2[[#This Row],[activating_chance]]/100),0)</f>
        <v>75</v>
      </c>
      <c r="AO33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37" s="72">
        <v>1</v>
      </c>
      <c r="AQ337" s="72">
        <v>1</v>
      </c>
      <c r="AR337" s="72" t="b">
        <v>0</v>
      </c>
      <c r="BP337" t="s">
        <v>246</v>
      </c>
      <c r="BQ337">
        <v>1</v>
      </c>
      <c r="BR337">
        <v>500</v>
      </c>
      <c r="BS337">
        <v>75</v>
      </c>
      <c r="BT33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37" s="75">
        <f ca="1">ROUND((Table61011[[#This Row],[XP]]*Table61011[[#This Row],[entity_spawned (AVG)]])*(Table61011[[#This Row],[activating_chance]]/100),0)</f>
        <v>19</v>
      </c>
      <c r="BV33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37" s="72">
        <v>1</v>
      </c>
      <c r="BX337" s="72">
        <v>1</v>
      </c>
      <c r="BY337" s="72" t="b">
        <v>0</v>
      </c>
      <c r="CA337" t="s">
        <v>401</v>
      </c>
      <c r="CB337">
        <v>1</v>
      </c>
      <c r="CC337">
        <v>300</v>
      </c>
      <c r="CD337">
        <v>100</v>
      </c>
      <c r="CE337" s="75">
        <f ca="1">INDIRECT(ADDRESS(11+(MATCH(RIGHT(Table11[[#This Row],[spawner_sku]],LEN(Table11[[#This Row],[spawner_sku]])-FIND("/",Table11[[#This Row],[spawner_sku]])),Table1[Entity Prefab],0)),10,1,1,"Entities"))</f>
        <v>75</v>
      </c>
      <c r="CF337">
        <f ca="1">ROUND((Table11[[#This Row],[XP]]*Table11[[#This Row],[entity_spawned (AVG)]])*(Table11[[#This Row],[activating_chance]]/100),0)</f>
        <v>75</v>
      </c>
      <c r="CG337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37" s="72">
        <v>1</v>
      </c>
      <c r="CI337" s="72">
        <v>1</v>
      </c>
      <c r="CJ337" s="72" t="b">
        <v>0</v>
      </c>
      <c r="CW337" t="s">
        <v>384</v>
      </c>
      <c r="CX337">
        <v>1.5</v>
      </c>
      <c r="CY337">
        <v>100</v>
      </c>
      <c r="CZ337">
        <v>100</v>
      </c>
      <c r="DA337" s="75">
        <f ca="1">INDIRECT(ADDRESS(11+(MATCH(RIGHT(Table13[[#This Row],[spawner_sku]],LEN(Table13[[#This Row],[spawner_sku]])-FIND("/",Table13[[#This Row],[spawner_sku]])),Table1[Entity Prefab],0)),10,1,1,"Entities"))</f>
        <v>25</v>
      </c>
      <c r="DB337" s="75">
        <f ca="1">ROUND((Table13[[#This Row],[XP]]*Table13[[#This Row],[entity_spawned (AVG)]])*(Table13[[#This Row],[activating_chance]]/100),0)</f>
        <v>38</v>
      </c>
      <c r="DC337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37" s="72">
        <v>1</v>
      </c>
      <c r="DE337" s="72">
        <v>2</v>
      </c>
      <c r="DF337" s="72" t="b">
        <v>0</v>
      </c>
      <c r="DH337" t="s">
        <v>520</v>
      </c>
      <c r="DI337">
        <v>1</v>
      </c>
      <c r="DJ337">
        <v>100</v>
      </c>
      <c r="DK337">
        <v>100</v>
      </c>
      <c r="DL337" s="75">
        <f ca="1">INDIRECT(ADDRESS(11+(MATCH(RIGHT(Table14[[#This Row],[spawner_sku]],LEN(Table14[[#This Row],[spawner_sku]])-FIND("/",Table14[[#This Row],[spawner_sku]])),Table1[Entity Prefab],0)),10,1,1,"Entities"))</f>
        <v>35</v>
      </c>
      <c r="DM337" s="75">
        <f ca="1">ROUND((Table14[[#This Row],[XP]]*Table14[[#This Row],[entity_spawned (AVG)]])*(Table14[[#This Row],[activating_chance]]/100),0)</f>
        <v>35</v>
      </c>
      <c r="DN33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37" s="72">
        <v>1</v>
      </c>
      <c r="DP337" s="72">
        <v>1</v>
      </c>
      <c r="DQ337" s="72" t="b">
        <v>0</v>
      </c>
      <c r="DS337" t="s">
        <v>255</v>
      </c>
      <c r="DT337">
        <v>1</v>
      </c>
      <c r="DU337">
        <v>130</v>
      </c>
      <c r="DV337">
        <v>100</v>
      </c>
      <c r="DW337" s="75">
        <f ca="1">INDIRECT(ADDRESS(11+(MATCH(RIGHT(Table18[[#This Row],[spawner_sku]],LEN(Table18[[#This Row],[spawner_sku]])-FIND("/",Table18[[#This Row],[spawner_sku]])),Table1[Entity Prefab],0)),10,1,1,"Entities"))</f>
        <v>25</v>
      </c>
      <c r="DX337" s="75">
        <f ca="1">ROUND((Table18[[#This Row],[XP]]*Table18[[#This Row],[entity_spawned (AVG)]])*(Table18[[#This Row],[activating_chance]]/100),0)</f>
        <v>25</v>
      </c>
      <c r="DY33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337">
        <v>1</v>
      </c>
      <c r="EA337">
        <v>1</v>
      </c>
      <c r="EB337" t="b">
        <v>0</v>
      </c>
    </row>
    <row r="338" spans="2:132" x14ac:dyDescent="0.25">
      <c r="B338" s="73" t="s">
        <v>242</v>
      </c>
      <c r="C338">
        <v>1</v>
      </c>
      <c r="D338">
        <v>1500</v>
      </c>
      <c r="E338">
        <v>100</v>
      </c>
      <c r="F338" s="75">
        <f ca="1">INDIRECT(ADDRESS(11+(MATCH(RIGHT(Table245[[#This Row],[spawner_sku]],LEN(Table245[[#This Row],[spawner_sku]])-FIND("/",Table245[[#This Row],[spawner_sku]])),Table1[Entity Prefab],0)),10,1,1,"Entities"))</f>
        <v>130</v>
      </c>
      <c r="G338" s="75">
        <f ca="1">ROUND((Table245[[#This Row],[XP]]*Table245[[#This Row],[entity_spawned (AVG)]])*(Table245[[#This Row],[activating_chance]]/100),0)</f>
        <v>130</v>
      </c>
      <c r="H33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8" s="72">
        <v>1</v>
      </c>
      <c r="J338" s="72">
        <v>1</v>
      </c>
      <c r="K338" s="72" t="b">
        <v>0</v>
      </c>
      <c r="AI338" t="s">
        <v>385</v>
      </c>
      <c r="AJ338">
        <v>1</v>
      </c>
      <c r="AK338">
        <v>200</v>
      </c>
      <c r="AL338">
        <v>100</v>
      </c>
      <c r="AM338" s="75">
        <f ca="1">INDIRECT(ADDRESS(11+(MATCH(RIGHT(Table2[[#This Row],[spawner_sku]],LEN(Table2[[#This Row],[spawner_sku]])-FIND("/",Table2[[#This Row],[spawner_sku]])),Table1[Entity Prefab],0)),10,1,1,"Entities"))</f>
        <v>75</v>
      </c>
      <c r="AN338" s="75">
        <f ca="1">ROUND((Table2[[#This Row],[XP]]*Table2[[#This Row],[entity_spawned (AVG)]])*(Table2[[#This Row],[activating_chance]]/100),0)</f>
        <v>75</v>
      </c>
      <c r="AO33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38" s="72">
        <v>1</v>
      </c>
      <c r="AQ338" s="72">
        <v>1</v>
      </c>
      <c r="AR338" s="72" t="b">
        <v>0</v>
      </c>
      <c r="BP338" t="s">
        <v>246</v>
      </c>
      <c r="BQ338">
        <v>1</v>
      </c>
      <c r="BR338">
        <v>500</v>
      </c>
      <c r="BS338">
        <v>75</v>
      </c>
      <c r="BT33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38" s="75">
        <f ca="1">ROUND((Table61011[[#This Row],[XP]]*Table61011[[#This Row],[entity_spawned (AVG)]])*(Table61011[[#This Row],[activating_chance]]/100),0)</f>
        <v>19</v>
      </c>
      <c r="BV33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38" s="72">
        <v>1</v>
      </c>
      <c r="BX338" s="72">
        <v>1</v>
      </c>
      <c r="BY338" s="72" t="b">
        <v>0</v>
      </c>
      <c r="CA338" t="s">
        <v>401</v>
      </c>
      <c r="CB338">
        <v>1</v>
      </c>
      <c r="CC338">
        <v>300</v>
      </c>
      <c r="CD338">
        <v>100</v>
      </c>
      <c r="CE338" s="75">
        <f ca="1">INDIRECT(ADDRESS(11+(MATCH(RIGHT(Table11[[#This Row],[spawner_sku]],LEN(Table11[[#This Row],[spawner_sku]])-FIND("/",Table11[[#This Row],[spawner_sku]])),Table1[Entity Prefab],0)),10,1,1,"Entities"))</f>
        <v>75</v>
      </c>
      <c r="CF338">
        <f ca="1">ROUND((Table11[[#This Row],[XP]]*Table11[[#This Row],[entity_spawned (AVG)]])*(Table11[[#This Row],[activating_chance]]/100),0)</f>
        <v>75</v>
      </c>
      <c r="CG338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38" s="72">
        <v>1</v>
      </c>
      <c r="CI338" s="72">
        <v>1</v>
      </c>
      <c r="CJ338" s="72" t="b">
        <v>0</v>
      </c>
      <c r="CW338" t="s">
        <v>384</v>
      </c>
      <c r="CX338">
        <v>1.5</v>
      </c>
      <c r="CY338">
        <v>100</v>
      </c>
      <c r="CZ338">
        <v>80</v>
      </c>
      <c r="DA338" s="75">
        <f ca="1">INDIRECT(ADDRESS(11+(MATCH(RIGHT(Table13[[#This Row],[spawner_sku]],LEN(Table13[[#This Row],[spawner_sku]])-FIND("/",Table13[[#This Row],[spawner_sku]])),Table1[Entity Prefab],0)),10,1,1,"Entities"))</f>
        <v>25</v>
      </c>
      <c r="DB338" s="75">
        <f ca="1">ROUND((Table13[[#This Row],[XP]]*Table13[[#This Row],[entity_spawned (AVG)]])*(Table13[[#This Row],[activating_chance]]/100),0)</f>
        <v>30</v>
      </c>
      <c r="DC338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38" s="72">
        <v>1</v>
      </c>
      <c r="DE338" s="72">
        <v>2</v>
      </c>
      <c r="DF338" s="72" t="b">
        <v>0</v>
      </c>
      <c r="DH338" t="s">
        <v>612</v>
      </c>
      <c r="DI338">
        <v>1</v>
      </c>
      <c r="DJ338">
        <v>450</v>
      </c>
      <c r="DK338">
        <v>100</v>
      </c>
      <c r="DL338" s="75">
        <f ca="1">INDIRECT(ADDRESS(11+(MATCH(RIGHT(Table14[[#This Row],[spawner_sku]],LEN(Table14[[#This Row],[spawner_sku]])-FIND("/",Table14[[#This Row],[spawner_sku]])),Table1[Entity Prefab],0)),10,1,1,"Entities"))</f>
        <v>0</v>
      </c>
      <c r="DM338" s="75">
        <f ca="1">ROUND((Table14[[#This Row],[XP]]*Table14[[#This Row],[entity_spawned (AVG)]])*(Table14[[#This Row],[activating_chance]]/100),0)</f>
        <v>0</v>
      </c>
      <c r="DN33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38" s="72">
        <v>1</v>
      </c>
      <c r="DP338" s="72">
        <v>1</v>
      </c>
      <c r="DQ338" s="72" t="b">
        <v>0</v>
      </c>
    </row>
    <row r="339" spans="2:132" x14ac:dyDescent="0.25">
      <c r="B339" s="73" t="s">
        <v>242</v>
      </c>
      <c r="C339">
        <v>1</v>
      </c>
      <c r="D339">
        <v>1500</v>
      </c>
      <c r="E339">
        <v>100</v>
      </c>
      <c r="F339" s="75">
        <f ca="1">INDIRECT(ADDRESS(11+(MATCH(RIGHT(Table245[[#This Row],[spawner_sku]],LEN(Table245[[#This Row],[spawner_sku]])-FIND("/",Table245[[#This Row],[spawner_sku]])),Table1[Entity Prefab],0)),10,1,1,"Entities"))</f>
        <v>130</v>
      </c>
      <c r="G339" s="75">
        <f ca="1">ROUND((Table245[[#This Row],[XP]]*Table245[[#This Row],[entity_spawned (AVG)]])*(Table245[[#This Row],[activating_chance]]/100),0)</f>
        <v>130</v>
      </c>
      <c r="H33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9" s="72">
        <v>1</v>
      </c>
      <c r="J339" s="72">
        <v>1</v>
      </c>
      <c r="K339" s="72" t="b">
        <v>0</v>
      </c>
      <c r="AI339" t="s">
        <v>385</v>
      </c>
      <c r="AJ339">
        <v>1</v>
      </c>
      <c r="AK339">
        <v>220</v>
      </c>
      <c r="AL339">
        <v>100</v>
      </c>
      <c r="AM339" s="75">
        <f ca="1">INDIRECT(ADDRESS(11+(MATCH(RIGHT(Table2[[#This Row],[spawner_sku]],LEN(Table2[[#This Row],[spawner_sku]])-FIND("/",Table2[[#This Row],[spawner_sku]])),Table1[Entity Prefab],0)),10,1,1,"Entities"))</f>
        <v>75</v>
      </c>
      <c r="AN339" s="75">
        <f ca="1">ROUND((Table2[[#This Row],[XP]]*Table2[[#This Row],[entity_spawned (AVG)]])*(Table2[[#This Row],[activating_chance]]/100),0)</f>
        <v>75</v>
      </c>
      <c r="AO33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39" s="72">
        <v>1</v>
      </c>
      <c r="AQ339" s="72">
        <v>1</v>
      </c>
      <c r="AR339" s="72" t="b">
        <v>0</v>
      </c>
      <c r="BP339" t="s">
        <v>246</v>
      </c>
      <c r="BQ339">
        <v>1</v>
      </c>
      <c r="BR339">
        <v>500</v>
      </c>
      <c r="BS339">
        <v>75</v>
      </c>
      <c r="BT33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39" s="75">
        <f ca="1">ROUND((Table61011[[#This Row],[XP]]*Table61011[[#This Row],[entity_spawned (AVG)]])*(Table61011[[#This Row],[activating_chance]]/100),0)</f>
        <v>19</v>
      </c>
      <c r="BV33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39" s="72">
        <v>1</v>
      </c>
      <c r="BX339" s="72">
        <v>1</v>
      </c>
      <c r="BY339" s="72" t="b">
        <v>0</v>
      </c>
      <c r="CA339" t="s">
        <v>401</v>
      </c>
      <c r="CB339">
        <v>1</v>
      </c>
      <c r="CC339">
        <v>300</v>
      </c>
      <c r="CD339">
        <v>100</v>
      </c>
      <c r="CE339" s="75">
        <f ca="1">INDIRECT(ADDRESS(11+(MATCH(RIGHT(Table11[[#This Row],[spawner_sku]],LEN(Table11[[#This Row],[spawner_sku]])-FIND("/",Table11[[#This Row],[spawner_sku]])),Table1[Entity Prefab],0)),10,1,1,"Entities"))</f>
        <v>75</v>
      </c>
      <c r="CF339">
        <f ca="1">ROUND((Table11[[#This Row],[XP]]*Table11[[#This Row],[entity_spawned (AVG)]])*(Table11[[#This Row],[activating_chance]]/100),0)</f>
        <v>75</v>
      </c>
      <c r="CG339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39" s="72">
        <v>1</v>
      </c>
      <c r="CI339" s="72">
        <v>1</v>
      </c>
      <c r="CJ339" s="72" t="b">
        <v>0</v>
      </c>
      <c r="CW339" t="s">
        <v>384</v>
      </c>
      <c r="CX339">
        <v>2</v>
      </c>
      <c r="CY339">
        <v>100</v>
      </c>
      <c r="CZ339">
        <v>100</v>
      </c>
      <c r="DA339" s="75">
        <f ca="1">INDIRECT(ADDRESS(11+(MATCH(RIGHT(Table13[[#This Row],[spawner_sku]],LEN(Table13[[#This Row],[spawner_sku]])-FIND("/",Table13[[#This Row],[spawner_sku]])),Table1[Entity Prefab],0)),10,1,1,"Entities"))</f>
        <v>25</v>
      </c>
      <c r="DB339" s="75">
        <f ca="1">ROUND((Table13[[#This Row],[XP]]*Table13[[#This Row],[entity_spawned (AVG)]])*(Table13[[#This Row],[activating_chance]]/100),0)</f>
        <v>50</v>
      </c>
      <c r="DC339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39" s="72">
        <v>1</v>
      </c>
      <c r="DE339" s="72">
        <v>3</v>
      </c>
      <c r="DF339" s="72" t="b">
        <v>0</v>
      </c>
      <c r="DH339" t="s">
        <v>612</v>
      </c>
      <c r="DI339">
        <v>1</v>
      </c>
      <c r="DJ339">
        <v>450</v>
      </c>
      <c r="DK339">
        <v>100</v>
      </c>
      <c r="DL339" s="75">
        <f ca="1">INDIRECT(ADDRESS(11+(MATCH(RIGHT(Table14[[#This Row],[spawner_sku]],LEN(Table14[[#This Row],[spawner_sku]])-FIND("/",Table14[[#This Row],[spawner_sku]])),Table1[Entity Prefab],0)),10,1,1,"Entities"))</f>
        <v>0</v>
      </c>
      <c r="DM339" s="75">
        <f ca="1">ROUND((Table14[[#This Row],[XP]]*Table14[[#This Row],[entity_spawned (AVG)]])*(Table14[[#This Row],[activating_chance]]/100),0)</f>
        <v>0</v>
      </c>
      <c r="DN33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39" s="72">
        <v>1</v>
      </c>
      <c r="DP339" s="72">
        <v>1</v>
      </c>
      <c r="DQ339" s="72" t="b">
        <v>0</v>
      </c>
    </row>
    <row r="340" spans="2:132" x14ac:dyDescent="0.25">
      <c r="B340" s="73" t="s">
        <v>242</v>
      </c>
      <c r="C340">
        <v>1</v>
      </c>
      <c r="D340">
        <v>1500</v>
      </c>
      <c r="E340">
        <v>100</v>
      </c>
      <c r="F340" s="75">
        <f ca="1">INDIRECT(ADDRESS(11+(MATCH(RIGHT(Table245[[#This Row],[spawner_sku]],LEN(Table245[[#This Row],[spawner_sku]])-FIND("/",Table245[[#This Row],[spawner_sku]])),Table1[Entity Prefab],0)),10,1,1,"Entities"))</f>
        <v>130</v>
      </c>
      <c r="G340" s="75">
        <f ca="1">ROUND((Table245[[#This Row],[XP]]*Table245[[#This Row],[entity_spawned (AVG)]])*(Table245[[#This Row],[activating_chance]]/100),0)</f>
        <v>130</v>
      </c>
      <c r="H34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0" s="72">
        <v>1</v>
      </c>
      <c r="J340" s="72">
        <v>1</v>
      </c>
      <c r="K340" s="72" t="b">
        <v>0</v>
      </c>
      <c r="AI340" t="s">
        <v>385</v>
      </c>
      <c r="AJ340">
        <v>1</v>
      </c>
      <c r="AK340">
        <v>200</v>
      </c>
      <c r="AL340">
        <v>100</v>
      </c>
      <c r="AM340" s="75">
        <f ca="1">INDIRECT(ADDRESS(11+(MATCH(RIGHT(Table2[[#This Row],[spawner_sku]],LEN(Table2[[#This Row],[spawner_sku]])-FIND("/",Table2[[#This Row],[spawner_sku]])),Table1[Entity Prefab],0)),10,1,1,"Entities"))</f>
        <v>75</v>
      </c>
      <c r="AN340" s="75">
        <f ca="1">ROUND((Table2[[#This Row],[XP]]*Table2[[#This Row],[entity_spawned (AVG)]])*(Table2[[#This Row],[activating_chance]]/100),0)</f>
        <v>75</v>
      </c>
      <c r="AO34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40" s="72">
        <v>1</v>
      </c>
      <c r="AQ340" s="72">
        <v>1</v>
      </c>
      <c r="AR340" s="72" t="b">
        <v>0</v>
      </c>
      <c r="BP340" t="s">
        <v>246</v>
      </c>
      <c r="BQ340">
        <v>1</v>
      </c>
      <c r="BR340">
        <v>500</v>
      </c>
      <c r="BS340">
        <v>75</v>
      </c>
      <c r="BT34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40" s="75">
        <f ca="1">ROUND((Table61011[[#This Row],[XP]]*Table61011[[#This Row],[entity_spawned (AVG)]])*(Table61011[[#This Row],[activating_chance]]/100),0)</f>
        <v>19</v>
      </c>
      <c r="BV34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40" s="72">
        <v>1</v>
      </c>
      <c r="BX340" s="72">
        <v>1</v>
      </c>
      <c r="BY340" s="72" t="b">
        <v>0</v>
      </c>
      <c r="CA340" t="s">
        <v>401</v>
      </c>
      <c r="CB340">
        <v>1</v>
      </c>
      <c r="CC340">
        <v>300</v>
      </c>
      <c r="CD340">
        <v>100</v>
      </c>
      <c r="CE340" s="75">
        <f ca="1">INDIRECT(ADDRESS(11+(MATCH(RIGHT(Table11[[#This Row],[spawner_sku]],LEN(Table11[[#This Row],[spawner_sku]])-FIND("/",Table11[[#This Row],[spawner_sku]])),Table1[Entity Prefab],0)),10,1,1,"Entities"))</f>
        <v>75</v>
      </c>
      <c r="CF340">
        <f ca="1">ROUND((Table11[[#This Row],[XP]]*Table11[[#This Row],[entity_spawned (AVG)]])*(Table11[[#This Row],[activating_chance]]/100),0)</f>
        <v>75</v>
      </c>
      <c r="CG340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40" s="72">
        <v>1</v>
      </c>
      <c r="CI340" s="72">
        <v>1</v>
      </c>
      <c r="CJ340" s="72" t="b">
        <v>0</v>
      </c>
      <c r="CW340" t="s">
        <v>384</v>
      </c>
      <c r="CX340">
        <v>2</v>
      </c>
      <c r="CY340">
        <v>100</v>
      </c>
      <c r="CZ340">
        <v>100</v>
      </c>
      <c r="DA340" s="75">
        <f ca="1">INDIRECT(ADDRESS(11+(MATCH(RIGHT(Table13[[#This Row],[spawner_sku]],LEN(Table13[[#This Row],[spawner_sku]])-FIND("/",Table13[[#This Row],[spawner_sku]])),Table1[Entity Prefab],0)),10,1,1,"Entities"))</f>
        <v>25</v>
      </c>
      <c r="DB340" s="75">
        <f ca="1">ROUND((Table13[[#This Row],[XP]]*Table13[[#This Row],[entity_spawned (AVG)]])*(Table13[[#This Row],[activating_chance]]/100),0)</f>
        <v>50</v>
      </c>
      <c r="DC340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40" s="72">
        <v>1</v>
      </c>
      <c r="DE340" s="72">
        <v>3</v>
      </c>
      <c r="DF340" s="72" t="b">
        <v>0</v>
      </c>
      <c r="DH340" t="s">
        <v>612</v>
      </c>
      <c r="DI340">
        <v>1</v>
      </c>
      <c r="DJ340">
        <v>450</v>
      </c>
      <c r="DK340">
        <v>100</v>
      </c>
      <c r="DL340" s="75">
        <f ca="1">INDIRECT(ADDRESS(11+(MATCH(RIGHT(Table14[[#This Row],[spawner_sku]],LEN(Table14[[#This Row],[spawner_sku]])-FIND("/",Table14[[#This Row],[spawner_sku]])),Table1[Entity Prefab],0)),10,1,1,"Entities"))</f>
        <v>0</v>
      </c>
      <c r="DM340" s="75">
        <f ca="1">ROUND((Table14[[#This Row],[XP]]*Table14[[#This Row],[entity_spawned (AVG)]])*(Table14[[#This Row],[activating_chance]]/100),0)</f>
        <v>0</v>
      </c>
      <c r="DN34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40" s="72">
        <v>1</v>
      </c>
      <c r="DP340" s="72">
        <v>1</v>
      </c>
      <c r="DQ340" s="72" t="b">
        <v>0</v>
      </c>
    </row>
    <row r="341" spans="2:132" x14ac:dyDescent="0.25">
      <c r="B341" s="73" t="s">
        <v>242</v>
      </c>
      <c r="C341">
        <v>1</v>
      </c>
      <c r="D341">
        <v>1500</v>
      </c>
      <c r="E341">
        <v>100</v>
      </c>
      <c r="F341" s="75">
        <f ca="1">INDIRECT(ADDRESS(11+(MATCH(RIGHT(Table245[[#This Row],[spawner_sku]],LEN(Table245[[#This Row],[spawner_sku]])-FIND("/",Table245[[#This Row],[spawner_sku]])),Table1[Entity Prefab],0)),10,1,1,"Entities"))</f>
        <v>130</v>
      </c>
      <c r="G341" s="75">
        <f ca="1">ROUND((Table245[[#This Row],[XP]]*Table245[[#This Row],[entity_spawned (AVG)]])*(Table245[[#This Row],[activating_chance]]/100),0)</f>
        <v>130</v>
      </c>
      <c r="H34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1" s="72">
        <v>1</v>
      </c>
      <c r="J341" s="72">
        <v>1</v>
      </c>
      <c r="K341" s="72" t="b">
        <v>0</v>
      </c>
      <c r="AI341" t="s">
        <v>385</v>
      </c>
      <c r="AJ341">
        <v>1</v>
      </c>
      <c r="AK341">
        <v>170</v>
      </c>
      <c r="AL341">
        <v>100</v>
      </c>
      <c r="AM341" s="75">
        <f ca="1">INDIRECT(ADDRESS(11+(MATCH(RIGHT(Table2[[#This Row],[spawner_sku]],LEN(Table2[[#This Row],[spawner_sku]])-FIND("/",Table2[[#This Row],[spawner_sku]])),Table1[Entity Prefab],0)),10,1,1,"Entities"))</f>
        <v>75</v>
      </c>
      <c r="AN341" s="75">
        <f ca="1">ROUND((Table2[[#This Row],[XP]]*Table2[[#This Row],[entity_spawned (AVG)]])*(Table2[[#This Row],[activating_chance]]/100),0)</f>
        <v>75</v>
      </c>
      <c r="AO34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41" s="72">
        <v>1</v>
      </c>
      <c r="AQ341" s="72">
        <v>1</v>
      </c>
      <c r="AR341" s="72" t="b">
        <v>0</v>
      </c>
      <c r="BP341" t="s">
        <v>490</v>
      </c>
      <c r="BQ341">
        <v>1</v>
      </c>
      <c r="BR341">
        <v>200</v>
      </c>
      <c r="BS341">
        <v>100</v>
      </c>
      <c r="BT341" s="75">
        <f ca="1">INDIRECT(ADDRESS(11+(MATCH(RIGHT(Table61011[[#This Row],[spawner_sku]],LEN(Table61011[[#This Row],[spawner_sku]])-FIND("/",Table61011[[#This Row],[spawner_sku]])),Table1[Entity Prefab],0)),10,1,1,"Entities"))</f>
        <v>28</v>
      </c>
      <c r="BU341" s="75">
        <f ca="1">ROUND((Table61011[[#This Row],[XP]]*Table61011[[#This Row],[entity_spawned (AVG)]])*(Table61011[[#This Row],[activating_chance]]/100),0)</f>
        <v>28</v>
      </c>
      <c r="BV34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41" s="72">
        <v>1</v>
      </c>
      <c r="BX341" s="72">
        <v>1</v>
      </c>
      <c r="BY341" s="72" t="b">
        <v>0</v>
      </c>
      <c r="CA341" t="s">
        <v>453</v>
      </c>
      <c r="CB341">
        <v>1</v>
      </c>
      <c r="CC341">
        <v>300</v>
      </c>
      <c r="CD341">
        <v>100</v>
      </c>
      <c r="CE341" s="75">
        <f ca="1">INDIRECT(ADDRESS(11+(MATCH(RIGHT(Table11[[#This Row],[spawner_sku]],LEN(Table11[[#This Row],[spawner_sku]])-FIND("/",Table11[[#This Row],[spawner_sku]])),Table1[Entity Prefab],0)),10,1,1,"Entities"))</f>
        <v>75</v>
      </c>
      <c r="CF341">
        <f ca="1">ROUND((Table11[[#This Row],[XP]]*Table11[[#This Row],[entity_spawned (AVG)]])*(Table11[[#This Row],[activating_chance]]/100),0)</f>
        <v>75</v>
      </c>
      <c r="CG341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41" s="72">
        <v>1</v>
      </c>
      <c r="CI341" s="72">
        <v>1</v>
      </c>
      <c r="CJ341" s="72" t="b">
        <v>0</v>
      </c>
      <c r="CW341" t="s">
        <v>384</v>
      </c>
      <c r="CX341">
        <v>2.5</v>
      </c>
      <c r="CY341">
        <v>100</v>
      </c>
      <c r="CZ341">
        <v>80</v>
      </c>
      <c r="DA341" s="75">
        <f ca="1">INDIRECT(ADDRESS(11+(MATCH(RIGHT(Table13[[#This Row],[spawner_sku]],LEN(Table13[[#This Row],[spawner_sku]])-FIND("/",Table13[[#This Row],[spawner_sku]])),Table1[Entity Prefab],0)),10,1,1,"Entities"))</f>
        <v>25</v>
      </c>
      <c r="DB341" s="75">
        <f ca="1">ROUND((Table13[[#This Row],[XP]]*Table13[[#This Row],[entity_spawned (AVG)]])*(Table13[[#This Row],[activating_chance]]/100),0)</f>
        <v>50</v>
      </c>
      <c r="DC341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41" s="72">
        <v>2</v>
      </c>
      <c r="DE341" s="72">
        <v>3</v>
      </c>
      <c r="DF341" s="72" t="b">
        <v>0</v>
      </c>
      <c r="DH341" t="s">
        <v>389</v>
      </c>
      <c r="DI341">
        <v>1</v>
      </c>
      <c r="DJ341">
        <v>450</v>
      </c>
      <c r="DK341">
        <v>30</v>
      </c>
      <c r="DL341" s="75">
        <f ca="1">INDIRECT(ADDRESS(11+(MATCH(RIGHT(Table14[[#This Row],[spawner_sku]],LEN(Table14[[#This Row],[spawner_sku]])-FIND("/",Table14[[#This Row],[spawner_sku]])),Table1[Entity Prefab],0)),10,1,1,"Entities"))</f>
        <v>0</v>
      </c>
      <c r="DM341" s="75">
        <f ca="1">ROUND((Table14[[#This Row],[XP]]*Table14[[#This Row],[entity_spawned (AVG)]])*(Table14[[#This Row],[activating_chance]]/100),0)</f>
        <v>0</v>
      </c>
      <c r="DN34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341" s="72">
        <v>1</v>
      </c>
      <c r="DP341" s="72">
        <v>1</v>
      </c>
      <c r="DQ341" s="72" t="b">
        <v>0</v>
      </c>
    </row>
    <row r="342" spans="2:132" x14ac:dyDescent="0.25">
      <c r="B342" s="73" t="s">
        <v>242</v>
      </c>
      <c r="C342">
        <v>1</v>
      </c>
      <c r="D342">
        <v>1500</v>
      </c>
      <c r="E342">
        <v>20</v>
      </c>
      <c r="F342" s="75">
        <f ca="1">INDIRECT(ADDRESS(11+(MATCH(RIGHT(Table245[[#This Row],[spawner_sku]],LEN(Table245[[#This Row],[spawner_sku]])-FIND("/",Table245[[#This Row],[spawner_sku]])),Table1[Entity Prefab],0)),10,1,1,"Entities"))</f>
        <v>130</v>
      </c>
      <c r="G342" s="75">
        <f ca="1">ROUND((Table245[[#This Row],[XP]]*Table245[[#This Row],[entity_spawned (AVG)]])*(Table245[[#This Row],[activating_chance]]/100),0)</f>
        <v>26</v>
      </c>
      <c r="H34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2" s="72">
        <v>1</v>
      </c>
      <c r="J342" s="72">
        <v>1</v>
      </c>
      <c r="K342" s="72" t="b">
        <v>0</v>
      </c>
      <c r="AI342" t="s">
        <v>385</v>
      </c>
      <c r="AJ342">
        <v>1</v>
      </c>
      <c r="AK342">
        <v>220</v>
      </c>
      <c r="AL342">
        <v>100</v>
      </c>
      <c r="AM342" s="75">
        <f ca="1">INDIRECT(ADDRESS(11+(MATCH(RIGHT(Table2[[#This Row],[spawner_sku]],LEN(Table2[[#This Row],[spawner_sku]])-FIND("/",Table2[[#This Row],[spawner_sku]])),Table1[Entity Prefab],0)),10,1,1,"Entities"))</f>
        <v>75</v>
      </c>
      <c r="AN342" s="75">
        <f ca="1">ROUND((Table2[[#This Row],[XP]]*Table2[[#This Row],[entity_spawned (AVG)]])*(Table2[[#This Row],[activating_chance]]/100),0)</f>
        <v>75</v>
      </c>
      <c r="AO34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42" s="72">
        <v>1</v>
      </c>
      <c r="AQ342" s="72">
        <v>1</v>
      </c>
      <c r="AR342" s="72" t="b">
        <v>0</v>
      </c>
      <c r="BP342" t="s">
        <v>490</v>
      </c>
      <c r="BQ342">
        <v>1</v>
      </c>
      <c r="BR342">
        <v>220</v>
      </c>
      <c r="BS342">
        <v>100</v>
      </c>
      <c r="BT342" s="75">
        <f ca="1">INDIRECT(ADDRESS(11+(MATCH(RIGHT(Table61011[[#This Row],[spawner_sku]],LEN(Table61011[[#This Row],[spawner_sku]])-FIND("/",Table61011[[#This Row],[spawner_sku]])),Table1[Entity Prefab],0)),10,1,1,"Entities"))</f>
        <v>28</v>
      </c>
      <c r="BU342" s="75">
        <f ca="1">ROUND((Table61011[[#This Row],[XP]]*Table61011[[#This Row],[entity_spawned (AVG)]])*(Table61011[[#This Row],[activating_chance]]/100),0)</f>
        <v>28</v>
      </c>
      <c r="BV34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42" s="72">
        <v>1</v>
      </c>
      <c r="BX342" s="72">
        <v>1</v>
      </c>
      <c r="BY342" s="72" t="b">
        <v>0</v>
      </c>
      <c r="CA342" t="s">
        <v>453</v>
      </c>
      <c r="CB342">
        <v>1</v>
      </c>
      <c r="CC342">
        <v>300</v>
      </c>
      <c r="CD342">
        <v>100</v>
      </c>
      <c r="CE342" s="75">
        <f ca="1">INDIRECT(ADDRESS(11+(MATCH(RIGHT(Table11[[#This Row],[spawner_sku]],LEN(Table11[[#This Row],[spawner_sku]])-FIND("/",Table11[[#This Row],[spawner_sku]])),Table1[Entity Prefab],0)),10,1,1,"Entities"))</f>
        <v>75</v>
      </c>
      <c r="CF342">
        <f ca="1">ROUND((Table11[[#This Row],[XP]]*Table11[[#This Row],[entity_spawned (AVG)]])*(Table11[[#This Row],[activating_chance]]/100),0)</f>
        <v>75</v>
      </c>
      <c r="CG342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42" s="72">
        <v>1</v>
      </c>
      <c r="CI342" s="72">
        <v>1</v>
      </c>
      <c r="CJ342" s="72" t="b">
        <v>0</v>
      </c>
      <c r="CW342" t="s">
        <v>384</v>
      </c>
      <c r="CX342">
        <v>3.5</v>
      </c>
      <c r="CY342">
        <v>100</v>
      </c>
      <c r="CZ342">
        <v>70</v>
      </c>
      <c r="DA342" s="75">
        <f ca="1">INDIRECT(ADDRESS(11+(MATCH(RIGHT(Table13[[#This Row],[spawner_sku]],LEN(Table13[[#This Row],[spawner_sku]])-FIND("/",Table13[[#This Row],[spawner_sku]])),Table1[Entity Prefab],0)),10,1,1,"Entities"))</f>
        <v>25</v>
      </c>
      <c r="DB342" s="75">
        <f ca="1">ROUND((Table13[[#This Row],[XP]]*Table13[[#This Row],[entity_spawned (AVG)]])*(Table13[[#This Row],[activating_chance]]/100),0)</f>
        <v>61</v>
      </c>
      <c r="DC342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42" s="72">
        <v>3</v>
      </c>
      <c r="DE342" s="72">
        <v>4</v>
      </c>
      <c r="DF342" s="72" t="b">
        <v>0</v>
      </c>
      <c r="DH342" t="s">
        <v>389</v>
      </c>
      <c r="DI342">
        <v>1</v>
      </c>
      <c r="DJ342">
        <v>450</v>
      </c>
      <c r="DK342">
        <v>100</v>
      </c>
      <c r="DL342" s="75">
        <f ca="1">INDIRECT(ADDRESS(11+(MATCH(RIGHT(Table14[[#This Row],[spawner_sku]],LEN(Table14[[#This Row],[spawner_sku]])-FIND("/",Table14[[#This Row],[spawner_sku]])),Table1[Entity Prefab],0)),10,1,1,"Entities"))</f>
        <v>0</v>
      </c>
      <c r="DM342" s="75">
        <f ca="1">ROUND((Table14[[#This Row],[XP]]*Table14[[#This Row],[entity_spawned (AVG)]])*(Table14[[#This Row],[activating_chance]]/100),0)</f>
        <v>0</v>
      </c>
      <c r="DN34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342" s="72">
        <v>1</v>
      </c>
      <c r="DP342" s="72">
        <v>1</v>
      </c>
      <c r="DQ342" s="72" t="b">
        <v>0</v>
      </c>
    </row>
    <row r="343" spans="2:132" x14ac:dyDescent="0.25">
      <c r="B343" s="73" t="s">
        <v>242</v>
      </c>
      <c r="C343">
        <v>1</v>
      </c>
      <c r="D343">
        <v>1500</v>
      </c>
      <c r="E343">
        <v>100</v>
      </c>
      <c r="F343" s="75">
        <f ca="1">INDIRECT(ADDRESS(11+(MATCH(RIGHT(Table245[[#This Row],[spawner_sku]],LEN(Table245[[#This Row],[spawner_sku]])-FIND("/",Table245[[#This Row],[spawner_sku]])),Table1[Entity Prefab],0)),10,1,1,"Entities"))</f>
        <v>130</v>
      </c>
      <c r="G343" s="75">
        <f ca="1">ROUND((Table245[[#This Row],[XP]]*Table245[[#This Row],[entity_spawned (AVG)]])*(Table245[[#This Row],[activating_chance]]/100),0)</f>
        <v>130</v>
      </c>
      <c r="H34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3" s="72">
        <v>1</v>
      </c>
      <c r="J343" s="72">
        <v>1</v>
      </c>
      <c r="K343" s="72" t="b">
        <v>0</v>
      </c>
      <c r="AI343" t="s">
        <v>385</v>
      </c>
      <c r="AJ343">
        <v>1</v>
      </c>
      <c r="AK343">
        <v>180</v>
      </c>
      <c r="AL343">
        <v>100</v>
      </c>
      <c r="AM343" s="75">
        <f ca="1">INDIRECT(ADDRESS(11+(MATCH(RIGHT(Table2[[#This Row],[spawner_sku]],LEN(Table2[[#This Row],[spawner_sku]])-FIND("/",Table2[[#This Row],[spawner_sku]])),Table1[Entity Prefab],0)),10,1,1,"Entities"))</f>
        <v>75</v>
      </c>
      <c r="AN343" s="75">
        <f ca="1">ROUND((Table2[[#This Row],[XP]]*Table2[[#This Row],[entity_spawned (AVG)]])*(Table2[[#This Row],[activating_chance]]/100),0)</f>
        <v>75</v>
      </c>
      <c r="AO34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43" s="72">
        <v>1</v>
      </c>
      <c r="AQ343" s="72">
        <v>1</v>
      </c>
      <c r="AR343" s="72" t="b">
        <v>0</v>
      </c>
      <c r="BP343" t="s">
        <v>490</v>
      </c>
      <c r="BQ343">
        <v>1</v>
      </c>
      <c r="BR343">
        <v>220</v>
      </c>
      <c r="BS343">
        <v>100</v>
      </c>
      <c r="BT343" s="75">
        <f ca="1">INDIRECT(ADDRESS(11+(MATCH(RIGHT(Table61011[[#This Row],[spawner_sku]],LEN(Table61011[[#This Row],[spawner_sku]])-FIND("/",Table61011[[#This Row],[spawner_sku]])),Table1[Entity Prefab],0)),10,1,1,"Entities"))</f>
        <v>28</v>
      </c>
      <c r="BU343" s="75">
        <f ca="1">ROUND((Table61011[[#This Row],[XP]]*Table61011[[#This Row],[entity_spawned (AVG)]])*(Table61011[[#This Row],[activating_chance]]/100),0)</f>
        <v>28</v>
      </c>
      <c r="BV34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43" s="72">
        <v>1</v>
      </c>
      <c r="BX343" s="72">
        <v>1</v>
      </c>
      <c r="BY343" s="72" t="b">
        <v>0</v>
      </c>
      <c r="CA343" t="s">
        <v>453</v>
      </c>
      <c r="CB343">
        <v>1</v>
      </c>
      <c r="CC343">
        <v>300</v>
      </c>
      <c r="CD343">
        <v>100</v>
      </c>
      <c r="CE343" s="75">
        <f ca="1">INDIRECT(ADDRESS(11+(MATCH(RIGHT(Table11[[#This Row],[spawner_sku]],LEN(Table11[[#This Row],[spawner_sku]])-FIND("/",Table11[[#This Row],[spawner_sku]])),Table1[Entity Prefab],0)),10,1,1,"Entities"))</f>
        <v>75</v>
      </c>
      <c r="CF343">
        <f ca="1">ROUND((Table11[[#This Row],[XP]]*Table11[[#This Row],[entity_spawned (AVG)]])*(Table11[[#This Row],[activating_chance]]/100),0)</f>
        <v>75</v>
      </c>
      <c r="CG343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43" s="72">
        <v>1</v>
      </c>
      <c r="CI343" s="72">
        <v>1</v>
      </c>
      <c r="CJ343" s="72" t="b">
        <v>0</v>
      </c>
      <c r="CW343" t="s">
        <v>384</v>
      </c>
      <c r="CX343">
        <v>2.5</v>
      </c>
      <c r="CY343">
        <v>100</v>
      </c>
      <c r="CZ343">
        <v>80</v>
      </c>
      <c r="DA343" s="75">
        <f ca="1">INDIRECT(ADDRESS(11+(MATCH(RIGHT(Table13[[#This Row],[spawner_sku]],LEN(Table13[[#This Row],[spawner_sku]])-FIND("/",Table13[[#This Row],[spawner_sku]])),Table1[Entity Prefab],0)),10,1,1,"Entities"))</f>
        <v>25</v>
      </c>
      <c r="DB343" s="75">
        <f ca="1">ROUND((Table13[[#This Row],[XP]]*Table13[[#This Row],[entity_spawned (AVG)]])*(Table13[[#This Row],[activating_chance]]/100),0)</f>
        <v>50</v>
      </c>
      <c r="DC343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43" s="72">
        <v>2</v>
      </c>
      <c r="DE343" s="72">
        <v>3</v>
      </c>
      <c r="DF343" s="72" t="b">
        <v>0</v>
      </c>
      <c r="DH343" t="s">
        <v>389</v>
      </c>
      <c r="DI343">
        <v>1</v>
      </c>
      <c r="DJ343">
        <v>450</v>
      </c>
      <c r="DK343">
        <v>100</v>
      </c>
      <c r="DL343" s="75">
        <f ca="1">INDIRECT(ADDRESS(11+(MATCH(RIGHT(Table14[[#This Row],[spawner_sku]],LEN(Table14[[#This Row],[spawner_sku]])-FIND("/",Table14[[#This Row],[spawner_sku]])),Table1[Entity Prefab],0)),10,1,1,"Entities"))</f>
        <v>0</v>
      </c>
      <c r="DM343" s="75">
        <f ca="1">ROUND((Table14[[#This Row],[XP]]*Table14[[#This Row],[entity_spawned (AVG)]])*(Table14[[#This Row],[activating_chance]]/100),0)</f>
        <v>0</v>
      </c>
      <c r="DN34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343" s="72">
        <v>1</v>
      </c>
      <c r="DP343" s="72">
        <v>1</v>
      </c>
      <c r="DQ343" s="72" t="b">
        <v>0</v>
      </c>
    </row>
    <row r="344" spans="2:132" x14ac:dyDescent="0.25">
      <c r="B344" s="73" t="s">
        <v>242</v>
      </c>
      <c r="C344">
        <v>1</v>
      </c>
      <c r="D344">
        <v>1500</v>
      </c>
      <c r="E344">
        <v>100</v>
      </c>
      <c r="F344" s="75">
        <f ca="1">INDIRECT(ADDRESS(11+(MATCH(RIGHT(Table245[[#This Row],[spawner_sku]],LEN(Table245[[#This Row],[spawner_sku]])-FIND("/",Table245[[#This Row],[spawner_sku]])),Table1[Entity Prefab],0)),10,1,1,"Entities"))</f>
        <v>130</v>
      </c>
      <c r="G344" s="75">
        <f ca="1">ROUND((Table245[[#This Row],[XP]]*Table245[[#This Row],[entity_spawned (AVG)]])*(Table245[[#This Row],[activating_chance]]/100),0)</f>
        <v>130</v>
      </c>
      <c r="H34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4" s="72">
        <v>1</v>
      </c>
      <c r="J344" s="72">
        <v>1</v>
      </c>
      <c r="K344" s="72" t="b">
        <v>0</v>
      </c>
      <c r="AI344" t="s">
        <v>606</v>
      </c>
      <c r="AJ344">
        <v>1</v>
      </c>
      <c r="AK344">
        <v>5000</v>
      </c>
      <c r="AL344">
        <v>30</v>
      </c>
      <c r="AM344" s="75">
        <f ca="1">INDIRECT(ADDRESS(11+(MATCH(RIGHT(Table2[[#This Row],[spawner_sku]],LEN(Table2[[#This Row],[spawner_sku]])-FIND("/",Table2[[#This Row],[spawner_sku]])),Table1[Entity Prefab],0)),10,1,1,"Entities"))</f>
        <v>25</v>
      </c>
      <c r="AN344" s="75">
        <f ca="1">ROUND((Table2[[#This Row],[XP]]*Table2[[#This Row],[entity_spawned (AVG)]])*(Table2[[#This Row],[activating_chance]]/100),0)</f>
        <v>8</v>
      </c>
      <c r="AO34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44" s="72">
        <v>1</v>
      </c>
      <c r="AQ344" s="72">
        <v>1</v>
      </c>
      <c r="AR344" s="72" t="b">
        <v>0</v>
      </c>
      <c r="BP344" t="s">
        <v>491</v>
      </c>
      <c r="BQ344">
        <v>1</v>
      </c>
      <c r="BR344">
        <v>160</v>
      </c>
      <c r="BS344">
        <v>100</v>
      </c>
      <c r="BT34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44" s="75">
        <f ca="1">ROUND((Table61011[[#This Row],[XP]]*Table61011[[#This Row],[entity_spawned (AVG)]])*(Table61011[[#This Row],[activating_chance]]/100),0)</f>
        <v>25</v>
      </c>
      <c r="BV34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44" s="72">
        <v>1</v>
      </c>
      <c r="BX344" s="72">
        <v>1</v>
      </c>
      <c r="BY344" s="72" t="b">
        <v>0</v>
      </c>
      <c r="CA344" t="s">
        <v>453</v>
      </c>
      <c r="CB344">
        <v>1</v>
      </c>
      <c r="CC344">
        <v>300</v>
      </c>
      <c r="CD344">
        <v>100</v>
      </c>
      <c r="CE344" s="75">
        <f ca="1">INDIRECT(ADDRESS(11+(MATCH(RIGHT(Table11[[#This Row],[spawner_sku]],LEN(Table11[[#This Row],[spawner_sku]])-FIND("/",Table11[[#This Row],[spawner_sku]])),Table1[Entity Prefab],0)),10,1,1,"Entities"))</f>
        <v>75</v>
      </c>
      <c r="CF344">
        <f ca="1">ROUND((Table11[[#This Row],[XP]]*Table11[[#This Row],[entity_spawned (AVG)]])*(Table11[[#This Row],[activating_chance]]/100),0)</f>
        <v>75</v>
      </c>
      <c r="CG344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44" s="72">
        <v>1</v>
      </c>
      <c r="CI344" s="72">
        <v>1</v>
      </c>
      <c r="CJ344" s="72" t="b">
        <v>0</v>
      </c>
      <c r="CW344" t="s">
        <v>384</v>
      </c>
      <c r="CX344">
        <v>1.5</v>
      </c>
      <c r="CY344">
        <v>100</v>
      </c>
      <c r="CZ344">
        <v>20</v>
      </c>
      <c r="DA344" s="75">
        <f ca="1">INDIRECT(ADDRESS(11+(MATCH(RIGHT(Table13[[#This Row],[spawner_sku]],LEN(Table13[[#This Row],[spawner_sku]])-FIND("/",Table13[[#This Row],[spawner_sku]])),Table1[Entity Prefab],0)),10,1,1,"Entities"))</f>
        <v>25</v>
      </c>
      <c r="DB344" s="75">
        <f ca="1">ROUND((Table13[[#This Row],[XP]]*Table13[[#This Row],[entity_spawned (AVG)]])*(Table13[[#This Row],[activating_chance]]/100),0)</f>
        <v>8</v>
      </c>
      <c r="DC344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44" s="72">
        <v>1</v>
      </c>
      <c r="DE344" s="72">
        <v>2</v>
      </c>
      <c r="DF344" s="72" t="b">
        <v>0</v>
      </c>
      <c r="DH344" t="s">
        <v>389</v>
      </c>
      <c r="DI344">
        <v>1</v>
      </c>
      <c r="DJ344">
        <v>450</v>
      </c>
      <c r="DK344">
        <v>100</v>
      </c>
      <c r="DL344" s="75">
        <f ca="1">INDIRECT(ADDRESS(11+(MATCH(RIGHT(Table14[[#This Row],[spawner_sku]],LEN(Table14[[#This Row],[spawner_sku]])-FIND("/",Table14[[#This Row],[spawner_sku]])),Table1[Entity Prefab],0)),10,1,1,"Entities"))</f>
        <v>0</v>
      </c>
      <c r="DM344" s="75">
        <f ca="1">ROUND((Table14[[#This Row],[XP]]*Table14[[#This Row],[entity_spawned (AVG)]])*(Table14[[#This Row],[activating_chance]]/100),0)</f>
        <v>0</v>
      </c>
      <c r="DN34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344" s="72">
        <v>1</v>
      </c>
      <c r="DP344" s="72">
        <v>1</v>
      </c>
      <c r="DQ344" s="72" t="b">
        <v>0</v>
      </c>
    </row>
    <row r="345" spans="2:132" x14ac:dyDescent="0.25">
      <c r="B345" s="73" t="s">
        <v>242</v>
      </c>
      <c r="C345">
        <v>1</v>
      </c>
      <c r="D345">
        <v>1500</v>
      </c>
      <c r="E345">
        <v>100</v>
      </c>
      <c r="F345" s="75">
        <f ca="1">INDIRECT(ADDRESS(11+(MATCH(RIGHT(Table245[[#This Row],[spawner_sku]],LEN(Table245[[#This Row],[spawner_sku]])-FIND("/",Table245[[#This Row],[spawner_sku]])),Table1[Entity Prefab],0)),10,1,1,"Entities"))</f>
        <v>130</v>
      </c>
      <c r="G345" s="75">
        <f ca="1">ROUND((Table245[[#This Row],[XP]]*Table245[[#This Row],[entity_spawned (AVG)]])*(Table245[[#This Row],[activating_chance]]/100),0)</f>
        <v>130</v>
      </c>
      <c r="H34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5" s="72">
        <v>1</v>
      </c>
      <c r="J345" s="72">
        <v>1</v>
      </c>
      <c r="K345" s="72" t="b">
        <v>0</v>
      </c>
      <c r="AI345" t="s">
        <v>606</v>
      </c>
      <c r="AJ345">
        <v>1</v>
      </c>
      <c r="AK345">
        <v>5000</v>
      </c>
      <c r="AL345">
        <v>30</v>
      </c>
      <c r="AM345" s="75">
        <f ca="1">INDIRECT(ADDRESS(11+(MATCH(RIGHT(Table2[[#This Row],[spawner_sku]],LEN(Table2[[#This Row],[spawner_sku]])-FIND("/",Table2[[#This Row],[spawner_sku]])),Table1[Entity Prefab],0)),10,1,1,"Entities"))</f>
        <v>25</v>
      </c>
      <c r="AN345" s="75">
        <f ca="1">ROUND((Table2[[#This Row],[XP]]*Table2[[#This Row],[entity_spawned (AVG)]])*(Table2[[#This Row],[activating_chance]]/100),0)</f>
        <v>8</v>
      </c>
      <c r="AO34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45" s="72">
        <v>1</v>
      </c>
      <c r="AQ345" s="72">
        <v>1</v>
      </c>
      <c r="AR345" s="72" t="b">
        <v>0</v>
      </c>
      <c r="BP345" t="s">
        <v>491</v>
      </c>
      <c r="BQ345">
        <v>1</v>
      </c>
      <c r="BR345">
        <v>160</v>
      </c>
      <c r="BS345">
        <v>100</v>
      </c>
      <c r="BT34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45" s="75">
        <f ca="1">ROUND((Table61011[[#This Row],[XP]]*Table61011[[#This Row],[entity_spawned (AVG)]])*(Table61011[[#This Row],[activating_chance]]/100),0)</f>
        <v>25</v>
      </c>
      <c r="BV34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45" s="72">
        <v>1</v>
      </c>
      <c r="BX345" s="72">
        <v>1</v>
      </c>
      <c r="BY345" s="72" t="b">
        <v>0</v>
      </c>
      <c r="CA345" t="s">
        <v>453</v>
      </c>
      <c r="CB345">
        <v>1</v>
      </c>
      <c r="CC345">
        <v>300</v>
      </c>
      <c r="CD345">
        <v>100</v>
      </c>
      <c r="CE345" s="75">
        <f ca="1">INDIRECT(ADDRESS(11+(MATCH(RIGHT(Table11[[#This Row],[spawner_sku]],LEN(Table11[[#This Row],[spawner_sku]])-FIND("/",Table11[[#This Row],[spawner_sku]])),Table1[Entity Prefab],0)),10,1,1,"Entities"))</f>
        <v>75</v>
      </c>
      <c r="CF345">
        <f ca="1">ROUND((Table11[[#This Row],[XP]]*Table11[[#This Row],[entity_spawned (AVG)]])*(Table11[[#This Row],[activating_chance]]/100),0)</f>
        <v>75</v>
      </c>
      <c r="CG345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45" s="72">
        <v>1</v>
      </c>
      <c r="CI345" s="72">
        <v>1</v>
      </c>
      <c r="CJ345" s="72" t="b">
        <v>0</v>
      </c>
      <c r="CW345" t="s">
        <v>384</v>
      </c>
      <c r="CX345">
        <v>3.5</v>
      </c>
      <c r="CY345">
        <v>100</v>
      </c>
      <c r="CZ345">
        <v>70</v>
      </c>
      <c r="DA345" s="75">
        <f ca="1">INDIRECT(ADDRESS(11+(MATCH(RIGHT(Table13[[#This Row],[spawner_sku]],LEN(Table13[[#This Row],[spawner_sku]])-FIND("/",Table13[[#This Row],[spawner_sku]])),Table1[Entity Prefab],0)),10,1,1,"Entities"))</f>
        <v>25</v>
      </c>
      <c r="DB345" s="75">
        <f ca="1">ROUND((Table13[[#This Row],[XP]]*Table13[[#This Row],[entity_spawned (AVG)]])*(Table13[[#This Row],[activating_chance]]/100),0)</f>
        <v>61</v>
      </c>
      <c r="DC345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45" s="72">
        <v>3</v>
      </c>
      <c r="DE345" s="72">
        <v>4</v>
      </c>
      <c r="DF345" s="72" t="b">
        <v>0</v>
      </c>
      <c r="DH345" t="s">
        <v>389</v>
      </c>
      <c r="DI345">
        <v>1</v>
      </c>
      <c r="DJ345">
        <v>450</v>
      </c>
      <c r="DK345">
        <v>100</v>
      </c>
      <c r="DL345" s="75">
        <f ca="1">INDIRECT(ADDRESS(11+(MATCH(RIGHT(Table14[[#This Row],[spawner_sku]],LEN(Table14[[#This Row],[spawner_sku]])-FIND("/",Table14[[#This Row],[spawner_sku]])),Table1[Entity Prefab],0)),10,1,1,"Entities"))</f>
        <v>0</v>
      </c>
      <c r="DM345" s="75">
        <f ca="1">ROUND((Table14[[#This Row],[XP]]*Table14[[#This Row],[entity_spawned (AVG)]])*(Table14[[#This Row],[activating_chance]]/100),0)</f>
        <v>0</v>
      </c>
      <c r="DN34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345" s="72">
        <v>1</v>
      </c>
      <c r="DP345" s="72">
        <v>1</v>
      </c>
      <c r="DQ345" s="72" t="b">
        <v>0</v>
      </c>
    </row>
    <row r="346" spans="2:132" x14ac:dyDescent="0.25">
      <c r="B346" s="73" t="s">
        <v>242</v>
      </c>
      <c r="C346">
        <v>1</v>
      </c>
      <c r="D346">
        <v>1500</v>
      </c>
      <c r="E346">
        <v>100</v>
      </c>
      <c r="F346" s="75">
        <f ca="1">INDIRECT(ADDRESS(11+(MATCH(RIGHT(Table245[[#This Row],[spawner_sku]],LEN(Table245[[#This Row],[spawner_sku]])-FIND("/",Table245[[#This Row],[spawner_sku]])),Table1[Entity Prefab],0)),10,1,1,"Entities"))</f>
        <v>130</v>
      </c>
      <c r="G346" s="75">
        <f ca="1">ROUND((Table245[[#This Row],[XP]]*Table245[[#This Row],[entity_spawned (AVG)]])*(Table245[[#This Row],[activating_chance]]/100),0)</f>
        <v>130</v>
      </c>
      <c r="H34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6" s="72">
        <v>1</v>
      </c>
      <c r="J346" s="72">
        <v>1</v>
      </c>
      <c r="K346" s="72" t="b">
        <v>0</v>
      </c>
      <c r="AI346" t="s">
        <v>606</v>
      </c>
      <c r="AJ346">
        <v>1</v>
      </c>
      <c r="AK346">
        <v>5000</v>
      </c>
      <c r="AL346">
        <v>30</v>
      </c>
      <c r="AM346" s="75">
        <f ca="1">INDIRECT(ADDRESS(11+(MATCH(RIGHT(Table2[[#This Row],[spawner_sku]],LEN(Table2[[#This Row],[spawner_sku]])-FIND("/",Table2[[#This Row],[spawner_sku]])),Table1[Entity Prefab],0)),10,1,1,"Entities"))</f>
        <v>25</v>
      </c>
      <c r="AN346" s="75">
        <f ca="1">ROUND((Table2[[#This Row],[XP]]*Table2[[#This Row],[entity_spawned (AVG)]])*(Table2[[#This Row],[activating_chance]]/100),0)</f>
        <v>8</v>
      </c>
      <c r="AO34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46" s="72">
        <v>1</v>
      </c>
      <c r="AQ346" s="72">
        <v>1</v>
      </c>
      <c r="AR346" s="72" t="b">
        <v>0</v>
      </c>
      <c r="BP346" t="s">
        <v>491</v>
      </c>
      <c r="BQ346">
        <v>1</v>
      </c>
      <c r="BR346">
        <v>160</v>
      </c>
      <c r="BS346">
        <v>100</v>
      </c>
      <c r="BT34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46" s="75">
        <f ca="1">ROUND((Table61011[[#This Row],[XP]]*Table61011[[#This Row],[entity_spawned (AVG)]])*(Table61011[[#This Row],[activating_chance]]/100),0)</f>
        <v>25</v>
      </c>
      <c r="BV34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46" s="72">
        <v>1</v>
      </c>
      <c r="BX346" s="72">
        <v>1</v>
      </c>
      <c r="BY346" s="72" t="b">
        <v>0</v>
      </c>
      <c r="CA346" t="s">
        <v>453</v>
      </c>
      <c r="CB346">
        <v>1</v>
      </c>
      <c r="CC346">
        <v>270</v>
      </c>
      <c r="CD346">
        <v>100</v>
      </c>
      <c r="CE346" s="75">
        <f ca="1">INDIRECT(ADDRESS(11+(MATCH(RIGHT(Table11[[#This Row],[spawner_sku]],LEN(Table11[[#This Row],[spawner_sku]])-FIND("/",Table11[[#This Row],[spawner_sku]])),Table1[Entity Prefab],0)),10,1,1,"Entities"))</f>
        <v>75</v>
      </c>
      <c r="CF346">
        <f ca="1">ROUND((Table11[[#This Row],[XP]]*Table11[[#This Row],[entity_spawned (AVG)]])*(Table11[[#This Row],[activating_chance]]/100),0)</f>
        <v>75</v>
      </c>
      <c r="CG346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46" s="72">
        <v>1</v>
      </c>
      <c r="CI346" s="72">
        <v>1</v>
      </c>
      <c r="CJ346" s="72" t="b">
        <v>0</v>
      </c>
      <c r="CW346" t="s">
        <v>384</v>
      </c>
      <c r="CX346">
        <v>2</v>
      </c>
      <c r="CY346">
        <v>100</v>
      </c>
      <c r="CZ346">
        <v>100</v>
      </c>
      <c r="DA346" s="75">
        <f ca="1">INDIRECT(ADDRESS(11+(MATCH(RIGHT(Table13[[#This Row],[spawner_sku]],LEN(Table13[[#This Row],[spawner_sku]])-FIND("/",Table13[[#This Row],[spawner_sku]])),Table1[Entity Prefab],0)),10,1,1,"Entities"))</f>
        <v>25</v>
      </c>
      <c r="DB346" s="75">
        <f ca="1">ROUND((Table13[[#This Row],[XP]]*Table13[[#This Row],[entity_spawned (AVG)]])*(Table13[[#This Row],[activating_chance]]/100),0)</f>
        <v>50</v>
      </c>
      <c r="DC346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46" s="72">
        <v>1</v>
      </c>
      <c r="DE346" s="72">
        <v>3</v>
      </c>
      <c r="DF346" s="72" t="b">
        <v>0</v>
      </c>
      <c r="DH346" t="s">
        <v>389</v>
      </c>
      <c r="DI346">
        <v>1</v>
      </c>
      <c r="DJ346">
        <v>450</v>
      </c>
      <c r="DK346">
        <v>100</v>
      </c>
      <c r="DL346" s="75">
        <f ca="1">INDIRECT(ADDRESS(11+(MATCH(RIGHT(Table14[[#This Row],[spawner_sku]],LEN(Table14[[#This Row],[spawner_sku]])-FIND("/",Table14[[#This Row],[spawner_sku]])),Table1[Entity Prefab],0)),10,1,1,"Entities"))</f>
        <v>0</v>
      </c>
      <c r="DM346" s="75">
        <f ca="1">ROUND((Table14[[#This Row],[XP]]*Table14[[#This Row],[entity_spawned (AVG)]])*(Table14[[#This Row],[activating_chance]]/100),0)</f>
        <v>0</v>
      </c>
      <c r="DN34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346" s="72">
        <v>1</v>
      </c>
      <c r="DP346" s="72">
        <v>1</v>
      </c>
      <c r="DQ346" s="72" t="b">
        <v>0</v>
      </c>
    </row>
    <row r="347" spans="2:132" x14ac:dyDescent="0.25">
      <c r="B347" s="73" t="s">
        <v>242</v>
      </c>
      <c r="C347">
        <v>1</v>
      </c>
      <c r="D347">
        <v>1500</v>
      </c>
      <c r="E347">
        <v>100</v>
      </c>
      <c r="F347" s="75">
        <f ca="1">INDIRECT(ADDRESS(11+(MATCH(RIGHT(Table245[[#This Row],[spawner_sku]],LEN(Table245[[#This Row],[spawner_sku]])-FIND("/",Table245[[#This Row],[spawner_sku]])),Table1[Entity Prefab],0)),10,1,1,"Entities"))</f>
        <v>130</v>
      </c>
      <c r="G347" s="75">
        <f ca="1">ROUND((Table245[[#This Row],[XP]]*Table245[[#This Row],[entity_spawned (AVG)]])*(Table245[[#This Row],[activating_chance]]/100),0)</f>
        <v>130</v>
      </c>
      <c r="H34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7" s="72">
        <v>1</v>
      </c>
      <c r="J347" s="72">
        <v>1</v>
      </c>
      <c r="K347" s="72" t="b">
        <v>0</v>
      </c>
      <c r="AI347" t="s">
        <v>606</v>
      </c>
      <c r="AJ347">
        <v>1</v>
      </c>
      <c r="AK347">
        <v>5000</v>
      </c>
      <c r="AL347">
        <v>30</v>
      </c>
      <c r="AM347" s="75">
        <f ca="1">INDIRECT(ADDRESS(11+(MATCH(RIGHT(Table2[[#This Row],[spawner_sku]],LEN(Table2[[#This Row],[spawner_sku]])-FIND("/",Table2[[#This Row],[spawner_sku]])),Table1[Entity Prefab],0)),10,1,1,"Entities"))</f>
        <v>25</v>
      </c>
      <c r="AN347" s="75">
        <f ca="1">ROUND((Table2[[#This Row],[XP]]*Table2[[#This Row],[entity_spawned (AVG)]])*(Table2[[#This Row],[activating_chance]]/100),0)</f>
        <v>8</v>
      </c>
      <c r="AO34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47" s="72">
        <v>1</v>
      </c>
      <c r="AQ347" s="72">
        <v>1</v>
      </c>
      <c r="AR347" s="72" t="b">
        <v>0</v>
      </c>
      <c r="BP347" t="s">
        <v>491</v>
      </c>
      <c r="BQ347">
        <v>1</v>
      </c>
      <c r="BR347">
        <v>160</v>
      </c>
      <c r="BS347">
        <v>100</v>
      </c>
      <c r="BT34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47" s="75">
        <f ca="1">ROUND((Table61011[[#This Row],[XP]]*Table61011[[#This Row],[entity_spawned (AVG)]])*(Table61011[[#This Row],[activating_chance]]/100),0)</f>
        <v>25</v>
      </c>
      <c r="BV34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47" s="72">
        <v>1</v>
      </c>
      <c r="BX347" s="72">
        <v>1</v>
      </c>
      <c r="BY347" s="72" t="b">
        <v>0</v>
      </c>
      <c r="CA347" t="s">
        <v>453</v>
      </c>
      <c r="CB347">
        <v>1</v>
      </c>
      <c r="CC347">
        <v>270</v>
      </c>
      <c r="CD347">
        <v>100</v>
      </c>
      <c r="CE347" s="75">
        <f ca="1">INDIRECT(ADDRESS(11+(MATCH(RIGHT(Table11[[#This Row],[spawner_sku]],LEN(Table11[[#This Row],[spawner_sku]])-FIND("/",Table11[[#This Row],[spawner_sku]])),Table1[Entity Prefab],0)),10,1,1,"Entities"))</f>
        <v>75</v>
      </c>
      <c r="CF347">
        <f ca="1">ROUND((Table11[[#This Row],[XP]]*Table11[[#This Row],[entity_spawned (AVG)]])*(Table11[[#This Row],[activating_chance]]/100),0)</f>
        <v>75</v>
      </c>
      <c r="CG347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47" s="72">
        <v>1</v>
      </c>
      <c r="CI347" s="72">
        <v>1</v>
      </c>
      <c r="CJ347" s="72" t="b">
        <v>0</v>
      </c>
      <c r="CW347" t="s">
        <v>534</v>
      </c>
      <c r="CX347">
        <v>6.5</v>
      </c>
      <c r="CY347">
        <v>100</v>
      </c>
      <c r="CZ347">
        <v>100</v>
      </c>
      <c r="DA347" s="75">
        <f ca="1">INDIRECT(ADDRESS(11+(MATCH(RIGHT(Table13[[#This Row],[spawner_sku]],LEN(Table13[[#This Row],[spawner_sku]])-FIND("/",Table13[[#This Row],[spawner_sku]])),Table1[Entity Prefab],0)),10,1,1,"Entities"))</f>
        <v>25</v>
      </c>
      <c r="DB347" s="75">
        <f ca="1">ROUND((Table13[[#This Row],[XP]]*Table13[[#This Row],[entity_spawned (AVG)]])*(Table13[[#This Row],[activating_chance]]/100),0)</f>
        <v>163</v>
      </c>
      <c r="DC347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47" s="72">
        <v>5</v>
      </c>
      <c r="DE347" s="72">
        <v>8</v>
      </c>
      <c r="DF347" s="72" t="b">
        <v>1</v>
      </c>
      <c r="DH347" t="s">
        <v>470</v>
      </c>
      <c r="DI347">
        <v>1</v>
      </c>
      <c r="DJ347">
        <v>240</v>
      </c>
      <c r="DK347">
        <v>100</v>
      </c>
      <c r="DL347" s="75">
        <f ca="1">INDIRECT(ADDRESS(11+(MATCH(RIGHT(Table14[[#This Row],[spawner_sku]],LEN(Table14[[#This Row],[spawner_sku]])-FIND("/",Table14[[#This Row],[spawner_sku]])),Table1[Entity Prefab],0)),10,1,1,"Entities"))</f>
        <v>83</v>
      </c>
      <c r="DM347" s="75">
        <f ca="1">ROUND((Table14[[#This Row],[XP]]*Table14[[#This Row],[entity_spawned (AVG)]])*(Table14[[#This Row],[activating_chance]]/100),0)</f>
        <v>83</v>
      </c>
      <c r="DN34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47" s="72">
        <v>1</v>
      </c>
      <c r="DP347" s="72">
        <v>1</v>
      </c>
      <c r="DQ347" s="72" t="b">
        <v>0</v>
      </c>
    </row>
    <row r="348" spans="2:132" x14ac:dyDescent="0.25">
      <c r="B348" s="73" t="s">
        <v>242</v>
      </c>
      <c r="C348">
        <v>1</v>
      </c>
      <c r="D348">
        <v>1500</v>
      </c>
      <c r="E348">
        <v>100</v>
      </c>
      <c r="F348" s="75">
        <f ca="1">INDIRECT(ADDRESS(11+(MATCH(RIGHT(Table245[[#This Row],[spawner_sku]],LEN(Table245[[#This Row],[spawner_sku]])-FIND("/",Table245[[#This Row],[spawner_sku]])),Table1[Entity Prefab],0)),10,1,1,"Entities"))</f>
        <v>130</v>
      </c>
      <c r="G348" s="75">
        <f ca="1">ROUND((Table245[[#This Row],[XP]]*Table245[[#This Row],[entity_spawned (AVG)]])*(Table245[[#This Row],[activating_chance]]/100),0)</f>
        <v>130</v>
      </c>
      <c r="H34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8" s="72">
        <v>1</v>
      </c>
      <c r="J348" s="72">
        <v>1</v>
      </c>
      <c r="K348" s="72" t="b">
        <v>0</v>
      </c>
      <c r="AI348" t="s">
        <v>606</v>
      </c>
      <c r="AJ348">
        <v>1</v>
      </c>
      <c r="AK348">
        <v>5000</v>
      </c>
      <c r="AL348">
        <v>30</v>
      </c>
      <c r="AM348" s="75">
        <f ca="1">INDIRECT(ADDRESS(11+(MATCH(RIGHT(Table2[[#This Row],[spawner_sku]],LEN(Table2[[#This Row],[spawner_sku]])-FIND("/",Table2[[#This Row],[spawner_sku]])),Table1[Entity Prefab],0)),10,1,1,"Entities"))</f>
        <v>25</v>
      </c>
      <c r="AN348" s="75">
        <f ca="1">ROUND((Table2[[#This Row],[XP]]*Table2[[#This Row],[entity_spawned (AVG)]])*(Table2[[#This Row],[activating_chance]]/100),0)</f>
        <v>8</v>
      </c>
      <c r="AO34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48" s="72">
        <v>1</v>
      </c>
      <c r="AQ348" s="72">
        <v>1</v>
      </c>
      <c r="AR348" s="72" t="b">
        <v>0</v>
      </c>
      <c r="BP348" t="s">
        <v>491</v>
      </c>
      <c r="BQ348">
        <v>1</v>
      </c>
      <c r="BR348">
        <v>160</v>
      </c>
      <c r="BS348">
        <v>100</v>
      </c>
      <c r="BT34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48" s="75">
        <f ca="1">ROUND((Table61011[[#This Row],[XP]]*Table61011[[#This Row],[entity_spawned (AVG)]])*(Table61011[[#This Row],[activating_chance]]/100),0)</f>
        <v>25</v>
      </c>
      <c r="BV34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48" s="72">
        <v>1</v>
      </c>
      <c r="BX348" s="72">
        <v>1</v>
      </c>
      <c r="BY348" s="72" t="b">
        <v>0</v>
      </c>
      <c r="CA348" t="s">
        <v>453</v>
      </c>
      <c r="CB348">
        <v>1</v>
      </c>
      <c r="CC348">
        <v>300</v>
      </c>
      <c r="CD348">
        <v>100</v>
      </c>
      <c r="CE348" s="75">
        <f ca="1">INDIRECT(ADDRESS(11+(MATCH(RIGHT(Table11[[#This Row],[spawner_sku]],LEN(Table11[[#This Row],[spawner_sku]])-FIND("/",Table11[[#This Row],[spawner_sku]])),Table1[Entity Prefab],0)),10,1,1,"Entities"))</f>
        <v>75</v>
      </c>
      <c r="CF348">
        <f ca="1">ROUND((Table11[[#This Row],[XP]]*Table11[[#This Row],[entity_spawned (AVG)]])*(Table11[[#This Row],[activating_chance]]/100),0)</f>
        <v>75</v>
      </c>
      <c r="CG348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48" s="72">
        <v>1</v>
      </c>
      <c r="CI348" s="72">
        <v>1</v>
      </c>
      <c r="CJ348" s="72" t="b">
        <v>0</v>
      </c>
      <c r="CW348" t="s">
        <v>534</v>
      </c>
      <c r="CX348">
        <v>6</v>
      </c>
      <c r="CY348">
        <v>100</v>
      </c>
      <c r="CZ348">
        <v>100</v>
      </c>
      <c r="DA348" s="75">
        <f ca="1">INDIRECT(ADDRESS(11+(MATCH(RIGHT(Table13[[#This Row],[spawner_sku]],LEN(Table13[[#This Row],[spawner_sku]])-FIND("/",Table13[[#This Row],[spawner_sku]])),Table1[Entity Prefab],0)),10,1,1,"Entities"))</f>
        <v>25</v>
      </c>
      <c r="DB348" s="75">
        <f ca="1">ROUND((Table13[[#This Row],[XP]]*Table13[[#This Row],[entity_spawned (AVG)]])*(Table13[[#This Row],[activating_chance]]/100),0)</f>
        <v>150</v>
      </c>
      <c r="DC348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48" s="72">
        <v>6</v>
      </c>
      <c r="DE348" s="72">
        <v>6</v>
      </c>
      <c r="DF348" s="72" t="b">
        <v>1</v>
      </c>
      <c r="DH348" t="s">
        <v>472</v>
      </c>
      <c r="DI348">
        <v>1</v>
      </c>
      <c r="DJ348">
        <v>280</v>
      </c>
      <c r="DK348">
        <v>100</v>
      </c>
      <c r="DL348" s="75">
        <f ca="1">INDIRECT(ADDRESS(11+(MATCH(RIGHT(Table14[[#This Row],[spawner_sku]],LEN(Table14[[#This Row],[spawner_sku]])-FIND("/",Table14[[#This Row],[spawner_sku]])),Table1[Entity Prefab],0)),10,1,1,"Entities"))</f>
        <v>143</v>
      </c>
      <c r="DM348" s="75">
        <f ca="1">ROUND((Table14[[#This Row],[XP]]*Table14[[#This Row],[entity_spawned (AVG)]])*(Table14[[#This Row],[activating_chance]]/100),0)</f>
        <v>143</v>
      </c>
      <c r="DN34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48" s="72">
        <v>1</v>
      </c>
      <c r="DP348" s="72">
        <v>1</v>
      </c>
      <c r="DQ348" s="72" t="b">
        <v>0</v>
      </c>
    </row>
    <row r="349" spans="2:132" x14ac:dyDescent="0.25">
      <c r="B349" s="73" t="s">
        <v>242</v>
      </c>
      <c r="C349">
        <v>1</v>
      </c>
      <c r="D349">
        <v>1500</v>
      </c>
      <c r="E349">
        <v>100</v>
      </c>
      <c r="F349" s="75">
        <f ca="1">INDIRECT(ADDRESS(11+(MATCH(RIGHT(Table245[[#This Row],[spawner_sku]],LEN(Table245[[#This Row],[spawner_sku]])-FIND("/",Table245[[#This Row],[spawner_sku]])),Table1[Entity Prefab],0)),10,1,1,"Entities"))</f>
        <v>130</v>
      </c>
      <c r="G349" s="75">
        <f ca="1">ROUND((Table245[[#This Row],[XP]]*Table245[[#This Row],[entity_spawned (AVG)]])*(Table245[[#This Row],[activating_chance]]/100),0)</f>
        <v>130</v>
      </c>
      <c r="H34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9" s="72">
        <v>1</v>
      </c>
      <c r="J349" s="72">
        <v>1</v>
      </c>
      <c r="K349" s="72" t="b">
        <v>0</v>
      </c>
      <c r="AI349" t="s">
        <v>246</v>
      </c>
      <c r="AJ349">
        <v>1</v>
      </c>
      <c r="AK349">
        <v>500</v>
      </c>
      <c r="AL349">
        <v>75</v>
      </c>
      <c r="AM349" s="75">
        <f ca="1">INDIRECT(ADDRESS(11+(MATCH(RIGHT(Table2[[#This Row],[spawner_sku]],LEN(Table2[[#This Row],[spawner_sku]])-FIND("/",Table2[[#This Row],[spawner_sku]])),Table1[Entity Prefab],0)),10,1,1,"Entities"))</f>
        <v>25</v>
      </c>
      <c r="AN349" s="75">
        <f ca="1">ROUND((Table2[[#This Row],[XP]]*Table2[[#This Row],[entity_spawned (AVG)]])*(Table2[[#This Row],[activating_chance]]/100),0)</f>
        <v>19</v>
      </c>
      <c r="AO34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49" s="72">
        <v>1</v>
      </c>
      <c r="AQ349" s="72">
        <v>1</v>
      </c>
      <c r="AR349" s="72" t="b">
        <v>0</v>
      </c>
      <c r="BP349" t="s">
        <v>492</v>
      </c>
      <c r="BQ349">
        <v>1</v>
      </c>
      <c r="BR349">
        <v>120</v>
      </c>
      <c r="BS349">
        <v>100</v>
      </c>
      <c r="BT349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49" s="75">
        <f ca="1">ROUND((Table61011[[#This Row],[XP]]*Table61011[[#This Row],[entity_spawned (AVG)]])*(Table61011[[#This Row],[activating_chance]]/100),0)</f>
        <v>75</v>
      </c>
      <c r="BV34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49" s="72">
        <v>1</v>
      </c>
      <c r="BX349" s="72">
        <v>1</v>
      </c>
      <c r="BY349" s="72" t="b">
        <v>0</v>
      </c>
      <c r="CA349" t="s">
        <v>453</v>
      </c>
      <c r="CB349">
        <v>1</v>
      </c>
      <c r="CC349">
        <v>300</v>
      </c>
      <c r="CD349">
        <v>100</v>
      </c>
      <c r="CE349" s="75">
        <f ca="1">INDIRECT(ADDRESS(11+(MATCH(RIGHT(Table11[[#This Row],[spawner_sku]],LEN(Table11[[#This Row],[spawner_sku]])-FIND("/",Table11[[#This Row],[spawner_sku]])),Table1[Entity Prefab],0)),10,1,1,"Entities"))</f>
        <v>75</v>
      </c>
      <c r="CF349">
        <f ca="1">ROUND((Table11[[#This Row],[XP]]*Table11[[#This Row],[entity_spawned (AVG)]])*(Table11[[#This Row],[activating_chance]]/100),0)</f>
        <v>75</v>
      </c>
      <c r="CG349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49" s="72">
        <v>1</v>
      </c>
      <c r="CI349" s="72">
        <v>1</v>
      </c>
      <c r="CJ349" s="72" t="b">
        <v>0</v>
      </c>
      <c r="CW349" t="s">
        <v>535</v>
      </c>
      <c r="CX349">
        <v>3</v>
      </c>
      <c r="CY349">
        <v>100</v>
      </c>
      <c r="CZ349">
        <v>100</v>
      </c>
      <c r="DA349" s="75">
        <f ca="1">INDIRECT(ADDRESS(11+(MATCH(RIGHT(Table13[[#This Row],[spawner_sku]],LEN(Table13[[#This Row],[spawner_sku]])-FIND("/",Table13[[#This Row],[spawner_sku]])),Table1[Entity Prefab],0)),10,1,1,"Entities"))</f>
        <v>25</v>
      </c>
      <c r="DB349" s="75">
        <f ca="1">ROUND((Table13[[#This Row],[XP]]*Table13[[#This Row],[entity_spawned (AVG)]])*(Table13[[#This Row],[activating_chance]]/100),0)</f>
        <v>75</v>
      </c>
      <c r="DC349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49" s="72">
        <v>3</v>
      </c>
      <c r="DE349" s="72">
        <v>3</v>
      </c>
      <c r="DF349" s="72" t="b">
        <v>0</v>
      </c>
      <c r="DH349" t="s">
        <v>472</v>
      </c>
      <c r="DI349">
        <v>1</v>
      </c>
      <c r="DJ349">
        <v>280</v>
      </c>
      <c r="DK349">
        <v>100</v>
      </c>
      <c r="DL349" s="75">
        <f ca="1">INDIRECT(ADDRESS(11+(MATCH(RIGHT(Table14[[#This Row],[spawner_sku]],LEN(Table14[[#This Row],[spawner_sku]])-FIND("/",Table14[[#This Row],[spawner_sku]])),Table1[Entity Prefab],0)),10,1,1,"Entities"))</f>
        <v>143</v>
      </c>
      <c r="DM349" s="75">
        <f ca="1">ROUND((Table14[[#This Row],[XP]]*Table14[[#This Row],[entity_spawned (AVG)]])*(Table14[[#This Row],[activating_chance]]/100),0)</f>
        <v>143</v>
      </c>
      <c r="DN34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49" s="72">
        <v>1</v>
      </c>
      <c r="DP349" s="72">
        <v>1</v>
      </c>
      <c r="DQ349" s="72" t="b">
        <v>0</v>
      </c>
    </row>
    <row r="350" spans="2:132" x14ac:dyDescent="0.25">
      <c r="B350" s="73" t="s">
        <v>242</v>
      </c>
      <c r="C350">
        <v>1</v>
      </c>
      <c r="D350">
        <v>1500</v>
      </c>
      <c r="E350">
        <v>100</v>
      </c>
      <c r="F350" s="75">
        <f ca="1">INDIRECT(ADDRESS(11+(MATCH(RIGHT(Table245[[#This Row],[spawner_sku]],LEN(Table245[[#This Row],[spawner_sku]])-FIND("/",Table245[[#This Row],[spawner_sku]])),Table1[Entity Prefab],0)),10,1,1,"Entities"))</f>
        <v>130</v>
      </c>
      <c r="G350" s="75">
        <f ca="1">ROUND((Table245[[#This Row],[XP]]*Table245[[#This Row],[entity_spawned (AVG)]])*(Table245[[#This Row],[activating_chance]]/100),0)</f>
        <v>130</v>
      </c>
      <c r="H35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50" s="72">
        <v>1</v>
      </c>
      <c r="J350" s="72">
        <v>1</v>
      </c>
      <c r="K350" s="72" t="b">
        <v>0</v>
      </c>
      <c r="AI350" t="s">
        <v>246</v>
      </c>
      <c r="AJ350">
        <v>1</v>
      </c>
      <c r="AK350">
        <v>500</v>
      </c>
      <c r="AL350">
        <v>75</v>
      </c>
      <c r="AM350" s="75">
        <f ca="1">INDIRECT(ADDRESS(11+(MATCH(RIGHT(Table2[[#This Row],[spawner_sku]],LEN(Table2[[#This Row],[spawner_sku]])-FIND("/",Table2[[#This Row],[spawner_sku]])),Table1[Entity Prefab],0)),10,1,1,"Entities"))</f>
        <v>25</v>
      </c>
      <c r="AN350" s="75">
        <f ca="1">ROUND((Table2[[#This Row],[XP]]*Table2[[#This Row],[entity_spawned (AVG)]])*(Table2[[#This Row],[activating_chance]]/100),0)</f>
        <v>19</v>
      </c>
      <c r="AO35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50" s="72">
        <v>1</v>
      </c>
      <c r="AQ350" s="72">
        <v>1</v>
      </c>
      <c r="AR350" s="72" t="b">
        <v>0</v>
      </c>
      <c r="BP350" t="s">
        <v>492</v>
      </c>
      <c r="BQ350">
        <v>1</v>
      </c>
      <c r="BR350">
        <v>140</v>
      </c>
      <c r="BS350">
        <v>100</v>
      </c>
      <c r="BT350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50" s="75">
        <f ca="1">ROUND((Table61011[[#This Row],[XP]]*Table61011[[#This Row],[entity_spawned (AVG)]])*(Table61011[[#This Row],[activating_chance]]/100),0)</f>
        <v>75</v>
      </c>
      <c r="BV35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50" s="72">
        <v>1</v>
      </c>
      <c r="BX350" s="72">
        <v>1</v>
      </c>
      <c r="BY350" s="72" t="b">
        <v>0</v>
      </c>
      <c r="CA350" t="s">
        <v>453</v>
      </c>
      <c r="CB350">
        <v>1</v>
      </c>
      <c r="CC350">
        <v>300</v>
      </c>
      <c r="CD350">
        <v>100</v>
      </c>
      <c r="CE350" s="75">
        <f ca="1">INDIRECT(ADDRESS(11+(MATCH(RIGHT(Table11[[#This Row],[spawner_sku]],LEN(Table11[[#This Row],[spawner_sku]])-FIND("/",Table11[[#This Row],[spawner_sku]])),Table1[Entity Prefab],0)),10,1,1,"Entities"))</f>
        <v>75</v>
      </c>
      <c r="CF350">
        <f ca="1">ROUND((Table11[[#This Row],[XP]]*Table11[[#This Row],[entity_spawned (AVG)]])*(Table11[[#This Row],[activating_chance]]/100),0)</f>
        <v>75</v>
      </c>
      <c r="CG350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50" s="72">
        <v>1</v>
      </c>
      <c r="CI350" s="72">
        <v>1</v>
      </c>
      <c r="CJ350" s="72" t="b">
        <v>0</v>
      </c>
      <c r="CW350" t="s">
        <v>383</v>
      </c>
      <c r="CX350">
        <v>1.5</v>
      </c>
      <c r="CY350">
        <v>170</v>
      </c>
      <c r="CZ350">
        <v>100</v>
      </c>
      <c r="DA350" s="75">
        <f ca="1">INDIRECT(ADDRESS(11+(MATCH(RIGHT(Table13[[#This Row],[spawner_sku]],LEN(Table13[[#This Row],[spawner_sku]])-FIND("/",Table13[[#This Row],[spawner_sku]])),Table1[Entity Prefab],0)),10,1,1,"Entities"))</f>
        <v>28</v>
      </c>
      <c r="DB350" s="75">
        <f ca="1">ROUND((Table13[[#This Row],[XP]]*Table13[[#This Row],[entity_spawned (AVG)]])*(Table13[[#This Row],[activating_chance]]/100),0)</f>
        <v>42</v>
      </c>
      <c r="DC350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350" s="72">
        <v>1</v>
      </c>
      <c r="DE350" s="72">
        <v>2</v>
      </c>
      <c r="DF350" s="72" t="b">
        <v>0</v>
      </c>
      <c r="DH350" t="s">
        <v>473</v>
      </c>
      <c r="DI350">
        <v>1</v>
      </c>
      <c r="DJ350">
        <v>300</v>
      </c>
      <c r="DK350">
        <v>100</v>
      </c>
      <c r="DL350" s="75">
        <f ca="1">INDIRECT(ADDRESS(11+(MATCH(RIGHT(Table14[[#This Row],[spawner_sku]],LEN(Table14[[#This Row],[spawner_sku]])-FIND("/",Table14[[#This Row],[spawner_sku]])),Table1[Entity Prefab],0)),10,1,1,"Entities"))</f>
        <v>130</v>
      </c>
      <c r="DM350" s="75">
        <f ca="1">ROUND((Table14[[#This Row],[XP]]*Table14[[#This Row],[entity_spawned (AVG)]])*(Table14[[#This Row],[activating_chance]]/100),0)</f>
        <v>130</v>
      </c>
      <c r="DN35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50" s="72">
        <v>1</v>
      </c>
      <c r="DP350" s="72">
        <v>1</v>
      </c>
      <c r="DQ350" s="72" t="b">
        <v>0</v>
      </c>
    </row>
    <row r="351" spans="2:132" x14ac:dyDescent="0.25">
      <c r="B351" s="73" t="s">
        <v>242</v>
      </c>
      <c r="C351">
        <v>1</v>
      </c>
      <c r="D351">
        <v>1500</v>
      </c>
      <c r="E351">
        <v>100</v>
      </c>
      <c r="F351" s="75">
        <f ca="1">INDIRECT(ADDRESS(11+(MATCH(RIGHT(Table245[[#This Row],[spawner_sku]],LEN(Table245[[#This Row],[spawner_sku]])-FIND("/",Table245[[#This Row],[spawner_sku]])),Table1[Entity Prefab],0)),10,1,1,"Entities"))</f>
        <v>130</v>
      </c>
      <c r="G351" s="75">
        <f ca="1">ROUND((Table245[[#This Row],[XP]]*Table245[[#This Row],[entity_spawned (AVG)]])*(Table245[[#This Row],[activating_chance]]/100),0)</f>
        <v>130</v>
      </c>
      <c r="H35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51" s="72">
        <v>1</v>
      </c>
      <c r="J351" s="72">
        <v>1</v>
      </c>
      <c r="K351" s="72" t="b">
        <v>0</v>
      </c>
      <c r="AI351" t="s">
        <v>491</v>
      </c>
      <c r="AJ351">
        <v>1</v>
      </c>
      <c r="AK351">
        <v>140</v>
      </c>
      <c r="AL351">
        <v>100</v>
      </c>
      <c r="AM351" s="75">
        <f ca="1">INDIRECT(ADDRESS(11+(MATCH(RIGHT(Table2[[#This Row],[spawner_sku]],LEN(Table2[[#This Row],[spawner_sku]])-FIND("/",Table2[[#This Row],[spawner_sku]])),Table1[Entity Prefab],0)),10,1,1,"Entities"))</f>
        <v>25</v>
      </c>
      <c r="AN351" s="75">
        <f ca="1">ROUND((Table2[[#This Row],[XP]]*Table2[[#This Row],[entity_spawned (AVG)]])*(Table2[[#This Row],[activating_chance]]/100),0)</f>
        <v>25</v>
      </c>
      <c r="AO35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51" s="72">
        <v>1</v>
      </c>
      <c r="AQ351" s="72">
        <v>1</v>
      </c>
      <c r="AR351" s="72" t="b">
        <v>0</v>
      </c>
      <c r="BP351" t="s">
        <v>492</v>
      </c>
      <c r="BQ351">
        <v>1</v>
      </c>
      <c r="BR351">
        <v>100</v>
      </c>
      <c r="BS351">
        <v>100</v>
      </c>
      <c r="BT351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51" s="75">
        <f ca="1">ROUND((Table61011[[#This Row],[XP]]*Table61011[[#This Row],[entity_spawned (AVG)]])*(Table61011[[#This Row],[activating_chance]]/100),0)</f>
        <v>75</v>
      </c>
      <c r="BV35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51" s="72">
        <v>1</v>
      </c>
      <c r="BX351" s="72">
        <v>1</v>
      </c>
      <c r="BY351" s="72" t="b">
        <v>0</v>
      </c>
      <c r="CA351" t="s">
        <v>447</v>
      </c>
      <c r="CB351">
        <v>1</v>
      </c>
      <c r="CC351">
        <v>240</v>
      </c>
      <c r="CD351">
        <v>80</v>
      </c>
      <c r="CE351" s="75">
        <f ca="1">INDIRECT(ADDRESS(11+(MATCH(RIGHT(Table11[[#This Row],[spawner_sku]],LEN(Table11[[#This Row],[spawner_sku]])-FIND("/",Table11[[#This Row],[spawner_sku]])),Table1[Entity Prefab],0)),10,1,1,"Entities"))</f>
        <v>50</v>
      </c>
      <c r="CF351">
        <f ca="1">ROUND((Table11[[#This Row],[XP]]*Table11[[#This Row],[entity_spawned (AVG)]])*(Table11[[#This Row],[activating_chance]]/100),0)</f>
        <v>40</v>
      </c>
      <c r="CG351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51" s="72">
        <v>1</v>
      </c>
      <c r="CI351" s="72">
        <v>1</v>
      </c>
      <c r="CJ351" s="72" t="b">
        <v>0</v>
      </c>
      <c r="CW351" t="s">
        <v>383</v>
      </c>
      <c r="CX351">
        <v>5.5</v>
      </c>
      <c r="CY351">
        <v>170</v>
      </c>
      <c r="CZ351">
        <v>100</v>
      </c>
      <c r="DA351" s="75">
        <f ca="1">INDIRECT(ADDRESS(11+(MATCH(RIGHT(Table13[[#This Row],[spawner_sku]],LEN(Table13[[#This Row],[spawner_sku]])-FIND("/",Table13[[#This Row],[spawner_sku]])),Table1[Entity Prefab],0)),10,1,1,"Entities"))</f>
        <v>28</v>
      </c>
      <c r="DB351" s="75">
        <f ca="1">ROUND((Table13[[#This Row],[XP]]*Table13[[#This Row],[entity_spawned (AVG)]])*(Table13[[#This Row],[activating_chance]]/100),0)</f>
        <v>154</v>
      </c>
      <c r="DC351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351" s="72">
        <v>5</v>
      </c>
      <c r="DE351" s="72">
        <v>6</v>
      </c>
      <c r="DF351" s="72" t="b">
        <v>1</v>
      </c>
      <c r="DH351" t="s">
        <v>473</v>
      </c>
      <c r="DI351">
        <v>1</v>
      </c>
      <c r="DJ351">
        <v>300</v>
      </c>
      <c r="DK351">
        <v>100</v>
      </c>
      <c r="DL351" s="75">
        <f ca="1">INDIRECT(ADDRESS(11+(MATCH(RIGHT(Table14[[#This Row],[spawner_sku]],LEN(Table14[[#This Row],[spawner_sku]])-FIND("/",Table14[[#This Row],[spawner_sku]])),Table1[Entity Prefab],0)),10,1,1,"Entities"))</f>
        <v>130</v>
      </c>
      <c r="DM351" s="75">
        <f ca="1">ROUND((Table14[[#This Row],[XP]]*Table14[[#This Row],[entity_spawned (AVG)]])*(Table14[[#This Row],[activating_chance]]/100),0)</f>
        <v>130</v>
      </c>
      <c r="DN35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51" s="72">
        <v>1</v>
      </c>
      <c r="DP351" s="72">
        <v>1</v>
      </c>
      <c r="DQ351" s="72" t="b">
        <v>0</v>
      </c>
    </row>
    <row r="352" spans="2:132" x14ac:dyDescent="0.25">
      <c r="B352" s="73" t="s">
        <v>242</v>
      </c>
      <c r="C352">
        <v>1</v>
      </c>
      <c r="D352">
        <v>1500</v>
      </c>
      <c r="E352">
        <v>100</v>
      </c>
      <c r="F352" s="75">
        <f ca="1">INDIRECT(ADDRESS(11+(MATCH(RIGHT(Table245[[#This Row],[spawner_sku]],LEN(Table245[[#This Row],[spawner_sku]])-FIND("/",Table245[[#This Row],[spawner_sku]])),Table1[Entity Prefab],0)),10,1,1,"Entities"))</f>
        <v>130</v>
      </c>
      <c r="G352" s="75">
        <f ca="1">ROUND((Table245[[#This Row],[XP]]*Table245[[#This Row],[entity_spawned (AVG)]])*(Table245[[#This Row],[activating_chance]]/100),0)</f>
        <v>130</v>
      </c>
      <c r="H35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52" s="72">
        <v>1</v>
      </c>
      <c r="J352" s="72">
        <v>1</v>
      </c>
      <c r="K352" s="72" t="b">
        <v>0</v>
      </c>
      <c r="AI352" t="s">
        <v>491</v>
      </c>
      <c r="AJ352">
        <v>1</v>
      </c>
      <c r="AK352">
        <v>160</v>
      </c>
      <c r="AL352">
        <v>100</v>
      </c>
      <c r="AM352" s="75">
        <f ca="1">INDIRECT(ADDRESS(11+(MATCH(RIGHT(Table2[[#This Row],[spawner_sku]],LEN(Table2[[#This Row],[spawner_sku]])-FIND("/",Table2[[#This Row],[spawner_sku]])),Table1[Entity Prefab],0)),10,1,1,"Entities"))</f>
        <v>25</v>
      </c>
      <c r="AN352" s="75">
        <f ca="1">ROUND((Table2[[#This Row],[XP]]*Table2[[#This Row],[entity_spawned (AVG)]])*(Table2[[#This Row],[activating_chance]]/100),0)</f>
        <v>25</v>
      </c>
      <c r="AO35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52" s="72">
        <v>1</v>
      </c>
      <c r="AQ352" s="72">
        <v>1</v>
      </c>
      <c r="AR352" s="72" t="b">
        <v>0</v>
      </c>
      <c r="BP352" t="s">
        <v>247</v>
      </c>
      <c r="BQ352">
        <v>1</v>
      </c>
      <c r="BR352">
        <v>420</v>
      </c>
      <c r="BS352">
        <v>100</v>
      </c>
      <c r="BT352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352" s="75">
        <f ca="1">ROUND((Table61011[[#This Row],[XP]]*Table61011[[#This Row],[entity_spawned (AVG)]])*(Table61011[[#This Row],[activating_chance]]/100),0)</f>
        <v>83</v>
      </c>
      <c r="BV35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52" s="72">
        <v>1</v>
      </c>
      <c r="BX352" s="72">
        <v>1</v>
      </c>
      <c r="BY352" s="72" t="b">
        <v>0</v>
      </c>
      <c r="CA352" t="s">
        <v>447</v>
      </c>
      <c r="CB352">
        <v>1</v>
      </c>
      <c r="CC352">
        <v>240</v>
      </c>
      <c r="CD352">
        <v>80</v>
      </c>
      <c r="CE352" s="75">
        <f ca="1">INDIRECT(ADDRESS(11+(MATCH(RIGHT(Table11[[#This Row],[spawner_sku]],LEN(Table11[[#This Row],[spawner_sku]])-FIND("/",Table11[[#This Row],[spawner_sku]])),Table1[Entity Prefab],0)),10,1,1,"Entities"))</f>
        <v>50</v>
      </c>
      <c r="CF352">
        <f ca="1">ROUND((Table11[[#This Row],[XP]]*Table11[[#This Row],[entity_spawned (AVG)]])*(Table11[[#This Row],[activating_chance]]/100),0)</f>
        <v>40</v>
      </c>
      <c r="CG352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52" s="72">
        <v>1</v>
      </c>
      <c r="CI352" s="72">
        <v>1</v>
      </c>
      <c r="CJ352" s="72" t="b">
        <v>0</v>
      </c>
      <c r="CW352" t="s">
        <v>383</v>
      </c>
      <c r="CX352">
        <v>1.5</v>
      </c>
      <c r="CY352">
        <v>170</v>
      </c>
      <c r="CZ352">
        <v>30</v>
      </c>
      <c r="DA352" s="75">
        <f ca="1">INDIRECT(ADDRESS(11+(MATCH(RIGHT(Table13[[#This Row],[spawner_sku]],LEN(Table13[[#This Row],[spawner_sku]])-FIND("/",Table13[[#This Row],[spawner_sku]])),Table1[Entity Prefab],0)),10,1,1,"Entities"))</f>
        <v>28</v>
      </c>
      <c r="DB352" s="75">
        <f ca="1">ROUND((Table13[[#This Row],[XP]]*Table13[[#This Row],[entity_spawned (AVG)]])*(Table13[[#This Row],[activating_chance]]/100),0)</f>
        <v>13</v>
      </c>
      <c r="DC352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352" s="72">
        <v>1</v>
      </c>
      <c r="DE352" s="72">
        <v>2</v>
      </c>
      <c r="DF352" s="72" t="b">
        <v>0</v>
      </c>
      <c r="DH352" t="s">
        <v>388</v>
      </c>
      <c r="DI352">
        <v>1</v>
      </c>
      <c r="DJ352">
        <v>180</v>
      </c>
      <c r="DK352">
        <v>100</v>
      </c>
      <c r="DL352" s="75">
        <f ca="1">INDIRECT(ADDRESS(11+(MATCH(RIGHT(Table14[[#This Row],[spawner_sku]],LEN(Table14[[#This Row],[spawner_sku]])-FIND("/",Table14[[#This Row],[spawner_sku]])),Table1[Entity Prefab],0)),10,1,1,"Entities"))</f>
        <v>75</v>
      </c>
      <c r="DM352" s="75">
        <f ca="1">ROUND((Table14[[#This Row],[XP]]*Table14[[#This Row],[entity_spawned (AVG)]])*(Table14[[#This Row],[activating_chance]]/100),0)</f>
        <v>75</v>
      </c>
      <c r="DN35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52" s="72">
        <v>1</v>
      </c>
      <c r="DP352" s="72">
        <v>1</v>
      </c>
      <c r="DQ352" s="72" t="b">
        <v>0</v>
      </c>
    </row>
    <row r="353" spans="2:121" x14ac:dyDescent="0.25">
      <c r="B353" s="73" t="s">
        <v>242</v>
      </c>
      <c r="C353">
        <v>1</v>
      </c>
      <c r="D353">
        <v>1500</v>
      </c>
      <c r="E353">
        <v>100</v>
      </c>
      <c r="F353" s="75">
        <f ca="1">INDIRECT(ADDRESS(11+(MATCH(RIGHT(Table245[[#This Row],[spawner_sku]],LEN(Table245[[#This Row],[spawner_sku]])-FIND("/",Table245[[#This Row],[spawner_sku]])),Table1[Entity Prefab],0)),10,1,1,"Entities"))</f>
        <v>130</v>
      </c>
      <c r="G353" s="75">
        <f ca="1">ROUND((Table245[[#This Row],[XP]]*Table245[[#This Row],[entity_spawned (AVG)]])*(Table245[[#This Row],[activating_chance]]/100),0)</f>
        <v>130</v>
      </c>
      <c r="H35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53" s="72">
        <v>1</v>
      </c>
      <c r="J353" s="72">
        <v>1</v>
      </c>
      <c r="K353" s="72" t="b">
        <v>0</v>
      </c>
      <c r="AI353" t="s">
        <v>491</v>
      </c>
      <c r="AJ353">
        <v>1</v>
      </c>
      <c r="AK353">
        <v>160</v>
      </c>
      <c r="AL353">
        <v>100</v>
      </c>
      <c r="AM353" s="75">
        <f ca="1">INDIRECT(ADDRESS(11+(MATCH(RIGHT(Table2[[#This Row],[spawner_sku]],LEN(Table2[[#This Row],[spawner_sku]])-FIND("/",Table2[[#This Row],[spawner_sku]])),Table1[Entity Prefab],0)),10,1,1,"Entities"))</f>
        <v>25</v>
      </c>
      <c r="AN353" s="75">
        <f ca="1">ROUND((Table2[[#This Row],[XP]]*Table2[[#This Row],[entity_spawned (AVG)]])*(Table2[[#This Row],[activating_chance]]/100),0)</f>
        <v>25</v>
      </c>
      <c r="AO35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53" s="72">
        <v>1</v>
      </c>
      <c r="AQ353" s="72">
        <v>1</v>
      </c>
      <c r="AR353" s="72" t="b">
        <v>0</v>
      </c>
      <c r="BP353" t="s">
        <v>247</v>
      </c>
      <c r="BQ353">
        <v>1</v>
      </c>
      <c r="BR353">
        <v>420</v>
      </c>
      <c r="BS353">
        <v>100</v>
      </c>
      <c r="BT353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353" s="75">
        <f ca="1">ROUND((Table61011[[#This Row],[XP]]*Table61011[[#This Row],[entity_spawned (AVG)]])*(Table61011[[#This Row],[activating_chance]]/100),0)</f>
        <v>83</v>
      </c>
      <c r="BV35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53" s="72">
        <v>1</v>
      </c>
      <c r="BX353" s="72">
        <v>1</v>
      </c>
      <c r="BY353" s="72" t="b">
        <v>0</v>
      </c>
      <c r="CA353" t="s">
        <v>447</v>
      </c>
      <c r="CB353">
        <v>1</v>
      </c>
      <c r="CC353">
        <v>240</v>
      </c>
      <c r="CD353">
        <v>80</v>
      </c>
      <c r="CE353" s="75">
        <f ca="1">INDIRECT(ADDRESS(11+(MATCH(RIGHT(Table11[[#This Row],[spawner_sku]],LEN(Table11[[#This Row],[spawner_sku]])-FIND("/",Table11[[#This Row],[spawner_sku]])),Table1[Entity Prefab],0)),10,1,1,"Entities"))</f>
        <v>50</v>
      </c>
      <c r="CF353">
        <f ca="1">ROUND((Table11[[#This Row],[XP]]*Table11[[#This Row],[entity_spawned (AVG)]])*(Table11[[#This Row],[activating_chance]]/100),0)</f>
        <v>40</v>
      </c>
      <c r="CG353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53" s="72">
        <v>1</v>
      </c>
      <c r="CI353" s="72">
        <v>1</v>
      </c>
      <c r="CJ353" s="72" t="b">
        <v>0</v>
      </c>
      <c r="CW353" t="s">
        <v>383</v>
      </c>
      <c r="CX353">
        <v>2</v>
      </c>
      <c r="CY353">
        <v>170</v>
      </c>
      <c r="CZ353">
        <v>100</v>
      </c>
      <c r="DA353" s="75">
        <f ca="1">INDIRECT(ADDRESS(11+(MATCH(RIGHT(Table13[[#This Row],[spawner_sku]],LEN(Table13[[#This Row],[spawner_sku]])-FIND("/",Table13[[#This Row],[spawner_sku]])),Table1[Entity Prefab],0)),10,1,1,"Entities"))</f>
        <v>28</v>
      </c>
      <c r="DB353" s="75">
        <f ca="1">ROUND((Table13[[#This Row],[XP]]*Table13[[#This Row],[entity_spawned (AVG)]])*(Table13[[#This Row],[activating_chance]]/100),0)</f>
        <v>56</v>
      </c>
      <c r="DC353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353" s="72">
        <v>2</v>
      </c>
      <c r="DE353" s="72">
        <v>2</v>
      </c>
      <c r="DF353" s="72" t="b">
        <v>0</v>
      </c>
      <c r="DH353" t="s">
        <v>388</v>
      </c>
      <c r="DI353">
        <v>1</v>
      </c>
      <c r="DJ353">
        <v>220</v>
      </c>
      <c r="DK353">
        <v>100</v>
      </c>
      <c r="DL353" s="75">
        <f ca="1">INDIRECT(ADDRESS(11+(MATCH(RIGHT(Table14[[#This Row],[spawner_sku]],LEN(Table14[[#This Row],[spawner_sku]])-FIND("/",Table14[[#This Row],[spawner_sku]])),Table1[Entity Prefab],0)),10,1,1,"Entities"))</f>
        <v>75</v>
      </c>
      <c r="DM353" s="75">
        <f ca="1">ROUND((Table14[[#This Row],[XP]]*Table14[[#This Row],[entity_spawned (AVG)]])*(Table14[[#This Row],[activating_chance]]/100),0)</f>
        <v>75</v>
      </c>
      <c r="DN35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53" s="72">
        <v>1</v>
      </c>
      <c r="DP353" s="72">
        <v>1</v>
      </c>
      <c r="DQ353" s="72" t="b">
        <v>0</v>
      </c>
    </row>
    <row r="354" spans="2:121" x14ac:dyDescent="0.25">
      <c r="B354" s="73" t="s">
        <v>242</v>
      </c>
      <c r="C354">
        <v>1</v>
      </c>
      <c r="D354">
        <v>1500</v>
      </c>
      <c r="E354">
        <v>100</v>
      </c>
      <c r="F354" s="75">
        <f ca="1">INDIRECT(ADDRESS(11+(MATCH(RIGHT(Table245[[#This Row],[spawner_sku]],LEN(Table245[[#This Row],[spawner_sku]])-FIND("/",Table245[[#This Row],[spawner_sku]])),Table1[Entity Prefab],0)),10,1,1,"Entities"))</f>
        <v>130</v>
      </c>
      <c r="G354" s="75">
        <f ca="1">ROUND((Table245[[#This Row],[XP]]*Table245[[#This Row],[entity_spawned (AVG)]])*(Table245[[#This Row],[activating_chance]]/100),0)</f>
        <v>130</v>
      </c>
      <c r="H35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54" s="72">
        <v>1</v>
      </c>
      <c r="J354" s="72">
        <v>1</v>
      </c>
      <c r="K354" s="72" t="b">
        <v>0</v>
      </c>
      <c r="AI354" t="s">
        <v>492</v>
      </c>
      <c r="AJ354">
        <v>1</v>
      </c>
      <c r="AK354">
        <v>150</v>
      </c>
      <c r="AL354">
        <v>100</v>
      </c>
      <c r="AM354" s="75">
        <f ca="1">INDIRECT(ADDRESS(11+(MATCH(RIGHT(Table2[[#This Row],[spawner_sku]],LEN(Table2[[#This Row],[spawner_sku]])-FIND("/",Table2[[#This Row],[spawner_sku]])),Table1[Entity Prefab],0)),10,1,1,"Entities"))</f>
        <v>75</v>
      </c>
      <c r="AN354" s="75">
        <f ca="1">ROUND((Table2[[#This Row],[XP]]*Table2[[#This Row],[entity_spawned (AVG)]])*(Table2[[#This Row],[activating_chance]]/100),0)</f>
        <v>75</v>
      </c>
      <c r="AO35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54" s="72">
        <v>1</v>
      </c>
      <c r="AQ354" s="72">
        <v>1</v>
      </c>
      <c r="AR354" s="72" t="b">
        <v>0</v>
      </c>
      <c r="BP354" t="s">
        <v>247</v>
      </c>
      <c r="BQ354">
        <v>1</v>
      </c>
      <c r="BR354">
        <v>420</v>
      </c>
      <c r="BS354">
        <v>100</v>
      </c>
      <c r="BT354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354" s="75">
        <f ca="1">ROUND((Table61011[[#This Row],[XP]]*Table61011[[#This Row],[entity_spawned (AVG)]])*(Table61011[[#This Row],[activating_chance]]/100),0)</f>
        <v>83</v>
      </c>
      <c r="BV35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54" s="72">
        <v>1</v>
      </c>
      <c r="BX354" s="72">
        <v>1</v>
      </c>
      <c r="BY354" s="72" t="b">
        <v>0</v>
      </c>
      <c r="CA354" t="s">
        <v>447</v>
      </c>
      <c r="CB354">
        <v>1</v>
      </c>
      <c r="CC354">
        <v>240</v>
      </c>
      <c r="CD354">
        <v>80</v>
      </c>
      <c r="CE354" s="75">
        <f ca="1">INDIRECT(ADDRESS(11+(MATCH(RIGHT(Table11[[#This Row],[spawner_sku]],LEN(Table11[[#This Row],[spawner_sku]])-FIND("/",Table11[[#This Row],[spawner_sku]])),Table1[Entity Prefab],0)),10,1,1,"Entities"))</f>
        <v>50</v>
      </c>
      <c r="CF354">
        <f ca="1">ROUND((Table11[[#This Row],[XP]]*Table11[[#This Row],[entity_spawned (AVG)]])*(Table11[[#This Row],[activating_chance]]/100),0)</f>
        <v>40</v>
      </c>
      <c r="CG354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54" s="72">
        <v>1</v>
      </c>
      <c r="CI354" s="72">
        <v>1</v>
      </c>
      <c r="CJ354" s="72" t="b">
        <v>0</v>
      </c>
      <c r="CW354" t="s">
        <v>383</v>
      </c>
      <c r="CX354">
        <v>1.5</v>
      </c>
      <c r="CY354">
        <v>170</v>
      </c>
      <c r="CZ354">
        <v>100</v>
      </c>
      <c r="DA354" s="75">
        <f ca="1">INDIRECT(ADDRESS(11+(MATCH(RIGHT(Table13[[#This Row],[spawner_sku]],LEN(Table13[[#This Row],[spawner_sku]])-FIND("/",Table13[[#This Row],[spawner_sku]])),Table1[Entity Prefab],0)),10,1,1,"Entities"))</f>
        <v>28</v>
      </c>
      <c r="DB354" s="75">
        <f ca="1">ROUND((Table13[[#This Row],[XP]]*Table13[[#This Row],[entity_spawned (AVG)]])*(Table13[[#This Row],[activating_chance]]/100),0)</f>
        <v>42</v>
      </c>
      <c r="DC354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354" s="72">
        <v>1</v>
      </c>
      <c r="DE354" s="72">
        <v>2</v>
      </c>
      <c r="DF354" s="72" t="b">
        <v>0</v>
      </c>
      <c r="DH354" t="s">
        <v>388</v>
      </c>
      <c r="DI354">
        <v>1</v>
      </c>
      <c r="DJ354">
        <v>150</v>
      </c>
      <c r="DK354">
        <v>100</v>
      </c>
      <c r="DL354" s="75">
        <f ca="1">INDIRECT(ADDRESS(11+(MATCH(RIGHT(Table14[[#This Row],[spawner_sku]],LEN(Table14[[#This Row],[spawner_sku]])-FIND("/",Table14[[#This Row],[spawner_sku]])),Table1[Entity Prefab],0)),10,1,1,"Entities"))</f>
        <v>75</v>
      </c>
      <c r="DM354" s="75">
        <f ca="1">ROUND((Table14[[#This Row],[XP]]*Table14[[#This Row],[entity_spawned (AVG)]])*(Table14[[#This Row],[activating_chance]]/100),0)</f>
        <v>75</v>
      </c>
      <c r="DN35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54" s="72">
        <v>1</v>
      </c>
      <c r="DP354" s="72">
        <v>1</v>
      </c>
      <c r="DQ354" s="72" t="b">
        <v>0</v>
      </c>
    </row>
    <row r="355" spans="2:121" x14ac:dyDescent="0.25">
      <c r="B355" s="73" t="s">
        <v>242</v>
      </c>
      <c r="C355">
        <v>1</v>
      </c>
      <c r="D355">
        <v>1500</v>
      </c>
      <c r="E355">
        <v>100</v>
      </c>
      <c r="F355" s="75">
        <f ca="1">INDIRECT(ADDRESS(11+(MATCH(RIGHT(Table245[[#This Row],[spawner_sku]],LEN(Table245[[#This Row],[spawner_sku]])-FIND("/",Table245[[#This Row],[spawner_sku]])),Table1[Entity Prefab],0)),10,1,1,"Entities"))</f>
        <v>130</v>
      </c>
      <c r="G355" s="75">
        <f ca="1">ROUND((Table245[[#This Row],[XP]]*Table245[[#This Row],[entity_spawned (AVG)]])*(Table245[[#This Row],[activating_chance]]/100),0)</f>
        <v>130</v>
      </c>
      <c r="H35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55" s="72">
        <v>1</v>
      </c>
      <c r="J355" s="72">
        <v>1</v>
      </c>
      <c r="K355" s="72" t="b">
        <v>0</v>
      </c>
      <c r="AI355" t="s">
        <v>492</v>
      </c>
      <c r="AJ355">
        <v>1</v>
      </c>
      <c r="AK355">
        <v>150</v>
      </c>
      <c r="AL355">
        <v>100</v>
      </c>
      <c r="AM355" s="75">
        <f ca="1">INDIRECT(ADDRESS(11+(MATCH(RIGHT(Table2[[#This Row],[spawner_sku]],LEN(Table2[[#This Row],[spawner_sku]])-FIND("/",Table2[[#This Row],[spawner_sku]])),Table1[Entity Prefab],0)),10,1,1,"Entities"))</f>
        <v>75</v>
      </c>
      <c r="AN355" s="75">
        <f ca="1">ROUND((Table2[[#This Row],[XP]]*Table2[[#This Row],[entity_spawned (AVG)]])*(Table2[[#This Row],[activating_chance]]/100),0)</f>
        <v>75</v>
      </c>
      <c r="AO35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55" s="72">
        <v>1</v>
      </c>
      <c r="AQ355" s="72">
        <v>1</v>
      </c>
      <c r="AR355" s="72" t="b">
        <v>0</v>
      </c>
      <c r="BP355" t="s">
        <v>247</v>
      </c>
      <c r="BQ355">
        <v>1</v>
      </c>
      <c r="BR355">
        <v>420</v>
      </c>
      <c r="BS355">
        <v>100</v>
      </c>
      <c r="BT355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355" s="75">
        <f ca="1">ROUND((Table61011[[#This Row],[XP]]*Table61011[[#This Row],[entity_spawned (AVG)]])*(Table61011[[#This Row],[activating_chance]]/100),0)</f>
        <v>83</v>
      </c>
      <c r="BV35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55" s="72">
        <v>1</v>
      </c>
      <c r="BX355" s="72">
        <v>1</v>
      </c>
      <c r="BY355" s="72" t="b">
        <v>0</v>
      </c>
      <c r="CA355" t="s">
        <v>393</v>
      </c>
      <c r="CB355">
        <v>1</v>
      </c>
      <c r="CC355">
        <v>220</v>
      </c>
      <c r="CD355">
        <v>80</v>
      </c>
      <c r="CE355" s="75">
        <f ca="1">INDIRECT(ADDRESS(11+(MATCH(RIGHT(Table11[[#This Row],[spawner_sku]],LEN(Table11[[#This Row],[spawner_sku]])-FIND("/",Table11[[#This Row],[spawner_sku]])),Table1[Entity Prefab],0)),10,1,1,"Entities"))</f>
        <v>83</v>
      </c>
      <c r="CF355">
        <f ca="1">ROUND((Table11[[#This Row],[XP]]*Table11[[#This Row],[entity_spawned (AVG)]])*(Table11[[#This Row],[activating_chance]]/100),0)</f>
        <v>66</v>
      </c>
      <c r="CG355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55" s="72">
        <v>1</v>
      </c>
      <c r="CI355" s="72">
        <v>1</v>
      </c>
      <c r="CJ355" s="72" t="b">
        <v>0</v>
      </c>
      <c r="CW355" t="s">
        <v>383</v>
      </c>
      <c r="CX355">
        <v>5.5</v>
      </c>
      <c r="CY355">
        <v>170</v>
      </c>
      <c r="CZ355">
        <v>100</v>
      </c>
      <c r="DA355" s="75">
        <f ca="1">INDIRECT(ADDRESS(11+(MATCH(RIGHT(Table13[[#This Row],[spawner_sku]],LEN(Table13[[#This Row],[spawner_sku]])-FIND("/",Table13[[#This Row],[spawner_sku]])),Table1[Entity Prefab],0)),10,1,1,"Entities"))</f>
        <v>28</v>
      </c>
      <c r="DB355" s="75">
        <f ca="1">ROUND((Table13[[#This Row],[XP]]*Table13[[#This Row],[entity_spawned (AVG)]])*(Table13[[#This Row],[activating_chance]]/100),0)</f>
        <v>154</v>
      </c>
      <c r="DC355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355" s="72">
        <v>5</v>
      </c>
      <c r="DE355" s="72">
        <v>6</v>
      </c>
      <c r="DF355" s="72" t="b">
        <v>1</v>
      </c>
      <c r="DH355" t="s">
        <v>388</v>
      </c>
      <c r="DI355">
        <v>1</v>
      </c>
      <c r="DJ355">
        <v>180</v>
      </c>
      <c r="DK355">
        <v>80</v>
      </c>
      <c r="DL355" s="75">
        <f ca="1">INDIRECT(ADDRESS(11+(MATCH(RIGHT(Table14[[#This Row],[spawner_sku]],LEN(Table14[[#This Row],[spawner_sku]])-FIND("/",Table14[[#This Row],[spawner_sku]])),Table1[Entity Prefab],0)),10,1,1,"Entities"))</f>
        <v>75</v>
      </c>
      <c r="DM355" s="75">
        <f ca="1">ROUND((Table14[[#This Row],[XP]]*Table14[[#This Row],[entity_spawned (AVG)]])*(Table14[[#This Row],[activating_chance]]/100),0)</f>
        <v>60</v>
      </c>
      <c r="DN35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55" s="72">
        <v>1</v>
      </c>
      <c r="DP355" s="72">
        <v>1</v>
      </c>
      <c r="DQ355" s="72" t="b">
        <v>0</v>
      </c>
    </row>
    <row r="356" spans="2:121" x14ac:dyDescent="0.25">
      <c r="B356" s="73" t="s">
        <v>242</v>
      </c>
      <c r="C356">
        <v>1</v>
      </c>
      <c r="D356">
        <v>1500</v>
      </c>
      <c r="E356">
        <v>100</v>
      </c>
      <c r="F356" s="75">
        <f ca="1">INDIRECT(ADDRESS(11+(MATCH(RIGHT(Table245[[#This Row],[spawner_sku]],LEN(Table245[[#This Row],[spawner_sku]])-FIND("/",Table245[[#This Row],[spawner_sku]])),Table1[Entity Prefab],0)),10,1,1,"Entities"))</f>
        <v>130</v>
      </c>
      <c r="G356" s="75">
        <f ca="1">ROUND((Table245[[#This Row],[XP]]*Table245[[#This Row],[entity_spawned (AVG)]])*(Table245[[#This Row],[activating_chance]]/100),0)</f>
        <v>130</v>
      </c>
      <c r="H35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56" s="72">
        <v>1</v>
      </c>
      <c r="J356" s="72">
        <v>1</v>
      </c>
      <c r="K356" s="72" t="b">
        <v>0</v>
      </c>
      <c r="AI356" t="s">
        <v>247</v>
      </c>
      <c r="AJ356">
        <v>1</v>
      </c>
      <c r="AK356">
        <v>420</v>
      </c>
      <c r="AL356">
        <v>100</v>
      </c>
      <c r="AM356" s="75">
        <f ca="1">INDIRECT(ADDRESS(11+(MATCH(RIGHT(Table2[[#This Row],[spawner_sku]],LEN(Table2[[#This Row],[spawner_sku]])-FIND("/",Table2[[#This Row],[spawner_sku]])),Table1[Entity Prefab],0)),10,1,1,"Entities"))</f>
        <v>83</v>
      </c>
      <c r="AN356" s="75">
        <f ca="1">ROUND((Table2[[#This Row],[XP]]*Table2[[#This Row],[entity_spawned (AVG)]])*(Table2[[#This Row],[activating_chance]]/100),0)</f>
        <v>83</v>
      </c>
      <c r="AO35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56" s="72">
        <v>1</v>
      </c>
      <c r="AQ356" s="72">
        <v>1</v>
      </c>
      <c r="AR356" s="72" t="b">
        <v>0</v>
      </c>
      <c r="BP356" t="s">
        <v>247</v>
      </c>
      <c r="BQ356">
        <v>1</v>
      </c>
      <c r="BR356">
        <v>420</v>
      </c>
      <c r="BS356">
        <v>100</v>
      </c>
      <c r="BT356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356" s="75">
        <f ca="1">ROUND((Table61011[[#This Row],[XP]]*Table61011[[#This Row],[entity_spawned (AVG)]])*(Table61011[[#This Row],[activating_chance]]/100),0)</f>
        <v>83</v>
      </c>
      <c r="BV35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56" s="72">
        <v>1</v>
      </c>
      <c r="BX356" s="72">
        <v>1</v>
      </c>
      <c r="BY356" s="72" t="b">
        <v>0</v>
      </c>
      <c r="CA356" t="s">
        <v>393</v>
      </c>
      <c r="CB356">
        <v>1</v>
      </c>
      <c r="CC356">
        <v>220</v>
      </c>
      <c r="CD356">
        <v>90</v>
      </c>
      <c r="CE356" s="75">
        <f ca="1">INDIRECT(ADDRESS(11+(MATCH(RIGHT(Table11[[#This Row],[spawner_sku]],LEN(Table11[[#This Row],[spawner_sku]])-FIND("/",Table11[[#This Row],[spawner_sku]])),Table1[Entity Prefab],0)),10,1,1,"Entities"))</f>
        <v>83</v>
      </c>
      <c r="CF356">
        <f ca="1">ROUND((Table11[[#This Row],[XP]]*Table11[[#This Row],[entity_spawned (AVG)]])*(Table11[[#This Row],[activating_chance]]/100),0)</f>
        <v>75</v>
      </c>
      <c r="CG356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56" s="72">
        <v>1</v>
      </c>
      <c r="CI356" s="72">
        <v>1</v>
      </c>
      <c r="CJ356" s="72" t="b">
        <v>0</v>
      </c>
      <c r="CW356" t="s">
        <v>383</v>
      </c>
      <c r="CX356">
        <v>1.5</v>
      </c>
      <c r="CY356">
        <v>170</v>
      </c>
      <c r="CZ356">
        <v>100</v>
      </c>
      <c r="DA356" s="75">
        <f ca="1">INDIRECT(ADDRESS(11+(MATCH(RIGHT(Table13[[#This Row],[spawner_sku]],LEN(Table13[[#This Row],[spawner_sku]])-FIND("/",Table13[[#This Row],[spawner_sku]])),Table1[Entity Prefab],0)),10,1,1,"Entities"))</f>
        <v>28</v>
      </c>
      <c r="DB356" s="75">
        <f ca="1">ROUND((Table13[[#This Row],[XP]]*Table13[[#This Row],[entity_spawned (AVG)]])*(Table13[[#This Row],[activating_chance]]/100),0)</f>
        <v>42</v>
      </c>
      <c r="DC356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356" s="72">
        <v>1</v>
      </c>
      <c r="DE356" s="72">
        <v>2</v>
      </c>
      <c r="DF356" s="72" t="b">
        <v>0</v>
      </c>
      <c r="DH356" t="s">
        <v>388</v>
      </c>
      <c r="DI356">
        <v>1</v>
      </c>
      <c r="DJ356">
        <v>90</v>
      </c>
      <c r="DK356">
        <v>100</v>
      </c>
      <c r="DL356" s="75">
        <f ca="1">INDIRECT(ADDRESS(11+(MATCH(RIGHT(Table14[[#This Row],[spawner_sku]],LEN(Table14[[#This Row],[spawner_sku]])-FIND("/",Table14[[#This Row],[spawner_sku]])),Table1[Entity Prefab],0)),10,1,1,"Entities"))</f>
        <v>75</v>
      </c>
      <c r="DM356" s="75">
        <f ca="1">ROUND((Table14[[#This Row],[XP]]*Table14[[#This Row],[entity_spawned (AVG)]])*(Table14[[#This Row],[activating_chance]]/100),0)</f>
        <v>75</v>
      </c>
      <c r="DN35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56" s="72">
        <v>1</v>
      </c>
      <c r="DP356" s="72">
        <v>1</v>
      </c>
      <c r="DQ356" s="72" t="b">
        <v>0</v>
      </c>
    </row>
    <row r="357" spans="2:121" x14ac:dyDescent="0.25">
      <c r="B357" s="73" t="s">
        <v>242</v>
      </c>
      <c r="C357">
        <v>1</v>
      </c>
      <c r="D357">
        <v>1500</v>
      </c>
      <c r="E357">
        <v>80</v>
      </c>
      <c r="F357" s="75">
        <f ca="1">INDIRECT(ADDRESS(11+(MATCH(RIGHT(Table245[[#This Row],[spawner_sku]],LEN(Table245[[#This Row],[spawner_sku]])-FIND("/",Table245[[#This Row],[spawner_sku]])),Table1[Entity Prefab],0)),10,1,1,"Entities"))</f>
        <v>130</v>
      </c>
      <c r="G357" s="75">
        <f ca="1">ROUND((Table245[[#This Row],[XP]]*Table245[[#This Row],[entity_spawned (AVG)]])*(Table245[[#This Row],[activating_chance]]/100),0)</f>
        <v>104</v>
      </c>
      <c r="H35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57" s="72">
        <v>1</v>
      </c>
      <c r="J357" s="72">
        <v>1</v>
      </c>
      <c r="K357" s="72" t="b">
        <v>0</v>
      </c>
      <c r="AI357" t="s">
        <v>254</v>
      </c>
      <c r="AJ357">
        <v>1</v>
      </c>
      <c r="AK357">
        <v>190</v>
      </c>
      <c r="AL357">
        <v>100</v>
      </c>
      <c r="AM357" s="75">
        <f ca="1">INDIRECT(ADDRESS(11+(MATCH(RIGHT(Table2[[#This Row],[spawner_sku]],LEN(Table2[[#This Row],[spawner_sku]])-FIND("/",Table2[[#This Row],[spawner_sku]])),Table1[Entity Prefab],0)),10,1,1,"Entities"))</f>
        <v>70</v>
      </c>
      <c r="AN357" s="75">
        <f ca="1">ROUND((Table2[[#This Row],[XP]]*Table2[[#This Row],[entity_spawned (AVG)]])*(Table2[[#This Row],[activating_chance]]/100),0)</f>
        <v>70</v>
      </c>
      <c r="AO35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57" s="72">
        <v>1</v>
      </c>
      <c r="AQ357" s="72">
        <v>1</v>
      </c>
      <c r="AR357" s="72" t="b">
        <v>0</v>
      </c>
      <c r="BP357" t="s">
        <v>247</v>
      </c>
      <c r="BQ357">
        <v>1</v>
      </c>
      <c r="BR357">
        <v>420</v>
      </c>
      <c r="BS357">
        <v>100</v>
      </c>
      <c r="BT357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357" s="75">
        <f ca="1">ROUND((Table61011[[#This Row],[XP]]*Table61011[[#This Row],[entity_spawned (AVG)]])*(Table61011[[#This Row],[activating_chance]]/100),0)</f>
        <v>83</v>
      </c>
      <c r="BV35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57" s="72">
        <v>1</v>
      </c>
      <c r="BX357" s="72">
        <v>1</v>
      </c>
      <c r="BY357" s="72" t="b">
        <v>0</v>
      </c>
      <c r="CA357" t="s">
        <v>393</v>
      </c>
      <c r="CB357">
        <v>1</v>
      </c>
      <c r="CC357">
        <v>220</v>
      </c>
      <c r="CD357">
        <v>100</v>
      </c>
      <c r="CE357" s="75">
        <f ca="1">INDIRECT(ADDRESS(11+(MATCH(RIGHT(Table11[[#This Row],[spawner_sku]],LEN(Table11[[#This Row],[spawner_sku]])-FIND("/",Table11[[#This Row],[spawner_sku]])),Table1[Entity Prefab],0)),10,1,1,"Entities"))</f>
        <v>83</v>
      </c>
      <c r="CF357">
        <f ca="1">ROUND((Table11[[#This Row],[XP]]*Table11[[#This Row],[entity_spawned (AVG)]])*(Table11[[#This Row],[activating_chance]]/100),0)</f>
        <v>83</v>
      </c>
      <c r="CG357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57" s="72">
        <v>1</v>
      </c>
      <c r="CI357" s="72">
        <v>1</v>
      </c>
      <c r="CJ357" s="72" t="b">
        <v>0</v>
      </c>
      <c r="CW357" t="s">
        <v>383</v>
      </c>
      <c r="CX357">
        <v>1.5</v>
      </c>
      <c r="CY357">
        <v>170</v>
      </c>
      <c r="CZ357">
        <v>100</v>
      </c>
      <c r="DA357" s="75">
        <f ca="1">INDIRECT(ADDRESS(11+(MATCH(RIGHT(Table13[[#This Row],[spawner_sku]],LEN(Table13[[#This Row],[spawner_sku]])-FIND("/",Table13[[#This Row],[spawner_sku]])),Table1[Entity Prefab],0)),10,1,1,"Entities"))</f>
        <v>28</v>
      </c>
      <c r="DB357" s="75">
        <f ca="1">ROUND((Table13[[#This Row],[XP]]*Table13[[#This Row],[entity_spawned (AVG)]])*(Table13[[#This Row],[activating_chance]]/100),0)</f>
        <v>42</v>
      </c>
      <c r="DC357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357" s="72">
        <v>1</v>
      </c>
      <c r="DE357" s="72">
        <v>2</v>
      </c>
      <c r="DF357" s="72" t="b">
        <v>0</v>
      </c>
      <c r="DH357" t="s">
        <v>388</v>
      </c>
      <c r="DI357">
        <v>1</v>
      </c>
      <c r="DJ357">
        <v>180</v>
      </c>
      <c r="DK357">
        <v>100</v>
      </c>
      <c r="DL357" s="75">
        <f ca="1">INDIRECT(ADDRESS(11+(MATCH(RIGHT(Table14[[#This Row],[spawner_sku]],LEN(Table14[[#This Row],[spawner_sku]])-FIND("/",Table14[[#This Row],[spawner_sku]])),Table1[Entity Prefab],0)),10,1,1,"Entities"))</f>
        <v>75</v>
      </c>
      <c r="DM357" s="75">
        <f ca="1">ROUND((Table14[[#This Row],[XP]]*Table14[[#This Row],[entity_spawned (AVG)]])*(Table14[[#This Row],[activating_chance]]/100),0)</f>
        <v>75</v>
      </c>
      <c r="DN35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57" s="72">
        <v>1</v>
      </c>
      <c r="DP357" s="72">
        <v>1</v>
      </c>
      <c r="DQ357" s="72" t="b">
        <v>0</v>
      </c>
    </row>
    <row r="358" spans="2:121" x14ac:dyDescent="0.25">
      <c r="B358" s="73" t="s">
        <v>242</v>
      </c>
      <c r="C358">
        <v>1</v>
      </c>
      <c r="D358">
        <v>1500</v>
      </c>
      <c r="E358">
        <v>100</v>
      </c>
      <c r="F358" s="75">
        <f ca="1">INDIRECT(ADDRESS(11+(MATCH(RIGHT(Table245[[#This Row],[spawner_sku]],LEN(Table245[[#This Row],[spawner_sku]])-FIND("/",Table245[[#This Row],[spawner_sku]])),Table1[Entity Prefab],0)),10,1,1,"Entities"))</f>
        <v>130</v>
      </c>
      <c r="G358" s="75">
        <f ca="1">ROUND((Table245[[#This Row],[XP]]*Table245[[#This Row],[entity_spawned (AVG)]])*(Table245[[#This Row],[activating_chance]]/100),0)</f>
        <v>130</v>
      </c>
      <c r="H35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58" s="72">
        <v>1</v>
      </c>
      <c r="J358" s="72">
        <v>1</v>
      </c>
      <c r="K358" s="72" t="b">
        <v>0</v>
      </c>
      <c r="AI358" t="s">
        <v>254</v>
      </c>
      <c r="AJ358">
        <v>1</v>
      </c>
      <c r="AK358">
        <v>120</v>
      </c>
      <c r="AL358">
        <v>100</v>
      </c>
      <c r="AM358" s="75">
        <f ca="1">INDIRECT(ADDRESS(11+(MATCH(RIGHT(Table2[[#This Row],[spawner_sku]],LEN(Table2[[#This Row],[spawner_sku]])-FIND("/",Table2[[#This Row],[spawner_sku]])),Table1[Entity Prefab],0)),10,1,1,"Entities"))</f>
        <v>70</v>
      </c>
      <c r="AN358" s="75">
        <f ca="1">ROUND((Table2[[#This Row],[XP]]*Table2[[#This Row],[entity_spawned (AVG)]])*(Table2[[#This Row],[activating_chance]]/100),0)</f>
        <v>70</v>
      </c>
      <c r="AO35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58" s="72">
        <v>1</v>
      </c>
      <c r="AQ358" s="72">
        <v>1</v>
      </c>
      <c r="AR358" s="72" t="b">
        <v>0</v>
      </c>
      <c r="BP358" t="s">
        <v>247</v>
      </c>
      <c r="BQ358">
        <v>1</v>
      </c>
      <c r="BR358">
        <v>420</v>
      </c>
      <c r="BS358">
        <v>100</v>
      </c>
      <c r="BT358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358" s="75">
        <f ca="1">ROUND((Table61011[[#This Row],[XP]]*Table61011[[#This Row],[entity_spawned (AVG)]])*(Table61011[[#This Row],[activating_chance]]/100),0)</f>
        <v>83</v>
      </c>
      <c r="BV35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58" s="72">
        <v>1</v>
      </c>
      <c r="BX358" s="72">
        <v>1</v>
      </c>
      <c r="BY358" s="72" t="b">
        <v>0</v>
      </c>
      <c r="CA358" t="s">
        <v>396</v>
      </c>
      <c r="CB358">
        <v>1</v>
      </c>
      <c r="CC358">
        <v>120</v>
      </c>
      <c r="CD358">
        <v>30</v>
      </c>
      <c r="CE358" s="75">
        <f ca="1">INDIRECT(ADDRESS(11+(MATCH(RIGHT(Table11[[#This Row],[spawner_sku]],LEN(Table11[[#This Row],[spawner_sku]])-FIND("/",Table11[[#This Row],[spawner_sku]])),Table1[Entity Prefab],0)),10,1,1,"Entities"))</f>
        <v>25</v>
      </c>
      <c r="CF358">
        <f ca="1">ROUND((Table11[[#This Row],[XP]]*Table11[[#This Row],[entity_spawned (AVG)]])*(Table11[[#This Row],[activating_chance]]/100),0)</f>
        <v>8</v>
      </c>
      <c r="CG358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58" s="72">
        <v>1</v>
      </c>
      <c r="CI358" s="72">
        <v>1</v>
      </c>
      <c r="CJ358" s="72" t="b">
        <v>0</v>
      </c>
      <c r="CW358" t="s">
        <v>383</v>
      </c>
      <c r="CX358">
        <v>3.5</v>
      </c>
      <c r="CY358">
        <v>170</v>
      </c>
      <c r="CZ358">
        <v>30</v>
      </c>
      <c r="DA358" s="75">
        <f ca="1">INDIRECT(ADDRESS(11+(MATCH(RIGHT(Table13[[#This Row],[spawner_sku]],LEN(Table13[[#This Row],[spawner_sku]])-FIND("/",Table13[[#This Row],[spawner_sku]])),Table1[Entity Prefab],0)),10,1,1,"Entities"))</f>
        <v>28</v>
      </c>
      <c r="DB358" s="75">
        <f ca="1">ROUND((Table13[[#This Row],[XP]]*Table13[[#This Row],[entity_spawned (AVG)]])*(Table13[[#This Row],[activating_chance]]/100),0)</f>
        <v>29</v>
      </c>
      <c r="DC358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358" s="72">
        <v>3</v>
      </c>
      <c r="DE358" s="72">
        <v>4</v>
      </c>
      <c r="DF358" s="72" t="b">
        <v>0</v>
      </c>
      <c r="DH358" t="s">
        <v>388</v>
      </c>
      <c r="DI358">
        <v>1</v>
      </c>
      <c r="DJ358">
        <v>150</v>
      </c>
      <c r="DK358">
        <v>100</v>
      </c>
      <c r="DL358" s="75">
        <f ca="1">INDIRECT(ADDRESS(11+(MATCH(RIGHT(Table14[[#This Row],[spawner_sku]],LEN(Table14[[#This Row],[spawner_sku]])-FIND("/",Table14[[#This Row],[spawner_sku]])),Table1[Entity Prefab],0)),10,1,1,"Entities"))</f>
        <v>75</v>
      </c>
      <c r="DM358" s="75">
        <f ca="1">ROUND((Table14[[#This Row],[XP]]*Table14[[#This Row],[entity_spawned (AVG)]])*(Table14[[#This Row],[activating_chance]]/100),0)</f>
        <v>75</v>
      </c>
      <c r="DN35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58" s="72">
        <v>1</v>
      </c>
      <c r="DP358" s="72">
        <v>1</v>
      </c>
      <c r="DQ358" s="72" t="b">
        <v>0</v>
      </c>
    </row>
    <row r="359" spans="2:121" x14ac:dyDescent="0.25">
      <c r="B359" s="73" t="s">
        <v>244</v>
      </c>
      <c r="C359">
        <v>1</v>
      </c>
      <c r="D359">
        <v>220</v>
      </c>
      <c r="E359">
        <v>100</v>
      </c>
      <c r="F359" s="75">
        <f ca="1">INDIRECT(ADDRESS(11+(MATCH(RIGHT(Table245[[#This Row],[spawner_sku]],LEN(Table245[[#This Row],[spawner_sku]])-FIND("/",Table245[[#This Row],[spawner_sku]])),Table1[Entity Prefab],0)),10,1,1,"Entities"))</f>
        <v>25</v>
      </c>
      <c r="G359" s="75">
        <f ca="1">ROUND((Table245[[#This Row],[XP]]*Table245[[#This Row],[entity_spawned (AVG)]])*(Table245[[#This Row],[activating_chance]]/100),0)</f>
        <v>25</v>
      </c>
      <c r="H35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59" s="72">
        <v>1</v>
      </c>
      <c r="J359" s="72">
        <v>1</v>
      </c>
      <c r="K359" s="72" t="b">
        <v>0</v>
      </c>
      <c r="AI359" t="s">
        <v>254</v>
      </c>
      <c r="AJ359">
        <v>1</v>
      </c>
      <c r="AK359">
        <v>190</v>
      </c>
      <c r="AL359">
        <v>100</v>
      </c>
      <c r="AM359" s="75">
        <f ca="1">INDIRECT(ADDRESS(11+(MATCH(RIGHT(Table2[[#This Row],[spawner_sku]],LEN(Table2[[#This Row],[spawner_sku]])-FIND("/",Table2[[#This Row],[spawner_sku]])),Table1[Entity Prefab],0)),10,1,1,"Entities"))</f>
        <v>70</v>
      </c>
      <c r="AN359" s="75">
        <f ca="1">ROUND((Table2[[#This Row],[XP]]*Table2[[#This Row],[entity_spawned (AVG)]])*(Table2[[#This Row],[activating_chance]]/100),0)</f>
        <v>70</v>
      </c>
      <c r="AO35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59" s="72">
        <v>1</v>
      </c>
      <c r="AQ359" s="72">
        <v>1</v>
      </c>
      <c r="AR359" s="72" t="b">
        <v>0</v>
      </c>
      <c r="BP359" t="s">
        <v>607</v>
      </c>
      <c r="BQ359">
        <v>1</v>
      </c>
      <c r="BR359">
        <v>300</v>
      </c>
      <c r="BS359">
        <v>100</v>
      </c>
      <c r="BT359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359" s="75">
        <f ca="1">ROUND((Table61011[[#This Row],[XP]]*Table61011[[#This Row],[entity_spawned (AVG)]])*(Table61011[[#This Row],[activating_chance]]/100),0)</f>
        <v>50</v>
      </c>
      <c r="BV35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59" s="72">
        <v>1</v>
      </c>
      <c r="BX359" s="72">
        <v>1</v>
      </c>
      <c r="BY359" s="72" t="b">
        <v>0</v>
      </c>
      <c r="CA359" t="s">
        <v>396</v>
      </c>
      <c r="CB359">
        <v>1</v>
      </c>
      <c r="CC359">
        <v>120</v>
      </c>
      <c r="CD359">
        <v>30</v>
      </c>
      <c r="CE359" s="75">
        <f ca="1">INDIRECT(ADDRESS(11+(MATCH(RIGHT(Table11[[#This Row],[spawner_sku]],LEN(Table11[[#This Row],[spawner_sku]])-FIND("/",Table11[[#This Row],[spawner_sku]])),Table1[Entity Prefab],0)),10,1,1,"Entities"))</f>
        <v>25</v>
      </c>
      <c r="CF359">
        <f ca="1">ROUND((Table11[[#This Row],[XP]]*Table11[[#This Row],[entity_spawned (AVG)]])*(Table11[[#This Row],[activating_chance]]/100),0)</f>
        <v>8</v>
      </c>
      <c r="CG359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59" s="72">
        <v>1</v>
      </c>
      <c r="CI359" s="72">
        <v>1</v>
      </c>
      <c r="CJ359" s="72" t="b">
        <v>0</v>
      </c>
      <c r="CW359" t="s">
        <v>383</v>
      </c>
      <c r="CX359">
        <v>1.5</v>
      </c>
      <c r="CY359">
        <v>170</v>
      </c>
      <c r="CZ359">
        <v>100</v>
      </c>
      <c r="DA359" s="75">
        <f ca="1">INDIRECT(ADDRESS(11+(MATCH(RIGHT(Table13[[#This Row],[spawner_sku]],LEN(Table13[[#This Row],[spawner_sku]])-FIND("/",Table13[[#This Row],[spawner_sku]])),Table1[Entity Prefab],0)),10,1,1,"Entities"))</f>
        <v>28</v>
      </c>
      <c r="DB359" s="75">
        <f ca="1">ROUND((Table13[[#This Row],[XP]]*Table13[[#This Row],[entity_spawned (AVG)]])*(Table13[[#This Row],[activating_chance]]/100),0)</f>
        <v>42</v>
      </c>
      <c r="DC359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359" s="72">
        <v>1</v>
      </c>
      <c r="DE359" s="72">
        <v>2</v>
      </c>
      <c r="DF359" s="72" t="b">
        <v>0</v>
      </c>
      <c r="DH359" t="s">
        <v>388</v>
      </c>
      <c r="DI359">
        <v>1</v>
      </c>
      <c r="DJ359">
        <v>220</v>
      </c>
      <c r="DK359">
        <v>100</v>
      </c>
      <c r="DL359" s="75">
        <f ca="1">INDIRECT(ADDRESS(11+(MATCH(RIGHT(Table14[[#This Row],[spawner_sku]],LEN(Table14[[#This Row],[spawner_sku]])-FIND("/",Table14[[#This Row],[spawner_sku]])),Table1[Entity Prefab],0)),10,1,1,"Entities"))</f>
        <v>75</v>
      </c>
      <c r="DM359" s="75">
        <f ca="1">ROUND((Table14[[#This Row],[XP]]*Table14[[#This Row],[entity_spawned (AVG)]])*(Table14[[#This Row],[activating_chance]]/100),0)</f>
        <v>75</v>
      </c>
      <c r="DN35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59" s="72">
        <v>1</v>
      </c>
      <c r="DP359" s="72">
        <v>1</v>
      </c>
      <c r="DQ359" s="72" t="b">
        <v>0</v>
      </c>
    </row>
    <row r="360" spans="2:121" x14ac:dyDescent="0.25">
      <c r="B360" s="73" t="s">
        <v>244</v>
      </c>
      <c r="C360">
        <v>1</v>
      </c>
      <c r="D360">
        <v>180</v>
      </c>
      <c r="E360">
        <v>70</v>
      </c>
      <c r="F360" s="75">
        <f ca="1">INDIRECT(ADDRESS(11+(MATCH(RIGHT(Table245[[#This Row],[spawner_sku]],LEN(Table245[[#This Row],[spawner_sku]])-FIND("/",Table245[[#This Row],[spawner_sku]])),Table1[Entity Prefab],0)),10,1,1,"Entities"))</f>
        <v>25</v>
      </c>
      <c r="G360" s="75">
        <f ca="1">ROUND((Table245[[#This Row],[XP]]*Table245[[#This Row],[entity_spawned (AVG)]])*(Table245[[#This Row],[activating_chance]]/100),0)</f>
        <v>18</v>
      </c>
      <c r="H36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60" s="72">
        <v>1</v>
      </c>
      <c r="J360" s="72">
        <v>1</v>
      </c>
      <c r="K360" s="72" t="b">
        <v>0</v>
      </c>
      <c r="AI360" t="s">
        <v>254</v>
      </c>
      <c r="AJ360">
        <v>1</v>
      </c>
      <c r="AK360">
        <v>190</v>
      </c>
      <c r="AL360">
        <v>100</v>
      </c>
      <c r="AM360" s="75">
        <f ca="1">INDIRECT(ADDRESS(11+(MATCH(RIGHT(Table2[[#This Row],[spawner_sku]],LEN(Table2[[#This Row],[spawner_sku]])-FIND("/",Table2[[#This Row],[spawner_sku]])),Table1[Entity Prefab],0)),10,1,1,"Entities"))</f>
        <v>70</v>
      </c>
      <c r="AN360" s="75">
        <f ca="1">ROUND((Table2[[#This Row],[XP]]*Table2[[#This Row],[entity_spawned (AVG)]])*(Table2[[#This Row],[activating_chance]]/100),0)</f>
        <v>70</v>
      </c>
      <c r="AO36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60" s="72">
        <v>1</v>
      </c>
      <c r="AQ360" s="72">
        <v>1</v>
      </c>
      <c r="AR360" s="72" t="b">
        <v>0</v>
      </c>
      <c r="BP360" t="s">
        <v>607</v>
      </c>
      <c r="BQ360">
        <v>1</v>
      </c>
      <c r="BR360">
        <v>300</v>
      </c>
      <c r="BS360">
        <v>100</v>
      </c>
      <c r="BT360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360" s="75">
        <f ca="1">ROUND((Table61011[[#This Row],[XP]]*Table61011[[#This Row],[entity_spawned (AVG)]])*(Table61011[[#This Row],[activating_chance]]/100),0)</f>
        <v>50</v>
      </c>
      <c r="BV36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60" s="72">
        <v>1</v>
      </c>
      <c r="BX360" s="72">
        <v>1</v>
      </c>
      <c r="BY360" s="72" t="b">
        <v>0</v>
      </c>
      <c r="CA360" t="s">
        <v>396</v>
      </c>
      <c r="CB360">
        <v>1</v>
      </c>
      <c r="CC360">
        <v>120</v>
      </c>
      <c r="CD360">
        <v>50</v>
      </c>
      <c r="CE360" s="75">
        <f ca="1">INDIRECT(ADDRESS(11+(MATCH(RIGHT(Table11[[#This Row],[spawner_sku]],LEN(Table11[[#This Row],[spawner_sku]])-FIND("/",Table11[[#This Row],[spawner_sku]])),Table1[Entity Prefab],0)),10,1,1,"Entities"))</f>
        <v>25</v>
      </c>
      <c r="CF360">
        <f ca="1">ROUND((Table11[[#This Row],[XP]]*Table11[[#This Row],[entity_spawned (AVG)]])*(Table11[[#This Row],[activating_chance]]/100),0)</f>
        <v>13</v>
      </c>
      <c r="CG360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60" s="72">
        <v>1</v>
      </c>
      <c r="CI360" s="72">
        <v>1</v>
      </c>
      <c r="CJ360" s="72" t="b">
        <v>0</v>
      </c>
      <c r="CW360" t="s">
        <v>383</v>
      </c>
      <c r="CX360">
        <v>3.5</v>
      </c>
      <c r="CY360">
        <v>170</v>
      </c>
      <c r="CZ360">
        <v>30</v>
      </c>
      <c r="DA360" s="75">
        <f ca="1">INDIRECT(ADDRESS(11+(MATCH(RIGHT(Table13[[#This Row],[spawner_sku]],LEN(Table13[[#This Row],[spawner_sku]])-FIND("/",Table13[[#This Row],[spawner_sku]])),Table1[Entity Prefab],0)),10,1,1,"Entities"))</f>
        <v>28</v>
      </c>
      <c r="DB360" s="75">
        <f ca="1">ROUND((Table13[[#This Row],[XP]]*Table13[[#This Row],[entity_spawned (AVG)]])*(Table13[[#This Row],[activating_chance]]/100),0)</f>
        <v>29</v>
      </c>
      <c r="DC360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360" s="72">
        <v>3</v>
      </c>
      <c r="DE360" s="72">
        <v>4</v>
      </c>
      <c r="DF360" s="72" t="b">
        <v>0</v>
      </c>
      <c r="DH360" t="s">
        <v>388</v>
      </c>
      <c r="DI360">
        <v>1</v>
      </c>
      <c r="DJ360">
        <v>220</v>
      </c>
      <c r="DK360">
        <v>100</v>
      </c>
      <c r="DL360" s="75">
        <f ca="1">INDIRECT(ADDRESS(11+(MATCH(RIGHT(Table14[[#This Row],[spawner_sku]],LEN(Table14[[#This Row],[spawner_sku]])-FIND("/",Table14[[#This Row],[spawner_sku]])),Table1[Entity Prefab],0)),10,1,1,"Entities"))</f>
        <v>75</v>
      </c>
      <c r="DM360" s="75">
        <f ca="1">ROUND((Table14[[#This Row],[XP]]*Table14[[#This Row],[entity_spawned (AVG)]])*(Table14[[#This Row],[activating_chance]]/100),0)</f>
        <v>75</v>
      </c>
      <c r="DN36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60" s="72">
        <v>1</v>
      </c>
      <c r="DP360" s="72">
        <v>1</v>
      </c>
      <c r="DQ360" s="72" t="b">
        <v>0</v>
      </c>
    </row>
    <row r="361" spans="2:121" x14ac:dyDescent="0.25">
      <c r="B361" s="73" t="s">
        <v>244</v>
      </c>
      <c r="C361">
        <v>1</v>
      </c>
      <c r="D361">
        <v>200</v>
      </c>
      <c r="E361">
        <v>80</v>
      </c>
      <c r="F361" s="75">
        <f ca="1">INDIRECT(ADDRESS(11+(MATCH(RIGHT(Table245[[#This Row],[spawner_sku]],LEN(Table245[[#This Row],[spawner_sku]])-FIND("/",Table245[[#This Row],[spawner_sku]])),Table1[Entity Prefab],0)),10,1,1,"Entities"))</f>
        <v>25</v>
      </c>
      <c r="G361" s="75">
        <f ca="1">ROUND((Table245[[#This Row],[XP]]*Table245[[#This Row],[entity_spawned (AVG)]])*(Table245[[#This Row],[activating_chance]]/100),0)</f>
        <v>20</v>
      </c>
      <c r="H36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61" s="72">
        <v>1</v>
      </c>
      <c r="J361" s="72">
        <v>1</v>
      </c>
      <c r="K361" s="72" t="b">
        <v>0</v>
      </c>
      <c r="AI361" t="s">
        <v>254</v>
      </c>
      <c r="AJ361">
        <v>1</v>
      </c>
      <c r="AK361">
        <v>190</v>
      </c>
      <c r="AL361">
        <v>40</v>
      </c>
      <c r="AM361" s="75">
        <f ca="1">INDIRECT(ADDRESS(11+(MATCH(RIGHT(Table2[[#This Row],[spawner_sku]],LEN(Table2[[#This Row],[spawner_sku]])-FIND("/",Table2[[#This Row],[spawner_sku]])),Table1[Entity Prefab],0)),10,1,1,"Entities"))</f>
        <v>70</v>
      </c>
      <c r="AN361" s="75">
        <f ca="1">ROUND((Table2[[#This Row],[XP]]*Table2[[#This Row],[entity_spawned (AVG)]])*(Table2[[#This Row],[activating_chance]]/100),0)</f>
        <v>28</v>
      </c>
      <c r="AO361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61" s="72">
        <v>1</v>
      </c>
      <c r="AQ361" s="72">
        <v>1</v>
      </c>
      <c r="AR361" s="72" t="b">
        <v>0</v>
      </c>
      <c r="BP361" t="s">
        <v>607</v>
      </c>
      <c r="BQ361">
        <v>1</v>
      </c>
      <c r="BR361">
        <v>300</v>
      </c>
      <c r="BS361">
        <v>100</v>
      </c>
      <c r="BT361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361" s="75">
        <f ca="1">ROUND((Table61011[[#This Row],[XP]]*Table61011[[#This Row],[entity_spawned (AVG)]])*(Table61011[[#This Row],[activating_chance]]/100),0)</f>
        <v>50</v>
      </c>
      <c r="BV36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61" s="72">
        <v>1</v>
      </c>
      <c r="BX361" s="72">
        <v>1</v>
      </c>
      <c r="BY361" s="72" t="b">
        <v>0</v>
      </c>
      <c r="CA361" t="s">
        <v>396</v>
      </c>
      <c r="CB361">
        <v>1</v>
      </c>
      <c r="CC361">
        <v>120</v>
      </c>
      <c r="CD361">
        <v>20</v>
      </c>
      <c r="CE361" s="75">
        <f ca="1">INDIRECT(ADDRESS(11+(MATCH(RIGHT(Table11[[#This Row],[spawner_sku]],LEN(Table11[[#This Row],[spawner_sku]])-FIND("/",Table11[[#This Row],[spawner_sku]])),Table1[Entity Prefab],0)),10,1,1,"Entities"))</f>
        <v>25</v>
      </c>
      <c r="CF361">
        <f ca="1">ROUND((Table11[[#This Row],[XP]]*Table11[[#This Row],[entity_spawned (AVG)]])*(Table11[[#This Row],[activating_chance]]/100),0)</f>
        <v>5</v>
      </c>
      <c r="CG361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61" s="72">
        <v>1</v>
      </c>
      <c r="CI361" s="72">
        <v>1</v>
      </c>
      <c r="CJ361" s="72" t="b">
        <v>0</v>
      </c>
      <c r="DH361" t="s">
        <v>388</v>
      </c>
      <c r="DI361">
        <v>1</v>
      </c>
      <c r="DJ361">
        <v>220</v>
      </c>
      <c r="DK361">
        <v>30</v>
      </c>
      <c r="DL361" s="75">
        <f ca="1">INDIRECT(ADDRESS(11+(MATCH(RIGHT(Table14[[#This Row],[spawner_sku]],LEN(Table14[[#This Row],[spawner_sku]])-FIND("/",Table14[[#This Row],[spawner_sku]])),Table1[Entity Prefab],0)),10,1,1,"Entities"))</f>
        <v>75</v>
      </c>
      <c r="DM361" s="75">
        <f ca="1">ROUND((Table14[[#This Row],[XP]]*Table14[[#This Row],[entity_spawned (AVG)]])*(Table14[[#This Row],[activating_chance]]/100),0)</f>
        <v>23</v>
      </c>
      <c r="DN36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61" s="72">
        <v>1</v>
      </c>
      <c r="DP361" s="72">
        <v>1</v>
      </c>
      <c r="DQ361" s="72" t="b">
        <v>0</v>
      </c>
    </row>
    <row r="362" spans="2:121" x14ac:dyDescent="0.25">
      <c r="B362" s="73" t="s">
        <v>244</v>
      </c>
      <c r="C362">
        <v>1</v>
      </c>
      <c r="D362">
        <v>240</v>
      </c>
      <c r="E362">
        <v>80</v>
      </c>
      <c r="F362" s="75">
        <f ca="1">INDIRECT(ADDRESS(11+(MATCH(RIGHT(Table245[[#This Row],[spawner_sku]],LEN(Table245[[#This Row],[spawner_sku]])-FIND("/",Table245[[#This Row],[spawner_sku]])),Table1[Entity Prefab],0)),10,1,1,"Entities"))</f>
        <v>25</v>
      </c>
      <c r="G362" s="75">
        <f ca="1">ROUND((Table245[[#This Row],[XP]]*Table245[[#This Row],[entity_spawned (AVG)]])*(Table245[[#This Row],[activating_chance]]/100),0)</f>
        <v>20</v>
      </c>
      <c r="H36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62" s="72">
        <v>1</v>
      </c>
      <c r="J362" s="72">
        <v>1</v>
      </c>
      <c r="K362" s="72" t="b">
        <v>0</v>
      </c>
      <c r="AI362" t="s">
        <v>254</v>
      </c>
      <c r="AJ362">
        <v>1</v>
      </c>
      <c r="AK362">
        <v>190</v>
      </c>
      <c r="AL362">
        <v>100</v>
      </c>
      <c r="AM362" s="75">
        <f ca="1">INDIRECT(ADDRESS(11+(MATCH(RIGHT(Table2[[#This Row],[spawner_sku]],LEN(Table2[[#This Row],[spawner_sku]])-FIND("/",Table2[[#This Row],[spawner_sku]])),Table1[Entity Prefab],0)),10,1,1,"Entities"))</f>
        <v>70</v>
      </c>
      <c r="AN362" s="75">
        <f ca="1">ROUND((Table2[[#This Row],[XP]]*Table2[[#This Row],[entity_spawned (AVG)]])*(Table2[[#This Row],[activating_chance]]/100),0)</f>
        <v>70</v>
      </c>
      <c r="AO362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62" s="72">
        <v>1</v>
      </c>
      <c r="AQ362" s="72">
        <v>1</v>
      </c>
      <c r="AR362" s="72" t="b">
        <v>0</v>
      </c>
      <c r="BP362" t="s">
        <v>607</v>
      </c>
      <c r="BQ362">
        <v>1</v>
      </c>
      <c r="BR362">
        <v>300</v>
      </c>
      <c r="BS362">
        <v>100</v>
      </c>
      <c r="BT362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362" s="75">
        <f ca="1">ROUND((Table61011[[#This Row],[XP]]*Table61011[[#This Row],[entity_spawned (AVG)]])*(Table61011[[#This Row],[activating_chance]]/100),0)</f>
        <v>50</v>
      </c>
      <c r="BV36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62" s="72">
        <v>1</v>
      </c>
      <c r="BX362" s="72">
        <v>1</v>
      </c>
      <c r="BY362" s="72" t="b">
        <v>0</v>
      </c>
      <c r="CA362" t="s">
        <v>396</v>
      </c>
      <c r="CB362">
        <v>1</v>
      </c>
      <c r="CC362">
        <v>120</v>
      </c>
      <c r="CD362">
        <v>30</v>
      </c>
      <c r="CE362" s="75">
        <f ca="1">INDIRECT(ADDRESS(11+(MATCH(RIGHT(Table11[[#This Row],[spawner_sku]],LEN(Table11[[#This Row],[spawner_sku]])-FIND("/",Table11[[#This Row],[spawner_sku]])),Table1[Entity Prefab],0)),10,1,1,"Entities"))</f>
        <v>25</v>
      </c>
      <c r="CF362">
        <f ca="1">ROUND((Table11[[#This Row],[XP]]*Table11[[#This Row],[entity_spawned (AVG)]])*(Table11[[#This Row],[activating_chance]]/100),0)</f>
        <v>8</v>
      </c>
      <c r="CG362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62" s="72">
        <v>1</v>
      </c>
      <c r="CI362" s="72">
        <v>1</v>
      </c>
      <c r="CJ362" s="72" t="b">
        <v>0</v>
      </c>
      <c r="DH362" t="s">
        <v>388</v>
      </c>
      <c r="DI362">
        <v>1</v>
      </c>
      <c r="DJ362">
        <v>80</v>
      </c>
      <c r="DK362">
        <v>80</v>
      </c>
      <c r="DL362" s="75">
        <f ca="1">INDIRECT(ADDRESS(11+(MATCH(RIGHT(Table14[[#This Row],[spawner_sku]],LEN(Table14[[#This Row],[spawner_sku]])-FIND("/",Table14[[#This Row],[spawner_sku]])),Table1[Entity Prefab],0)),10,1,1,"Entities"))</f>
        <v>75</v>
      </c>
      <c r="DM362" s="75">
        <f ca="1">ROUND((Table14[[#This Row],[XP]]*Table14[[#This Row],[entity_spawned (AVG)]])*(Table14[[#This Row],[activating_chance]]/100),0)</f>
        <v>60</v>
      </c>
      <c r="DN36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62" s="72">
        <v>1</v>
      </c>
      <c r="DP362" s="72">
        <v>1</v>
      </c>
      <c r="DQ362" s="72" t="b">
        <v>0</v>
      </c>
    </row>
    <row r="363" spans="2:121" x14ac:dyDescent="0.25">
      <c r="B363" s="73" t="s">
        <v>244</v>
      </c>
      <c r="C363">
        <v>1</v>
      </c>
      <c r="D363">
        <v>240</v>
      </c>
      <c r="E363">
        <v>100</v>
      </c>
      <c r="F363" s="75">
        <f ca="1">INDIRECT(ADDRESS(11+(MATCH(RIGHT(Table245[[#This Row],[spawner_sku]],LEN(Table245[[#This Row],[spawner_sku]])-FIND("/",Table245[[#This Row],[spawner_sku]])),Table1[Entity Prefab],0)),10,1,1,"Entities"))</f>
        <v>25</v>
      </c>
      <c r="G363" s="75">
        <f ca="1">ROUND((Table245[[#This Row],[XP]]*Table245[[#This Row],[entity_spawned (AVG)]])*(Table245[[#This Row],[activating_chance]]/100),0)</f>
        <v>25</v>
      </c>
      <c r="H36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63" s="72">
        <v>1</v>
      </c>
      <c r="J363" s="72">
        <v>1</v>
      </c>
      <c r="K363" s="72" t="b">
        <v>0</v>
      </c>
      <c r="AI363" t="s">
        <v>254</v>
      </c>
      <c r="AJ363">
        <v>1</v>
      </c>
      <c r="AK363">
        <v>190</v>
      </c>
      <c r="AL363">
        <v>100</v>
      </c>
      <c r="AM363" s="75">
        <f ca="1">INDIRECT(ADDRESS(11+(MATCH(RIGHT(Table2[[#This Row],[spawner_sku]],LEN(Table2[[#This Row],[spawner_sku]])-FIND("/",Table2[[#This Row],[spawner_sku]])),Table1[Entity Prefab],0)),10,1,1,"Entities"))</f>
        <v>70</v>
      </c>
      <c r="AN363" s="75">
        <f ca="1">ROUND((Table2[[#This Row],[XP]]*Table2[[#This Row],[entity_spawned (AVG)]])*(Table2[[#This Row],[activating_chance]]/100),0)</f>
        <v>70</v>
      </c>
      <c r="AO36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63" s="72">
        <v>1</v>
      </c>
      <c r="AQ363" s="72">
        <v>1</v>
      </c>
      <c r="AR363" s="72" t="b">
        <v>0</v>
      </c>
      <c r="BP363" t="s">
        <v>607</v>
      </c>
      <c r="BQ363">
        <v>1</v>
      </c>
      <c r="BR363">
        <v>300</v>
      </c>
      <c r="BS363">
        <v>100</v>
      </c>
      <c r="BT363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363" s="75">
        <f ca="1">ROUND((Table61011[[#This Row],[XP]]*Table61011[[#This Row],[entity_spawned (AVG)]])*(Table61011[[#This Row],[activating_chance]]/100),0)</f>
        <v>50</v>
      </c>
      <c r="BV36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63" s="72">
        <v>1</v>
      </c>
      <c r="BX363" s="72">
        <v>1</v>
      </c>
      <c r="BY363" s="72" t="b">
        <v>0</v>
      </c>
      <c r="CA363" t="s">
        <v>451</v>
      </c>
      <c r="CB363">
        <v>1</v>
      </c>
      <c r="CC363">
        <v>120</v>
      </c>
      <c r="CD363">
        <v>30</v>
      </c>
      <c r="CE363" s="75">
        <f ca="1">INDIRECT(ADDRESS(11+(MATCH(RIGHT(Table11[[#This Row],[spawner_sku]],LEN(Table11[[#This Row],[spawner_sku]])-FIND("/",Table11[[#This Row],[spawner_sku]])),Table1[Entity Prefab],0)),10,1,1,"Entities"))</f>
        <v>25</v>
      </c>
      <c r="CF363">
        <f ca="1">ROUND((Table11[[#This Row],[XP]]*Table11[[#This Row],[entity_spawned (AVG)]])*(Table11[[#This Row],[activating_chance]]/100),0)</f>
        <v>8</v>
      </c>
      <c r="CG363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63" s="72">
        <v>1</v>
      </c>
      <c r="CI363" s="72">
        <v>1</v>
      </c>
      <c r="CJ363" s="72" t="b">
        <v>0</v>
      </c>
      <c r="DH363" t="s">
        <v>388</v>
      </c>
      <c r="DI363">
        <v>1</v>
      </c>
      <c r="DJ363">
        <v>220</v>
      </c>
      <c r="DK363">
        <v>100</v>
      </c>
      <c r="DL363" s="75">
        <f ca="1">INDIRECT(ADDRESS(11+(MATCH(RIGHT(Table14[[#This Row],[spawner_sku]],LEN(Table14[[#This Row],[spawner_sku]])-FIND("/",Table14[[#This Row],[spawner_sku]])),Table1[Entity Prefab],0)),10,1,1,"Entities"))</f>
        <v>75</v>
      </c>
      <c r="DM363" s="75">
        <f ca="1">ROUND((Table14[[#This Row],[XP]]*Table14[[#This Row],[entity_spawned (AVG)]])*(Table14[[#This Row],[activating_chance]]/100),0)</f>
        <v>75</v>
      </c>
      <c r="DN36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63" s="72">
        <v>1</v>
      </c>
      <c r="DP363" s="72">
        <v>1</v>
      </c>
      <c r="DQ363" s="72" t="b">
        <v>0</v>
      </c>
    </row>
    <row r="364" spans="2:121" x14ac:dyDescent="0.25">
      <c r="B364" s="73" t="s">
        <v>244</v>
      </c>
      <c r="C364">
        <v>1</v>
      </c>
      <c r="D364">
        <v>200</v>
      </c>
      <c r="E364">
        <v>100</v>
      </c>
      <c r="F364" s="75">
        <f ca="1">INDIRECT(ADDRESS(11+(MATCH(RIGHT(Table245[[#This Row],[spawner_sku]],LEN(Table245[[#This Row],[spawner_sku]])-FIND("/",Table245[[#This Row],[spawner_sku]])),Table1[Entity Prefab],0)),10,1,1,"Entities"))</f>
        <v>25</v>
      </c>
      <c r="G364" s="75">
        <f ca="1">ROUND((Table245[[#This Row],[XP]]*Table245[[#This Row],[entity_spawned (AVG)]])*(Table245[[#This Row],[activating_chance]]/100),0)</f>
        <v>25</v>
      </c>
      <c r="H36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64" s="72">
        <v>1</v>
      </c>
      <c r="J364" s="72">
        <v>1</v>
      </c>
      <c r="K364" s="72" t="b">
        <v>0</v>
      </c>
      <c r="AI364" t="s">
        <v>254</v>
      </c>
      <c r="AJ364">
        <v>1</v>
      </c>
      <c r="AK364">
        <v>190</v>
      </c>
      <c r="AL364">
        <v>100</v>
      </c>
      <c r="AM364" s="75">
        <f ca="1">INDIRECT(ADDRESS(11+(MATCH(RIGHT(Table2[[#This Row],[spawner_sku]],LEN(Table2[[#This Row],[spawner_sku]])-FIND("/",Table2[[#This Row],[spawner_sku]])),Table1[Entity Prefab],0)),10,1,1,"Entities"))</f>
        <v>70</v>
      </c>
      <c r="AN364" s="75">
        <f ca="1">ROUND((Table2[[#This Row],[XP]]*Table2[[#This Row],[entity_spawned (AVG)]])*(Table2[[#This Row],[activating_chance]]/100),0)</f>
        <v>70</v>
      </c>
      <c r="AO364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64" s="72">
        <v>1</v>
      </c>
      <c r="AQ364" s="72">
        <v>1</v>
      </c>
      <c r="AR364" s="72" t="b">
        <v>0</v>
      </c>
      <c r="BP364" t="s">
        <v>248</v>
      </c>
      <c r="BQ364">
        <v>1</v>
      </c>
      <c r="BR364">
        <v>200</v>
      </c>
      <c r="BS364">
        <v>30</v>
      </c>
      <c r="BT364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64" s="75">
        <f ca="1">ROUND((Table61011[[#This Row],[XP]]*Table61011[[#This Row],[entity_spawned (AVG)]])*(Table61011[[#This Row],[activating_chance]]/100),0)</f>
        <v>23</v>
      </c>
      <c r="BV36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64" s="72">
        <v>1</v>
      </c>
      <c r="BX364" s="72">
        <v>1</v>
      </c>
      <c r="BY364" s="72" t="b">
        <v>0</v>
      </c>
      <c r="CA364" t="s">
        <v>451</v>
      </c>
      <c r="CB364">
        <v>1</v>
      </c>
      <c r="CC364">
        <v>120</v>
      </c>
      <c r="CD364">
        <v>30</v>
      </c>
      <c r="CE364" s="75">
        <f ca="1">INDIRECT(ADDRESS(11+(MATCH(RIGHT(Table11[[#This Row],[spawner_sku]],LEN(Table11[[#This Row],[spawner_sku]])-FIND("/",Table11[[#This Row],[spawner_sku]])),Table1[Entity Prefab],0)),10,1,1,"Entities"))</f>
        <v>25</v>
      </c>
      <c r="CF364">
        <f ca="1">ROUND((Table11[[#This Row],[XP]]*Table11[[#This Row],[entity_spawned (AVG)]])*(Table11[[#This Row],[activating_chance]]/100),0)</f>
        <v>8</v>
      </c>
      <c r="CG364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64" s="72">
        <v>1</v>
      </c>
      <c r="CI364" s="72">
        <v>1</v>
      </c>
      <c r="CJ364" s="72" t="b">
        <v>0</v>
      </c>
      <c r="DH364" t="s">
        <v>388</v>
      </c>
      <c r="DI364">
        <v>1</v>
      </c>
      <c r="DJ364">
        <v>220</v>
      </c>
      <c r="DK364">
        <v>100</v>
      </c>
      <c r="DL364" s="75">
        <f ca="1">INDIRECT(ADDRESS(11+(MATCH(RIGHT(Table14[[#This Row],[spawner_sku]],LEN(Table14[[#This Row],[spawner_sku]])-FIND("/",Table14[[#This Row],[spawner_sku]])),Table1[Entity Prefab],0)),10,1,1,"Entities"))</f>
        <v>75</v>
      </c>
      <c r="DM364" s="75">
        <f ca="1">ROUND((Table14[[#This Row],[XP]]*Table14[[#This Row],[entity_spawned (AVG)]])*(Table14[[#This Row],[activating_chance]]/100),0)</f>
        <v>75</v>
      </c>
      <c r="DN36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64" s="72">
        <v>1</v>
      </c>
      <c r="DP364" s="72">
        <v>1</v>
      </c>
      <c r="DQ364" s="72" t="b">
        <v>0</v>
      </c>
    </row>
    <row r="365" spans="2:121" x14ac:dyDescent="0.25">
      <c r="B365" s="73" t="s">
        <v>244</v>
      </c>
      <c r="C365">
        <v>1</v>
      </c>
      <c r="D365">
        <v>220</v>
      </c>
      <c r="E365">
        <v>100</v>
      </c>
      <c r="F365" s="75">
        <f ca="1">INDIRECT(ADDRESS(11+(MATCH(RIGHT(Table245[[#This Row],[spawner_sku]],LEN(Table245[[#This Row],[spawner_sku]])-FIND("/",Table245[[#This Row],[spawner_sku]])),Table1[Entity Prefab],0)),10,1,1,"Entities"))</f>
        <v>25</v>
      </c>
      <c r="G365" s="75">
        <f ca="1">ROUND((Table245[[#This Row],[XP]]*Table245[[#This Row],[entity_spawned (AVG)]])*(Table245[[#This Row],[activating_chance]]/100),0)</f>
        <v>25</v>
      </c>
      <c r="H36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65" s="72">
        <v>1</v>
      </c>
      <c r="J365" s="72">
        <v>1</v>
      </c>
      <c r="K365" s="72" t="b">
        <v>0</v>
      </c>
      <c r="AI365" t="s">
        <v>254</v>
      </c>
      <c r="AJ365">
        <v>1</v>
      </c>
      <c r="AK365">
        <v>190</v>
      </c>
      <c r="AL365">
        <v>40</v>
      </c>
      <c r="AM365" s="75">
        <f ca="1">INDIRECT(ADDRESS(11+(MATCH(RIGHT(Table2[[#This Row],[spawner_sku]],LEN(Table2[[#This Row],[spawner_sku]])-FIND("/",Table2[[#This Row],[spawner_sku]])),Table1[Entity Prefab],0)),10,1,1,"Entities"))</f>
        <v>70</v>
      </c>
      <c r="AN365" s="75">
        <f ca="1">ROUND((Table2[[#This Row],[XP]]*Table2[[#This Row],[entity_spawned (AVG)]])*(Table2[[#This Row],[activating_chance]]/100),0)</f>
        <v>28</v>
      </c>
      <c r="AO365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65" s="72">
        <v>1</v>
      </c>
      <c r="AQ365" s="72">
        <v>1</v>
      </c>
      <c r="AR365" s="72" t="b">
        <v>0</v>
      </c>
      <c r="BP365" t="s">
        <v>248</v>
      </c>
      <c r="BQ365">
        <v>1</v>
      </c>
      <c r="BR365">
        <v>280</v>
      </c>
      <c r="BS365">
        <v>30</v>
      </c>
      <c r="BT365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65" s="75">
        <f ca="1">ROUND((Table61011[[#This Row],[XP]]*Table61011[[#This Row],[entity_spawned (AVG)]])*(Table61011[[#This Row],[activating_chance]]/100),0)</f>
        <v>23</v>
      </c>
      <c r="BV36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65" s="72">
        <v>1</v>
      </c>
      <c r="BX365" s="72">
        <v>1</v>
      </c>
      <c r="BY365" s="72" t="b">
        <v>0</v>
      </c>
      <c r="CA365" t="s">
        <v>451</v>
      </c>
      <c r="CB365">
        <v>1</v>
      </c>
      <c r="CC365">
        <v>120</v>
      </c>
      <c r="CD365">
        <v>10</v>
      </c>
      <c r="CE365" s="75">
        <f ca="1">INDIRECT(ADDRESS(11+(MATCH(RIGHT(Table11[[#This Row],[spawner_sku]],LEN(Table11[[#This Row],[spawner_sku]])-FIND("/",Table11[[#This Row],[spawner_sku]])),Table1[Entity Prefab],0)),10,1,1,"Entities"))</f>
        <v>25</v>
      </c>
      <c r="CF365">
        <f ca="1">ROUND((Table11[[#This Row],[XP]]*Table11[[#This Row],[entity_spawned (AVG)]])*(Table11[[#This Row],[activating_chance]]/100),0)</f>
        <v>3</v>
      </c>
      <c r="CG365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65" s="72">
        <v>1</v>
      </c>
      <c r="CI365" s="72">
        <v>1</v>
      </c>
      <c r="CJ365" s="72" t="b">
        <v>0</v>
      </c>
      <c r="DH365" t="s">
        <v>388</v>
      </c>
      <c r="DI365">
        <v>1</v>
      </c>
      <c r="DJ365">
        <v>150</v>
      </c>
      <c r="DK365">
        <v>100</v>
      </c>
      <c r="DL365" s="75">
        <f ca="1">INDIRECT(ADDRESS(11+(MATCH(RIGHT(Table14[[#This Row],[spawner_sku]],LEN(Table14[[#This Row],[spawner_sku]])-FIND("/",Table14[[#This Row],[spawner_sku]])),Table1[Entity Prefab],0)),10,1,1,"Entities"))</f>
        <v>75</v>
      </c>
      <c r="DM365" s="75">
        <f ca="1">ROUND((Table14[[#This Row],[XP]]*Table14[[#This Row],[entity_spawned (AVG)]])*(Table14[[#This Row],[activating_chance]]/100),0)</f>
        <v>75</v>
      </c>
      <c r="DN36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65" s="72">
        <v>1</v>
      </c>
      <c r="DP365" s="72">
        <v>1</v>
      </c>
      <c r="DQ365" s="72" t="b">
        <v>0</v>
      </c>
    </row>
    <row r="366" spans="2:121" x14ac:dyDescent="0.25">
      <c r="B366" s="73" t="s">
        <v>244</v>
      </c>
      <c r="C366">
        <v>1</v>
      </c>
      <c r="D366">
        <v>180</v>
      </c>
      <c r="E366">
        <v>80</v>
      </c>
      <c r="F366" s="75">
        <f ca="1">INDIRECT(ADDRESS(11+(MATCH(RIGHT(Table245[[#This Row],[spawner_sku]],LEN(Table245[[#This Row],[spawner_sku]])-FIND("/",Table245[[#This Row],[spawner_sku]])),Table1[Entity Prefab],0)),10,1,1,"Entities"))</f>
        <v>25</v>
      </c>
      <c r="G366" s="75">
        <f ca="1">ROUND((Table245[[#This Row],[XP]]*Table245[[#This Row],[entity_spawned (AVG)]])*(Table245[[#This Row],[activating_chance]]/100),0)</f>
        <v>20</v>
      </c>
      <c r="H36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66" s="72">
        <v>1</v>
      </c>
      <c r="J366" s="72">
        <v>1</v>
      </c>
      <c r="K366" s="72" t="b">
        <v>0</v>
      </c>
      <c r="AI366" t="s">
        <v>254</v>
      </c>
      <c r="AJ366">
        <v>1</v>
      </c>
      <c r="AK366">
        <v>190</v>
      </c>
      <c r="AL366">
        <v>100</v>
      </c>
      <c r="AM366" s="75">
        <f ca="1">INDIRECT(ADDRESS(11+(MATCH(RIGHT(Table2[[#This Row],[spawner_sku]],LEN(Table2[[#This Row],[spawner_sku]])-FIND("/",Table2[[#This Row],[spawner_sku]])),Table1[Entity Prefab],0)),10,1,1,"Entities"))</f>
        <v>70</v>
      </c>
      <c r="AN366" s="75">
        <f ca="1">ROUND((Table2[[#This Row],[XP]]*Table2[[#This Row],[entity_spawned (AVG)]])*(Table2[[#This Row],[activating_chance]]/100),0)</f>
        <v>70</v>
      </c>
      <c r="AO36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66" s="72">
        <v>1</v>
      </c>
      <c r="AQ366" s="72">
        <v>1</v>
      </c>
      <c r="AR366" s="72" t="b">
        <v>0</v>
      </c>
      <c r="BP366" t="s">
        <v>400</v>
      </c>
      <c r="BQ366">
        <v>1</v>
      </c>
      <c r="BR366">
        <v>280</v>
      </c>
      <c r="BS366">
        <v>100</v>
      </c>
      <c r="BT366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66" s="75">
        <f ca="1">ROUND((Table61011[[#This Row],[XP]]*Table61011[[#This Row],[entity_spawned (AVG)]])*(Table61011[[#This Row],[activating_chance]]/100),0)</f>
        <v>75</v>
      </c>
      <c r="BV36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66" s="72">
        <v>1</v>
      </c>
      <c r="BX366" s="72">
        <v>1</v>
      </c>
      <c r="BY366" s="72" t="b">
        <v>0</v>
      </c>
      <c r="CA366" t="s">
        <v>451</v>
      </c>
      <c r="CB366">
        <v>1</v>
      </c>
      <c r="CC366">
        <v>120</v>
      </c>
      <c r="CD366">
        <v>30</v>
      </c>
      <c r="CE366" s="75">
        <f ca="1">INDIRECT(ADDRESS(11+(MATCH(RIGHT(Table11[[#This Row],[spawner_sku]],LEN(Table11[[#This Row],[spawner_sku]])-FIND("/",Table11[[#This Row],[spawner_sku]])),Table1[Entity Prefab],0)),10,1,1,"Entities"))</f>
        <v>25</v>
      </c>
      <c r="CF366">
        <f ca="1">ROUND((Table11[[#This Row],[XP]]*Table11[[#This Row],[entity_spawned (AVG)]])*(Table11[[#This Row],[activating_chance]]/100),0)</f>
        <v>8</v>
      </c>
      <c r="CG366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66" s="72">
        <v>1</v>
      </c>
      <c r="CI366" s="72">
        <v>1</v>
      </c>
      <c r="CJ366" s="72" t="b">
        <v>0</v>
      </c>
      <c r="DH366" t="s">
        <v>388</v>
      </c>
      <c r="DI366">
        <v>1</v>
      </c>
      <c r="DJ366">
        <v>150</v>
      </c>
      <c r="DK366">
        <v>100</v>
      </c>
      <c r="DL366" s="75">
        <f ca="1">INDIRECT(ADDRESS(11+(MATCH(RIGHT(Table14[[#This Row],[spawner_sku]],LEN(Table14[[#This Row],[spawner_sku]])-FIND("/",Table14[[#This Row],[spawner_sku]])),Table1[Entity Prefab],0)),10,1,1,"Entities"))</f>
        <v>75</v>
      </c>
      <c r="DM366" s="75">
        <f ca="1">ROUND((Table14[[#This Row],[XP]]*Table14[[#This Row],[entity_spawned (AVG)]])*(Table14[[#This Row],[activating_chance]]/100),0)</f>
        <v>75</v>
      </c>
      <c r="DN36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66" s="72">
        <v>1</v>
      </c>
      <c r="DP366" s="72">
        <v>1</v>
      </c>
      <c r="DQ366" s="72" t="b">
        <v>0</v>
      </c>
    </row>
    <row r="367" spans="2:121" x14ac:dyDescent="0.25">
      <c r="B367" s="73" t="s">
        <v>244</v>
      </c>
      <c r="C367">
        <v>1</v>
      </c>
      <c r="D367">
        <v>240</v>
      </c>
      <c r="E367">
        <v>100</v>
      </c>
      <c r="F367" s="75">
        <f ca="1">INDIRECT(ADDRESS(11+(MATCH(RIGHT(Table245[[#This Row],[spawner_sku]],LEN(Table245[[#This Row],[spawner_sku]])-FIND("/",Table245[[#This Row],[spawner_sku]])),Table1[Entity Prefab],0)),10,1,1,"Entities"))</f>
        <v>25</v>
      </c>
      <c r="G367" s="75">
        <f ca="1">ROUND((Table245[[#This Row],[XP]]*Table245[[#This Row],[entity_spawned (AVG)]])*(Table245[[#This Row],[activating_chance]]/100),0)</f>
        <v>25</v>
      </c>
      <c r="H36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67" s="72">
        <v>1</v>
      </c>
      <c r="J367" s="72">
        <v>1</v>
      </c>
      <c r="K367" s="72" t="b">
        <v>0</v>
      </c>
      <c r="AI367" t="s">
        <v>254</v>
      </c>
      <c r="AJ367">
        <v>1</v>
      </c>
      <c r="AK367">
        <v>110</v>
      </c>
      <c r="AL367">
        <v>100</v>
      </c>
      <c r="AM367" s="75">
        <f ca="1">INDIRECT(ADDRESS(11+(MATCH(RIGHT(Table2[[#This Row],[spawner_sku]],LEN(Table2[[#This Row],[spawner_sku]])-FIND("/",Table2[[#This Row],[spawner_sku]])),Table1[Entity Prefab],0)),10,1,1,"Entities"))</f>
        <v>70</v>
      </c>
      <c r="AN367" s="75">
        <f ca="1">ROUND((Table2[[#This Row],[XP]]*Table2[[#This Row],[entity_spawned (AVG)]])*(Table2[[#This Row],[activating_chance]]/100),0)</f>
        <v>70</v>
      </c>
      <c r="AO36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67" s="72">
        <v>1</v>
      </c>
      <c r="AQ367" s="72">
        <v>1</v>
      </c>
      <c r="AR367" s="72" t="b">
        <v>0</v>
      </c>
      <c r="BP367" t="s">
        <v>400</v>
      </c>
      <c r="BQ367">
        <v>1</v>
      </c>
      <c r="BR367">
        <v>280</v>
      </c>
      <c r="BS367">
        <v>100</v>
      </c>
      <c r="BT367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67" s="75">
        <f ca="1">ROUND((Table61011[[#This Row],[XP]]*Table61011[[#This Row],[entity_spawned (AVG)]])*(Table61011[[#This Row],[activating_chance]]/100),0)</f>
        <v>75</v>
      </c>
      <c r="BV36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67" s="72">
        <v>1</v>
      </c>
      <c r="BX367" s="72">
        <v>1</v>
      </c>
      <c r="BY367" s="72" t="b">
        <v>0</v>
      </c>
      <c r="CA367" t="s">
        <v>451</v>
      </c>
      <c r="CB367">
        <v>1</v>
      </c>
      <c r="CC367">
        <v>120</v>
      </c>
      <c r="CD367">
        <v>20</v>
      </c>
      <c r="CE367" s="75">
        <f ca="1">INDIRECT(ADDRESS(11+(MATCH(RIGHT(Table11[[#This Row],[spawner_sku]],LEN(Table11[[#This Row],[spawner_sku]])-FIND("/",Table11[[#This Row],[spawner_sku]])),Table1[Entity Prefab],0)),10,1,1,"Entities"))</f>
        <v>25</v>
      </c>
      <c r="CF367">
        <f ca="1">ROUND((Table11[[#This Row],[XP]]*Table11[[#This Row],[entity_spawned (AVG)]])*(Table11[[#This Row],[activating_chance]]/100),0)</f>
        <v>5</v>
      </c>
      <c r="CG367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67" s="72">
        <v>1</v>
      </c>
      <c r="CI367" s="72">
        <v>1</v>
      </c>
      <c r="CJ367" s="72" t="b">
        <v>0</v>
      </c>
      <c r="DH367" t="s">
        <v>388</v>
      </c>
      <c r="DI367">
        <v>1</v>
      </c>
      <c r="DJ367">
        <v>150</v>
      </c>
      <c r="DK367">
        <v>100</v>
      </c>
      <c r="DL367" s="75">
        <f ca="1">INDIRECT(ADDRESS(11+(MATCH(RIGHT(Table14[[#This Row],[spawner_sku]],LEN(Table14[[#This Row],[spawner_sku]])-FIND("/",Table14[[#This Row],[spawner_sku]])),Table1[Entity Prefab],0)),10,1,1,"Entities"))</f>
        <v>75</v>
      </c>
      <c r="DM367" s="75">
        <f ca="1">ROUND((Table14[[#This Row],[XP]]*Table14[[#This Row],[entity_spawned (AVG)]])*(Table14[[#This Row],[activating_chance]]/100),0)</f>
        <v>75</v>
      </c>
      <c r="DN36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67" s="72">
        <v>1</v>
      </c>
      <c r="DP367" s="72">
        <v>1</v>
      </c>
      <c r="DQ367" s="72" t="b">
        <v>0</v>
      </c>
    </row>
    <row r="368" spans="2:121" x14ac:dyDescent="0.25">
      <c r="B368" s="73" t="s">
        <v>244</v>
      </c>
      <c r="C368">
        <v>1</v>
      </c>
      <c r="D368">
        <v>220</v>
      </c>
      <c r="E368">
        <v>100</v>
      </c>
      <c r="F368" s="75">
        <f ca="1">INDIRECT(ADDRESS(11+(MATCH(RIGHT(Table245[[#This Row],[spawner_sku]],LEN(Table245[[#This Row],[spawner_sku]])-FIND("/",Table245[[#This Row],[spawner_sku]])),Table1[Entity Prefab],0)),10,1,1,"Entities"))</f>
        <v>25</v>
      </c>
      <c r="G368" s="75">
        <f ca="1">ROUND((Table245[[#This Row],[XP]]*Table245[[#This Row],[entity_spawned (AVG)]])*(Table245[[#This Row],[activating_chance]]/100),0)</f>
        <v>25</v>
      </c>
      <c r="H36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68" s="72">
        <v>1</v>
      </c>
      <c r="J368" s="72">
        <v>1</v>
      </c>
      <c r="K368" s="72" t="b">
        <v>0</v>
      </c>
      <c r="AI368" t="s">
        <v>254</v>
      </c>
      <c r="AJ368">
        <v>1</v>
      </c>
      <c r="AK368">
        <v>190</v>
      </c>
      <c r="AL368">
        <v>100</v>
      </c>
      <c r="AM368" s="75">
        <f ca="1">INDIRECT(ADDRESS(11+(MATCH(RIGHT(Table2[[#This Row],[spawner_sku]],LEN(Table2[[#This Row],[spawner_sku]])-FIND("/",Table2[[#This Row],[spawner_sku]])),Table1[Entity Prefab],0)),10,1,1,"Entities"))</f>
        <v>70</v>
      </c>
      <c r="AN368" s="75">
        <f ca="1">ROUND((Table2[[#This Row],[XP]]*Table2[[#This Row],[entity_spawned (AVG)]])*(Table2[[#This Row],[activating_chance]]/100),0)</f>
        <v>70</v>
      </c>
      <c r="AO36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68" s="72">
        <v>1</v>
      </c>
      <c r="AQ368" s="72">
        <v>1</v>
      </c>
      <c r="AR368" s="72" t="b">
        <v>0</v>
      </c>
      <c r="BP368" t="s">
        <v>400</v>
      </c>
      <c r="BQ368">
        <v>1</v>
      </c>
      <c r="BR368">
        <v>200</v>
      </c>
      <c r="BS368">
        <v>100</v>
      </c>
      <c r="BT368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68" s="75">
        <f ca="1">ROUND((Table61011[[#This Row],[XP]]*Table61011[[#This Row],[entity_spawned (AVG)]])*(Table61011[[#This Row],[activating_chance]]/100),0)</f>
        <v>75</v>
      </c>
      <c r="BV36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68" s="72">
        <v>1</v>
      </c>
      <c r="BX368" s="72">
        <v>1</v>
      </c>
      <c r="BY368" s="72" t="b">
        <v>0</v>
      </c>
      <c r="CA368" t="s">
        <v>6790</v>
      </c>
      <c r="CB368">
        <v>1</v>
      </c>
      <c r="CC368">
        <v>120</v>
      </c>
      <c r="CD368">
        <v>100</v>
      </c>
      <c r="CE368" s="75">
        <f ca="1">INDIRECT(ADDRESS(11+(MATCH(RIGHT(Table11[[#This Row],[spawner_sku]],LEN(Table11[[#This Row],[spawner_sku]])-FIND("/",Table11[[#This Row],[spawner_sku]])),Table1[Entity Prefab],0)),10,1,1,"Entities"))</f>
        <v>50</v>
      </c>
      <c r="CF368">
        <f ca="1">ROUND((Table11[[#This Row],[XP]]*Table11[[#This Row],[entity_spawned (AVG)]])*(Table11[[#This Row],[activating_chance]]/100),0)</f>
        <v>50</v>
      </c>
      <c r="CG368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68" s="72">
        <v>1</v>
      </c>
      <c r="CI368" s="72">
        <v>1</v>
      </c>
      <c r="CJ368" s="72" t="b">
        <v>0</v>
      </c>
      <c r="DH368" t="s">
        <v>539</v>
      </c>
      <c r="DI368">
        <v>1</v>
      </c>
      <c r="DJ368">
        <v>240</v>
      </c>
      <c r="DK368">
        <v>100</v>
      </c>
      <c r="DL368" s="75">
        <f ca="1">INDIRECT(ADDRESS(11+(MATCH(RIGHT(Table14[[#This Row],[spawner_sku]],LEN(Table14[[#This Row],[spawner_sku]])-FIND("/",Table14[[#This Row],[spawner_sku]])),Table1[Entity Prefab],0)),10,1,1,"Entities"))</f>
        <v>105</v>
      </c>
      <c r="DM368" s="75">
        <f ca="1">ROUND((Table14[[#This Row],[XP]]*Table14[[#This Row],[entity_spawned (AVG)]])*(Table14[[#This Row],[activating_chance]]/100),0)</f>
        <v>105</v>
      </c>
      <c r="DN36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68" s="72">
        <v>1</v>
      </c>
      <c r="DP368" s="72">
        <v>1</v>
      </c>
      <c r="DQ368" s="72" t="b">
        <v>0</v>
      </c>
    </row>
    <row r="369" spans="2:121" x14ac:dyDescent="0.25">
      <c r="B369" s="73" t="s">
        <v>244</v>
      </c>
      <c r="C369">
        <v>1</v>
      </c>
      <c r="D369">
        <v>240</v>
      </c>
      <c r="E369">
        <v>100</v>
      </c>
      <c r="F369" s="75">
        <f ca="1">INDIRECT(ADDRESS(11+(MATCH(RIGHT(Table245[[#This Row],[spawner_sku]],LEN(Table245[[#This Row],[spawner_sku]])-FIND("/",Table245[[#This Row],[spawner_sku]])),Table1[Entity Prefab],0)),10,1,1,"Entities"))</f>
        <v>25</v>
      </c>
      <c r="G369" s="75">
        <f ca="1">ROUND((Table245[[#This Row],[XP]]*Table245[[#This Row],[entity_spawned (AVG)]])*(Table245[[#This Row],[activating_chance]]/100),0)</f>
        <v>25</v>
      </c>
      <c r="H36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69" s="72">
        <v>1</v>
      </c>
      <c r="J369" s="72">
        <v>1</v>
      </c>
      <c r="K369" s="72" t="b">
        <v>0</v>
      </c>
      <c r="AI369" t="s">
        <v>254</v>
      </c>
      <c r="AJ369">
        <v>1</v>
      </c>
      <c r="AK369">
        <v>120</v>
      </c>
      <c r="AL369">
        <v>100</v>
      </c>
      <c r="AM369" s="75">
        <f ca="1">INDIRECT(ADDRESS(11+(MATCH(RIGHT(Table2[[#This Row],[spawner_sku]],LEN(Table2[[#This Row],[spawner_sku]])-FIND("/",Table2[[#This Row],[spawner_sku]])),Table1[Entity Prefab],0)),10,1,1,"Entities"))</f>
        <v>70</v>
      </c>
      <c r="AN369" s="75">
        <f ca="1">ROUND((Table2[[#This Row],[XP]]*Table2[[#This Row],[entity_spawned (AVG)]])*(Table2[[#This Row],[activating_chance]]/100),0)</f>
        <v>70</v>
      </c>
      <c r="AO36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69" s="72">
        <v>1</v>
      </c>
      <c r="AQ369" s="72">
        <v>1</v>
      </c>
      <c r="AR369" s="72" t="b">
        <v>0</v>
      </c>
      <c r="BP369" t="s">
        <v>400</v>
      </c>
      <c r="BQ369">
        <v>1</v>
      </c>
      <c r="BR369">
        <v>210</v>
      </c>
      <c r="BS369">
        <v>100</v>
      </c>
      <c r="BT369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69" s="75">
        <f ca="1">ROUND((Table61011[[#This Row],[XP]]*Table61011[[#This Row],[entity_spawned (AVG)]])*(Table61011[[#This Row],[activating_chance]]/100),0)</f>
        <v>75</v>
      </c>
      <c r="BV36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69" s="72">
        <v>1</v>
      </c>
      <c r="BX369" s="72">
        <v>1</v>
      </c>
      <c r="BY369" s="72" t="b">
        <v>0</v>
      </c>
      <c r="CA369" t="s">
        <v>6790</v>
      </c>
      <c r="CB369">
        <v>1</v>
      </c>
      <c r="CC369">
        <v>120</v>
      </c>
      <c r="CD369">
        <v>70</v>
      </c>
      <c r="CE369" s="75">
        <f ca="1">INDIRECT(ADDRESS(11+(MATCH(RIGHT(Table11[[#This Row],[spawner_sku]],LEN(Table11[[#This Row],[spawner_sku]])-FIND("/",Table11[[#This Row],[spawner_sku]])),Table1[Entity Prefab],0)),10,1,1,"Entities"))</f>
        <v>50</v>
      </c>
      <c r="CF369">
        <f ca="1">ROUND((Table11[[#This Row],[XP]]*Table11[[#This Row],[entity_spawned (AVG)]])*(Table11[[#This Row],[activating_chance]]/100),0)</f>
        <v>35</v>
      </c>
      <c r="CG369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69" s="72">
        <v>1</v>
      </c>
      <c r="CI369" s="72">
        <v>1</v>
      </c>
      <c r="CJ369" s="72" t="b">
        <v>0</v>
      </c>
      <c r="DH369" t="s">
        <v>539</v>
      </c>
      <c r="DI369">
        <v>1</v>
      </c>
      <c r="DJ369">
        <v>240</v>
      </c>
      <c r="DK369">
        <v>100</v>
      </c>
      <c r="DL369" s="75">
        <f ca="1">INDIRECT(ADDRESS(11+(MATCH(RIGHT(Table14[[#This Row],[spawner_sku]],LEN(Table14[[#This Row],[spawner_sku]])-FIND("/",Table14[[#This Row],[spawner_sku]])),Table1[Entity Prefab],0)),10,1,1,"Entities"))</f>
        <v>105</v>
      </c>
      <c r="DM369" s="75">
        <f ca="1">ROUND((Table14[[#This Row],[XP]]*Table14[[#This Row],[entity_spawned (AVG)]])*(Table14[[#This Row],[activating_chance]]/100),0)</f>
        <v>105</v>
      </c>
      <c r="DN36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69" s="72">
        <v>1</v>
      </c>
      <c r="DP369" s="72">
        <v>1</v>
      </c>
      <c r="DQ369" s="72" t="b">
        <v>0</v>
      </c>
    </row>
    <row r="370" spans="2:121" x14ac:dyDescent="0.25">
      <c r="B370" s="73" t="s">
        <v>244</v>
      </c>
      <c r="C370">
        <v>1</v>
      </c>
      <c r="D370">
        <v>220</v>
      </c>
      <c r="E370">
        <v>100</v>
      </c>
      <c r="F370" s="75">
        <f ca="1">INDIRECT(ADDRESS(11+(MATCH(RIGHT(Table245[[#This Row],[spawner_sku]],LEN(Table245[[#This Row],[spawner_sku]])-FIND("/",Table245[[#This Row],[spawner_sku]])),Table1[Entity Prefab],0)),10,1,1,"Entities"))</f>
        <v>25</v>
      </c>
      <c r="G370" s="75">
        <f ca="1">ROUND((Table245[[#This Row],[XP]]*Table245[[#This Row],[entity_spawned (AVG)]])*(Table245[[#This Row],[activating_chance]]/100),0)</f>
        <v>25</v>
      </c>
      <c r="H37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70" s="72">
        <v>1</v>
      </c>
      <c r="J370" s="72">
        <v>1</v>
      </c>
      <c r="K370" s="72" t="b">
        <v>0</v>
      </c>
      <c r="AI370" t="s">
        <v>254</v>
      </c>
      <c r="AJ370">
        <v>1</v>
      </c>
      <c r="AK370">
        <v>190</v>
      </c>
      <c r="AL370">
        <v>100</v>
      </c>
      <c r="AM370" s="75">
        <f ca="1">INDIRECT(ADDRESS(11+(MATCH(RIGHT(Table2[[#This Row],[spawner_sku]],LEN(Table2[[#This Row],[spawner_sku]])-FIND("/",Table2[[#This Row],[spawner_sku]])),Table1[Entity Prefab],0)),10,1,1,"Entities"))</f>
        <v>70</v>
      </c>
      <c r="AN370" s="75">
        <f ca="1">ROUND((Table2[[#This Row],[XP]]*Table2[[#This Row],[entity_spawned (AVG)]])*(Table2[[#This Row],[activating_chance]]/100),0)</f>
        <v>70</v>
      </c>
      <c r="AO37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70" s="72">
        <v>1</v>
      </c>
      <c r="AQ370" s="72">
        <v>1</v>
      </c>
      <c r="AR370" s="72" t="b">
        <v>0</v>
      </c>
      <c r="BP370" t="s">
        <v>401</v>
      </c>
      <c r="BQ370">
        <v>1</v>
      </c>
      <c r="BR370">
        <v>220</v>
      </c>
      <c r="BS370">
        <v>100</v>
      </c>
      <c r="BT370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70" s="75">
        <f ca="1">ROUND((Table61011[[#This Row],[XP]]*Table61011[[#This Row],[entity_spawned (AVG)]])*(Table61011[[#This Row],[activating_chance]]/100),0)</f>
        <v>75</v>
      </c>
      <c r="BV37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70" s="72">
        <v>1</v>
      </c>
      <c r="BX370" s="72">
        <v>1</v>
      </c>
      <c r="BY370" s="72" t="b">
        <v>0</v>
      </c>
      <c r="CA370" t="s">
        <v>523</v>
      </c>
      <c r="CB370">
        <v>1</v>
      </c>
      <c r="CC370">
        <v>260</v>
      </c>
      <c r="CD370">
        <v>100</v>
      </c>
      <c r="CE370" s="75">
        <f ca="1">INDIRECT(ADDRESS(11+(MATCH(RIGHT(Table11[[#This Row],[spawner_sku]],LEN(Table11[[#This Row],[spawner_sku]])-FIND("/",Table11[[#This Row],[spawner_sku]])),Table1[Entity Prefab],0)),10,1,1,"Entities"))</f>
        <v>50</v>
      </c>
      <c r="CF370">
        <f ca="1">ROUND((Table11[[#This Row],[XP]]*Table11[[#This Row],[entity_spawned (AVG)]])*(Table11[[#This Row],[activating_chance]]/100),0)</f>
        <v>50</v>
      </c>
      <c r="CG370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70" s="72">
        <v>1</v>
      </c>
      <c r="CI370" s="72">
        <v>1</v>
      </c>
      <c r="CJ370" s="72" t="b">
        <v>0</v>
      </c>
      <c r="DH370" t="s">
        <v>539</v>
      </c>
      <c r="DI370">
        <v>1</v>
      </c>
      <c r="DJ370">
        <v>220</v>
      </c>
      <c r="DK370">
        <v>100</v>
      </c>
      <c r="DL370" s="75">
        <f ca="1">INDIRECT(ADDRESS(11+(MATCH(RIGHT(Table14[[#This Row],[spawner_sku]],LEN(Table14[[#This Row],[spawner_sku]])-FIND("/",Table14[[#This Row],[spawner_sku]])),Table1[Entity Prefab],0)),10,1,1,"Entities"))</f>
        <v>105</v>
      </c>
      <c r="DM370" s="75">
        <f ca="1">ROUND((Table14[[#This Row],[XP]]*Table14[[#This Row],[entity_spawned (AVG)]])*(Table14[[#This Row],[activating_chance]]/100),0)</f>
        <v>105</v>
      </c>
      <c r="DN37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70" s="72">
        <v>1</v>
      </c>
      <c r="DP370" s="72">
        <v>1</v>
      </c>
      <c r="DQ370" s="72" t="b">
        <v>0</v>
      </c>
    </row>
    <row r="371" spans="2:121" x14ac:dyDescent="0.25">
      <c r="B371" s="73" t="s">
        <v>244</v>
      </c>
      <c r="C371">
        <v>1</v>
      </c>
      <c r="D371">
        <v>220</v>
      </c>
      <c r="E371">
        <v>100</v>
      </c>
      <c r="F371" s="75">
        <f ca="1">INDIRECT(ADDRESS(11+(MATCH(RIGHT(Table245[[#This Row],[spawner_sku]],LEN(Table245[[#This Row],[spawner_sku]])-FIND("/",Table245[[#This Row],[spawner_sku]])),Table1[Entity Prefab],0)),10,1,1,"Entities"))</f>
        <v>25</v>
      </c>
      <c r="G371" s="75">
        <f ca="1">ROUND((Table245[[#This Row],[XP]]*Table245[[#This Row],[entity_spawned (AVG)]])*(Table245[[#This Row],[activating_chance]]/100),0)</f>
        <v>25</v>
      </c>
      <c r="H37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71" s="72">
        <v>1</v>
      </c>
      <c r="J371" s="72">
        <v>1</v>
      </c>
      <c r="K371" s="72" t="b">
        <v>0</v>
      </c>
      <c r="AI371" t="s">
        <v>254</v>
      </c>
      <c r="AJ371">
        <v>1</v>
      </c>
      <c r="AK371">
        <v>190</v>
      </c>
      <c r="AL371">
        <v>100</v>
      </c>
      <c r="AM371" s="75">
        <f ca="1">INDIRECT(ADDRESS(11+(MATCH(RIGHT(Table2[[#This Row],[spawner_sku]],LEN(Table2[[#This Row],[spawner_sku]])-FIND("/",Table2[[#This Row],[spawner_sku]])),Table1[Entity Prefab],0)),10,1,1,"Entities"))</f>
        <v>70</v>
      </c>
      <c r="AN371" s="75">
        <f ca="1">ROUND((Table2[[#This Row],[XP]]*Table2[[#This Row],[entity_spawned (AVG)]])*(Table2[[#This Row],[activating_chance]]/100),0)</f>
        <v>70</v>
      </c>
      <c r="AO371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71" s="72">
        <v>1</v>
      </c>
      <c r="AQ371" s="72">
        <v>1</v>
      </c>
      <c r="AR371" s="72" t="b">
        <v>0</v>
      </c>
      <c r="BP371" t="s">
        <v>401</v>
      </c>
      <c r="BQ371">
        <v>1</v>
      </c>
      <c r="BR371">
        <v>300</v>
      </c>
      <c r="BS371">
        <v>100</v>
      </c>
      <c r="BT371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71" s="75">
        <f ca="1">ROUND((Table61011[[#This Row],[XP]]*Table61011[[#This Row],[entity_spawned (AVG)]])*(Table61011[[#This Row],[activating_chance]]/100),0)</f>
        <v>75</v>
      </c>
      <c r="BV37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71" s="72">
        <v>1</v>
      </c>
      <c r="BX371" s="72">
        <v>1</v>
      </c>
      <c r="BY371" s="72" t="b">
        <v>0</v>
      </c>
      <c r="CA371" t="s">
        <v>518</v>
      </c>
      <c r="CB371">
        <v>1</v>
      </c>
      <c r="CC371">
        <v>300</v>
      </c>
      <c r="CD371">
        <v>70</v>
      </c>
      <c r="CE371" s="75">
        <f ca="1">INDIRECT(ADDRESS(11+(MATCH(RIGHT(Table11[[#This Row],[spawner_sku]],LEN(Table11[[#This Row],[spawner_sku]])-FIND("/",Table11[[#This Row],[spawner_sku]])),Table1[Entity Prefab],0)),10,1,1,"Entities"))</f>
        <v>105</v>
      </c>
      <c r="CF371">
        <f ca="1">ROUND((Table11[[#This Row],[XP]]*Table11[[#This Row],[entity_spawned (AVG)]])*(Table11[[#This Row],[activating_chance]]/100),0)</f>
        <v>74</v>
      </c>
      <c r="CG371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71" s="72">
        <v>1</v>
      </c>
      <c r="CI371" s="72">
        <v>1</v>
      </c>
      <c r="CJ371" s="72" t="b">
        <v>0</v>
      </c>
      <c r="DH371" t="s">
        <v>539</v>
      </c>
      <c r="DI371">
        <v>1</v>
      </c>
      <c r="DJ371">
        <v>220</v>
      </c>
      <c r="DK371">
        <v>100</v>
      </c>
      <c r="DL371" s="75">
        <f ca="1">INDIRECT(ADDRESS(11+(MATCH(RIGHT(Table14[[#This Row],[spawner_sku]],LEN(Table14[[#This Row],[spawner_sku]])-FIND("/",Table14[[#This Row],[spawner_sku]])),Table1[Entity Prefab],0)),10,1,1,"Entities"))</f>
        <v>105</v>
      </c>
      <c r="DM371" s="75">
        <f ca="1">ROUND((Table14[[#This Row],[XP]]*Table14[[#This Row],[entity_spawned (AVG)]])*(Table14[[#This Row],[activating_chance]]/100),0)</f>
        <v>105</v>
      </c>
      <c r="DN37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71" s="72">
        <v>1</v>
      </c>
      <c r="DP371" s="72">
        <v>1</v>
      </c>
      <c r="DQ371" s="72" t="b">
        <v>0</v>
      </c>
    </row>
    <row r="372" spans="2:121" x14ac:dyDescent="0.25">
      <c r="B372" s="73" t="s">
        <v>244</v>
      </c>
      <c r="C372">
        <v>1</v>
      </c>
      <c r="D372">
        <v>220</v>
      </c>
      <c r="E372">
        <v>100</v>
      </c>
      <c r="F372" s="75">
        <f ca="1">INDIRECT(ADDRESS(11+(MATCH(RIGHT(Table245[[#This Row],[spawner_sku]],LEN(Table245[[#This Row],[spawner_sku]])-FIND("/",Table245[[#This Row],[spawner_sku]])),Table1[Entity Prefab],0)),10,1,1,"Entities"))</f>
        <v>25</v>
      </c>
      <c r="G372" s="75">
        <f ca="1">ROUND((Table245[[#This Row],[XP]]*Table245[[#This Row],[entity_spawned (AVG)]])*(Table245[[#This Row],[activating_chance]]/100),0)</f>
        <v>25</v>
      </c>
      <c r="H37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72" s="72">
        <v>1</v>
      </c>
      <c r="J372" s="72">
        <v>1</v>
      </c>
      <c r="K372" s="72" t="b">
        <v>0</v>
      </c>
      <c r="AI372" t="s">
        <v>255</v>
      </c>
      <c r="AJ372">
        <v>1</v>
      </c>
      <c r="AK372">
        <v>120</v>
      </c>
      <c r="AL372">
        <v>90</v>
      </c>
      <c r="AM372" s="75">
        <f ca="1">INDIRECT(ADDRESS(11+(MATCH(RIGHT(Table2[[#This Row],[spawner_sku]],LEN(Table2[[#This Row],[spawner_sku]])-FIND("/",Table2[[#This Row],[spawner_sku]])),Table1[Entity Prefab],0)),10,1,1,"Entities"))</f>
        <v>25</v>
      </c>
      <c r="AN372" s="75">
        <f ca="1">ROUND((Table2[[#This Row],[XP]]*Table2[[#This Row],[entity_spawned (AVG)]])*(Table2[[#This Row],[activating_chance]]/100),0)</f>
        <v>23</v>
      </c>
      <c r="AO37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72" s="72">
        <v>1</v>
      </c>
      <c r="AQ372" s="72">
        <v>1</v>
      </c>
      <c r="AR372" s="72" t="b">
        <v>0</v>
      </c>
      <c r="BP372" t="s">
        <v>401</v>
      </c>
      <c r="BQ372">
        <v>1</v>
      </c>
      <c r="BR372">
        <v>300</v>
      </c>
      <c r="BS372">
        <v>30</v>
      </c>
      <c r="BT372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72" s="75">
        <f ca="1">ROUND((Table61011[[#This Row],[XP]]*Table61011[[#This Row],[entity_spawned (AVG)]])*(Table61011[[#This Row],[activating_chance]]/100),0)</f>
        <v>23</v>
      </c>
      <c r="BV37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72" s="72">
        <v>1</v>
      </c>
      <c r="BX372" s="72">
        <v>1</v>
      </c>
      <c r="BY372" s="72" t="b">
        <v>0</v>
      </c>
      <c r="CA372" t="s">
        <v>518</v>
      </c>
      <c r="CB372">
        <v>1</v>
      </c>
      <c r="CC372">
        <v>300</v>
      </c>
      <c r="CD372">
        <v>70</v>
      </c>
      <c r="CE372" s="75">
        <f ca="1">INDIRECT(ADDRESS(11+(MATCH(RIGHT(Table11[[#This Row],[spawner_sku]],LEN(Table11[[#This Row],[spawner_sku]])-FIND("/",Table11[[#This Row],[spawner_sku]])),Table1[Entity Prefab],0)),10,1,1,"Entities"))</f>
        <v>105</v>
      </c>
      <c r="CF372">
        <f ca="1">ROUND((Table11[[#This Row],[XP]]*Table11[[#This Row],[entity_spawned (AVG)]])*(Table11[[#This Row],[activating_chance]]/100),0)</f>
        <v>74</v>
      </c>
      <c r="CG372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72" s="72">
        <v>1</v>
      </c>
      <c r="CI372" s="72">
        <v>1</v>
      </c>
      <c r="CJ372" s="72" t="b">
        <v>0</v>
      </c>
      <c r="DH372" t="s">
        <v>539</v>
      </c>
      <c r="DI372">
        <v>1</v>
      </c>
      <c r="DJ372">
        <v>220</v>
      </c>
      <c r="DK372">
        <v>100</v>
      </c>
      <c r="DL372" s="75">
        <f ca="1">INDIRECT(ADDRESS(11+(MATCH(RIGHT(Table14[[#This Row],[spawner_sku]],LEN(Table14[[#This Row],[spawner_sku]])-FIND("/",Table14[[#This Row],[spawner_sku]])),Table1[Entity Prefab],0)),10,1,1,"Entities"))</f>
        <v>105</v>
      </c>
      <c r="DM372" s="75">
        <f ca="1">ROUND((Table14[[#This Row],[XP]]*Table14[[#This Row],[entity_spawned (AVG)]])*(Table14[[#This Row],[activating_chance]]/100),0)</f>
        <v>105</v>
      </c>
      <c r="DN37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72" s="72">
        <v>1</v>
      </c>
      <c r="DP372" s="72">
        <v>1</v>
      </c>
      <c r="DQ372" s="72" t="b">
        <v>0</v>
      </c>
    </row>
    <row r="373" spans="2:121" x14ac:dyDescent="0.25">
      <c r="B373" s="73" t="s">
        <v>245</v>
      </c>
      <c r="C373">
        <v>10.5</v>
      </c>
      <c r="D373">
        <v>180</v>
      </c>
      <c r="E373">
        <v>100</v>
      </c>
      <c r="F373" s="75">
        <f ca="1">INDIRECT(ADDRESS(11+(MATCH(RIGHT(Table245[[#This Row],[spawner_sku]],LEN(Table245[[#This Row],[spawner_sku]])-FIND("/",Table245[[#This Row],[spawner_sku]])),Table1[Entity Prefab],0)),10,1,1,"Entities"))</f>
        <v>25</v>
      </c>
      <c r="G373" s="75">
        <f ca="1">ROUND((Table245[[#This Row],[XP]]*Table245[[#This Row],[entity_spawned (AVG)]])*(Table245[[#This Row],[activating_chance]]/100),0)</f>
        <v>263</v>
      </c>
      <c r="H37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73" s="72">
        <v>6</v>
      </c>
      <c r="J373" s="72">
        <v>15</v>
      </c>
      <c r="K373" s="72" t="b">
        <v>1</v>
      </c>
      <c r="AI373" t="s">
        <v>255</v>
      </c>
      <c r="AJ373">
        <v>1</v>
      </c>
      <c r="AK373">
        <v>120</v>
      </c>
      <c r="AL373">
        <v>80</v>
      </c>
      <c r="AM373" s="75">
        <f ca="1">INDIRECT(ADDRESS(11+(MATCH(RIGHT(Table2[[#This Row],[spawner_sku]],LEN(Table2[[#This Row],[spawner_sku]])-FIND("/",Table2[[#This Row],[spawner_sku]])),Table1[Entity Prefab],0)),10,1,1,"Entities"))</f>
        <v>25</v>
      </c>
      <c r="AN373" s="75">
        <f ca="1">ROUND((Table2[[#This Row],[XP]]*Table2[[#This Row],[entity_spawned (AVG)]])*(Table2[[#This Row],[activating_chance]]/100),0)</f>
        <v>20</v>
      </c>
      <c r="AO37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73" s="72">
        <v>1</v>
      </c>
      <c r="AQ373" s="72">
        <v>1</v>
      </c>
      <c r="AR373" s="72" t="b">
        <v>0</v>
      </c>
      <c r="BP373" t="s">
        <v>401</v>
      </c>
      <c r="BQ373">
        <v>1</v>
      </c>
      <c r="BR373">
        <v>300</v>
      </c>
      <c r="BS373">
        <v>100</v>
      </c>
      <c r="BT373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73" s="75">
        <f ca="1">ROUND((Table61011[[#This Row],[XP]]*Table61011[[#This Row],[entity_spawned (AVG)]])*(Table61011[[#This Row],[activating_chance]]/100),0)</f>
        <v>75</v>
      </c>
      <c r="BV37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73" s="72">
        <v>1</v>
      </c>
      <c r="BX373" s="72">
        <v>1</v>
      </c>
      <c r="BY373" s="72" t="b">
        <v>0</v>
      </c>
      <c r="CA373" t="s">
        <v>522</v>
      </c>
      <c r="CB373">
        <v>1</v>
      </c>
      <c r="CC373">
        <v>240</v>
      </c>
      <c r="CD373">
        <v>100</v>
      </c>
      <c r="CE373" s="75">
        <f ca="1">INDIRECT(ADDRESS(11+(MATCH(RIGHT(Table11[[#This Row],[spawner_sku]],LEN(Table11[[#This Row],[spawner_sku]])-FIND("/",Table11[[#This Row],[spawner_sku]])),Table1[Entity Prefab],0)),10,1,1,"Entities"))</f>
        <v>70</v>
      </c>
      <c r="CF373">
        <f ca="1">ROUND((Table11[[#This Row],[XP]]*Table11[[#This Row],[entity_spawned (AVG)]])*(Table11[[#This Row],[activating_chance]]/100),0)</f>
        <v>70</v>
      </c>
      <c r="CG373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73" s="72">
        <v>1</v>
      </c>
      <c r="CI373" s="72">
        <v>1</v>
      </c>
      <c r="CJ373" s="72" t="b">
        <v>0</v>
      </c>
      <c r="DH373" t="s">
        <v>539</v>
      </c>
      <c r="DI373">
        <v>1</v>
      </c>
      <c r="DJ373">
        <v>220</v>
      </c>
      <c r="DK373">
        <v>100</v>
      </c>
      <c r="DL373" s="75">
        <f ca="1">INDIRECT(ADDRESS(11+(MATCH(RIGHT(Table14[[#This Row],[spawner_sku]],LEN(Table14[[#This Row],[spawner_sku]])-FIND("/",Table14[[#This Row],[spawner_sku]])),Table1[Entity Prefab],0)),10,1,1,"Entities"))</f>
        <v>105</v>
      </c>
      <c r="DM373" s="75">
        <f ca="1">ROUND((Table14[[#This Row],[XP]]*Table14[[#This Row],[entity_spawned (AVG)]])*(Table14[[#This Row],[activating_chance]]/100),0)</f>
        <v>105</v>
      </c>
      <c r="DN37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73" s="72">
        <v>1</v>
      </c>
      <c r="DP373" s="72">
        <v>1</v>
      </c>
      <c r="DQ373" s="72" t="b">
        <v>0</v>
      </c>
    </row>
    <row r="374" spans="2:121" x14ac:dyDescent="0.25">
      <c r="B374" s="73" t="s">
        <v>245</v>
      </c>
      <c r="C374">
        <v>8</v>
      </c>
      <c r="D374">
        <v>160</v>
      </c>
      <c r="E374">
        <v>100</v>
      </c>
      <c r="F374" s="75">
        <f ca="1">INDIRECT(ADDRESS(11+(MATCH(RIGHT(Table245[[#This Row],[spawner_sku]],LEN(Table245[[#This Row],[spawner_sku]])-FIND("/",Table245[[#This Row],[spawner_sku]])),Table1[Entity Prefab],0)),10,1,1,"Entities"))</f>
        <v>25</v>
      </c>
      <c r="G374" s="75">
        <f ca="1">ROUND((Table245[[#This Row],[XP]]*Table245[[#This Row],[entity_spawned (AVG)]])*(Table245[[#This Row],[activating_chance]]/100),0)</f>
        <v>200</v>
      </c>
      <c r="H37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74" s="72">
        <v>6</v>
      </c>
      <c r="J374" s="72">
        <v>10</v>
      </c>
      <c r="K374" s="72" t="b">
        <v>1</v>
      </c>
      <c r="AI374" t="s">
        <v>255</v>
      </c>
      <c r="AJ374">
        <v>1</v>
      </c>
      <c r="AK374">
        <v>180</v>
      </c>
      <c r="AL374">
        <v>80</v>
      </c>
      <c r="AM374" s="75">
        <f ca="1">INDIRECT(ADDRESS(11+(MATCH(RIGHT(Table2[[#This Row],[spawner_sku]],LEN(Table2[[#This Row],[spawner_sku]])-FIND("/",Table2[[#This Row],[spawner_sku]])),Table1[Entity Prefab],0)),10,1,1,"Entities"))</f>
        <v>25</v>
      </c>
      <c r="AN374" s="75">
        <f ca="1">ROUND((Table2[[#This Row],[XP]]*Table2[[#This Row],[entity_spawned (AVG)]])*(Table2[[#This Row],[activating_chance]]/100),0)</f>
        <v>20</v>
      </c>
      <c r="AO37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74" s="72">
        <v>1</v>
      </c>
      <c r="AQ374" s="72">
        <v>1</v>
      </c>
      <c r="AR374" s="72" t="b">
        <v>0</v>
      </c>
      <c r="BP374" t="s">
        <v>401</v>
      </c>
      <c r="BQ374">
        <v>1</v>
      </c>
      <c r="BR374">
        <v>220</v>
      </c>
      <c r="BS374">
        <v>100</v>
      </c>
      <c r="BT374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74" s="75">
        <f ca="1">ROUND((Table61011[[#This Row],[XP]]*Table61011[[#This Row],[entity_spawned (AVG)]])*(Table61011[[#This Row],[activating_chance]]/100),0)</f>
        <v>75</v>
      </c>
      <c r="BV37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74" s="72">
        <v>1</v>
      </c>
      <c r="BX374" s="72">
        <v>1</v>
      </c>
      <c r="BY374" s="72" t="b">
        <v>0</v>
      </c>
      <c r="CA374" t="s">
        <v>522</v>
      </c>
      <c r="CB374">
        <v>1</v>
      </c>
      <c r="CC374">
        <v>310</v>
      </c>
      <c r="CD374">
        <v>100</v>
      </c>
      <c r="CE374" s="75">
        <f ca="1">INDIRECT(ADDRESS(11+(MATCH(RIGHT(Table11[[#This Row],[spawner_sku]],LEN(Table11[[#This Row],[spawner_sku]])-FIND("/",Table11[[#This Row],[spawner_sku]])),Table1[Entity Prefab],0)),10,1,1,"Entities"))</f>
        <v>70</v>
      </c>
      <c r="CF374">
        <f ca="1">ROUND((Table11[[#This Row],[XP]]*Table11[[#This Row],[entity_spawned (AVG)]])*(Table11[[#This Row],[activating_chance]]/100),0)</f>
        <v>70</v>
      </c>
      <c r="CG374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74" s="72">
        <v>1</v>
      </c>
      <c r="CI374" s="72">
        <v>1</v>
      </c>
      <c r="CJ374" s="72" t="b">
        <v>0</v>
      </c>
      <c r="DH374" t="s">
        <v>539</v>
      </c>
      <c r="DI374">
        <v>1</v>
      </c>
      <c r="DJ374">
        <v>220</v>
      </c>
      <c r="DK374">
        <v>100</v>
      </c>
      <c r="DL374" s="75">
        <f ca="1">INDIRECT(ADDRESS(11+(MATCH(RIGHT(Table14[[#This Row],[spawner_sku]],LEN(Table14[[#This Row],[spawner_sku]])-FIND("/",Table14[[#This Row],[spawner_sku]])),Table1[Entity Prefab],0)),10,1,1,"Entities"))</f>
        <v>105</v>
      </c>
      <c r="DM374" s="75">
        <f ca="1">ROUND((Table14[[#This Row],[XP]]*Table14[[#This Row],[entity_spawned (AVG)]])*(Table14[[#This Row],[activating_chance]]/100),0)</f>
        <v>105</v>
      </c>
      <c r="DN37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74" s="72">
        <v>1</v>
      </c>
      <c r="DP374" s="72">
        <v>1</v>
      </c>
      <c r="DQ374" s="72" t="b">
        <v>0</v>
      </c>
    </row>
    <row r="375" spans="2:121" x14ac:dyDescent="0.25">
      <c r="B375" s="73" t="s">
        <v>245</v>
      </c>
      <c r="C375">
        <v>8</v>
      </c>
      <c r="D375">
        <v>160</v>
      </c>
      <c r="E375">
        <v>100</v>
      </c>
      <c r="F375" s="75">
        <f ca="1">INDIRECT(ADDRESS(11+(MATCH(RIGHT(Table245[[#This Row],[spawner_sku]],LEN(Table245[[#This Row],[spawner_sku]])-FIND("/",Table245[[#This Row],[spawner_sku]])),Table1[Entity Prefab],0)),10,1,1,"Entities"))</f>
        <v>25</v>
      </c>
      <c r="G375" s="75">
        <f ca="1">ROUND((Table245[[#This Row],[XP]]*Table245[[#This Row],[entity_spawned (AVG)]])*(Table245[[#This Row],[activating_chance]]/100),0)</f>
        <v>200</v>
      </c>
      <c r="H37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75" s="72">
        <v>6</v>
      </c>
      <c r="J375" s="72">
        <v>10</v>
      </c>
      <c r="K375" s="72" t="b">
        <v>1</v>
      </c>
      <c r="AI375" t="s">
        <v>255</v>
      </c>
      <c r="AJ375">
        <v>1</v>
      </c>
      <c r="AK375">
        <v>130</v>
      </c>
      <c r="AL375">
        <v>90</v>
      </c>
      <c r="AM375" s="75">
        <f ca="1">INDIRECT(ADDRESS(11+(MATCH(RIGHT(Table2[[#This Row],[spawner_sku]],LEN(Table2[[#This Row],[spawner_sku]])-FIND("/",Table2[[#This Row],[spawner_sku]])),Table1[Entity Prefab],0)),10,1,1,"Entities"))</f>
        <v>25</v>
      </c>
      <c r="AN375" s="75">
        <f ca="1">ROUND((Table2[[#This Row],[XP]]*Table2[[#This Row],[entity_spawned (AVG)]])*(Table2[[#This Row],[activating_chance]]/100),0)</f>
        <v>23</v>
      </c>
      <c r="AO37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75" s="72">
        <v>1</v>
      </c>
      <c r="AQ375" s="72">
        <v>1</v>
      </c>
      <c r="AR375" s="72" t="b">
        <v>0</v>
      </c>
      <c r="BP375" t="s">
        <v>401</v>
      </c>
      <c r="BQ375">
        <v>1</v>
      </c>
      <c r="BR375">
        <v>300</v>
      </c>
      <c r="BS375">
        <v>100</v>
      </c>
      <c r="BT375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75" s="75">
        <f ca="1">ROUND((Table61011[[#This Row],[XP]]*Table61011[[#This Row],[entity_spawned (AVG)]])*(Table61011[[#This Row],[activating_chance]]/100),0)</f>
        <v>75</v>
      </c>
      <c r="BV37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75" s="72">
        <v>1</v>
      </c>
      <c r="BX375" s="72">
        <v>1</v>
      </c>
      <c r="BY375" s="72" t="b">
        <v>0</v>
      </c>
      <c r="CA375" t="s">
        <v>522</v>
      </c>
      <c r="CB375">
        <v>1</v>
      </c>
      <c r="CC375">
        <v>240</v>
      </c>
      <c r="CD375">
        <v>100</v>
      </c>
      <c r="CE375" s="75">
        <f ca="1">INDIRECT(ADDRESS(11+(MATCH(RIGHT(Table11[[#This Row],[spawner_sku]],LEN(Table11[[#This Row],[spawner_sku]])-FIND("/",Table11[[#This Row],[spawner_sku]])),Table1[Entity Prefab],0)),10,1,1,"Entities"))</f>
        <v>70</v>
      </c>
      <c r="CF375">
        <f ca="1">ROUND((Table11[[#This Row],[XP]]*Table11[[#This Row],[entity_spawned (AVG)]])*(Table11[[#This Row],[activating_chance]]/100),0)</f>
        <v>70</v>
      </c>
      <c r="CG375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75" s="72">
        <v>1</v>
      </c>
      <c r="CI375" s="72">
        <v>1</v>
      </c>
      <c r="CJ375" s="72" t="b">
        <v>0</v>
      </c>
      <c r="DH375" t="s">
        <v>539</v>
      </c>
      <c r="DI375">
        <v>1</v>
      </c>
      <c r="DJ375">
        <v>220</v>
      </c>
      <c r="DK375">
        <v>100</v>
      </c>
      <c r="DL375" s="75">
        <f ca="1">INDIRECT(ADDRESS(11+(MATCH(RIGHT(Table14[[#This Row],[spawner_sku]],LEN(Table14[[#This Row],[spawner_sku]])-FIND("/",Table14[[#This Row],[spawner_sku]])),Table1[Entity Prefab],0)),10,1,1,"Entities"))</f>
        <v>105</v>
      </c>
      <c r="DM375" s="75">
        <f ca="1">ROUND((Table14[[#This Row],[XP]]*Table14[[#This Row],[entity_spawned (AVG)]])*(Table14[[#This Row],[activating_chance]]/100),0)</f>
        <v>105</v>
      </c>
      <c r="DN37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75" s="72">
        <v>1</v>
      </c>
      <c r="DP375" s="72">
        <v>1</v>
      </c>
      <c r="DQ375" s="72" t="b">
        <v>0</v>
      </c>
    </row>
    <row r="376" spans="2:121" x14ac:dyDescent="0.25">
      <c r="B376" s="73" t="s">
        <v>245</v>
      </c>
      <c r="C376">
        <v>5.5</v>
      </c>
      <c r="D376">
        <v>150</v>
      </c>
      <c r="E376">
        <v>100</v>
      </c>
      <c r="F376" s="75">
        <f ca="1">INDIRECT(ADDRESS(11+(MATCH(RIGHT(Table245[[#This Row],[spawner_sku]],LEN(Table245[[#This Row],[spawner_sku]])-FIND("/",Table245[[#This Row],[spawner_sku]])),Table1[Entity Prefab],0)),10,1,1,"Entities"))</f>
        <v>25</v>
      </c>
      <c r="G376" s="75">
        <f ca="1">ROUND((Table245[[#This Row],[XP]]*Table245[[#This Row],[entity_spawned (AVG)]])*(Table245[[#This Row],[activating_chance]]/100),0)</f>
        <v>138</v>
      </c>
      <c r="H37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76" s="72">
        <v>5</v>
      </c>
      <c r="J376" s="72">
        <v>6</v>
      </c>
      <c r="K376" s="72" t="b">
        <v>1</v>
      </c>
      <c r="AI376" t="s">
        <v>255</v>
      </c>
      <c r="AJ376">
        <v>1</v>
      </c>
      <c r="AK376">
        <v>180</v>
      </c>
      <c r="AL376">
        <v>100</v>
      </c>
      <c r="AM376" s="75">
        <f ca="1">INDIRECT(ADDRESS(11+(MATCH(RIGHT(Table2[[#This Row],[spawner_sku]],LEN(Table2[[#This Row],[spawner_sku]])-FIND("/",Table2[[#This Row],[spawner_sku]])),Table1[Entity Prefab],0)),10,1,1,"Entities"))</f>
        <v>25</v>
      </c>
      <c r="AN376" s="75">
        <f ca="1">ROUND((Table2[[#This Row],[XP]]*Table2[[#This Row],[entity_spawned (AVG)]])*(Table2[[#This Row],[activating_chance]]/100),0)</f>
        <v>25</v>
      </c>
      <c r="AO37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76" s="72">
        <v>1</v>
      </c>
      <c r="AQ376" s="72">
        <v>1</v>
      </c>
      <c r="AR376" s="72" t="b">
        <v>0</v>
      </c>
      <c r="BP376" t="s">
        <v>401</v>
      </c>
      <c r="BQ376">
        <v>1</v>
      </c>
      <c r="BR376">
        <v>200</v>
      </c>
      <c r="BS376">
        <v>100</v>
      </c>
      <c r="BT376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76" s="75">
        <f ca="1">ROUND((Table61011[[#This Row],[XP]]*Table61011[[#This Row],[entity_spawned (AVG)]])*(Table61011[[#This Row],[activating_chance]]/100),0)</f>
        <v>75</v>
      </c>
      <c r="BV37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76" s="72">
        <v>1</v>
      </c>
      <c r="BX376" s="72">
        <v>1</v>
      </c>
      <c r="BY376" s="72" t="b">
        <v>0</v>
      </c>
      <c r="CA376" t="s">
        <v>519</v>
      </c>
      <c r="CB376">
        <v>1</v>
      </c>
      <c r="CC376">
        <v>310</v>
      </c>
      <c r="CD376">
        <v>100</v>
      </c>
      <c r="CE376" s="75">
        <f ca="1">INDIRECT(ADDRESS(11+(MATCH(RIGHT(Table11[[#This Row],[spawner_sku]],LEN(Table11[[#This Row],[spawner_sku]])-FIND("/",Table11[[#This Row],[spawner_sku]])),Table1[Entity Prefab],0)),10,1,1,"Entities"))</f>
        <v>70</v>
      </c>
      <c r="CF376">
        <f ca="1">ROUND((Table11[[#This Row],[XP]]*Table11[[#This Row],[entity_spawned (AVG)]])*(Table11[[#This Row],[activating_chance]]/100),0)</f>
        <v>70</v>
      </c>
      <c r="CG376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76" s="72">
        <v>1</v>
      </c>
      <c r="CI376" s="72">
        <v>1</v>
      </c>
      <c r="CJ376" s="72" t="b">
        <v>0</v>
      </c>
      <c r="DH376" t="s">
        <v>539</v>
      </c>
      <c r="DI376">
        <v>1</v>
      </c>
      <c r="DJ376">
        <v>220</v>
      </c>
      <c r="DK376">
        <v>100</v>
      </c>
      <c r="DL376" s="75">
        <f ca="1">INDIRECT(ADDRESS(11+(MATCH(RIGHT(Table14[[#This Row],[spawner_sku]],LEN(Table14[[#This Row],[spawner_sku]])-FIND("/",Table14[[#This Row],[spawner_sku]])),Table1[Entity Prefab],0)),10,1,1,"Entities"))</f>
        <v>105</v>
      </c>
      <c r="DM376" s="75">
        <f ca="1">ROUND((Table14[[#This Row],[XP]]*Table14[[#This Row],[entity_spawned (AVG)]])*(Table14[[#This Row],[activating_chance]]/100),0)</f>
        <v>105</v>
      </c>
      <c r="DN37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76" s="72">
        <v>1</v>
      </c>
      <c r="DP376" s="72">
        <v>1</v>
      </c>
      <c r="DQ376" s="72" t="b">
        <v>0</v>
      </c>
    </row>
    <row r="377" spans="2:121" x14ac:dyDescent="0.25">
      <c r="B377" s="73" t="s">
        <v>245</v>
      </c>
      <c r="C377">
        <v>8</v>
      </c>
      <c r="D377">
        <v>200</v>
      </c>
      <c r="E377">
        <v>100</v>
      </c>
      <c r="F377" s="75">
        <f ca="1">INDIRECT(ADDRESS(11+(MATCH(RIGHT(Table245[[#This Row],[spawner_sku]],LEN(Table245[[#This Row],[spawner_sku]])-FIND("/",Table245[[#This Row],[spawner_sku]])),Table1[Entity Prefab],0)),10,1,1,"Entities"))</f>
        <v>25</v>
      </c>
      <c r="G377" s="75">
        <f ca="1">ROUND((Table245[[#This Row],[XP]]*Table245[[#This Row],[entity_spawned (AVG)]])*(Table245[[#This Row],[activating_chance]]/100),0)</f>
        <v>200</v>
      </c>
      <c r="H37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77" s="72">
        <v>6</v>
      </c>
      <c r="J377" s="72">
        <v>10</v>
      </c>
      <c r="K377" s="72" t="b">
        <v>1</v>
      </c>
      <c r="AI377" t="s">
        <v>255</v>
      </c>
      <c r="AJ377">
        <v>1</v>
      </c>
      <c r="AK377">
        <v>170</v>
      </c>
      <c r="AL377">
        <v>100</v>
      </c>
      <c r="AM377" s="75">
        <f ca="1">INDIRECT(ADDRESS(11+(MATCH(RIGHT(Table2[[#This Row],[spawner_sku]],LEN(Table2[[#This Row],[spawner_sku]])-FIND("/",Table2[[#This Row],[spawner_sku]])),Table1[Entity Prefab],0)),10,1,1,"Entities"))</f>
        <v>25</v>
      </c>
      <c r="AN377" s="75">
        <f ca="1">ROUND((Table2[[#This Row],[XP]]*Table2[[#This Row],[entity_spawned (AVG)]])*(Table2[[#This Row],[activating_chance]]/100),0)</f>
        <v>25</v>
      </c>
      <c r="AO37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77" s="72">
        <v>1</v>
      </c>
      <c r="AQ377" s="72">
        <v>1</v>
      </c>
      <c r="AR377" s="72" t="b">
        <v>0</v>
      </c>
      <c r="BP377" t="s">
        <v>401</v>
      </c>
      <c r="BQ377">
        <v>1</v>
      </c>
      <c r="BR377">
        <v>300</v>
      </c>
      <c r="BS377">
        <v>100</v>
      </c>
      <c r="BT377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77" s="75">
        <f ca="1">ROUND((Table61011[[#This Row],[XP]]*Table61011[[#This Row],[entity_spawned (AVG)]])*(Table61011[[#This Row],[activating_chance]]/100),0)</f>
        <v>75</v>
      </c>
      <c r="BV37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77" s="72">
        <v>1</v>
      </c>
      <c r="BX377" s="72">
        <v>1</v>
      </c>
      <c r="BY377" s="72" t="b">
        <v>0</v>
      </c>
      <c r="CA377" t="s">
        <v>519</v>
      </c>
      <c r="CB377">
        <v>1</v>
      </c>
      <c r="CC377">
        <v>310</v>
      </c>
      <c r="CD377">
        <v>100</v>
      </c>
      <c r="CE377" s="75">
        <f ca="1">INDIRECT(ADDRESS(11+(MATCH(RIGHT(Table11[[#This Row],[spawner_sku]],LEN(Table11[[#This Row],[spawner_sku]])-FIND("/",Table11[[#This Row],[spawner_sku]])),Table1[Entity Prefab],0)),10,1,1,"Entities"))</f>
        <v>70</v>
      </c>
      <c r="CF377">
        <f ca="1">ROUND((Table11[[#This Row],[XP]]*Table11[[#This Row],[entity_spawned (AVG)]])*(Table11[[#This Row],[activating_chance]]/100),0)</f>
        <v>70</v>
      </c>
      <c r="CG377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77" s="72">
        <v>1</v>
      </c>
      <c r="CI377" s="72">
        <v>1</v>
      </c>
      <c r="CJ377" s="72" t="b">
        <v>0</v>
      </c>
      <c r="DH377" t="s">
        <v>539</v>
      </c>
      <c r="DI377">
        <v>1</v>
      </c>
      <c r="DJ377">
        <v>240</v>
      </c>
      <c r="DK377">
        <v>100</v>
      </c>
      <c r="DL377" s="75">
        <f ca="1">INDIRECT(ADDRESS(11+(MATCH(RIGHT(Table14[[#This Row],[spawner_sku]],LEN(Table14[[#This Row],[spawner_sku]])-FIND("/",Table14[[#This Row],[spawner_sku]])),Table1[Entity Prefab],0)),10,1,1,"Entities"))</f>
        <v>105</v>
      </c>
      <c r="DM377" s="75">
        <f ca="1">ROUND((Table14[[#This Row],[XP]]*Table14[[#This Row],[entity_spawned (AVG)]])*(Table14[[#This Row],[activating_chance]]/100),0)</f>
        <v>105</v>
      </c>
      <c r="DN37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77" s="72">
        <v>1</v>
      </c>
      <c r="DP377" s="72">
        <v>1</v>
      </c>
      <c r="DQ377" s="72" t="b">
        <v>0</v>
      </c>
    </row>
    <row r="378" spans="2:121" x14ac:dyDescent="0.25">
      <c r="B378" s="73" t="s">
        <v>245</v>
      </c>
      <c r="C378">
        <v>8.5</v>
      </c>
      <c r="D378">
        <v>180</v>
      </c>
      <c r="E378">
        <v>100</v>
      </c>
      <c r="F378" s="75">
        <f ca="1">INDIRECT(ADDRESS(11+(MATCH(RIGHT(Table245[[#This Row],[spawner_sku]],LEN(Table245[[#This Row],[spawner_sku]])-FIND("/",Table245[[#This Row],[spawner_sku]])),Table1[Entity Prefab],0)),10,1,1,"Entities"))</f>
        <v>25</v>
      </c>
      <c r="G378" s="75">
        <f ca="1">ROUND((Table245[[#This Row],[XP]]*Table245[[#This Row],[entity_spawned (AVG)]])*(Table245[[#This Row],[activating_chance]]/100),0)</f>
        <v>213</v>
      </c>
      <c r="H37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78" s="72">
        <v>5</v>
      </c>
      <c r="J378" s="72">
        <v>12</v>
      </c>
      <c r="K378" s="72" t="b">
        <v>1</v>
      </c>
      <c r="AI378" t="s">
        <v>255</v>
      </c>
      <c r="AJ378">
        <v>1</v>
      </c>
      <c r="AK378">
        <v>170</v>
      </c>
      <c r="AL378">
        <v>100</v>
      </c>
      <c r="AM378" s="75">
        <f ca="1">INDIRECT(ADDRESS(11+(MATCH(RIGHT(Table2[[#This Row],[spawner_sku]],LEN(Table2[[#This Row],[spawner_sku]])-FIND("/",Table2[[#This Row],[spawner_sku]])),Table1[Entity Prefab],0)),10,1,1,"Entities"))</f>
        <v>25</v>
      </c>
      <c r="AN378" s="75">
        <f ca="1">ROUND((Table2[[#This Row],[XP]]*Table2[[#This Row],[entity_spawned (AVG)]])*(Table2[[#This Row],[activating_chance]]/100),0)</f>
        <v>25</v>
      </c>
      <c r="AO37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78" s="72">
        <v>1</v>
      </c>
      <c r="AQ378" s="72">
        <v>1</v>
      </c>
      <c r="AR378" s="72" t="b">
        <v>0</v>
      </c>
      <c r="BP378" t="s">
        <v>453</v>
      </c>
      <c r="BQ378">
        <v>1</v>
      </c>
      <c r="BR378">
        <v>200</v>
      </c>
      <c r="BS378">
        <v>100</v>
      </c>
      <c r="BT378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78" s="75">
        <f ca="1">ROUND((Table61011[[#This Row],[XP]]*Table61011[[#This Row],[entity_spawned (AVG)]])*(Table61011[[#This Row],[activating_chance]]/100),0)</f>
        <v>75</v>
      </c>
      <c r="BV37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78" s="72">
        <v>1</v>
      </c>
      <c r="BX378" s="72">
        <v>1</v>
      </c>
      <c r="BY378" s="72" t="b">
        <v>0</v>
      </c>
      <c r="CA378" t="s">
        <v>519</v>
      </c>
      <c r="CB378">
        <v>1</v>
      </c>
      <c r="CC378">
        <v>310</v>
      </c>
      <c r="CD378">
        <v>100</v>
      </c>
      <c r="CE378" s="75">
        <f ca="1">INDIRECT(ADDRESS(11+(MATCH(RIGHT(Table11[[#This Row],[spawner_sku]],LEN(Table11[[#This Row],[spawner_sku]])-FIND("/",Table11[[#This Row],[spawner_sku]])),Table1[Entity Prefab],0)),10,1,1,"Entities"))</f>
        <v>70</v>
      </c>
      <c r="CF378">
        <f ca="1">ROUND((Table11[[#This Row],[XP]]*Table11[[#This Row],[entity_spawned (AVG)]])*(Table11[[#This Row],[activating_chance]]/100),0)</f>
        <v>70</v>
      </c>
      <c r="CG378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78" s="72">
        <v>1</v>
      </c>
      <c r="CI378" s="72">
        <v>1</v>
      </c>
      <c r="CJ378" s="72" t="b">
        <v>0</v>
      </c>
      <c r="DH378" t="s">
        <v>539</v>
      </c>
      <c r="DI378">
        <v>1</v>
      </c>
      <c r="DJ378">
        <v>220</v>
      </c>
      <c r="DK378">
        <v>100</v>
      </c>
      <c r="DL378" s="75">
        <f ca="1">INDIRECT(ADDRESS(11+(MATCH(RIGHT(Table14[[#This Row],[spawner_sku]],LEN(Table14[[#This Row],[spawner_sku]])-FIND("/",Table14[[#This Row],[spawner_sku]])),Table1[Entity Prefab],0)),10,1,1,"Entities"))</f>
        <v>105</v>
      </c>
      <c r="DM378" s="75">
        <f ca="1">ROUND((Table14[[#This Row],[XP]]*Table14[[#This Row],[entity_spawned (AVG)]])*(Table14[[#This Row],[activating_chance]]/100),0)</f>
        <v>105</v>
      </c>
      <c r="DN37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78" s="72">
        <v>1</v>
      </c>
      <c r="DP378" s="72">
        <v>1</v>
      </c>
      <c r="DQ378" s="72" t="b">
        <v>0</v>
      </c>
    </row>
    <row r="379" spans="2:121" x14ac:dyDescent="0.25">
      <c r="B379" s="73" t="s">
        <v>629</v>
      </c>
      <c r="C379">
        <v>1</v>
      </c>
      <c r="D379">
        <v>120</v>
      </c>
      <c r="E379">
        <v>100</v>
      </c>
      <c r="F379" s="75">
        <f ca="1">INDIRECT(ADDRESS(11+(MATCH(RIGHT(Table245[[#This Row],[spawner_sku]],LEN(Table245[[#This Row],[spawner_sku]])-FIND("/",Table245[[#This Row],[spawner_sku]])),Table1[Entity Prefab],0)),10,1,1,"Entities"))</f>
        <v>50</v>
      </c>
      <c r="G379" s="75">
        <f ca="1">ROUND((Table245[[#This Row],[XP]]*Table245[[#This Row],[entity_spawned (AVG)]])*(Table245[[#This Row],[activating_chance]]/100),0)</f>
        <v>50</v>
      </c>
      <c r="H37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79" s="72">
        <v>1</v>
      </c>
      <c r="J379" s="72">
        <v>1</v>
      </c>
      <c r="K379" s="72" t="b">
        <v>0</v>
      </c>
      <c r="AI379" t="s">
        <v>255</v>
      </c>
      <c r="AJ379">
        <v>1</v>
      </c>
      <c r="AK379">
        <v>170</v>
      </c>
      <c r="AL379">
        <v>40</v>
      </c>
      <c r="AM379" s="75">
        <f ca="1">INDIRECT(ADDRESS(11+(MATCH(RIGHT(Table2[[#This Row],[spawner_sku]],LEN(Table2[[#This Row],[spawner_sku]])-FIND("/",Table2[[#This Row],[spawner_sku]])),Table1[Entity Prefab],0)),10,1,1,"Entities"))</f>
        <v>25</v>
      </c>
      <c r="AN379" s="75">
        <f ca="1">ROUND((Table2[[#This Row],[XP]]*Table2[[#This Row],[entity_spawned (AVG)]])*(Table2[[#This Row],[activating_chance]]/100),0)</f>
        <v>10</v>
      </c>
      <c r="AO37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79" s="72">
        <v>1</v>
      </c>
      <c r="AQ379" s="72">
        <v>1</v>
      </c>
      <c r="AR379" s="72" t="b">
        <v>0</v>
      </c>
      <c r="BP379" t="s">
        <v>453</v>
      </c>
      <c r="BQ379">
        <v>1</v>
      </c>
      <c r="BR379">
        <v>220</v>
      </c>
      <c r="BS379">
        <v>100</v>
      </c>
      <c r="BT379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79" s="75">
        <f ca="1">ROUND((Table61011[[#This Row],[XP]]*Table61011[[#This Row],[entity_spawned (AVG)]])*(Table61011[[#This Row],[activating_chance]]/100),0)</f>
        <v>75</v>
      </c>
      <c r="BV37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79" s="72">
        <v>1</v>
      </c>
      <c r="BX379" s="72">
        <v>1</v>
      </c>
      <c r="BY379" s="72" t="b">
        <v>0</v>
      </c>
      <c r="CA379" t="s">
        <v>519</v>
      </c>
      <c r="CB379">
        <v>1</v>
      </c>
      <c r="CC379">
        <v>310</v>
      </c>
      <c r="CD379">
        <v>100</v>
      </c>
      <c r="CE379" s="75">
        <f ca="1">INDIRECT(ADDRESS(11+(MATCH(RIGHT(Table11[[#This Row],[spawner_sku]],LEN(Table11[[#This Row],[spawner_sku]])-FIND("/",Table11[[#This Row],[spawner_sku]])),Table1[Entity Prefab],0)),10,1,1,"Entities"))</f>
        <v>70</v>
      </c>
      <c r="CF379">
        <f ca="1">ROUND((Table11[[#This Row],[XP]]*Table11[[#This Row],[entity_spawned (AVG)]])*(Table11[[#This Row],[activating_chance]]/100),0)</f>
        <v>70</v>
      </c>
      <c r="CG379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79" s="72">
        <v>1</v>
      </c>
      <c r="CI379" s="72">
        <v>1</v>
      </c>
      <c r="CJ379" s="72" t="b">
        <v>0</v>
      </c>
      <c r="DH379" t="s">
        <v>539</v>
      </c>
      <c r="DI379">
        <v>1</v>
      </c>
      <c r="DJ379">
        <v>240</v>
      </c>
      <c r="DK379">
        <v>100</v>
      </c>
      <c r="DL379" s="75">
        <f ca="1">INDIRECT(ADDRESS(11+(MATCH(RIGHT(Table14[[#This Row],[spawner_sku]],LEN(Table14[[#This Row],[spawner_sku]])-FIND("/",Table14[[#This Row],[spawner_sku]])),Table1[Entity Prefab],0)),10,1,1,"Entities"))</f>
        <v>105</v>
      </c>
      <c r="DM379" s="75">
        <f ca="1">ROUND((Table14[[#This Row],[XP]]*Table14[[#This Row],[entity_spawned (AVG)]])*(Table14[[#This Row],[activating_chance]]/100),0)</f>
        <v>105</v>
      </c>
      <c r="DN37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79" s="72">
        <v>1</v>
      </c>
      <c r="DP379" s="72">
        <v>1</v>
      </c>
      <c r="DQ379" s="72" t="b">
        <v>0</v>
      </c>
    </row>
    <row r="380" spans="2:121" x14ac:dyDescent="0.25">
      <c r="B380" s="73" t="s">
        <v>629</v>
      </c>
      <c r="C380">
        <v>1</v>
      </c>
      <c r="D380">
        <v>120</v>
      </c>
      <c r="E380">
        <v>100</v>
      </c>
      <c r="F380" s="75">
        <f ca="1">INDIRECT(ADDRESS(11+(MATCH(RIGHT(Table245[[#This Row],[spawner_sku]],LEN(Table245[[#This Row],[spawner_sku]])-FIND("/",Table245[[#This Row],[spawner_sku]])),Table1[Entity Prefab],0)),10,1,1,"Entities"))</f>
        <v>50</v>
      </c>
      <c r="G380" s="75">
        <f ca="1">ROUND((Table245[[#This Row],[XP]]*Table245[[#This Row],[entity_spawned (AVG)]])*(Table245[[#This Row],[activating_chance]]/100),0)</f>
        <v>50</v>
      </c>
      <c r="H38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80" s="72">
        <v>1</v>
      </c>
      <c r="J380" s="72">
        <v>1</v>
      </c>
      <c r="K380" s="72" t="b">
        <v>0</v>
      </c>
      <c r="AI380" t="s">
        <v>255</v>
      </c>
      <c r="AJ380">
        <v>1</v>
      </c>
      <c r="AK380">
        <v>170</v>
      </c>
      <c r="AL380">
        <v>90</v>
      </c>
      <c r="AM380" s="75">
        <f ca="1">INDIRECT(ADDRESS(11+(MATCH(RIGHT(Table2[[#This Row],[spawner_sku]],LEN(Table2[[#This Row],[spawner_sku]])-FIND("/",Table2[[#This Row],[spawner_sku]])),Table1[Entity Prefab],0)),10,1,1,"Entities"))</f>
        <v>25</v>
      </c>
      <c r="AN380" s="75">
        <f ca="1">ROUND((Table2[[#This Row],[XP]]*Table2[[#This Row],[entity_spawned (AVG)]])*(Table2[[#This Row],[activating_chance]]/100),0)</f>
        <v>23</v>
      </c>
      <c r="AO38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80" s="72">
        <v>1</v>
      </c>
      <c r="AQ380" s="72">
        <v>1</v>
      </c>
      <c r="AR380" s="72" t="b">
        <v>0</v>
      </c>
      <c r="BP380" t="s">
        <v>453</v>
      </c>
      <c r="BQ380">
        <v>1</v>
      </c>
      <c r="BR380">
        <v>200</v>
      </c>
      <c r="BS380">
        <v>100</v>
      </c>
      <c r="BT380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80" s="75">
        <f ca="1">ROUND((Table61011[[#This Row],[XP]]*Table61011[[#This Row],[entity_spawned (AVG)]])*(Table61011[[#This Row],[activating_chance]]/100),0)</f>
        <v>75</v>
      </c>
      <c r="BV38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80" s="72">
        <v>1</v>
      </c>
      <c r="BX380" s="72">
        <v>1</v>
      </c>
      <c r="BY380" s="72" t="b">
        <v>0</v>
      </c>
      <c r="CA380" t="s">
        <v>519</v>
      </c>
      <c r="CB380">
        <v>1</v>
      </c>
      <c r="CC380">
        <v>310</v>
      </c>
      <c r="CD380">
        <v>100</v>
      </c>
      <c r="CE380" s="75">
        <f ca="1">INDIRECT(ADDRESS(11+(MATCH(RIGHT(Table11[[#This Row],[spawner_sku]],LEN(Table11[[#This Row],[spawner_sku]])-FIND("/",Table11[[#This Row],[spawner_sku]])),Table1[Entity Prefab],0)),10,1,1,"Entities"))</f>
        <v>70</v>
      </c>
      <c r="CF380">
        <f ca="1">ROUND((Table11[[#This Row],[XP]]*Table11[[#This Row],[entity_spawned (AVG)]])*(Table11[[#This Row],[activating_chance]]/100),0)</f>
        <v>70</v>
      </c>
      <c r="CG380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80" s="72">
        <v>1</v>
      </c>
      <c r="CI380" s="72">
        <v>1</v>
      </c>
      <c r="CJ380" s="72" t="b">
        <v>0</v>
      </c>
      <c r="DH380" t="s">
        <v>521</v>
      </c>
      <c r="DI380">
        <v>1</v>
      </c>
      <c r="DJ380">
        <v>310</v>
      </c>
      <c r="DK380">
        <v>100</v>
      </c>
      <c r="DL380" s="75">
        <f ca="1">INDIRECT(ADDRESS(11+(MATCH(RIGHT(Table14[[#This Row],[spawner_sku]],LEN(Table14[[#This Row],[spawner_sku]])-FIND("/",Table14[[#This Row],[spawner_sku]])),Table1[Entity Prefab],0)),10,1,1,"Entities"))</f>
        <v>83</v>
      </c>
      <c r="DM380" s="75">
        <f ca="1">ROUND((Table14[[#This Row],[XP]]*Table14[[#This Row],[entity_spawned (AVG)]])*(Table14[[#This Row],[activating_chance]]/100),0)</f>
        <v>83</v>
      </c>
      <c r="DN38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80" s="72">
        <v>1</v>
      </c>
      <c r="DP380" s="72">
        <v>1</v>
      </c>
      <c r="DQ380" s="72" t="b">
        <v>0</v>
      </c>
    </row>
    <row r="381" spans="2:121" x14ac:dyDescent="0.25">
      <c r="B381" s="73" t="s">
        <v>629</v>
      </c>
      <c r="C381">
        <v>1</v>
      </c>
      <c r="D381">
        <v>120</v>
      </c>
      <c r="E381">
        <v>100</v>
      </c>
      <c r="F381" s="75">
        <f ca="1">INDIRECT(ADDRESS(11+(MATCH(RIGHT(Table245[[#This Row],[spawner_sku]],LEN(Table245[[#This Row],[spawner_sku]])-FIND("/",Table245[[#This Row],[spawner_sku]])),Table1[Entity Prefab],0)),10,1,1,"Entities"))</f>
        <v>50</v>
      </c>
      <c r="G381" s="75">
        <f ca="1">ROUND((Table245[[#This Row],[XP]]*Table245[[#This Row],[entity_spawned (AVG)]])*(Table245[[#This Row],[activating_chance]]/100),0)</f>
        <v>50</v>
      </c>
      <c r="H38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81" s="72">
        <v>1</v>
      </c>
      <c r="J381" s="72">
        <v>1</v>
      </c>
      <c r="K381" s="72" t="b">
        <v>0</v>
      </c>
      <c r="AI381" t="s">
        <v>255</v>
      </c>
      <c r="AJ381">
        <v>1</v>
      </c>
      <c r="AK381">
        <v>180</v>
      </c>
      <c r="AL381">
        <v>100</v>
      </c>
      <c r="AM381" s="75">
        <f ca="1">INDIRECT(ADDRESS(11+(MATCH(RIGHT(Table2[[#This Row],[spawner_sku]],LEN(Table2[[#This Row],[spawner_sku]])-FIND("/",Table2[[#This Row],[spawner_sku]])),Table1[Entity Prefab],0)),10,1,1,"Entities"))</f>
        <v>25</v>
      </c>
      <c r="AN381" s="75">
        <f ca="1">ROUND((Table2[[#This Row],[XP]]*Table2[[#This Row],[entity_spawned (AVG)]])*(Table2[[#This Row],[activating_chance]]/100),0)</f>
        <v>25</v>
      </c>
      <c r="AO38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81" s="72">
        <v>1</v>
      </c>
      <c r="AQ381" s="72">
        <v>1</v>
      </c>
      <c r="AR381" s="72" t="b">
        <v>0</v>
      </c>
      <c r="BP381" t="s">
        <v>453</v>
      </c>
      <c r="BQ381">
        <v>1</v>
      </c>
      <c r="BR381">
        <v>200</v>
      </c>
      <c r="BS381">
        <v>100</v>
      </c>
      <c r="BT381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81" s="75">
        <f ca="1">ROUND((Table61011[[#This Row],[XP]]*Table61011[[#This Row],[entity_spawned (AVG)]])*(Table61011[[#This Row],[activating_chance]]/100),0)</f>
        <v>75</v>
      </c>
      <c r="BV38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81" s="72">
        <v>1</v>
      </c>
      <c r="BX381" s="72">
        <v>1</v>
      </c>
      <c r="BY381" s="72" t="b">
        <v>0</v>
      </c>
      <c r="CA381" t="s">
        <v>253</v>
      </c>
      <c r="CB381">
        <v>1</v>
      </c>
      <c r="CC381">
        <v>170</v>
      </c>
      <c r="CD381">
        <v>100</v>
      </c>
      <c r="CE381" s="75">
        <f ca="1">INDIRECT(ADDRESS(11+(MATCH(RIGHT(Table11[[#This Row],[spawner_sku]],LEN(Table11[[#This Row],[spawner_sku]])-FIND("/",Table11[[#This Row],[spawner_sku]])),Table1[Entity Prefab],0)),10,1,1,"Entities"))</f>
        <v>70</v>
      </c>
      <c r="CF381">
        <f ca="1">ROUND((Table11[[#This Row],[XP]]*Table11[[#This Row],[entity_spawned (AVG)]])*(Table11[[#This Row],[activating_chance]]/100),0)</f>
        <v>70</v>
      </c>
      <c r="CG381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81" s="72">
        <v>1</v>
      </c>
      <c r="CI381" s="72">
        <v>1</v>
      </c>
      <c r="CJ381" s="72" t="b">
        <v>0</v>
      </c>
      <c r="DH381" t="s">
        <v>521</v>
      </c>
      <c r="DI381">
        <v>1</v>
      </c>
      <c r="DJ381">
        <v>310</v>
      </c>
      <c r="DK381">
        <v>100</v>
      </c>
      <c r="DL381" s="75">
        <f ca="1">INDIRECT(ADDRESS(11+(MATCH(RIGHT(Table14[[#This Row],[spawner_sku]],LEN(Table14[[#This Row],[spawner_sku]])-FIND("/",Table14[[#This Row],[spawner_sku]])),Table1[Entity Prefab],0)),10,1,1,"Entities"))</f>
        <v>83</v>
      </c>
      <c r="DM381" s="75">
        <f ca="1">ROUND((Table14[[#This Row],[XP]]*Table14[[#This Row],[entity_spawned (AVG)]])*(Table14[[#This Row],[activating_chance]]/100),0)</f>
        <v>83</v>
      </c>
      <c r="DN38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81" s="72">
        <v>1</v>
      </c>
      <c r="DP381" s="72">
        <v>1</v>
      </c>
      <c r="DQ381" s="72" t="b">
        <v>0</v>
      </c>
    </row>
    <row r="382" spans="2:121" x14ac:dyDescent="0.25">
      <c r="B382" s="73" t="s">
        <v>629</v>
      </c>
      <c r="C382">
        <v>1</v>
      </c>
      <c r="D382">
        <v>120</v>
      </c>
      <c r="E382">
        <v>100</v>
      </c>
      <c r="F382" s="75">
        <f ca="1">INDIRECT(ADDRESS(11+(MATCH(RIGHT(Table245[[#This Row],[spawner_sku]],LEN(Table245[[#This Row],[spawner_sku]])-FIND("/",Table245[[#This Row],[spawner_sku]])),Table1[Entity Prefab],0)),10,1,1,"Entities"))</f>
        <v>50</v>
      </c>
      <c r="G382" s="75">
        <f ca="1">ROUND((Table245[[#This Row],[XP]]*Table245[[#This Row],[entity_spawned (AVG)]])*(Table245[[#This Row],[activating_chance]]/100),0)</f>
        <v>50</v>
      </c>
      <c r="H38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82" s="72">
        <v>1</v>
      </c>
      <c r="J382" s="72">
        <v>1</v>
      </c>
      <c r="K382" s="72" t="b">
        <v>0</v>
      </c>
      <c r="AI382" t="s">
        <v>255</v>
      </c>
      <c r="AJ382">
        <v>1</v>
      </c>
      <c r="AK382">
        <v>100</v>
      </c>
      <c r="AL382">
        <v>100</v>
      </c>
      <c r="AM382" s="75">
        <f ca="1">INDIRECT(ADDRESS(11+(MATCH(RIGHT(Table2[[#This Row],[spawner_sku]],LEN(Table2[[#This Row],[spawner_sku]])-FIND("/",Table2[[#This Row],[spawner_sku]])),Table1[Entity Prefab],0)),10,1,1,"Entities"))</f>
        <v>25</v>
      </c>
      <c r="AN382" s="75">
        <f ca="1">ROUND((Table2[[#This Row],[XP]]*Table2[[#This Row],[entity_spawned (AVG)]])*(Table2[[#This Row],[activating_chance]]/100),0)</f>
        <v>25</v>
      </c>
      <c r="AO38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82" s="72">
        <v>1</v>
      </c>
      <c r="AQ382" s="72">
        <v>1</v>
      </c>
      <c r="AR382" s="72" t="b">
        <v>0</v>
      </c>
      <c r="BP382" t="s">
        <v>453</v>
      </c>
      <c r="BQ382">
        <v>1</v>
      </c>
      <c r="BR382">
        <v>220</v>
      </c>
      <c r="BS382">
        <v>100</v>
      </c>
      <c r="BT382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82" s="75">
        <f ca="1">ROUND((Table61011[[#This Row],[XP]]*Table61011[[#This Row],[entity_spawned (AVG)]])*(Table61011[[#This Row],[activating_chance]]/100),0)</f>
        <v>75</v>
      </c>
      <c r="BV38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82" s="72">
        <v>1</v>
      </c>
      <c r="BX382" s="72">
        <v>1</v>
      </c>
      <c r="BY382" s="72" t="b">
        <v>0</v>
      </c>
      <c r="CA382" t="s">
        <v>253</v>
      </c>
      <c r="CB382">
        <v>1</v>
      </c>
      <c r="CC382">
        <v>170</v>
      </c>
      <c r="CD382">
        <v>100</v>
      </c>
      <c r="CE382" s="75">
        <f ca="1">INDIRECT(ADDRESS(11+(MATCH(RIGHT(Table11[[#This Row],[spawner_sku]],LEN(Table11[[#This Row],[spawner_sku]])-FIND("/",Table11[[#This Row],[spawner_sku]])),Table1[Entity Prefab],0)),10,1,1,"Entities"))</f>
        <v>70</v>
      </c>
      <c r="CF382">
        <f ca="1">ROUND((Table11[[#This Row],[XP]]*Table11[[#This Row],[entity_spawned (AVG)]])*(Table11[[#This Row],[activating_chance]]/100),0)</f>
        <v>70</v>
      </c>
      <c r="CG382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82" s="72">
        <v>1</v>
      </c>
      <c r="CI382" s="72">
        <v>1</v>
      </c>
      <c r="CJ382" s="72" t="b">
        <v>0</v>
      </c>
      <c r="DH382" t="s">
        <v>521</v>
      </c>
      <c r="DI382">
        <v>1</v>
      </c>
      <c r="DJ382">
        <v>310</v>
      </c>
      <c r="DK382">
        <v>100</v>
      </c>
      <c r="DL382" s="75">
        <f ca="1">INDIRECT(ADDRESS(11+(MATCH(RIGHT(Table14[[#This Row],[spawner_sku]],LEN(Table14[[#This Row],[spawner_sku]])-FIND("/",Table14[[#This Row],[spawner_sku]])),Table1[Entity Prefab],0)),10,1,1,"Entities"))</f>
        <v>83</v>
      </c>
      <c r="DM382" s="75">
        <f ca="1">ROUND((Table14[[#This Row],[XP]]*Table14[[#This Row],[entity_spawned (AVG)]])*(Table14[[#This Row],[activating_chance]]/100),0)</f>
        <v>83</v>
      </c>
      <c r="DN38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82" s="72">
        <v>1</v>
      </c>
      <c r="DP382" s="72">
        <v>1</v>
      </c>
      <c r="DQ382" s="72" t="b">
        <v>0</v>
      </c>
    </row>
    <row r="383" spans="2:121" x14ac:dyDescent="0.25">
      <c r="B383" s="73" t="s">
        <v>382</v>
      </c>
      <c r="C383">
        <v>1</v>
      </c>
      <c r="D383">
        <v>450</v>
      </c>
      <c r="E383">
        <v>100</v>
      </c>
      <c r="F383" s="75">
        <f ca="1">INDIRECT(ADDRESS(11+(MATCH(RIGHT(Table245[[#This Row],[spawner_sku]],LEN(Table245[[#This Row],[spawner_sku]])-FIND("/",Table245[[#This Row],[spawner_sku]])),Table1[Entity Prefab],0)),10,1,1,"Entities"))</f>
        <v>0</v>
      </c>
      <c r="G383" s="75">
        <f ca="1">ROUND((Table245[[#This Row],[XP]]*Table245[[#This Row],[entity_spawned (AVG)]])*(Table245[[#This Row],[activating_chance]]/100),0)</f>
        <v>0</v>
      </c>
      <c r="H38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83" s="72">
        <v>1</v>
      </c>
      <c r="J383" s="72">
        <v>1</v>
      </c>
      <c r="K383" s="72" t="b">
        <v>0</v>
      </c>
      <c r="AI383" t="s">
        <v>255</v>
      </c>
      <c r="AJ383">
        <v>1</v>
      </c>
      <c r="AK383">
        <v>170</v>
      </c>
      <c r="AL383">
        <v>80</v>
      </c>
      <c r="AM383" s="75">
        <f ca="1">INDIRECT(ADDRESS(11+(MATCH(RIGHT(Table2[[#This Row],[spawner_sku]],LEN(Table2[[#This Row],[spawner_sku]])-FIND("/",Table2[[#This Row],[spawner_sku]])),Table1[Entity Prefab],0)),10,1,1,"Entities"))</f>
        <v>25</v>
      </c>
      <c r="AN383" s="75">
        <f ca="1">ROUND((Table2[[#This Row],[XP]]*Table2[[#This Row],[entity_spawned (AVG)]])*(Table2[[#This Row],[activating_chance]]/100),0)</f>
        <v>20</v>
      </c>
      <c r="AO38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83" s="72">
        <v>1</v>
      </c>
      <c r="AQ383" s="72">
        <v>1</v>
      </c>
      <c r="AR383" s="72" t="b">
        <v>0</v>
      </c>
      <c r="BP383" t="s">
        <v>453</v>
      </c>
      <c r="BQ383">
        <v>1</v>
      </c>
      <c r="BR383">
        <v>300</v>
      </c>
      <c r="BS383">
        <v>100</v>
      </c>
      <c r="BT383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83" s="75">
        <f ca="1">ROUND((Table61011[[#This Row],[XP]]*Table61011[[#This Row],[entity_spawned (AVG)]])*(Table61011[[#This Row],[activating_chance]]/100),0)</f>
        <v>75</v>
      </c>
      <c r="BV38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83" s="72">
        <v>1</v>
      </c>
      <c r="BX383" s="72">
        <v>1</v>
      </c>
      <c r="BY383" s="72" t="b">
        <v>0</v>
      </c>
      <c r="CA383" t="s">
        <v>253</v>
      </c>
      <c r="CB383">
        <v>1</v>
      </c>
      <c r="CC383">
        <v>170</v>
      </c>
      <c r="CD383">
        <v>100</v>
      </c>
      <c r="CE383" s="75">
        <f ca="1">INDIRECT(ADDRESS(11+(MATCH(RIGHT(Table11[[#This Row],[spawner_sku]],LEN(Table11[[#This Row],[spawner_sku]])-FIND("/",Table11[[#This Row],[spawner_sku]])),Table1[Entity Prefab],0)),10,1,1,"Entities"))</f>
        <v>70</v>
      </c>
      <c r="CF383">
        <f ca="1">ROUND((Table11[[#This Row],[XP]]*Table11[[#This Row],[entity_spawned (AVG)]])*(Table11[[#This Row],[activating_chance]]/100),0)</f>
        <v>70</v>
      </c>
      <c r="CG383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83" s="72">
        <v>1</v>
      </c>
      <c r="CI383" s="72">
        <v>1</v>
      </c>
      <c r="CJ383" s="72" t="b">
        <v>0</v>
      </c>
      <c r="DH383" t="s">
        <v>521</v>
      </c>
      <c r="DI383">
        <v>1</v>
      </c>
      <c r="DJ383">
        <v>310</v>
      </c>
      <c r="DK383">
        <v>100</v>
      </c>
      <c r="DL383" s="75">
        <f ca="1">INDIRECT(ADDRESS(11+(MATCH(RIGHT(Table14[[#This Row],[spawner_sku]],LEN(Table14[[#This Row],[spawner_sku]])-FIND("/",Table14[[#This Row],[spawner_sku]])),Table1[Entity Prefab],0)),10,1,1,"Entities"))</f>
        <v>83</v>
      </c>
      <c r="DM383" s="75">
        <f ca="1">ROUND((Table14[[#This Row],[XP]]*Table14[[#This Row],[entity_spawned (AVG)]])*(Table14[[#This Row],[activating_chance]]/100),0)</f>
        <v>83</v>
      </c>
      <c r="DN38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83" s="72">
        <v>1</v>
      </c>
      <c r="DP383" s="72">
        <v>1</v>
      </c>
      <c r="DQ383" s="72" t="b">
        <v>0</v>
      </c>
    </row>
    <row r="384" spans="2:121" x14ac:dyDescent="0.25">
      <c r="B384" s="73" t="s">
        <v>382</v>
      </c>
      <c r="C384">
        <v>1</v>
      </c>
      <c r="D384">
        <v>450</v>
      </c>
      <c r="E384">
        <v>100</v>
      </c>
      <c r="F384" s="75">
        <f ca="1">INDIRECT(ADDRESS(11+(MATCH(RIGHT(Table245[[#This Row],[spawner_sku]],LEN(Table245[[#This Row],[spawner_sku]])-FIND("/",Table245[[#This Row],[spawner_sku]])),Table1[Entity Prefab],0)),10,1,1,"Entities"))</f>
        <v>0</v>
      </c>
      <c r="G384" s="75">
        <f ca="1">ROUND((Table245[[#This Row],[XP]]*Table245[[#This Row],[entity_spawned (AVG)]])*(Table245[[#This Row],[activating_chance]]/100),0)</f>
        <v>0</v>
      </c>
      <c r="H38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84" s="72">
        <v>1</v>
      </c>
      <c r="J384" s="72">
        <v>1</v>
      </c>
      <c r="K384" s="72" t="b">
        <v>0</v>
      </c>
      <c r="AI384" t="s">
        <v>255</v>
      </c>
      <c r="AJ384">
        <v>1</v>
      </c>
      <c r="AK384">
        <v>170</v>
      </c>
      <c r="AL384">
        <v>20</v>
      </c>
      <c r="AM384" s="75">
        <f ca="1">INDIRECT(ADDRESS(11+(MATCH(RIGHT(Table2[[#This Row],[spawner_sku]],LEN(Table2[[#This Row],[spawner_sku]])-FIND("/",Table2[[#This Row],[spawner_sku]])),Table1[Entity Prefab],0)),10,1,1,"Entities"))</f>
        <v>25</v>
      </c>
      <c r="AN384" s="75">
        <f ca="1">ROUND((Table2[[#This Row],[XP]]*Table2[[#This Row],[entity_spawned (AVG)]])*(Table2[[#This Row],[activating_chance]]/100),0)</f>
        <v>5</v>
      </c>
      <c r="AO38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84" s="72">
        <v>1</v>
      </c>
      <c r="AQ384" s="72">
        <v>1</v>
      </c>
      <c r="AR384" s="72" t="b">
        <v>0</v>
      </c>
      <c r="BP384" t="s">
        <v>446</v>
      </c>
      <c r="BQ384">
        <v>1</v>
      </c>
      <c r="BR384">
        <v>210</v>
      </c>
      <c r="BS384">
        <v>100</v>
      </c>
      <c r="BT384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384" s="75">
        <f ca="1">ROUND((Table61011[[#This Row],[XP]]*Table61011[[#This Row],[entity_spawned (AVG)]])*(Table61011[[#This Row],[activating_chance]]/100),0)</f>
        <v>55</v>
      </c>
      <c r="BV38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84" s="72">
        <v>1</v>
      </c>
      <c r="BX384" s="72">
        <v>1</v>
      </c>
      <c r="BY384" s="72" t="b">
        <v>0</v>
      </c>
      <c r="CA384" t="s">
        <v>254</v>
      </c>
      <c r="CB384">
        <v>1</v>
      </c>
      <c r="CC384">
        <v>170</v>
      </c>
      <c r="CD384">
        <v>80</v>
      </c>
      <c r="CE384" s="75">
        <f ca="1">INDIRECT(ADDRESS(11+(MATCH(RIGHT(Table11[[#This Row],[spawner_sku]],LEN(Table11[[#This Row],[spawner_sku]])-FIND("/",Table11[[#This Row],[spawner_sku]])),Table1[Entity Prefab],0)),10,1,1,"Entities"))</f>
        <v>70</v>
      </c>
      <c r="CF384">
        <f ca="1">ROUND((Table11[[#This Row],[XP]]*Table11[[#This Row],[entity_spawned (AVG)]])*(Table11[[#This Row],[activating_chance]]/100),0)</f>
        <v>56</v>
      </c>
      <c r="CG384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84" s="72">
        <v>1</v>
      </c>
      <c r="CI384" s="72">
        <v>1</v>
      </c>
      <c r="CJ384" s="72" t="b">
        <v>0</v>
      </c>
      <c r="DH384" t="s">
        <v>521</v>
      </c>
      <c r="DI384">
        <v>1</v>
      </c>
      <c r="DJ384">
        <v>310</v>
      </c>
      <c r="DK384">
        <v>100</v>
      </c>
      <c r="DL384" s="75">
        <f ca="1">INDIRECT(ADDRESS(11+(MATCH(RIGHT(Table14[[#This Row],[spawner_sku]],LEN(Table14[[#This Row],[spawner_sku]])-FIND("/",Table14[[#This Row],[spawner_sku]])),Table1[Entity Prefab],0)),10,1,1,"Entities"))</f>
        <v>83</v>
      </c>
      <c r="DM384" s="75">
        <f ca="1">ROUND((Table14[[#This Row],[XP]]*Table14[[#This Row],[entity_spawned (AVG)]])*(Table14[[#This Row],[activating_chance]]/100),0)</f>
        <v>83</v>
      </c>
      <c r="DN38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84" s="72">
        <v>1</v>
      </c>
      <c r="DP384" s="72">
        <v>1</v>
      </c>
      <c r="DQ384" s="72" t="b">
        <v>0</v>
      </c>
    </row>
    <row r="385" spans="2:121" x14ac:dyDescent="0.25">
      <c r="B385" s="73" t="s">
        <v>382</v>
      </c>
      <c r="C385">
        <v>1</v>
      </c>
      <c r="D385">
        <v>450</v>
      </c>
      <c r="E385">
        <v>100</v>
      </c>
      <c r="F385" s="75">
        <f ca="1">INDIRECT(ADDRESS(11+(MATCH(RIGHT(Table245[[#This Row],[spawner_sku]],LEN(Table245[[#This Row],[spawner_sku]])-FIND("/",Table245[[#This Row],[spawner_sku]])),Table1[Entity Prefab],0)),10,1,1,"Entities"))</f>
        <v>0</v>
      </c>
      <c r="G385" s="75">
        <f ca="1">ROUND((Table245[[#This Row],[XP]]*Table245[[#This Row],[entity_spawned (AVG)]])*(Table245[[#This Row],[activating_chance]]/100),0)</f>
        <v>0</v>
      </c>
      <c r="H38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85" s="72">
        <v>1</v>
      </c>
      <c r="J385" s="72">
        <v>1</v>
      </c>
      <c r="K385" s="72" t="b">
        <v>0</v>
      </c>
      <c r="AI385" t="s">
        <v>255</v>
      </c>
      <c r="AJ385">
        <v>1</v>
      </c>
      <c r="AK385">
        <v>120</v>
      </c>
      <c r="AL385">
        <v>100</v>
      </c>
      <c r="AM385" s="75">
        <f ca="1">INDIRECT(ADDRESS(11+(MATCH(RIGHT(Table2[[#This Row],[spawner_sku]],LEN(Table2[[#This Row],[spawner_sku]])-FIND("/",Table2[[#This Row],[spawner_sku]])),Table1[Entity Prefab],0)),10,1,1,"Entities"))</f>
        <v>25</v>
      </c>
      <c r="AN385" s="75">
        <f ca="1">ROUND((Table2[[#This Row],[XP]]*Table2[[#This Row],[entity_spawned (AVG)]])*(Table2[[#This Row],[activating_chance]]/100),0)</f>
        <v>25</v>
      </c>
      <c r="AO38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85" s="72">
        <v>1</v>
      </c>
      <c r="AQ385" s="72">
        <v>1</v>
      </c>
      <c r="AR385" s="72" t="b">
        <v>0</v>
      </c>
      <c r="BP385" t="s">
        <v>446</v>
      </c>
      <c r="BQ385">
        <v>1</v>
      </c>
      <c r="BR385">
        <v>210</v>
      </c>
      <c r="BS385">
        <v>100</v>
      </c>
      <c r="BT385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385" s="75">
        <f ca="1">ROUND((Table61011[[#This Row],[XP]]*Table61011[[#This Row],[entity_spawned (AVG)]])*(Table61011[[#This Row],[activating_chance]]/100),0)</f>
        <v>55</v>
      </c>
      <c r="BV38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85" s="72">
        <v>1</v>
      </c>
      <c r="BX385" s="72">
        <v>1</v>
      </c>
      <c r="BY385" s="72" t="b">
        <v>0</v>
      </c>
      <c r="CA385" t="s">
        <v>254</v>
      </c>
      <c r="CB385">
        <v>1</v>
      </c>
      <c r="CC385">
        <v>170</v>
      </c>
      <c r="CD385">
        <v>100</v>
      </c>
      <c r="CE385" s="75">
        <f ca="1">INDIRECT(ADDRESS(11+(MATCH(RIGHT(Table11[[#This Row],[spawner_sku]],LEN(Table11[[#This Row],[spawner_sku]])-FIND("/",Table11[[#This Row],[spawner_sku]])),Table1[Entity Prefab],0)),10,1,1,"Entities"))</f>
        <v>70</v>
      </c>
      <c r="CF385">
        <f ca="1">ROUND((Table11[[#This Row],[XP]]*Table11[[#This Row],[entity_spawned (AVG)]])*(Table11[[#This Row],[activating_chance]]/100),0)</f>
        <v>70</v>
      </c>
      <c r="CG385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85" s="72">
        <v>1</v>
      </c>
      <c r="CI385" s="72">
        <v>1</v>
      </c>
      <c r="CJ385" s="72" t="b">
        <v>0</v>
      </c>
      <c r="DH385" t="s">
        <v>521</v>
      </c>
      <c r="DI385">
        <v>1</v>
      </c>
      <c r="DJ385">
        <v>310</v>
      </c>
      <c r="DK385">
        <v>100</v>
      </c>
      <c r="DL385" s="75">
        <f ca="1">INDIRECT(ADDRESS(11+(MATCH(RIGHT(Table14[[#This Row],[spawner_sku]],LEN(Table14[[#This Row],[spawner_sku]])-FIND("/",Table14[[#This Row],[spawner_sku]])),Table1[Entity Prefab],0)),10,1,1,"Entities"))</f>
        <v>83</v>
      </c>
      <c r="DM385" s="75">
        <f ca="1">ROUND((Table14[[#This Row],[XP]]*Table14[[#This Row],[entity_spawned (AVG)]])*(Table14[[#This Row],[activating_chance]]/100),0)</f>
        <v>83</v>
      </c>
      <c r="DN38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85" s="72">
        <v>1</v>
      </c>
      <c r="DP385" s="72">
        <v>1</v>
      </c>
      <c r="DQ385" s="72" t="b">
        <v>0</v>
      </c>
    </row>
    <row r="386" spans="2:121" x14ac:dyDescent="0.25">
      <c r="B386" s="73" t="s">
        <v>469</v>
      </c>
      <c r="C386">
        <v>1</v>
      </c>
      <c r="D386">
        <v>220</v>
      </c>
      <c r="E386">
        <v>100</v>
      </c>
      <c r="F386" s="75">
        <f ca="1">INDIRECT(ADDRESS(11+(MATCH(RIGHT(Table245[[#This Row],[spawner_sku]],LEN(Table245[[#This Row],[spawner_sku]])-FIND("/",Table245[[#This Row],[spawner_sku]])),Table1[Entity Prefab],0)),10,1,1,"Entities"))</f>
        <v>50</v>
      </c>
      <c r="G386" s="75">
        <f ca="1">ROUND((Table245[[#This Row],[XP]]*Table245[[#This Row],[entity_spawned (AVG)]])*(Table245[[#This Row],[activating_chance]]/100),0)</f>
        <v>50</v>
      </c>
      <c r="H38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86" s="72">
        <v>1</v>
      </c>
      <c r="J386" s="72">
        <v>1</v>
      </c>
      <c r="K386" s="72" t="b">
        <v>0</v>
      </c>
      <c r="AI386" t="s">
        <v>255</v>
      </c>
      <c r="AJ386">
        <v>1</v>
      </c>
      <c r="AK386">
        <v>170</v>
      </c>
      <c r="AL386">
        <v>100</v>
      </c>
      <c r="AM386" s="75">
        <f ca="1">INDIRECT(ADDRESS(11+(MATCH(RIGHT(Table2[[#This Row],[spawner_sku]],LEN(Table2[[#This Row],[spawner_sku]])-FIND("/",Table2[[#This Row],[spawner_sku]])),Table1[Entity Prefab],0)),10,1,1,"Entities"))</f>
        <v>25</v>
      </c>
      <c r="AN386" s="75">
        <f ca="1">ROUND((Table2[[#This Row],[XP]]*Table2[[#This Row],[entity_spawned (AVG)]])*(Table2[[#This Row],[activating_chance]]/100),0)</f>
        <v>25</v>
      </c>
      <c r="AO38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86" s="72">
        <v>1</v>
      </c>
      <c r="AQ386" s="72">
        <v>1</v>
      </c>
      <c r="AR386" s="72" t="b">
        <v>0</v>
      </c>
      <c r="BP386" t="s">
        <v>446</v>
      </c>
      <c r="BQ386">
        <v>1</v>
      </c>
      <c r="BR386">
        <v>210</v>
      </c>
      <c r="BS386">
        <v>100</v>
      </c>
      <c r="BT386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386" s="75">
        <f ca="1">ROUND((Table61011[[#This Row],[XP]]*Table61011[[#This Row],[entity_spawned (AVG)]])*(Table61011[[#This Row],[activating_chance]]/100),0)</f>
        <v>55</v>
      </c>
      <c r="BV38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86" s="72">
        <v>1</v>
      </c>
      <c r="BX386" s="72">
        <v>1</v>
      </c>
      <c r="BY386" s="72" t="b">
        <v>0</v>
      </c>
      <c r="CA386" t="s">
        <v>254</v>
      </c>
      <c r="CB386">
        <v>1</v>
      </c>
      <c r="CC386">
        <v>170</v>
      </c>
      <c r="CD386">
        <v>100</v>
      </c>
      <c r="CE386" s="75">
        <f ca="1">INDIRECT(ADDRESS(11+(MATCH(RIGHT(Table11[[#This Row],[spawner_sku]],LEN(Table11[[#This Row],[spawner_sku]])-FIND("/",Table11[[#This Row],[spawner_sku]])),Table1[Entity Prefab],0)),10,1,1,"Entities"))</f>
        <v>70</v>
      </c>
      <c r="CF386">
        <f ca="1">ROUND((Table11[[#This Row],[XP]]*Table11[[#This Row],[entity_spawned (AVG)]])*(Table11[[#This Row],[activating_chance]]/100),0)</f>
        <v>70</v>
      </c>
      <c r="CG386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86" s="72">
        <v>1</v>
      </c>
      <c r="CI386" s="72">
        <v>1</v>
      </c>
      <c r="CJ386" s="72" t="b">
        <v>0</v>
      </c>
      <c r="DH386" t="s">
        <v>521</v>
      </c>
      <c r="DI386">
        <v>1</v>
      </c>
      <c r="DJ386">
        <v>310</v>
      </c>
      <c r="DK386">
        <v>100</v>
      </c>
      <c r="DL386" s="75">
        <f ca="1">INDIRECT(ADDRESS(11+(MATCH(RIGHT(Table14[[#This Row],[spawner_sku]],LEN(Table14[[#This Row],[spawner_sku]])-FIND("/",Table14[[#This Row],[spawner_sku]])),Table1[Entity Prefab],0)),10,1,1,"Entities"))</f>
        <v>83</v>
      </c>
      <c r="DM386" s="75">
        <f ca="1">ROUND((Table14[[#This Row],[XP]]*Table14[[#This Row],[entity_spawned (AVG)]])*(Table14[[#This Row],[activating_chance]]/100),0)</f>
        <v>83</v>
      </c>
      <c r="DN38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86" s="72">
        <v>1</v>
      </c>
      <c r="DP386" s="72">
        <v>1</v>
      </c>
      <c r="DQ386" s="72" t="b">
        <v>0</v>
      </c>
    </row>
    <row r="387" spans="2:121" x14ac:dyDescent="0.25">
      <c r="B387" s="73" t="s">
        <v>469</v>
      </c>
      <c r="C387">
        <v>1</v>
      </c>
      <c r="D387">
        <v>220</v>
      </c>
      <c r="E387">
        <v>100</v>
      </c>
      <c r="F387" s="75">
        <f ca="1">INDIRECT(ADDRESS(11+(MATCH(RIGHT(Table245[[#This Row],[spawner_sku]],LEN(Table245[[#This Row],[spawner_sku]])-FIND("/",Table245[[#This Row],[spawner_sku]])),Table1[Entity Prefab],0)),10,1,1,"Entities"))</f>
        <v>50</v>
      </c>
      <c r="G387" s="75">
        <f ca="1">ROUND((Table245[[#This Row],[XP]]*Table245[[#This Row],[entity_spawned (AVG)]])*(Table245[[#This Row],[activating_chance]]/100),0)</f>
        <v>50</v>
      </c>
      <c r="H38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87" s="72">
        <v>1</v>
      </c>
      <c r="J387" s="72">
        <v>1</v>
      </c>
      <c r="K387" s="72" t="b">
        <v>0</v>
      </c>
      <c r="AI387" t="s">
        <v>255</v>
      </c>
      <c r="AJ387">
        <v>1</v>
      </c>
      <c r="AK387">
        <v>140</v>
      </c>
      <c r="AL387">
        <v>100</v>
      </c>
      <c r="AM387" s="75">
        <f ca="1">INDIRECT(ADDRESS(11+(MATCH(RIGHT(Table2[[#This Row],[spawner_sku]],LEN(Table2[[#This Row],[spawner_sku]])-FIND("/",Table2[[#This Row],[spawner_sku]])),Table1[Entity Prefab],0)),10,1,1,"Entities"))</f>
        <v>25</v>
      </c>
      <c r="AN387" s="75">
        <f ca="1">ROUND((Table2[[#This Row],[XP]]*Table2[[#This Row],[entity_spawned (AVG)]])*(Table2[[#This Row],[activating_chance]]/100),0)</f>
        <v>25</v>
      </c>
      <c r="AO38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87" s="72">
        <v>1</v>
      </c>
      <c r="AQ387" s="72">
        <v>1</v>
      </c>
      <c r="AR387" s="72" t="b">
        <v>0</v>
      </c>
      <c r="BP387" t="s">
        <v>446</v>
      </c>
      <c r="BQ387">
        <v>1</v>
      </c>
      <c r="BR387">
        <v>210</v>
      </c>
      <c r="BS387">
        <v>100</v>
      </c>
      <c r="BT387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387" s="75">
        <f ca="1">ROUND((Table61011[[#This Row],[XP]]*Table61011[[#This Row],[entity_spawned (AVG)]])*(Table61011[[#This Row],[activating_chance]]/100),0)</f>
        <v>55</v>
      </c>
      <c r="BV38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87" s="72">
        <v>1</v>
      </c>
      <c r="BX387" s="72">
        <v>1</v>
      </c>
      <c r="BY387" s="72" t="b">
        <v>0</v>
      </c>
      <c r="CA387" t="s">
        <v>254</v>
      </c>
      <c r="CB387">
        <v>1</v>
      </c>
      <c r="CC387">
        <v>170</v>
      </c>
      <c r="CD387">
        <v>10</v>
      </c>
      <c r="CE387" s="75">
        <f ca="1">INDIRECT(ADDRESS(11+(MATCH(RIGHT(Table11[[#This Row],[spawner_sku]],LEN(Table11[[#This Row],[spawner_sku]])-FIND("/",Table11[[#This Row],[spawner_sku]])),Table1[Entity Prefab],0)),10,1,1,"Entities"))</f>
        <v>70</v>
      </c>
      <c r="CF387">
        <f ca="1">ROUND((Table11[[#This Row],[XP]]*Table11[[#This Row],[entity_spawned (AVG)]])*(Table11[[#This Row],[activating_chance]]/100),0)</f>
        <v>7</v>
      </c>
      <c r="CG387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87" s="72">
        <v>1</v>
      </c>
      <c r="CI387" s="72">
        <v>1</v>
      </c>
      <c r="CJ387" s="72" t="b">
        <v>0</v>
      </c>
      <c r="DH387" t="s">
        <v>521</v>
      </c>
      <c r="DI387">
        <v>1</v>
      </c>
      <c r="DJ387">
        <v>310</v>
      </c>
      <c r="DK387">
        <v>100</v>
      </c>
      <c r="DL387" s="75">
        <f ca="1">INDIRECT(ADDRESS(11+(MATCH(RIGHT(Table14[[#This Row],[spawner_sku]],LEN(Table14[[#This Row],[spawner_sku]])-FIND("/",Table14[[#This Row],[spawner_sku]])),Table1[Entity Prefab],0)),10,1,1,"Entities"))</f>
        <v>83</v>
      </c>
      <c r="DM387" s="75">
        <f ca="1">ROUND((Table14[[#This Row],[XP]]*Table14[[#This Row],[entity_spawned (AVG)]])*(Table14[[#This Row],[activating_chance]]/100),0)</f>
        <v>83</v>
      </c>
      <c r="DN38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87" s="72">
        <v>1</v>
      </c>
      <c r="DP387" s="72">
        <v>1</v>
      </c>
      <c r="DQ387" s="72" t="b">
        <v>0</v>
      </c>
    </row>
    <row r="388" spans="2:121" x14ac:dyDescent="0.25">
      <c r="B388" s="73" t="s">
        <v>469</v>
      </c>
      <c r="C388">
        <v>1</v>
      </c>
      <c r="D388">
        <v>220</v>
      </c>
      <c r="E388">
        <v>100</v>
      </c>
      <c r="F388" s="75">
        <f ca="1">INDIRECT(ADDRESS(11+(MATCH(RIGHT(Table245[[#This Row],[spawner_sku]],LEN(Table245[[#This Row],[spawner_sku]])-FIND("/",Table245[[#This Row],[spawner_sku]])),Table1[Entity Prefab],0)),10,1,1,"Entities"))</f>
        <v>50</v>
      </c>
      <c r="G388" s="75">
        <f ca="1">ROUND((Table245[[#This Row],[XP]]*Table245[[#This Row],[entity_spawned (AVG)]])*(Table245[[#This Row],[activating_chance]]/100),0)</f>
        <v>50</v>
      </c>
      <c r="H38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88" s="72">
        <v>1</v>
      </c>
      <c r="J388" s="72">
        <v>1</v>
      </c>
      <c r="K388" s="72" t="b">
        <v>0</v>
      </c>
      <c r="AI388" t="s">
        <v>255</v>
      </c>
      <c r="AJ388">
        <v>1</v>
      </c>
      <c r="AK388">
        <v>170</v>
      </c>
      <c r="AL388">
        <v>100</v>
      </c>
      <c r="AM388" s="75">
        <f ca="1">INDIRECT(ADDRESS(11+(MATCH(RIGHT(Table2[[#This Row],[spawner_sku]],LEN(Table2[[#This Row],[spawner_sku]])-FIND("/",Table2[[#This Row],[spawner_sku]])),Table1[Entity Prefab],0)),10,1,1,"Entities"))</f>
        <v>25</v>
      </c>
      <c r="AN388" s="75">
        <f ca="1">ROUND((Table2[[#This Row],[XP]]*Table2[[#This Row],[entity_spawned (AVG)]])*(Table2[[#This Row],[activating_chance]]/100),0)</f>
        <v>25</v>
      </c>
      <c r="AO38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88" s="72">
        <v>1</v>
      </c>
      <c r="AQ388" s="72">
        <v>1</v>
      </c>
      <c r="AR388" s="72" t="b">
        <v>0</v>
      </c>
      <c r="BP388" t="s">
        <v>446</v>
      </c>
      <c r="BQ388">
        <v>1</v>
      </c>
      <c r="BR388">
        <v>310</v>
      </c>
      <c r="BS388">
        <v>100</v>
      </c>
      <c r="BT388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388" s="75">
        <f ca="1">ROUND((Table61011[[#This Row],[XP]]*Table61011[[#This Row],[entity_spawned (AVG)]])*(Table61011[[#This Row],[activating_chance]]/100),0)</f>
        <v>55</v>
      </c>
      <c r="BV38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88" s="72">
        <v>1</v>
      </c>
      <c r="BX388" s="72">
        <v>1</v>
      </c>
      <c r="BY388" s="72" t="b">
        <v>0</v>
      </c>
      <c r="CA388" t="s">
        <v>254</v>
      </c>
      <c r="CB388">
        <v>1</v>
      </c>
      <c r="CC388">
        <v>170</v>
      </c>
      <c r="CD388">
        <v>30</v>
      </c>
      <c r="CE388" s="75">
        <f ca="1">INDIRECT(ADDRESS(11+(MATCH(RIGHT(Table11[[#This Row],[spawner_sku]],LEN(Table11[[#This Row],[spawner_sku]])-FIND("/",Table11[[#This Row],[spawner_sku]])),Table1[Entity Prefab],0)),10,1,1,"Entities"))</f>
        <v>70</v>
      </c>
      <c r="CF388">
        <f ca="1">ROUND((Table11[[#This Row],[XP]]*Table11[[#This Row],[entity_spawned (AVG)]])*(Table11[[#This Row],[activating_chance]]/100),0)</f>
        <v>21</v>
      </c>
      <c r="CG388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88" s="72">
        <v>1</v>
      </c>
      <c r="CI388" s="72">
        <v>1</v>
      </c>
      <c r="CJ388" s="72" t="b">
        <v>0</v>
      </c>
      <c r="DH388" t="s">
        <v>521</v>
      </c>
      <c r="DI388">
        <v>1</v>
      </c>
      <c r="DJ388">
        <v>310</v>
      </c>
      <c r="DK388">
        <v>30</v>
      </c>
      <c r="DL388" s="75">
        <f ca="1">INDIRECT(ADDRESS(11+(MATCH(RIGHT(Table14[[#This Row],[spawner_sku]],LEN(Table14[[#This Row],[spawner_sku]])-FIND("/",Table14[[#This Row],[spawner_sku]])),Table1[Entity Prefab],0)),10,1,1,"Entities"))</f>
        <v>83</v>
      </c>
      <c r="DM388" s="75">
        <f ca="1">ROUND((Table14[[#This Row],[XP]]*Table14[[#This Row],[entity_spawned (AVG)]])*(Table14[[#This Row],[activating_chance]]/100),0)</f>
        <v>25</v>
      </c>
      <c r="DN38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88" s="72">
        <v>1</v>
      </c>
      <c r="DP388" s="72">
        <v>1</v>
      </c>
      <c r="DQ388" s="72" t="b">
        <v>0</v>
      </c>
    </row>
    <row r="389" spans="2:121" x14ac:dyDescent="0.25">
      <c r="B389" s="73" t="s">
        <v>469</v>
      </c>
      <c r="C389">
        <v>1</v>
      </c>
      <c r="D389">
        <v>220</v>
      </c>
      <c r="E389">
        <v>100</v>
      </c>
      <c r="F389" s="75">
        <f ca="1">INDIRECT(ADDRESS(11+(MATCH(RIGHT(Table245[[#This Row],[spawner_sku]],LEN(Table245[[#This Row],[spawner_sku]])-FIND("/",Table245[[#This Row],[spawner_sku]])),Table1[Entity Prefab],0)),10,1,1,"Entities"))</f>
        <v>50</v>
      </c>
      <c r="G389" s="75">
        <f ca="1">ROUND((Table245[[#This Row],[XP]]*Table245[[#This Row],[entity_spawned (AVG)]])*(Table245[[#This Row],[activating_chance]]/100),0)</f>
        <v>50</v>
      </c>
      <c r="H38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89" s="72">
        <v>1</v>
      </c>
      <c r="J389" s="72">
        <v>1</v>
      </c>
      <c r="K389" s="72" t="b">
        <v>0</v>
      </c>
      <c r="AI389" t="s">
        <v>255</v>
      </c>
      <c r="AJ389">
        <v>1</v>
      </c>
      <c r="AK389">
        <v>120</v>
      </c>
      <c r="AL389">
        <v>100</v>
      </c>
      <c r="AM389" s="75">
        <f ca="1">INDIRECT(ADDRESS(11+(MATCH(RIGHT(Table2[[#This Row],[spawner_sku]],LEN(Table2[[#This Row],[spawner_sku]])-FIND("/",Table2[[#This Row],[spawner_sku]])),Table1[Entity Prefab],0)),10,1,1,"Entities"))</f>
        <v>25</v>
      </c>
      <c r="AN389" s="75">
        <f ca="1">ROUND((Table2[[#This Row],[XP]]*Table2[[#This Row],[entity_spawned (AVG)]])*(Table2[[#This Row],[activating_chance]]/100),0)</f>
        <v>25</v>
      </c>
      <c r="AO38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89" s="72">
        <v>1</v>
      </c>
      <c r="AQ389" s="72">
        <v>1</v>
      </c>
      <c r="AR389" s="72" t="b">
        <v>0</v>
      </c>
      <c r="BP389" t="s">
        <v>446</v>
      </c>
      <c r="BQ389">
        <v>1</v>
      </c>
      <c r="BR389">
        <v>310</v>
      </c>
      <c r="BS389">
        <v>100</v>
      </c>
      <c r="BT389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389" s="75">
        <f ca="1">ROUND((Table61011[[#This Row],[XP]]*Table61011[[#This Row],[entity_spawned (AVG)]])*(Table61011[[#This Row],[activating_chance]]/100),0)</f>
        <v>55</v>
      </c>
      <c r="BV38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89" s="72">
        <v>1</v>
      </c>
      <c r="BX389" s="72">
        <v>1</v>
      </c>
      <c r="BY389" s="72" t="b">
        <v>0</v>
      </c>
      <c r="CA389" t="s">
        <v>254</v>
      </c>
      <c r="CB389">
        <v>1</v>
      </c>
      <c r="CC389">
        <v>170</v>
      </c>
      <c r="CD389">
        <v>100</v>
      </c>
      <c r="CE389" s="75">
        <f ca="1">INDIRECT(ADDRESS(11+(MATCH(RIGHT(Table11[[#This Row],[spawner_sku]],LEN(Table11[[#This Row],[spawner_sku]])-FIND("/",Table11[[#This Row],[spawner_sku]])),Table1[Entity Prefab],0)),10,1,1,"Entities"))</f>
        <v>70</v>
      </c>
      <c r="CF389">
        <f ca="1">ROUND((Table11[[#This Row],[XP]]*Table11[[#This Row],[entity_spawned (AVG)]])*(Table11[[#This Row],[activating_chance]]/100),0)</f>
        <v>70</v>
      </c>
      <c r="CG389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89" s="72">
        <v>1</v>
      </c>
      <c r="CI389" s="72">
        <v>1</v>
      </c>
      <c r="CJ389" s="72" t="b">
        <v>0</v>
      </c>
      <c r="DH389" t="s">
        <v>521</v>
      </c>
      <c r="DI389">
        <v>1</v>
      </c>
      <c r="DJ389">
        <v>310</v>
      </c>
      <c r="DK389">
        <v>100</v>
      </c>
      <c r="DL389" s="75">
        <f ca="1">INDIRECT(ADDRESS(11+(MATCH(RIGHT(Table14[[#This Row],[spawner_sku]],LEN(Table14[[#This Row],[spawner_sku]])-FIND("/",Table14[[#This Row],[spawner_sku]])),Table1[Entity Prefab],0)),10,1,1,"Entities"))</f>
        <v>83</v>
      </c>
      <c r="DM389" s="75">
        <f ca="1">ROUND((Table14[[#This Row],[XP]]*Table14[[#This Row],[entity_spawned (AVG)]])*(Table14[[#This Row],[activating_chance]]/100),0)</f>
        <v>83</v>
      </c>
      <c r="DN38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89" s="72">
        <v>1</v>
      </c>
      <c r="DP389" s="72">
        <v>1</v>
      </c>
      <c r="DQ389" s="72" t="b">
        <v>0</v>
      </c>
    </row>
    <row r="390" spans="2:121" x14ac:dyDescent="0.25">
      <c r="B390" s="73" t="s">
        <v>469</v>
      </c>
      <c r="C390">
        <v>1</v>
      </c>
      <c r="D390">
        <v>220</v>
      </c>
      <c r="E390">
        <v>100</v>
      </c>
      <c r="F390" s="75">
        <f ca="1">INDIRECT(ADDRESS(11+(MATCH(RIGHT(Table245[[#This Row],[spawner_sku]],LEN(Table245[[#This Row],[spawner_sku]])-FIND("/",Table245[[#This Row],[spawner_sku]])),Table1[Entity Prefab],0)),10,1,1,"Entities"))</f>
        <v>50</v>
      </c>
      <c r="G390" s="75">
        <f ca="1">ROUND((Table245[[#This Row],[XP]]*Table245[[#This Row],[entity_spawned (AVG)]])*(Table245[[#This Row],[activating_chance]]/100),0)</f>
        <v>50</v>
      </c>
      <c r="H39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0" s="72">
        <v>1</v>
      </c>
      <c r="J390" s="72">
        <v>1</v>
      </c>
      <c r="K390" s="72" t="b">
        <v>0</v>
      </c>
      <c r="AI390" t="s">
        <v>255</v>
      </c>
      <c r="AJ390">
        <v>1</v>
      </c>
      <c r="AK390">
        <v>180</v>
      </c>
      <c r="AL390">
        <v>100</v>
      </c>
      <c r="AM390" s="75">
        <f ca="1">INDIRECT(ADDRESS(11+(MATCH(RIGHT(Table2[[#This Row],[spawner_sku]],LEN(Table2[[#This Row],[spawner_sku]])-FIND("/",Table2[[#This Row],[spawner_sku]])),Table1[Entity Prefab],0)),10,1,1,"Entities"))</f>
        <v>25</v>
      </c>
      <c r="AN390" s="75">
        <f ca="1">ROUND((Table2[[#This Row],[XP]]*Table2[[#This Row],[entity_spawned (AVG)]])*(Table2[[#This Row],[activating_chance]]/100),0)</f>
        <v>25</v>
      </c>
      <c r="AO39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90" s="72">
        <v>1</v>
      </c>
      <c r="AQ390" s="72">
        <v>1</v>
      </c>
      <c r="AR390" s="72" t="b">
        <v>0</v>
      </c>
      <c r="BP390" t="s">
        <v>446</v>
      </c>
      <c r="BQ390">
        <v>1</v>
      </c>
      <c r="BR390">
        <v>310</v>
      </c>
      <c r="BS390">
        <v>100</v>
      </c>
      <c r="BT390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390" s="75">
        <f ca="1">ROUND((Table61011[[#This Row],[XP]]*Table61011[[#This Row],[entity_spawned (AVG)]])*(Table61011[[#This Row],[activating_chance]]/100),0)</f>
        <v>55</v>
      </c>
      <c r="BV39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90" s="72">
        <v>1</v>
      </c>
      <c r="BX390" s="72">
        <v>1</v>
      </c>
      <c r="BY390" s="72" t="b">
        <v>0</v>
      </c>
      <c r="CA390" t="s">
        <v>254</v>
      </c>
      <c r="CB390">
        <v>1</v>
      </c>
      <c r="CC390">
        <v>170</v>
      </c>
      <c r="CD390">
        <v>100</v>
      </c>
      <c r="CE390" s="75">
        <f ca="1">INDIRECT(ADDRESS(11+(MATCH(RIGHT(Table11[[#This Row],[spawner_sku]],LEN(Table11[[#This Row],[spawner_sku]])-FIND("/",Table11[[#This Row],[spawner_sku]])),Table1[Entity Prefab],0)),10,1,1,"Entities"))</f>
        <v>70</v>
      </c>
      <c r="CF390">
        <f ca="1">ROUND((Table11[[#This Row],[XP]]*Table11[[#This Row],[entity_spawned (AVG)]])*(Table11[[#This Row],[activating_chance]]/100),0)</f>
        <v>70</v>
      </c>
      <c r="CG390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90" s="72">
        <v>1</v>
      </c>
      <c r="CI390" s="72">
        <v>1</v>
      </c>
      <c r="CJ390" s="72" t="b">
        <v>0</v>
      </c>
      <c r="DH390" t="s">
        <v>521</v>
      </c>
      <c r="DI390">
        <v>1</v>
      </c>
      <c r="DJ390">
        <v>310</v>
      </c>
      <c r="DK390">
        <v>100</v>
      </c>
      <c r="DL390" s="75">
        <f ca="1">INDIRECT(ADDRESS(11+(MATCH(RIGHT(Table14[[#This Row],[spawner_sku]],LEN(Table14[[#This Row],[spawner_sku]])-FIND("/",Table14[[#This Row],[spawner_sku]])),Table1[Entity Prefab],0)),10,1,1,"Entities"))</f>
        <v>83</v>
      </c>
      <c r="DM390" s="75">
        <f ca="1">ROUND((Table14[[#This Row],[XP]]*Table14[[#This Row],[entity_spawned (AVG)]])*(Table14[[#This Row],[activating_chance]]/100),0)</f>
        <v>83</v>
      </c>
      <c r="DN39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90" s="72">
        <v>1</v>
      </c>
      <c r="DP390" s="72">
        <v>1</v>
      </c>
      <c r="DQ390" s="72" t="b">
        <v>0</v>
      </c>
    </row>
    <row r="391" spans="2:121" x14ac:dyDescent="0.25">
      <c r="B391" s="73" t="s">
        <v>469</v>
      </c>
      <c r="C391">
        <v>1</v>
      </c>
      <c r="D391">
        <v>220</v>
      </c>
      <c r="E391">
        <v>100</v>
      </c>
      <c r="F391" s="75">
        <f ca="1">INDIRECT(ADDRESS(11+(MATCH(RIGHT(Table245[[#This Row],[spawner_sku]],LEN(Table245[[#This Row],[spawner_sku]])-FIND("/",Table245[[#This Row],[spawner_sku]])),Table1[Entity Prefab],0)),10,1,1,"Entities"))</f>
        <v>50</v>
      </c>
      <c r="G391" s="75">
        <f ca="1">ROUND((Table245[[#This Row],[XP]]*Table245[[#This Row],[entity_spawned (AVG)]])*(Table245[[#This Row],[activating_chance]]/100),0)</f>
        <v>50</v>
      </c>
      <c r="H39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1" s="72">
        <v>1</v>
      </c>
      <c r="J391" s="72">
        <v>1</v>
      </c>
      <c r="K391" s="72" t="b">
        <v>0</v>
      </c>
      <c r="AI391" t="s">
        <v>255</v>
      </c>
      <c r="AJ391">
        <v>1</v>
      </c>
      <c r="AK391">
        <v>170</v>
      </c>
      <c r="AL391">
        <v>60</v>
      </c>
      <c r="AM391" s="75">
        <f ca="1">INDIRECT(ADDRESS(11+(MATCH(RIGHT(Table2[[#This Row],[spawner_sku]],LEN(Table2[[#This Row],[spawner_sku]])-FIND("/",Table2[[#This Row],[spawner_sku]])),Table1[Entity Prefab],0)),10,1,1,"Entities"))</f>
        <v>25</v>
      </c>
      <c r="AN391" s="75">
        <f ca="1">ROUND((Table2[[#This Row],[XP]]*Table2[[#This Row],[entity_spawned (AVG)]])*(Table2[[#This Row],[activating_chance]]/100),0)</f>
        <v>15</v>
      </c>
      <c r="AO39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91" s="72">
        <v>1</v>
      </c>
      <c r="AQ391" s="72">
        <v>1</v>
      </c>
      <c r="AR391" s="72" t="b">
        <v>0</v>
      </c>
      <c r="BP391" t="s">
        <v>446</v>
      </c>
      <c r="BQ391">
        <v>1</v>
      </c>
      <c r="BR391">
        <v>210</v>
      </c>
      <c r="BS391">
        <v>100</v>
      </c>
      <c r="BT391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391" s="75">
        <f ca="1">ROUND((Table61011[[#This Row],[XP]]*Table61011[[#This Row],[entity_spawned (AVG)]])*(Table61011[[#This Row],[activating_chance]]/100),0)</f>
        <v>55</v>
      </c>
      <c r="BV39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91" s="72">
        <v>1</v>
      </c>
      <c r="BX391" s="72">
        <v>1</v>
      </c>
      <c r="BY391" s="72" t="b">
        <v>0</v>
      </c>
      <c r="CA391" t="s">
        <v>254</v>
      </c>
      <c r="CB391">
        <v>1</v>
      </c>
      <c r="CC391">
        <v>170</v>
      </c>
      <c r="CD391">
        <v>100</v>
      </c>
      <c r="CE391" s="75">
        <f ca="1">INDIRECT(ADDRESS(11+(MATCH(RIGHT(Table11[[#This Row],[spawner_sku]],LEN(Table11[[#This Row],[spawner_sku]])-FIND("/",Table11[[#This Row],[spawner_sku]])),Table1[Entity Prefab],0)),10,1,1,"Entities"))</f>
        <v>70</v>
      </c>
      <c r="CF391">
        <f ca="1">ROUND((Table11[[#This Row],[XP]]*Table11[[#This Row],[entity_spawned (AVG)]])*(Table11[[#This Row],[activating_chance]]/100),0)</f>
        <v>70</v>
      </c>
      <c r="CG391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91" s="72">
        <v>1</v>
      </c>
      <c r="CI391" s="72">
        <v>1</v>
      </c>
      <c r="CJ391" s="72" t="b">
        <v>0</v>
      </c>
      <c r="DH391" t="s">
        <v>390</v>
      </c>
      <c r="DI391">
        <v>1</v>
      </c>
      <c r="DJ391">
        <v>200</v>
      </c>
      <c r="DK391">
        <v>30</v>
      </c>
      <c r="DL391" s="75">
        <f ca="1">INDIRECT(ADDRESS(11+(MATCH(RIGHT(Table14[[#This Row],[spawner_sku]],LEN(Table14[[#This Row],[spawner_sku]])-FIND("/",Table14[[#This Row],[spawner_sku]])),Table1[Entity Prefab],0)),10,1,1,"Entities"))</f>
        <v>75</v>
      </c>
      <c r="DM391" s="75">
        <f ca="1">ROUND((Table14[[#This Row],[XP]]*Table14[[#This Row],[entity_spawned (AVG)]])*(Table14[[#This Row],[activating_chance]]/100),0)</f>
        <v>23</v>
      </c>
      <c r="DN39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91" s="72">
        <v>1</v>
      </c>
      <c r="DP391" s="72">
        <v>1</v>
      </c>
      <c r="DQ391" s="72" t="b">
        <v>0</v>
      </c>
    </row>
    <row r="392" spans="2:121" x14ac:dyDescent="0.25">
      <c r="B392" s="73" t="s">
        <v>469</v>
      </c>
      <c r="C392">
        <v>1</v>
      </c>
      <c r="D392">
        <v>220</v>
      </c>
      <c r="E392">
        <v>100</v>
      </c>
      <c r="F392" s="75">
        <f ca="1">INDIRECT(ADDRESS(11+(MATCH(RIGHT(Table245[[#This Row],[spawner_sku]],LEN(Table245[[#This Row],[spawner_sku]])-FIND("/",Table245[[#This Row],[spawner_sku]])),Table1[Entity Prefab],0)),10,1,1,"Entities"))</f>
        <v>50</v>
      </c>
      <c r="G392" s="75">
        <f ca="1">ROUND((Table245[[#This Row],[XP]]*Table245[[#This Row],[entity_spawned (AVG)]])*(Table245[[#This Row],[activating_chance]]/100),0)</f>
        <v>50</v>
      </c>
      <c r="H39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2" s="72">
        <v>1</v>
      </c>
      <c r="J392" s="72">
        <v>1</v>
      </c>
      <c r="K392" s="72" t="b">
        <v>0</v>
      </c>
      <c r="AI392" t="s">
        <v>255</v>
      </c>
      <c r="AJ392">
        <v>1</v>
      </c>
      <c r="AK392">
        <v>180</v>
      </c>
      <c r="AL392">
        <v>100</v>
      </c>
      <c r="AM392" s="75">
        <f ca="1">INDIRECT(ADDRESS(11+(MATCH(RIGHT(Table2[[#This Row],[spawner_sku]],LEN(Table2[[#This Row],[spawner_sku]])-FIND("/",Table2[[#This Row],[spawner_sku]])),Table1[Entity Prefab],0)),10,1,1,"Entities"))</f>
        <v>25</v>
      </c>
      <c r="AN392" s="75">
        <f ca="1">ROUND((Table2[[#This Row],[XP]]*Table2[[#This Row],[entity_spawned (AVG)]])*(Table2[[#This Row],[activating_chance]]/100),0)</f>
        <v>25</v>
      </c>
      <c r="AO39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92" s="72">
        <v>1</v>
      </c>
      <c r="AQ392" s="72">
        <v>1</v>
      </c>
      <c r="AR392" s="72" t="b">
        <v>0</v>
      </c>
      <c r="BP392" t="s">
        <v>457</v>
      </c>
      <c r="BQ392">
        <v>1</v>
      </c>
      <c r="BR392">
        <v>310</v>
      </c>
      <c r="BS392">
        <v>100</v>
      </c>
      <c r="BT392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392" s="75">
        <f ca="1">ROUND((Table61011[[#This Row],[XP]]*Table61011[[#This Row],[entity_spawned (AVG)]])*(Table61011[[#This Row],[activating_chance]]/100),0)</f>
        <v>55</v>
      </c>
      <c r="BV39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92" s="72">
        <v>1</v>
      </c>
      <c r="BX392" s="72">
        <v>1</v>
      </c>
      <c r="BY392" s="72" t="b">
        <v>0</v>
      </c>
      <c r="CA392" t="s">
        <v>254</v>
      </c>
      <c r="CB392">
        <v>1</v>
      </c>
      <c r="CC392">
        <v>170</v>
      </c>
      <c r="CD392">
        <v>80</v>
      </c>
      <c r="CE392" s="75">
        <f ca="1">INDIRECT(ADDRESS(11+(MATCH(RIGHT(Table11[[#This Row],[spawner_sku]],LEN(Table11[[#This Row],[spawner_sku]])-FIND("/",Table11[[#This Row],[spawner_sku]])),Table1[Entity Prefab],0)),10,1,1,"Entities"))</f>
        <v>70</v>
      </c>
      <c r="CF392">
        <f ca="1">ROUND((Table11[[#This Row],[XP]]*Table11[[#This Row],[entity_spawned (AVG)]])*(Table11[[#This Row],[activating_chance]]/100),0)</f>
        <v>56</v>
      </c>
      <c r="CG392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92" s="72">
        <v>1</v>
      </c>
      <c r="CI392" s="72">
        <v>1</v>
      </c>
      <c r="CJ392" s="72" t="b">
        <v>0</v>
      </c>
      <c r="DH392" t="s">
        <v>390</v>
      </c>
      <c r="DI392">
        <v>1</v>
      </c>
      <c r="DJ392">
        <v>200</v>
      </c>
      <c r="DK392">
        <v>80</v>
      </c>
      <c r="DL392" s="75">
        <f ca="1">INDIRECT(ADDRESS(11+(MATCH(RIGHT(Table14[[#This Row],[spawner_sku]],LEN(Table14[[#This Row],[spawner_sku]])-FIND("/",Table14[[#This Row],[spawner_sku]])),Table1[Entity Prefab],0)),10,1,1,"Entities"))</f>
        <v>75</v>
      </c>
      <c r="DM392" s="75">
        <f ca="1">ROUND((Table14[[#This Row],[XP]]*Table14[[#This Row],[entity_spawned (AVG)]])*(Table14[[#This Row],[activating_chance]]/100),0)</f>
        <v>60</v>
      </c>
      <c r="DN39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92" s="72">
        <v>1</v>
      </c>
      <c r="DP392" s="72">
        <v>1</v>
      </c>
      <c r="DQ392" s="72" t="b">
        <v>0</v>
      </c>
    </row>
    <row r="393" spans="2:121" x14ac:dyDescent="0.25">
      <c r="B393" s="73" t="s">
        <v>469</v>
      </c>
      <c r="C393">
        <v>1</v>
      </c>
      <c r="D393">
        <v>220</v>
      </c>
      <c r="E393">
        <v>100</v>
      </c>
      <c r="F393" s="75">
        <f ca="1">INDIRECT(ADDRESS(11+(MATCH(RIGHT(Table245[[#This Row],[spawner_sku]],LEN(Table245[[#This Row],[spawner_sku]])-FIND("/",Table245[[#This Row],[spawner_sku]])),Table1[Entity Prefab],0)),10,1,1,"Entities"))</f>
        <v>50</v>
      </c>
      <c r="G393" s="75">
        <f ca="1">ROUND((Table245[[#This Row],[XP]]*Table245[[#This Row],[entity_spawned (AVG)]])*(Table245[[#This Row],[activating_chance]]/100),0)</f>
        <v>50</v>
      </c>
      <c r="H39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3" s="72">
        <v>1</v>
      </c>
      <c r="J393" s="72">
        <v>1</v>
      </c>
      <c r="K393" s="72" t="b">
        <v>0</v>
      </c>
      <c r="AI393" t="s">
        <v>255</v>
      </c>
      <c r="AJ393">
        <v>1</v>
      </c>
      <c r="AK393">
        <v>120</v>
      </c>
      <c r="AL393">
        <v>100</v>
      </c>
      <c r="AM393" s="75">
        <f ca="1">INDIRECT(ADDRESS(11+(MATCH(RIGHT(Table2[[#This Row],[spawner_sku]],LEN(Table2[[#This Row],[spawner_sku]])-FIND("/",Table2[[#This Row],[spawner_sku]])),Table1[Entity Prefab],0)),10,1,1,"Entities"))</f>
        <v>25</v>
      </c>
      <c r="AN393" s="75">
        <f ca="1">ROUND((Table2[[#This Row],[XP]]*Table2[[#This Row],[entity_spawned (AVG)]])*(Table2[[#This Row],[activating_chance]]/100),0)</f>
        <v>25</v>
      </c>
      <c r="AO39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93" s="72">
        <v>1</v>
      </c>
      <c r="AQ393" s="72">
        <v>1</v>
      </c>
      <c r="AR393" s="72" t="b">
        <v>0</v>
      </c>
      <c r="BP393" t="s">
        <v>457</v>
      </c>
      <c r="BQ393">
        <v>1</v>
      </c>
      <c r="BR393">
        <v>310</v>
      </c>
      <c r="BS393">
        <v>100</v>
      </c>
      <c r="BT393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393" s="75">
        <f ca="1">ROUND((Table61011[[#This Row],[XP]]*Table61011[[#This Row],[entity_spawned (AVG)]])*(Table61011[[#This Row],[activating_chance]]/100),0)</f>
        <v>55</v>
      </c>
      <c r="BV39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93" s="72">
        <v>1</v>
      </c>
      <c r="BX393" s="72">
        <v>1</v>
      </c>
      <c r="BY393" s="72" t="b">
        <v>0</v>
      </c>
      <c r="CA393" t="s">
        <v>255</v>
      </c>
      <c r="CB393">
        <v>1</v>
      </c>
      <c r="CC393">
        <v>150</v>
      </c>
      <c r="CD393">
        <v>100</v>
      </c>
      <c r="CE393" s="75">
        <f ca="1">INDIRECT(ADDRESS(11+(MATCH(RIGHT(Table11[[#This Row],[spawner_sku]],LEN(Table11[[#This Row],[spawner_sku]])-FIND("/",Table11[[#This Row],[spawner_sku]])),Table1[Entity Prefab],0)),10,1,1,"Entities"))</f>
        <v>25</v>
      </c>
      <c r="CF393">
        <f ca="1">ROUND((Table11[[#This Row],[XP]]*Table11[[#This Row],[entity_spawned (AVG)]])*(Table11[[#This Row],[activating_chance]]/100),0)</f>
        <v>25</v>
      </c>
      <c r="CG393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93" s="72">
        <v>1</v>
      </c>
      <c r="CI393" s="72">
        <v>1</v>
      </c>
      <c r="CJ393" s="72" t="b">
        <v>0</v>
      </c>
      <c r="DH393" t="s">
        <v>390</v>
      </c>
      <c r="DI393">
        <v>1</v>
      </c>
      <c r="DJ393">
        <v>200</v>
      </c>
      <c r="DK393">
        <v>100</v>
      </c>
      <c r="DL393" s="75">
        <f ca="1">INDIRECT(ADDRESS(11+(MATCH(RIGHT(Table14[[#This Row],[spawner_sku]],LEN(Table14[[#This Row],[spawner_sku]])-FIND("/",Table14[[#This Row],[spawner_sku]])),Table1[Entity Prefab],0)),10,1,1,"Entities"))</f>
        <v>75</v>
      </c>
      <c r="DM393" s="75">
        <f ca="1">ROUND((Table14[[#This Row],[XP]]*Table14[[#This Row],[entity_spawned (AVG)]])*(Table14[[#This Row],[activating_chance]]/100),0)</f>
        <v>75</v>
      </c>
      <c r="DN39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93" s="72">
        <v>1</v>
      </c>
      <c r="DP393" s="72">
        <v>1</v>
      </c>
      <c r="DQ393" s="72" t="b">
        <v>0</v>
      </c>
    </row>
    <row r="394" spans="2:121" x14ac:dyDescent="0.25">
      <c r="B394" s="73" t="s">
        <v>469</v>
      </c>
      <c r="C394">
        <v>1</v>
      </c>
      <c r="D394">
        <v>220</v>
      </c>
      <c r="E394">
        <v>100</v>
      </c>
      <c r="F394" s="75">
        <f ca="1">INDIRECT(ADDRESS(11+(MATCH(RIGHT(Table245[[#This Row],[spawner_sku]],LEN(Table245[[#This Row],[spawner_sku]])-FIND("/",Table245[[#This Row],[spawner_sku]])),Table1[Entity Prefab],0)),10,1,1,"Entities"))</f>
        <v>50</v>
      </c>
      <c r="G394" s="75">
        <f ca="1">ROUND((Table245[[#This Row],[XP]]*Table245[[#This Row],[entity_spawned (AVG)]])*(Table245[[#This Row],[activating_chance]]/100),0)</f>
        <v>50</v>
      </c>
      <c r="H39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4" s="72">
        <v>1</v>
      </c>
      <c r="J394" s="72">
        <v>1</v>
      </c>
      <c r="K394" s="72" t="b">
        <v>0</v>
      </c>
      <c r="AI394" t="s">
        <v>255</v>
      </c>
      <c r="AJ394">
        <v>1</v>
      </c>
      <c r="AK394">
        <v>180</v>
      </c>
      <c r="AL394">
        <v>100</v>
      </c>
      <c r="AM394" s="75">
        <f ca="1">INDIRECT(ADDRESS(11+(MATCH(RIGHT(Table2[[#This Row],[spawner_sku]],LEN(Table2[[#This Row],[spawner_sku]])-FIND("/",Table2[[#This Row],[spawner_sku]])),Table1[Entity Prefab],0)),10,1,1,"Entities"))</f>
        <v>25</v>
      </c>
      <c r="AN394" s="75">
        <f ca="1">ROUND((Table2[[#This Row],[XP]]*Table2[[#This Row],[entity_spawned (AVG)]])*(Table2[[#This Row],[activating_chance]]/100),0)</f>
        <v>25</v>
      </c>
      <c r="AO39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94" s="72">
        <v>1</v>
      </c>
      <c r="AQ394" s="72">
        <v>1</v>
      </c>
      <c r="AR394" s="72" t="b">
        <v>0</v>
      </c>
      <c r="BP394" t="s">
        <v>457</v>
      </c>
      <c r="BQ394">
        <v>1</v>
      </c>
      <c r="BR394">
        <v>210</v>
      </c>
      <c r="BS394">
        <v>100</v>
      </c>
      <c r="BT394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394" s="75">
        <f ca="1">ROUND((Table61011[[#This Row],[XP]]*Table61011[[#This Row],[entity_spawned (AVG)]])*(Table61011[[#This Row],[activating_chance]]/100),0)</f>
        <v>55</v>
      </c>
      <c r="BV39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94" s="72">
        <v>1</v>
      </c>
      <c r="BX394" s="72">
        <v>1</v>
      </c>
      <c r="BY394" s="72" t="b">
        <v>0</v>
      </c>
      <c r="CA394" t="s">
        <v>255</v>
      </c>
      <c r="CB394">
        <v>1</v>
      </c>
      <c r="CC394">
        <v>150</v>
      </c>
      <c r="CD394">
        <v>30</v>
      </c>
      <c r="CE394" s="75">
        <f ca="1">INDIRECT(ADDRESS(11+(MATCH(RIGHT(Table11[[#This Row],[spawner_sku]],LEN(Table11[[#This Row],[spawner_sku]])-FIND("/",Table11[[#This Row],[spawner_sku]])),Table1[Entity Prefab],0)),10,1,1,"Entities"))</f>
        <v>25</v>
      </c>
      <c r="CF394">
        <f ca="1">ROUND((Table11[[#This Row],[XP]]*Table11[[#This Row],[entity_spawned (AVG)]])*(Table11[[#This Row],[activating_chance]]/100),0)</f>
        <v>8</v>
      </c>
      <c r="CG394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94" s="72">
        <v>1</v>
      </c>
      <c r="CI394" s="72">
        <v>1</v>
      </c>
      <c r="CJ394" s="72" t="b">
        <v>0</v>
      </c>
      <c r="DH394" t="s">
        <v>390</v>
      </c>
      <c r="DI394">
        <v>1</v>
      </c>
      <c r="DJ394">
        <v>180</v>
      </c>
      <c r="DK394">
        <v>80</v>
      </c>
      <c r="DL394" s="75">
        <f ca="1">INDIRECT(ADDRESS(11+(MATCH(RIGHT(Table14[[#This Row],[spawner_sku]],LEN(Table14[[#This Row],[spawner_sku]])-FIND("/",Table14[[#This Row],[spawner_sku]])),Table1[Entity Prefab],0)),10,1,1,"Entities"))</f>
        <v>75</v>
      </c>
      <c r="DM394" s="75">
        <f ca="1">ROUND((Table14[[#This Row],[XP]]*Table14[[#This Row],[entity_spawned (AVG)]])*(Table14[[#This Row],[activating_chance]]/100),0)</f>
        <v>60</v>
      </c>
      <c r="DN39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94" s="72">
        <v>1</v>
      </c>
      <c r="DP394" s="72">
        <v>1</v>
      </c>
      <c r="DQ394" s="72" t="b">
        <v>0</v>
      </c>
    </row>
    <row r="395" spans="2:121" x14ac:dyDescent="0.25">
      <c r="B395" s="73" t="s">
        <v>470</v>
      </c>
      <c r="C395">
        <v>1</v>
      </c>
      <c r="D395">
        <v>240</v>
      </c>
      <c r="E395">
        <v>100</v>
      </c>
      <c r="F395" s="75">
        <f ca="1">INDIRECT(ADDRESS(11+(MATCH(RIGHT(Table245[[#This Row],[spawner_sku]],LEN(Table245[[#This Row],[spawner_sku]])-FIND("/",Table245[[#This Row],[spawner_sku]])),Table1[Entity Prefab],0)),10,1,1,"Entities"))</f>
        <v>83</v>
      </c>
      <c r="G395" s="75">
        <f ca="1">ROUND((Table245[[#This Row],[XP]]*Table245[[#This Row],[entity_spawned (AVG)]])*(Table245[[#This Row],[activating_chance]]/100),0)</f>
        <v>83</v>
      </c>
      <c r="H39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5" s="72">
        <v>1</v>
      </c>
      <c r="J395" s="72">
        <v>1</v>
      </c>
      <c r="K395" s="72" t="b">
        <v>0</v>
      </c>
      <c r="AI395" t="s">
        <v>255</v>
      </c>
      <c r="AJ395">
        <v>1</v>
      </c>
      <c r="AK395">
        <v>120</v>
      </c>
      <c r="AL395">
        <v>60</v>
      </c>
      <c r="AM395" s="75">
        <f ca="1">INDIRECT(ADDRESS(11+(MATCH(RIGHT(Table2[[#This Row],[spawner_sku]],LEN(Table2[[#This Row],[spawner_sku]])-FIND("/",Table2[[#This Row],[spawner_sku]])),Table1[Entity Prefab],0)),10,1,1,"Entities"))</f>
        <v>25</v>
      </c>
      <c r="AN395" s="75">
        <f ca="1">ROUND((Table2[[#This Row],[XP]]*Table2[[#This Row],[entity_spawned (AVG)]])*(Table2[[#This Row],[activating_chance]]/100),0)</f>
        <v>15</v>
      </c>
      <c r="AO39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95" s="72">
        <v>1</v>
      </c>
      <c r="AQ395" s="72">
        <v>1</v>
      </c>
      <c r="AR395" s="72" t="b">
        <v>0</v>
      </c>
      <c r="BP395" t="s">
        <v>250</v>
      </c>
      <c r="BQ395">
        <v>1</v>
      </c>
      <c r="BR395">
        <v>230</v>
      </c>
      <c r="BS395">
        <v>100</v>
      </c>
      <c r="BT395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395" s="75">
        <f ca="1">ROUND((Table61011[[#This Row],[XP]]*Table61011[[#This Row],[entity_spawned (AVG)]])*(Table61011[[#This Row],[activating_chance]]/100),0)</f>
        <v>83</v>
      </c>
      <c r="BV39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95" s="72">
        <v>1</v>
      </c>
      <c r="BX395" s="72">
        <v>1</v>
      </c>
      <c r="BY395" s="72" t="b">
        <v>0</v>
      </c>
      <c r="CA395" t="s">
        <v>255</v>
      </c>
      <c r="CB395">
        <v>1</v>
      </c>
      <c r="CC395">
        <v>150</v>
      </c>
      <c r="CD395">
        <v>100</v>
      </c>
      <c r="CE395" s="75">
        <f ca="1">INDIRECT(ADDRESS(11+(MATCH(RIGHT(Table11[[#This Row],[spawner_sku]],LEN(Table11[[#This Row],[spawner_sku]])-FIND("/",Table11[[#This Row],[spawner_sku]])),Table1[Entity Prefab],0)),10,1,1,"Entities"))</f>
        <v>25</v>
      </c>
      <c r="CF395">
        <f ca="1">ROUND((Table11[[#This Row],[XP]]*Table11[[#This Row],[entity_spawned (AVG)]])*(Table11[[#This Row],[activating_chance]]/100),0)</f>
        <v>25</v>
      </c>
      <c r="CG395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95" s="72">
        <v>1</v>
      </c>
      <c r="CI395" s="72">
        <v>1</v>
      </c>
      <c r="CJ395" s="72" t="b">
        <v>0</v>
      </c>
      <c r="DH395" t="s">
        <v>390</v>
      </c>
      <c r="DI395">
        <v>1</v>
      </c>
      <c r="DJ395">
        <v>180</v>
      </c>
      <c r="DK395">
        <v>100</v>
      </c>
      <c r="DL395" s="75">
        <f ca="1">INDIRECT(ADDRESS(11+(MATCH(RIGHT(Table14[[#This Row],[spawner_sku]],LEN(Table14[[#This Row],[spawner_sku]])-FIND("/",Table14[[#This Row],[spawner_sku]])),Table1[Entity Prefab],0)),10,1,1,"Entities"))</f>
        <v>75</v>
      </c>
      <c r="DM395" s="75">
        <f ca="1">ROUND((Table14[[#This Row],[XP]]*Table14[[#This Row],[entity_spawned (AVG)]])*(Table14[[#This Row],[activating_chance]]/100),0)</f>
        <v>75</v>
      </c>
      <c r="DN39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95" s="72">
        <v>1</v>
      </c>
      <c r="DP395" s="72">
        <v>1</v>
      </c>
      <c r="DQ395" s="72" t="b">
        <v>0</v>
      </c>
    </row>
    <row r="396" spans="2:121" x14ac:dyDescent="0.25">
      <c r="B396" s="73" t="s">
        <v>470</v>
      </c>
      <c r="C396">
        <v>1</v>
      </c>
      <c r="D396">
        <v>240</v>
      </c>
      <c r="E396">
        <v>100</v>
      </c>
      <c r="F396" s="75">
        <f ca="1">INDIRECT(ADDRESS(11+(MATCH(RIGHT(Table245[[#This Row],[spawner_sku]],LEN(Table245[[#This Row],[spawner_sku]])-FIND("/",Table245[[#This Row],[spawner_sku]])),Table1[Entity Prefab],0)),10,1,1,"Entities"))</f>
        <v>83</v>
      </c>
      <c r="G396" s="75">
        <f ca="1">ROUND((Table245[[#This Row],[XP]]*Table245[[#This Row],[entity_spawned (AVG)]])*(Table245[[#This Row],[activating_chance]]/100),0)</f>
        <v>83</v>
      </c>
      <c r="H39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6" s="72">
        <v>1</v>
      </c>
      <c r="J396" s="72">
        <v>1</v>
      </c>
      <c r="K396" s="72" t="b">
        <v>0</v>
      </c>
      <c r="AI396" t="s">
        <v>255</v>
      </c>
      <c r="AJ396">
        <v>1</v>
      </c>
      <c r="AK396">
        <v>170</v>
      </c>
      <c r="AL396">
        <v>100</v>
      </c>
      <c r="AM396" s="75">
        <f ca="1">INDIRECT(ADDRESS(11+(MATCH(RIGHT(Table2[[#This Row],[spawner_sku]],LEN(Table2[[#This Row],[spawner_sku]])-FIND("/",Table2[[#This Row],[spawner_sku]])),Table1[Entity Prefab],0)),10,1,1,"Entities"))</f>
        <v>25</v>
      </c>
      <c r="AN396" s="75">
        <f ca="1">ROUND((Table2[[#This Row],[XP]]*Table2[[#This Row],[entity_spawned (AVG)]])*(Table2[[#This Row],[activating_chance]]/100),0)</f>
        <v>25</v>
      </c>
      <c r="AO39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96" s="72">
        <v>1</v>
      </c>
      <c r="AQ396" s="72">
        <v>1</v>
      </c>
      <c r="AR396" s="72" t="b">
        <v>0</v>
      </c>
      <c r="BP396" t="s">
        <v>250</v>
      </c>
      <c r="BQ396">
        <v>1</v>
      </c>
      <c r="BR396">
        <v>230</v>
      </c>
      <c r="BS396">
        <v>100</v>
      </c>
      <c r="BT396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396" s="75">
        <f ca="1">ROUND((Table61011[[#This Row],[XP]]*Table61011[[#This Row],[entity_spawned (AVG)]])*(Table61011[[#This Row],[activating_chance]]/100),0)</f>
        <v>83</v>
      </c>
      <c r="BV39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96" s="72">
        <v>1</v>
      </c>
      <c r="BX396" s="72">
        <v>1</v>
      </c>
      <c r="BY396" s="72" t="b">
        <v>0</v>
      </c>
      <c r="CA396" t="s">
        <v>255</v>
      </c>
      <c r="CB396">
        <v>1</v>
      </c>
      <c r="CC396">
        <v>150</v>
      </c>
      <c r="CD396">
        <v>100</v>
      </c>
      <c r="CE396" s="75">
        <f ca="1">INDIRECT(ADDRESS(11+(MATCH(RIGHT(Table11[[#This Row],[spawner_sku]],LEN(Table11[[#This Row],[spawner_sku]])-FIND("/",Table11[[#This Row],[spawner_sku]])),Table1[Entity Prefab],0)),10,1,1,"Entities"))</f>
        <v>25</v>
      </c>
      <c r="CF396">
        <f ca="1">ROUND((Table11[[#This Row],[XP]]*Table11[[#This Row],[entity_spawned (AVG)]])*(Table11[[#This Row],[activating_chance]]/100),0)</f>
        <v>25</v>
      </c>
      <c r="CG396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96" s="72">
        <v>1</v>
      </c>
      <c r="CI396" s="72">
        <v>1</v>
      </c>
      <c r="CJ396" s="72" t="b">
        <v>0</v>
      </c>
      <c r="DH396" t="s">
        <v>390</v>
      </c>
      <c r="DI396">
        <v>1</v>
      </c>
      <c r="DJ396">
        <v>180</v>
      </c>
      <c r="DK396">
        <v>100</v>
      </c>
      <c r="DL396" s="75">
        <f ca="1">INDIRECT(ADDRESS(11+(MATCH(RIGHT(Table14[[#This Row],[spawner_sku]],LEN(Table14[[#This Row],[spawner_sku]])-FIND("/",Table14[[#This Row],[spawner_sku]])),Table1[Entity Prefab],0)),10,1,1,"Entities"))</f>
        <v>75</v>
      </c>
      <c r="DM396" s="75">
        <f ca="1">ROUND((Table14[[#This Row],[XP]]*Table14[[#This Row],[entity_spawned (AVG)]])*(Table14[[#This Row],[activating_chance]]/100),0)</f>
        <v>75</v>
      </c>
      <c r="DN39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96" s="72">
        <v>1</v>
      </c>
      <c r="DP396" s="72">
        <v>1</v>
      </c>
      <c r="DQ396" s="72" t="b">
        <v>0</v>
      </c>
    </row>
    <row r="397" spans="2:121" x14ac:dyDescent="0.25">
      <c r="B397" s="73" t="s">
        <v>470</v>
      </c>
      <c r="C397">
        <v>1</v>
      </c>
      <c r="D397">
        <v>240</v>
      </c>
      <c r="E397">
        <v>100</v>
      </c>
      <c r="F397" s="75">
        <f ca="1">INDIRECT(ADDRESS(11+(MATCH(RIGHT(Table245[[#This Row],[spawner_sku]],LEN(Table245[[#This Row],[spawner_sku]])-FIND("/",Table245[[#This Row],[spawner_sku]])),Table1[Entity Prefab],0)),10,1,1,"Entities"))</f>
        <v>83</v>
      </c>
      <c r="G397" s="75">
        <f ca="1">ROUND((Table245[[#This Row],[XP]]*Table245[[#This Row],[entity_spawned (AVG)]])*(Table245[[#This Row],[activating_chance]]/100),0)</f>
        <v>83</v>
      </c>
      <c r="H39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7" s="72">
        <v>1</v>
      </c>
      <c r="J397" s="72">
        <v>1</v>
      </c>
      <c r="K397" s="72" t="b">
        <v>0</v>
      </c>
      <c r="AI397" t="s">
        <v>255</v>
      </c>
      <c r="AJ397">
        <v>1</v>
      </c>
      <c r="AK397">
        <v>130</v>
      </c>
      <c r="AL397">
        <v>100</v>
      </c>
      <c r="AM397" s="75">
        <f ca="1">INDIRECT(ADDRESS(11+(MATCH(RIGHT(Table2[[#This Row],[spawner_sku]],LEN(Table2[[#This Row],[spawner_sku]])-FIND("/",Table2[[#This Row],[spawner_sku]])),Table1[Entity Prefab],0)),10,1,1,"Entities"))</f>
        <v>25</v>
      </c>
      <c r="AN397" s="75">
        <f ca="1">ROUND((Table2[[#This Row],[XP]]*Table2[[#This Row],[entity_spawned (AVG)]])*(Table2[[#This Row],[activating_chance]]/100),0)</f>
        <v>25</v>
      </c>
      <c r="AO39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97" s="72">
        <v>1</v>
      </c>
      <c r="AQ397" s="72">
        <v>1</v>
      </c>
      <c r="AR397" s="72" t="b">
        <v>0</v>
      </c>
      <c r="BP397" t="s">
        <v>447</v>
      </c>
      <c r="BQ397">
        <v>1</v>
      </c>
      <c r="BR397">
        <v>260</v>
      </c>
      <c r="BS397">
        <v>100</v>
      </c>
      <c r="BT397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397" s="75">
        <f ca="1">ROUND((Table61011[[#This Row],[XP]]*Table61011[[#This Row],[entity_spawned (AVG)]])*(Table61011[[#This Row],[activating_chance]]/100),0)</f>
        <v>50</v>
      </c>
      <c r="BV39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97" s="72">
        <v>1</v>
      </c>
      <c r="BX397" s="72">
        <v>1</v>
      </c>
      <c r="BY397" s="72" t="b">
        <v>0</v>
      </c>
      <c r="CA397" t="s">
        <v>255</v>
      </c>
      <c r="CB397">
        <v>1</v>
      </c>
      <c r="CC397">
        <v>150</v>
      </c>
      <c r="CD397">
        <v>100</v>
      </c>
      <c r="CE397" s="75">
        <f ca="1">INDIRECT(ADDRESS(11+(MATCH(RIGHT(Table11[[#This Row],[spawner_sku]],LEN(Table11[[#This Row],[spawner_sku]])-FIND("/",Table11[[#This Row],[spawner_sku]])),Table1[Entity Prefab],0)),10,1,1,"Entities"))</f>
        <v>25</v>
      </c>
      <c r="CF397">
        <f ca="1">ROUND((Table11[[#This Row],[XP]]*Table11[[#This Row],[entity_spawned (AVG)]])*(Table11[[#This Row],[activating_chance]]/100),0)</f>
        <v>25</v>
      </c>
      <c r="CG397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97" s="72">
        <v>1</v>
      </c>
      <c r="CI397" s="72">
        <v>1</v>
      </c>
      <c r="CJ397" s="72" t="b">
        <v>0</v>
      </c>
      <c r="DH397" t="s">
        <v>390</v>
      </c>
      <c r="DI397">
        <v>1</v>
      </c>
      <c r="DJ397">
        <v>180</v>
      </c>
      <c r="DK397">
        <v>100</v>
      </c>
      <c r="DL397" s="75">
        <f ca="1">INDIRECT(ADDRESS(11+(MATCH(RIGHT(Table14[[#This Row],[spawner_sku]],LEN(Table14[[#This Row],[spawner_sku]])-FIND("/",Table14[[#This Row],[spawner_sku]])),Table1[Entity Prefab],0)),10,1,1,"Entities"))</f>
        <v>75</v>
      </c>
      <c r="DM397" s="75">
        <f ca="1">ROUND((Table14[[#This Row],[XP]]*Table14[[#This Row],[entity_spawned (AVG)]])*(Table14[[#This Row],[activating_chance]]/100),0)</f>
        <v>75</v>
      </c>
      <c r="DN39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97" s="72">
        <v>1</v>
      </c>
      <c r="DP397" s="72">
        <v>1</v>
      </c>
      <c r="DQ397" s="72" t="b">
        <v>0</v>
      </c>
    </row>
    <row r="398" spans="2:121" x14ac:dyDescent="0.25">
      <c r="B398" s="73" t="s">
        <v>470</v>
      </c>
      <c r="C398">
        <v>1</v>
      </c>
      <c r="D398">
        <v>240</v>
      </c>
      <c r="E398">
        <v>100</v>
      </c>
      <c r="F398" s="75">
        <f ca="1">INDIRECT(ADDRESS(11+(MATCH(RIGHT(Table245[[#This Row],[spawner_sku]],LEN(Table245[[#This Row],[spawner_sku]])-FIND("/",Table245[[#This Row],[spawner_sku]])),Table1[Entity Prefab],0)),10,1,1,"Entities"))</f>
        <v>83</v>
      </c>
      <c r="G398" s="75">
        <f ca="1">ROUND((Table245[[#This Row],[XP]]*Table245[[#This Row],[entity_spawned (AVG)]])*(Table245[[#This Row],[activating_chance]]/100),0)</f>
        <v>83</v>
      </c>
      <c r="H39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8" s="72">
        <v>1</v>
      </c>
      <c r="J398" s="72">
        <v>1</v>
      </c>
      <c r="K398" s="72" t="b">
        <v>0</v>
      </c>
      <c r="AI398" t="s">
        <v>255</v>
      </c>
      <c r="AJ398">
        <v>1</v>
      </c>
      <c r="AK398">
        <v>170</v>
      </c>
      <c r="AL398">
        <v>90</v>
      </c>
      <c r="AM398" s="75">
        <f ca="1">INDIRECT(ADDRESS(11+(MATCH(RIGHT(Table2[[#This Row],[spawner_sku]],LEN(Table2[[#This Row],[spawner_sku]])-FIND("/",Table2[[#This Row],[spawner_sku]])),Table1[Entity Prefab],0)),10,1,1,"Entities"))</f>
        <v>25</v>
      </c>
      <c r="AN398" s="75">
        <f ca="1">ROUND((Table2[[#This Row],[XP]]*Table2[[#This Row],[entity_spawned (AVG)]])*(Table2[[#This Row],[activating_chance]]/100),0)</f>
        <v>23</v>
      </c>
      <c r="AO39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98" s="72">
        <v>1</v>
      </c>
      <c r="AQ398" s="72">
        <v>1</v>
      </c>
      <c r="AR398" s="72" t="b">
        <v>0</v>
      </c>
      <c r="BP398" t="s">
        <v>447</v>
      </c>
      <c r="BQ398">
        <v>1</v>
      </c>
      <c r="BR398">
        <v>260</v>
      </c>
      <c r="BS398">
        <v>100</v>
      </c>
      <c r="BT398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398" s="75">
        <f ca="1">ROUND((Table61011[[#This Row],[XP]]*Table61011[[#This Row],[entity_spawned (AVG)]])*(Table61011[[#This Row],[activating_chance]]/100),0)</f>
        <v>50</v>
      </c>
      <c r="BV39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98" s="72">
        <v>1</v>
      </c>
      <c r="BX398" s="72">
        <v>1</v>
      </c>
      <c r="BY398" s="72" t="b">
        <v>0</v>
      </c>
      <c r="CA398" t="s">
        <v>255</v>
      </c>
      <c r="CB398">
        <v>1</v>
      </c>
      <c r="CC398">
        <v>150</v>
      </c>
      <c r="CD398">
        <v>100</v>
      </c>
      <c r="CE398" s="75">
        <f ca="1">INDIRECT(ADDRESS(11+(MATCH(RIGHT(Table11[[#This Row],[spawner_sku]],LEN(Table11[[#This Row],[spawner_sku]])-FIND("/",Table11[[#This Row],[spawner_sku]])),Table1[Entity Prefab],0)),10,1,1,"Entities"))</f>
        <v>25</v>
      </c>
      <c r="CF398">
        <f ca="1">ROUND((Table11[[#This Row],[XP]]*Table11[[#This Row],[entity_spawned (AVG)]])*(Table11[[#This Row],[activating_chance]]/100),0)</f>
        <v>25</v>
      </c>
      <c r="CG398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98" s="72">
        <v>1</v>
      </c>
      <c r="CI398" s="72">
        <v>1</v>
      </c>
      <c r="CJ398" s="72" t="b">
        <v>0</v>
      </c>
      <c r="DH398" t="s">
        <v>390</v>
      </c>
      <c r="DI398">
        <v>1</v>
      </c>
      <c r="DJ398">
        <v>180</v>
      </c>
      <c r="DK398">
        <v>100</v>
      </c>
      <c r="DL398" s="75">
        <f ca="1">INDIRECT(ADDRESS(11+(MATCH(RIGHT(Table14[[#This Row],[spawner_sku]],LEN(Table14[[#This Row],[spawner_sku]])-FIND("/",Table14[[#This Row],[spawner_sku]])),Table1[Entity Prefab],0)),10,1,1,"Entities"))</f>
        <v>75</v>
      </c>
      <c r="DM398" s="75">
        <f ca="1">ROUND((Table14[[#This Row],[XP]]*Table14[[#This Row],[entity_spawned (AVG)]])*(Table14[[#This Row],[activating_chance]]/100),0)</f>
        <v>75</v>
      </c>
      <c r="DN39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98" s="72">
        <v>1</v>
      </c>
      <c r="DP398" s="72">
        <v>1</v>
      </c>
      <c r="DQ398" s="72" t="b">
        <v>0</v>
      </c>
    </row>
    <row r="399" spans="2:121" x14ac:dyDescent="0.25">
      <c r="B399" s="73" t="s">
        <v>471</v>
      </c>
      <c r="C399">
        <v>1</v>
      </c>
      <c r="D399">
        <v>260</v>
      </c>
      <c r="E399">
        <v>100</v>
      </c>
      <c r="F399" s="75">
        <f ca="1">INDIRECT(ADDRESS(11+(MATCH(RIGHT(Table245[[#This Row],[spawner_sku]],LEN(Table245[[#This Row],[spawner_sku]])-FIND("/",Table245[[#This Row],[spawner_sku]])),Table1[Entity Prefab],0)),10,1,1,"Entities"))</f>
        <v>105</v>
      </c>
      <c r="G399" s="75">
        <f ca="1">ROUND((Table245[[#This Row],[XP]]*Table245[[#This Row],[entity_spawned (AVG)]])*(Table245[[#This Row],[activating_chance]]/100),0)</f>
        <v>105</v>
      </c>
      <c r="H39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9" s="72">
        <v>1</v>
      </c>
      <c r="J399" s="72">
        <v>1</v>
      </c>
      <c r="K399" s="72" t="b">
        <v>0</v>
      </c>
      <c r="AI399" t="s">
        <v>255</v>
      </c>
      <c r="AJ399">
        <v>1</v>
      </c>
      <c r="AK399">
        <v>170</v>
      </c>
      <c r="AL399">
        <v>100</v>
      </c>
      <c r="AM399" s="75">
        <f ca="1">INDIRECT(ADDRESS(11+(MATCH(RIGHT(Table2[[#This Row],[spawner_sku]],LEN(Table2[[#This Row],[spawner_sku]])-FIND("/",Table2[[#This Row],[spawner_sku]])),Table1[Entity Prefab],0)),10,1,1,"Entities"))</f>
        <v>25</v>
      </c>
      <c r="AN399" s="75">
        <f ca="1">ROUND((Table2[[#This Row],[XP]]*Table2[[#This Row],[entity_spawned (AVG)]])*(Table2[[#This Row],[activating_chance]]/100),0)</f>
        <v>25</v>
      </c>
      <c r="AO39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99" s="72">
        <v>1</v>
      </c>
      <c r="AQ399" s="72">
        <v>1</v>
      </c>
      <c r="AR399" s="72" t="b">
        <v>0</v>
      </c>
      <c r="BP399" t="s">
        <v>447</v>
      </c>
      <c r="BQ399">
        <v>1</v>
      </c>
      <c r="BR399">
        <v>260</v>
      </c>
      <c r="BS399">
        <v>100</v>
      </c>
      <c r="BT399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399" s="75">
        <f ca="1">ROUND((Table61011[[#This Row],[XP]]*Table61011[[#This Row],[entity_spawned (AVG)]])*(Table61011[[#This Row],[activating_chance]]/100),0)</f>
        <v>50</v>
      </c>
      <c r="BV39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99" s="72">
        <v>1</v>
      </c>
      <c r="BX399" s="72">
        <v>1</v>
      </c>
      <c r="BY399" s="72" t="b">
        <v>0</v>
      </c>
      <c r="CA399" t="s">
        <v>255</v>
      </c>
      <c r="CB399">
        <v>1</v>
      </c>
      <c r="CC399">
        <v>150</v>
      </c>
      <c r="CD399">
        <v>100</v>
      </c>
      <c r="CE399" s="75">
        <f ca="1">INDIRECT(ADDRESS(11+(MATCH(RIGHT(Table11[[#This Row],[spawner_sku]],LEN(Table11[[#This Row],[spawner_sku]])-FIND("/",Table11[[#This Row],[spawner_sku]])),Table1[Entity Prefab],0)),10,1,1,"Entities"))</f>
        <v>25</v>
      </c>
      <c r="CF399">
        <f ca="1">ROUND((Table11[[#This Row],[XP]]*Table11[[#This Row],[entity_spawned (AVG)]])*(Table11[[#This Row],[activating_chance]]/100),0)</f>
        <v>25</v>
      </c>
      <c r="CG399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99" s="72">
        <v>1</v>
      </c>
      <c r="CI399" s="72">
        <v>1</v>
      </c>
      <c r="CJ399" s="72" t="b">
        <v>0</v>
      </c>
      <c r="DH399" t="s">
        <v>390</v>
      </c>
      <c r="DI399">
        <v>1</v>
      </c>
      <c r="DJ399">
        <v>180</v>
      </c>
      <c r="DK399">
        <v>100</v>
      </c>
      <c r="DL399" s="75">
        <f ca="1">INDIRECT(ADDRESS(11+(MATCH(RIGHT(Table14[[#This Row],[spawner_sku]],LEN(Table14[[#This Row],[spawner_sku]])-FIND("/",Table14[[#This Row],[spawner_sku]])),Table1[Entity Prefab],0)),10,1,1,"Entities"))</f>
        <v>75</v>
      </c>
      <c r="DM399" s="75">
        <f ca="1">ROUND((Table14[[#This Row],[XP]]*Table14[[#This Row],[entity_spawned (AVG)]])*(Table14[[#This Row],[activating_chance]]/100),0)</f>
        <v>75</v>
      </c>
      <c r="DN39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99" s="72">
        <v>1</v>
      </c>
      <c r="DP399" s="72">
        <v>1</v>
      </c>
      <c r="DQ399" s="72" t="b">
        <v>0</v>
      </c>
    </row>
    <row r="400" spans="2:121" x14ac:dyDescent="0.25">
      <c r="B400" s="73" t="s">
        <v>471</v>
      </c>
      <c r="C400">
        <v>1</v>
      </c>
      <c r="D400">
        <v>260</v>
      </c>
      <c r="E400">
        <v>100</v>
      </c>
      <c r="F400" s="75">
        <f ca="1">INDIRECT(ADDRESS(11+(MATCH(RIGHT(Table245[[#This Row],[spawner_sku]],LEN(Table245[[#This Row],[spawner_sku]])-FIND("/",Table245[[#This Row],[spawner_sku]])),Table1[Entity Prefab],0)),10,1,1,"Entities"))</f>
        <v>105</v>
      </c>
      <c r="G400" s="75">
        <f ca="1">ROUND((Table245[[#This Row],[XP]]*Table245[[#This Row],[entity_spawned (AVG)]])*(Table245[[#This Row],[activating_chance]]/100),0)</f>
        <v>105</v>
      </c>
      <c r="H40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0" s="72">
        <v>1</v>
      </c>
      <c r="J400" s="72">
        <v>1</v>
      </c>
      <c r="K400" s="72" t="b">
        <v>0</v>
      </c>
      <c r="AI400" t="s">
        <v>255</v>
      </c>
      <c r="AJ400">
        <v>1</v>
      </c>
      <c r="AK400">
        <v>120</v>
      </c>
      <c r="AL400">
        <v>100</v>
      </c>
      <c r="AM400" s="75">
        <f ca="1">INDIRECT(ADDRESS(11+(MATCH(RIGHT(Table2[[#This Row],[spawner_sku]],LEN(Table2[[#This Row],[spawner_sku]])-FIND("/",Table2[[#This Row],[spawner_sku]])),Table1[Entity Prefab],0)),10,1,1,"Entities"))</f>
        <v>25</v>
      </c>
      <c r="AN400" s="75">
        <f ca="1">ROUND((Table2[[#This Row],[XP]]*Table2[[#This Row],[entity_spawned (AVG)]])*(Table2[[#This Row],[activating_chance]]/100),0)</f>
        <v>25</v>
      </c>
      <c r="AO40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00" s="72">
        <v>1</v>
      </c>
      <c r="AQ400" s="72">
        <v>1</v>
      </c>
      <c r="AR400" s="72" t="b">
        <v>0</v>
      </c>
      <c r="BP400" t="s">
        <v>393</v>
      </c>
      <c r="BQ400">
        <v>1</v>
      </c>
      <c r="BR400">
        <v>240</v>
      </c>
      <c r="BS400">
        <v>80</v>
      </c>
      <c r="BT400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400" s="75">
        <f ca="1">ROUND((Table61011[[#This Row],[XP]]*Table61011[[#This Row],[entity_spawned (AVG)]])*(Table61011[[#This Row],[activating_chance]]/100),0)</f>
        <v>66</v>
      </c>
      <c r="BV40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00" s="72">
        <v>1</v>
      </c>
      <c r="BX400" s="72">
        <v>1</v>
      </c>
      <c r="BY400" s="72" t="b">
        <v>0</v>
      </c>
      <c r="CA400" t="s">
        <v>255</v>
      </c>
      <c r="CB400">
        <v>1</v>
      </c>
      <c r="CC400">
        <v>150</v>
      </c>
      <c r="CD400">
        <v>80</v>
      </c>
      <c r="CE400" s="75">
        <f ca="1">INDIRECT(ADDRESS(11+(MATCH(RIGHT(Table11[[#This Row],[spawner_sku]],LEN(Table11[[#This Row],[spawner_sku]])-FIND("/",Table11[[#This Row],[spawner_sku]])),Table1[Entity Prefab],0)),10,1,1,"Entities"))</f>
        <v>25</v>
      </c>
      <c r="CF400">
        <f ca="1">ROUND((Table11[[#This Row],[XP]]*Table11[[#This Row],[entity_spawned (AVG)]])*(Table11[[#This Row],[activating_chance]]/100),0)</f>
        <v>20</v>
      </c>
      <c r="CG400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400" s="72">
        <v>1</v>
      </c>
      <c r="CI400" s="72">
        <v>1</v>
      </c>
      <c r="CJ400" s="72" t="b">
        <v>0</v>
      </c>
      <c r="DH400" t="s">
        <v>390</v>
      </c>
      <c r="DI400">
        <v>1</v>
      </c>
      <c r="DJ400">
        <v>200</v>
      </c>
      <c r="DK400">
        <v>100</v>
      </c>
      <c r="DL400" s="75">
        <f ca="1">INDIRECT(ADDRESS(11+(MATCH(RIGHT(Table14[[#This Row],[spawner_sku]],LEN(Table14[[#This Row],[spawner_sku]])-FIND("/",Table14[[#This Row],[spawner_sku]])),Table1[Entity Prefab],0)),10,1,1,"Entities"))</f>
        <v>75</v>
      </c>
      <c r="DM400" s="75">
        <f ca="1">ROUND((Table14[[#This Row],[XP]]*Table14[[#This Row],[entity_spawned (AVG)]])*(Table14[[#This Row],[activating_chance]]/100),0)</f>
        <v>75</v>
      </c>
      <c r="DN40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400" s="72">
        <v>1</v>
      </c>
      <c r="DP400" s="72">
        <v>1</v>
      </c>
      <c r="DQ400" s="72" t="b">
        <v>0</v>
      </c>
    </row>
    <row r="401" spans="2:121" x14ac:dyDescent="0.25">
      <c r="B401" s="73" t="s">
        <v>471</v>
      </c>
      <c r="C401">
        <v>1</v>
      </c>
      <c r="D401">
        <v>260</v>
      </c>
      <c r="E401">
        <v>100</v>
      </c>
      <c r="F401" s="75">
        <f ca="1">INDIRECT(ADDRESS(11+(MATCH(RIGHT(Table245[[#This Row],[spawner_sku]],LEN(Table245[[#This Row],[spawner_sku]])-FIND("/",Table245[[#This Row],[spawner_sku]])),Table1[Entity Prefab],0)),10,1,1,"Entities"))</f>
        <v>105</v>
      </c>
      <c r="G401" s="75">
        <f ca="1">ROUND((Table245[[#This Row],[XP]]*Table245[[#This Row],[entity_spawned (AVG)]])*(Table245[[#This Row],[activating_chance]]/100),0)</f>
        <v>105</v>
      </c>
      <c r="H40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1" s="72">
        <v>1</v>
      </c>
      <c r="J401" s="72">
        <v>1</v>
      </c>
      <c r="K401" s="72" t="b">
        <v>0</v>
      </c>
      <c r="AI401" t="s">
        <v>255</v>
      </c>
      <c r="AJ401">
        <v>1</v>
      </c>
      <c r="AK401">
        <v>180</v>
      </c>
      <c r="AL401">
        <v>100</v>
      </c>
      <c r="AM401" s="75">
        <f ca="1">INDIRECT(ADDRESS(11+(MATCH(RIGHT(Table2[[#This Row],[spawner_sku]],LEN(Table2[[#This Row],[spawner_sku]])-FIND("/",Table2[[#This Row],[spawner_sku]])),Table1[Entity Prefab],0)),10,1,1,"Entities"))</f>
        <v>25</v>
      </c>
      <c r="AN401" s="75">
        <f ca="1">ROUND((Table2[[#This Row],[XP]]*Table2[[#This Row],[entity_spawned (AVG)]])*(Table2[[#This Row],[activating_chance]]/100),0)</f>
        <v>25</v>
      </c>
      <c r="AO40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01" s="72">
        <v>1</v>
      </c>
      <c r="AQ401" s="72">
        <v>1</v>
      </c>
      <c r="AR401" s="72" t="b">
        <v>0</v>
      </c>
      <c r="BP401" t="s">
        <v>393</v>
      </c>
      <c r="BQ401">
        <v>1</v>
      </c>
      <c r="BR401">
        <v>180</v>
      </c>
      <c r="BS401">
        <v>60</v>
      </c>
      <c r="BT401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401" s="75">
        <f ca="1">ROUND((Table61011[[#This Row],[XP]]*Table61011[[#This Row],[entity_spawned (AVG)]])*(Table61011[[#This Row],[activating_chance]]/100),0)</f>
        <v>50</v>
      </c>
      <c r="BV40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01" s="72">
        <v>1</v>
      </c>
      <c r="BX401" s="72">
        <v>1</v>
      </c>
      <c r="BY401" s="72" t="b">
        <v>0</v>
      </c>
      <c r="CA401" t="s">
        <v>255</v>
      </c>
      <c r="CB401">
        <v>1</v>
      </c>
      <c r="CC401">
        <v>150</v>
      </c>
      <c r="CD401">
        <v>100</v>
      </c>
      <c r="CE401" s="75">
        <f ca="1">INDIRECT(ADDRESS(11+(MATCH(RIGHT(Table11[[#This Row],[spawner_sku]],LEN(Table11[[#This Row],[spawner_sku]])-FIND("/",Table11[[#This Row],[spawner_sku]])),Table1[Entity Prefab],0)),10,1,1,"Entities"))</f>
        <v>25</v>
      </c>
      <c r="CF401">
        <f ca="1">ROUND((Table11[[#This Row],[XP]]*Table11[[#This Row],[entity_spawned (AVG)]])*(Table11[[#This Row],[activating_chance]]/100),0)</f>
        <v>25</v>
      </c>
      <c r="CG401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401" s="72">
        <v>1</v>
      </c>
      <c r="CI401" s="72">
        <v>1</v>
      </c>
      <c r="CJ401" s="72" t="b">
        <v>0</v>
      </c>
      <c r="DH401" t="s">
        <v>390</v>
      </c>
      <c r="DI401">
        <v>1</v>
      </c>
      <c r="DJ401">
        <v>200</v>
      </c>
      <c r="DK401">
        <v>100</v>
      </c>
      <c r="DL401" s="75">
        <f ca="1">INDIRECT(ADDRESS(11+(MATCH(RIGHT(Table14[[#This Row],[spawner_sku]],LEN(Table14[[#This Row],[spawner_sku]])-FIND("/",Table14[[#This Row],[spawner_sku]])),Table1[Entity Prefab],0)),10,1,1,"Entities"))</f>
        <v>75</v>
      </c>
      <c r="DM401" s="75">
        <f ca="1">ROUND((Table14[[#This Row],[XP]]*Table14[[#This Row],[entity_spawned (AVG)]])*(Table14[[#This Row],[activating_chance]]/100),0)</f>
        <v>75</v>
      </c>
      <c r="DN40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401" s="72">
        <v>1</v>
      </c>
      <c r="DP401" s="72">
        <v>1</v>
      </c>
      <c r="DQ401" s="72" t="b">
        <v>0</v>
      </c>
    </row>
    <row r="402" spans="2:121" x14ac:dyDescent="0.25">
      <c r="B402" s="73" t="s">
        <v>471</v>
      </c>
      <c r="C402">
        <v>1</v>
      </c>
      <c r="D402">
        <v>260</v>
      </c>
      <c r="E402">
        <v>100</v>
      </c>
      <c r="F402" s="75">
        <f ca="1">INDIRECT(ADDRESS(11+(MATCH(RIGHT(Table245[[#This Row],[spawner_sku]],LEN(Table245[[#This Row],[spawner_sku]])-FIND("/",Table245[[#This Row],[spawner_sku]])),Table1[Entity Prefab],0)),10,1,1,"Entities"))</f>
        <v>105</v>
      </c>
      <c r="G402" s="75">
        <f ca="1">ROUND((Table245[[#This Row],[XP]]*Table245[[#This Row],[entity_spawned (AVG)]])*(Table245[[#This Row],[activating_chance]]/100),0)</f>
        <v>105</v>
      </c>
      <c r="H40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2" s="72">
        <v>1</v>
      </c>
      <c r="J402" s="72">
        <v>1</v>
      </c>
      <c r="K402" s="72" t="b">
        <v>0</v>
      </c>
      <c r="AI402" t="s">
        <v>255</v>
      </c>
      <c r="AJ402">
        <v>1</v>
      </c>
      <c r="AK402">
        <v>170</v>
      </c>
      <c r="AL402">
        <v>40</v>
      </c>
      <c r="AM402" s="75">
        <f ca="1">INDIRECT(ADDRESS(11+(MATCH(RIGHT(Table2[[#This Row],[spawner_sku]],LEN(Table2[[#This Row],[spawner_sku]])-FIND("/",Table2[[#This Row],[spawner_sku]])),Table1[Entity Prefab],0)),10,1,1,"Entities"))</f>
        <v>25</v>
      </c>
      <c r="AN402" s="75">
        <f ca="1">ROUND((Table2[[#This Row],[XP]]*Table2[[#This Row],[entity_spawned (AVG)]])*(Table2[[#This Row],[activating_chance]]/100),0)</f>
        <v>10</v>
      </c>
      <c r="AO40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02" s="72">
        <v>1</v>
      </c>
      <c r="AQ402" s="72">
        <v>1</v>
      </c>
      <c r="AR402" s="72" t="b">
        <v>0</v>
      </c>
      <c r="BP402" t="s">
        <v>393</v>
      </c>
      <c r="BQ402">
        <v>1</v>
      </c>
      <c r="BR402">
        <v>240</v>
      </c>
      <c r="BS402">
        <v>60</v>
      </c>
      <c r="BT402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402" s="75">
        <f ca="1">ROUND((Table61011[[#This Row],[XP]]*Table61011[[#This Row],[entity_spawned (AVG)]])*(Table61011[[#This Row],[activating_chance]]/100),0)</f>
        <v>50</v>
      </c>
      <c r="BV40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02" s="72">
        <v>1</v>
      </c>
      <c r="BX402" s="72">
        <v>1</v>
      </c>
      <c r="BY402" s="72" t="b">
        <v>0</v>
      </c>
      <c r="CA402" t="s">
        <v>255</v>
      </c>
      <c r="CB402">
        <v>1</v>
      </c>
      <c r="CC402">
        <v>150</v>
      </c>
      <c r="CD402">
        <v>30</v>
      </c>
      <c r="CE402" s="75">
        <f ca="1">INDIRECT(ADDRESS(11+(MATCH(RIGHT(Table11[[#This Row],[spawner_sku]],LEN(Table11[[#This Row],[spawner_sku]])-FIND("/",Table11[[#This Row],[spawner_sku]])),Table1[Entity Prefab],0)),10,1,1,"Entities"))</f>
        <v>25</v>
      </c>
      <c r="CF402">
        <f ca="1">ROUND((Table11[[#This Row],[XP]]*Table11[[#This Row],[entity_spawned (AVG)]])*(Table11[[#This Row],[activating_chance]]/100),0)</f>
        <v>8</v>
      </c>
      <c r="CG402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402" s="72">
        <v>1</v>
      </c>
      <c r="CI402" s="72">
        <v>1</v>
      </c>
      <c r="CJ402" s="72" t="b">
        <v>0</v>
      </c>
      <c r="DH402" t="s">
        <v>390</v>
      </c>
      <c r="DI402">
        <v>1</v>
      </c>
      <c r="DJ402">
        <v>180</v>
      </c>
      <c r="DK402">
        <v>100</v>
      </c>
      <c r="DL402" s="75">
        <f ca="1">INDIRECT(ADDRESS(11+(MATCH(RIGHT(Table14[[#This Row],[spawner_sku]],LEN(Table14[[#This Row],[spawner_sku]])-FIND("/",Table14[[#This Row],[spawner_sku]])),Table1[Entity Prefab],0)),10,1,1,"Entities"))</f>
        <v>75</v>
      </c>
      <c r="DM402" s="75">
        <f ca="1">ROUND((Table14[[#This Row],[XP]]*Table14[[#This Row],[entity_spawned (AVG)]])*(Table14[[#This Row],[activating_chance]]/100),0)</f>
        <v>75</v>
      </c>
      <c r="DN40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402" s="72">
        <v>1</v>
      </c>
      <c r="DP402" s="72">
        <v>1</v>
      </c>
      <c r="DQ402" s="72" t="b">
        <v>0</v>
      </c>
    </row>
    <row r="403" spans="2:121" x14ac:dyDescent="0.25">
      <c r="B403" s="73" t="s">
        <v>471</v>
      </c>
      <c r="C403">
        <v>1</v>
      </c>
      <c r="D403">
        <v>260</v>
      </c>
      <c r="E403">
        <v>100</v>
      </c>
      <c r="F403" s="75">
        <f ca="1">INDIRECT(ADDRESS(11+(MATCH(RIGHT(Table245[[#This Row],[spawner_sku]],LEN(Table245[[#This Row],[spawner_sku]])-FIND("/",Table245[[#This Row],[spawner_sku]])),Table1[Entity Prefab],0)),10,1,1,"Entities"))</f>
        <v>105</v>
      </c>
      <c r="G403" s="75">
        <f ca="1">ROUND((Table245[[#This Row],[XP]]*Table245[[#This Row],[entity_spawned (AVG)]])*(Table245[[#This Row],[activating_chance]]/100),0)</f>
        <v>105</v>
      </c>
      <c r="H40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3" s="72">
        <v>1</v>
      </c>
      <c r="J403" s="72">
        <v>1</v>
      </c>
      <c r="K403" s="72" t="b">
        <v>0</v>
      </c>
      <c r="AI403" t="s">
        <v>255</v>
      </c>
      <c r="AJ403">
        <v>1</v>
      </c>
      <c r="AK403">
        <v>130</v>
      </c>
      <c r="AL403">
        <v>100</v>
      </c>
      <c r="AM403" s="75">
        <f ca="1">INDIRECT(ADDRESS(11+(MATCH(RIGHT(Table2[[#This Row],[spawner_sku]],LEN(Table2[[#This Row],[spawner_sku]])-FIND("/",Table2[[#This Row],[spawner_sku]])),Table1[Entity Prefab],0)),10,1,1,"Entities"))</f>
        <v>25</v>
      </c>
      <c r="AN403" s="75">
        <f ca="1">ROUND((Table2[[#This Row],[XP]]*Table2[[#This Row],[entity_spawned (AVG)]])*(Table2[[#This Row],[activating_chance]]/100),0)</f>
        <v>25</v>
      </c>
      <c r="AO40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03" s="72">
        <v>1</v>
      </c>
      <c r="AQ403" s="72">
        <v>1</v>
      </c>
      <c r="AR403" s="72" t="b">
        <v>0</v>
      </c>
      <c r="BP403" t="s">
        <v>393</v>
      </c>
      <c r="BQ403">
        <v>1</v>
      </c>
      <c r="BR403">
        <v>240</v>
      </c>
      <c r="BS403">
        <v>100</v>
      </c>
      <c r="BT403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403" s="75">
        <f ca="1">ROUND((Table61011[[#This Row],[XP]]*Table61011[[#This Row],[entity_spawned (AVG)]])*(Table61011[[#This Row],[activating_chance]]/100),0)</f>
        <v>83</v>
      </c>
      <c r="BV40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03" s="72">
        <v>1</v>
      </c>
      <c r="BX403" s="72">
        <v>1</v>
      </c>
      <c r="BY403" s="72" t="b">
        <v>0</v>
      </c>
      <c r="CA403" t="s">
        <v>255</v>
      </c>
      <c r="CB403">
        <v>1</v>
      </c>
      <c r="CC403">
        <v>150</v>
      </c>
      <c r="CD403">
        <v>30</v>
      </c>
      <c r="CE403" s="75">
        <f ca="1">INDIRECT(ADDRESS(11+(MATCH(RIGHT(Table11[[#This Row],[spawner_sku]],LEN(Table11[[#This Row],[spawner_sku]])-FIND("/",Table11[[#This Row],[spawner_sku]])),Table1[Entity Prefab],0)),10,1,1,"Entities"))</f>
        <v>25</v>
      </c>
      <c r="CF403">
        <f ca="1">ROUND((Table11[[#This Row],[XP]]*Table11[[#This Row],[entity_spawned (AVG)]])*(Table11[[#This Row],[activating_chance]]/100),0)</f>
        <v>8</v>
      </c>
      <c r="CG403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403" s="72">
        <v>1</v>
      </c>
      <c r="CI403" s="72">
        <v>1</v>
      </c>
      <c r="CJ403" s="72" t="b">
        <v>0</v>
      </c>
      <c r="DH403" t="s">
        <v>390</v>
      </c>
      <c r="DI403">
        <v>1</v>
      </c>
      <c r="DJ403">
        <v>180</v>
      </c>
      <c r="DK403">
        <v>100</v>
      </c>
      <c r="DL403" s="75">
        <f ca="1">INDIRECT(ADDRESS(11+(MATCH(RIGHT(Table14[[#This Row],[spawner_sku]],LEN(Table14[[#This Row],[spawner_sku]])-FIND("/",Table14[[#This Row],[spawner_sku]])),Table1[Entity Prefab],0)),10,1,1,"Entities"))</f>
        <v>75</v>
      </c>
      <c r="DM403" s="75">
        <f ca="1">ROUND((Table14[[#This Row],[XP]]*Table14[[#This Row],[entity_spawned (AVG)]])*(Table14[[#This Row],[activating_chance]]/100),0)</f>
        <v>75</v>
      </c>
      <c r="DN40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403" s="72">
        <v>1</v>
      </c>
      <c r="DP403" s="72">
        <v>1</v>
      </c>
      <c r="DQ403" s="72" t="b">
        <v>0</v>
      </c>
    </row>
    <row r="404" spans="2:121" x14ac:dyDescent="0.25">
      <c r="B404" s="73" t="s">
        <v>471</v>
      </c>
      <c r="C404">
        <v>1</v>
      </c>
      <c r="D404">
        <v>260</v>
      </c>
      <c r="E404">
        <v>100</v>
      </c>
      <c r="F404" s="75">
        <f ca="1">INDIRECT(ADDRESS(11+(MATCH(RIGHT(Table245[[#This Row],[spawner_sku]],LEN(Table245[[#This Row],[spawner_sku]])-FIND("/",Table245[[#This Row],[spawner_sku]])),Table1[Entity Prefab],0)),10,1,1,"Entities"))</f>
        <v>105</v>
      </c>
      <c r="G404" s="75">
        <f ca="1">ROUND((Table245[[#This Row],[XP]]*Table245[[#This Row],[entity_spawned (AVG)]])*(Table245[[#This Row],[activating_chance]]/100),0)</f>
        <v>105</v>
      </c>
      <c r="H40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4" s="72">
        <v>1</v>
      </c>
      <c r="J404" s="72">
        <v>1</v>
      </c>
      <c r="K404" s="72" t="b">
        <v>0</v>
      </c>
      <c r="AI404" t="s">
        <v>255</v>
      </c>
      <c r="AJ404">
        <v>1</v>
      </c>
      <c r="AK404">
        <v>130</v>
      </c>
      <c r="AL404">
        <v>100</v>
      </c>
      <c r="AM404" s="75">
        <f ca="1">INDIRECT(ADDRESS(11+(MATCH(RIGHT(Table2[[#This Row],[spawner_sku]],LEN(Table2[[#This Row],[spawner_sku]])-FIND("/",Table2[[#This Row],[spawner_sku]])),Table1[Entity Prefab],0)),10,1,1,"Entities"))</f>
        <v>25</v>
      </c>
      <c r="AN404" s="75">
        <f ca="1">ROUND((Table2[[#This Row],[XP]]*Table2[[#This Row],[entity_spawned (AVG)]])*(Table2[[#This Row],[activating_chance]]/100),0)</f>
        <v>25</v>
      </c>
      <c r="AO40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04" s="72">
        <v>1</v>
      </c>
      <c r="AQ404" s="72">
        <v>1</v>
      </c>
      <c r="AR404" s="72" t="b">
        <v>0</v>
      </c>
      <c r="BP404" t="s">
        <v>393</v>
      </c>
      <c r="BQ404">
        <v>1</v>
      </c>
      <c r="BR404">
        <v>180</v>
      </c>
      <c r="BS404">
        <v>60</v>
      </c>
      <c r="BT404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404" s="75">
        <f ca="1">ROUND((Table61011[[#This Row],[XP]]*Table61011[[#This Row],[entity_spawned (AVG)]])*(Table61011[[#This Row],[activating_chance]]/100),0)</f>
        <v>50</v>
      </c>
      <c r="BV40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04" s="72">
        <v>1</v>
      </c>
      <c r="BX404" s="72">
        <v>1</v>
      </c>
      <c r="BY404" s="72" t="b">
        <v>0</v>
      </c>
      <c r="CA404" t="s">
        <v>255</v>
      </c>
      <c r="CB404">
        <v>1</v>
      </c>
      <c r="CC404">
        <v>150</v>
      </c>
      <c r="CD404">
        <v>80</v>
      </c>
      <c r="CE404" s="75">
        <f ca="1">INDIRECT(ADDRESS(11+(MATCH(RIGHT(Table11[[#This Row],[spawner_sku]],LEN(Table11[[#This Row],[spawner_sku]])-FIND("/",Table11[[#This Row],[spawner_sku]])),Table1[Entity Prefab],0)),10,1,1,"Entities"))</f>
        <v>25</v>
      </c>
      <c r="CF404">
        <f ca="1">ROUND((Table11[[#This Row],[XP]]*Table11[[#This Row],[entity_spawned (AVG)]])*(Table11[[#This Row],[activating_chance]]/100),0)</f>
        <v>20</v>
      </c>
      <c r="CG404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404" s="72">
        <v>1</v>
      </c>
      <c r="CI404" s="72">
        <v>1</v>
      </c>
      <c r="CJ404" s="72" t="b">
        <v>0</v>
      </c>
      <c r="DH404" t="s">
        <v>390</v>
      </c>
      <c r="DI404">
        <v>1</v>
      </c>
      <c r="DJ404">
        <v>200</v>
      </c>
      <c r="DK404">
        <v>10</v>
      </c>
      <c r="DL404" s="75">
        <f ca="1">INDIRECT(ADDRESS(11+(MATCH(RIGHT(Table14[[#This Row],[spawner_sku]],LEN(Table14[[#This Row],[spawner_sku]])-FIND("/",Table14[[#This Row],[spawner_sku]])),Table1[Entity Prefab],0)),10,1,1,"Entities"))</f>
        <v>75</v>
      </c>
      <c r="DM404" s="75">
        <f ca="1">ROUND((Table14[[#This Row],[XP]]*Table14[[#This Row],[entity_spawned (AVG)]])*(Table14[[#This Row],[activating_chance]]/100),0)</f>
        <v>8</v>
      </c>
      <c r="DN40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404" s="72">
        <v>1</v>
      </c>
      <c r="DP404" s="72">
        <v>1</v>
      </c>
      <c r="DQ404" s="72" t="b">
        <v>0</v>
      </c>
    </row>
    <row r="405" spans="2:121" x14ac:dyDescent="0.25">
      <c r="B405" s="73" t="s">
        <v>472</v>
      </c>
      <c r="C405">
        <v>1</v>
      </c>
      <c r="D405">
        <v>280</v>
      </c>
      <c r="E405">
        <v>100</v>
      </c>
      <c r="F405" s="75">
        <f ca="1">INDIRECT(ADDRESS(11+(MATCH(RIGHT(Table245[[#This Row],[spawner_sku]],LEN(Table245[[#This Row],[spawner_sku]])-FIND("/",Table245[[#This Row],[spawner_sku]])),Table1[Entity Prefab],0)),10,1,1,"Entities"))</f>
        <v>143</v>
      </c>
      <c r="G405" s="75">
        <f ca="1">ROUND((Table245[[#This Row],[XP]]*Table245[[#This Row],[entity_spawned (AVG)]])*(Table245[[#This Row],[activating_chance]]/100),0)</f>
        <v>143</v>
      </c>
      <c r="H40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5" s="72">
        <v>1</v>
      </c>
      <c r="J405" s="72">
        <v>1</v>
      </c>
      <c r="K405" s="72" t="b">
        <v>0</v>
      </c>
      <c r="AI405" t="s">
        <v>255</v>
      </c>
      <c r="AJ405">
        <v>1</v>
      </c>
      <c r="AK405">
        <v>105</v>
      </c>
      <c r="AL405">
        <v>100</v>
      </c>
      <c r="AM405" s="75">
        <f ca="1">INDIRECT(ADDRESS(11+(MATCH(RIGHT(Table2[[#This Row],[spawner_sku]],LEN(Table2[[#This Row],[spawner_sku]])-FIND("/",Table2[[#This Row],[spawner_sku]])),Table1[Entity Prefab],0)),10,1,1,"Entities"))</f>
        <v>25</v>
      </c>
      <c r="AN405" s="75">
        <f ca="1">ROUND((Table2[[#This Row],[XP]]*Table2[[#This Row],[entity_spawned (AVG)]])*(Table2[[#This Row],[activating_chance]]/100),0)</f>
        <v>25</v>
      </c>
      <c r="AO40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05" s="72">
        <v>1</v>
      </c>
      <c r="AQ405" s="72">
        <v>1</v>
      </c>
      <c r="AR405" s="72" t="b">
        <v>0</v>
      </c>
      <c r="BP405" t="s">
        <v>396</v>
      </c>
      <c r="BQ405">
        <v>1</v>
      </c>
      <c r="BR405">
        <v>100</v>
      </c>
      <c r="BS405">
        <v>100</v>
      </c>
      <c r="BT40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05" s="75">
        <f ca="1">ROUND((Table61011[[#This Row],[XP]]*Table61011[[#This Row],[entity_spawned (AVG)]])*(Table61011[[#This Row],[activating_chance]]/100),0)</f>
        <v>25</v>
      </c>
      <c r="BV40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05" s="72">
        <v>1</v>
      </c>
      <c r="BX405" s="72">
        <v>1</v>
      </c>
      <c r="BY405" s="72" t="b">
        <v>0</v>
      </c>
      <c r="CA405" t="s">
        <v>255</v>
      </c>
      <c r="CB405">
        <v>1</v>
      </c>
      <c r="CC405">
        <v>150</v>
      </c>
      <c r="CD405">
        <v>100</v>
      </c>
      <c r="CE405" s="75">
        <f ca="1">INDIRECT(ADDRESS(11+(MATCH(RIGHT(Table11[[#This Row],[spawner_sku]],LEN(Table11[[#This Row],[spawner_sku]])-FIND("/",Table11[[#This Row],[spawner_sku]])),Table1[Entity Prefab],0)),10,1,1,"Entities"))</f>
        <v>25</v>
      </c>
      <c r="CF405">
        <f ca="1">ROUND((Table11[[#This Row],[XP]]*Table11[[#This Row],[entity_spawned (AVG)]])*(Table11[[#This Row],[activating_chance]]/100),0)</f>
        <v>25</v>
      </c>
      <c r="CG405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405" s="72">
        <v>1</v>
      </c>
      <c r="CI405" s="72">
        <v>1</v>
      </c>
      <c r="CJ405" s="72" t="b">
        <v>0</v>
      </c>
      <c r="DH405" t="s">
        <v>390</v>
      </c>
      <c r="DI405">
        <v>1</v>
      </c>
      <c r="DJ405">
        <v>180</v>
      </c>
      <c r="DK405">
        <v>100</v>
      </c>
      <c r="DL405" s="75">
        <f ca="1">INDIRECT(ADDRESS(11+(MATCH(RIGHT(Table14[[#This Row],[spawner_sku]],LEN(Table14[[#This Row],[spawner_sku]])-FIND("/",Table14[[#This Row],[spawner_sku]])),Table1[Entity Prefab],0)),10,1,1,"Entities"))</f>
        <v>75</v>
      </c>
      <c r="DM405" s="75">
        <f ca="1">ROUND((Table14[[#This Row],[XP]]*Table14[[#This Row],[entity_spawned (AVG)]])*(Table14[[#This Row],[activating_chance]]/100),0)</f>
        <v>75</v>
      </c>
      <c r="DN40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405" s="72">
        <v>1</v>
      </c>
      <c r="DP405" s="72">
        <v>1</v>
      </c>
      <c r="DQ405" s="72" t="b">
        <v>0</v>
      </c>
    </row>
    <row r="406" spans="2:121" x14ac:dyDescent="0.25">
      <c r="B406" s="73" t="s">
        <v>472</v>
      </c>
      <c r="C406">
        <v>1</v>
      </c>
      <c r="D406">
        <v>280</v>
      </c>
      <c r="E406">
        <v>100</v>
      </c>
      <c r="F406" s="75">
        <f ca="1">INDIRECT(ADDRESS(11+(MATCH(RIGHT(Table245[[#This Row],[spawner_sku]],LEN(Table245[[#This Row],[spawner_sku]])-FIND("/",Table245[[#This Row],[spawner_sku]])),Table1[Entity Prefab],0)),10,1,1,"Entities"))</f>
        <v>143</v>
      </c>
      <c r="G406" s="75">
        <f ca="1">ROUND((Table245[[#This Row],[XP]]*Table245[[#This Row],[entity_spawned (AVG)]])*(Table245[[#This Row],[activating_chance]]/100),0)</f>
        <v>143</v>
      </c>
      <c r="H40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6" s="72">
        <v>1</v>
      </c>
      <c r="J406" s="72">
        <v>1</v>
      </c>
      <c r="K406" s="72" t="b">
        <v>0</v>
      </c>
      <c r="AI406" t="s">
        <v>255</v>
      </c>
      <c r="AJ406">
        <v>1</v>
      </c>
      <c r="AK406">
        <v>130</v>
      </c>
      <c r="AL406">
        <v>100</v>
      </c>
      <c r="AM406" s="75">
        <f ca="1">INDIRECT(ADDRESS(11+(MATCH(RIGHT(Table2[[#This Row],[spawner_sku]],LEN(Table2[[#This Row],[spawner_sku]])-FIND("/",Table2[[#This Row],[spawner_sku]])),Table1[Entity Prefab],0)),10,1,1,"Entities"))</f>
        <v>25</v>
      </c>
      <c r="AN406" s="75">
        <f ca="1">ROUND((Table2[[#This Row],[XP]]*Table2[[#This Row],[entity_spawned (AVG)]])*(Table2[[#This Row],[activating_chance]]/100),0)</f>
        <v>25</v>
      </c>
      <c r="AO40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06" s="72">
        <v>1</v>
      </c>
      <c r="AQ406" s="72">
        <v>1</v>
      </c>
      <c r="AR406" s="72" t="b">
        <v>0</v>
      </c>
      <c r="BP406" t="s">
        <v>450</v>
      </c>
      <c r="BQ406">
        <v>1</v>
      </c>
      <c r="BR406">
        <v>80</v>
      </c>
      <c r="BS406">
        <v>100</v>
      </c>
      <c r="BT40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06" s="75">
        <f ca="1">ROUND((Table61011[[#This Row],[XP]]*Table61011[[#This Row],[entity_spawned (AVG)]])*(Table61011[[#This Row],[activating_chance]]/100),0)</f>
        <v>25</v>
      </c>
      <c r="BV40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06" s="72">
        <v>1</v>
      </c>
      <c r="BX406" s="72">
        <v>1</v>
      </c>
      <c r="BY406" s="72" t="b">
        <v>0</v>
      </c>
      <c r="CA406" t="s">
        <v>255</v>
      </c>
      <c r="CB406">
        <v>1</v>
      </c>
      <c r="CC406">
        <v>150</v>
      </c>
      <c r="CD406">
        <v>80</v>
      </c>
      <c r="CE406" s="75">
        <f ca="1">INDIRECT(ADDRESS(11+(MATCH(RIGHT(Table11[[#This Row],[spawner_sku]],LEN(Table11[[#This Row],[spawner_sku]])-FIND("/",Table11[[#This Row],[spawner_sku]])),Table1[Entity Prefab],0)),10,1,1,"Entities"))</f>
        <v>25</v>
      </c>
      <c r="CF406">
        <f ca="1">ROUND((Table11[[#This Row],[XP]]*Table11[[#This Row],[entity_spawned (AVG)]])*(Table11[[#This Row],[activating_chance]]/100),0)</f>
        <v>20</v>
      </c>
      <c r="CG406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406" s="72">
        <v>1</v>
      </c>
      <c r="CI406" s="72">
        <v>1</v>
      </c>
      <c r="CJ406" s="72" t="b">
        <v>0</v>
      </c>
      <c r="DH406" t="s">
        <v>390</v>
      </c>
      <c r="DI406">
        <v>1</v>
      </c>
      <c r="DJ406">
        <v>180</v>
      </c>
      <c r="DK406">
        <v>100</v>
      </c>
      <c r="DL406" s="75">
        <f ca="1">INDIRECT(ADDRESS(11+(MATCH(RIGHT(Table14[[#This Row],[spawner_sku]],LEN(Table14[[#This Row],[spawner_sku]])-FIND("/",Table14[[#This Row],[spawner_sku]])),Table1[Entity Prefab],0)),10,1,1,"Entities"))</f>
        <v>75</v>
      </c>
      <c r="DM406" s="75">
        <f ca="1">ROUND((Table14[[#This Row],[XP]]*Table14[[#This Row],[entity_spawned (AVG)]])*(Table14[[#This Row],[activating_chance]]/100),0)</f>
        <v>75</v>
      </c>
      <c r="DN40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406" s="72">
        <v>1</v>
      </c>
      <c r="DP406" s="72">
        <v>1</v>
      </c>
      <c r="DQ406" s="72" t="b">
        <v>0</v>
      </c>
    </row>
    <row r="407" spans="2:121" x14ac:dyDescent="0.25">
      <c r="B407" s="73" t="s">
        <v>473</v>
      </c>
      <c r="C407">
        <v>1</v>
      </c>
      <c r="D407">
        <v>300</v>
      </c>
      <c r="E407">
        <v>100</v>
      </c>
      <c r="F407" s="75">
        <f ca="1">INDIRECT(ADDRESS(11+(MATCH(RIGHT(Table245[[#This Row],[spawner_sku]],LEN(Table245[[#This Row],[spawner_sku]])-FIND("/",Table245[[#This Row],[spawner_sku]])),Table1[Entity Prefab],0)),10,1,1,"Entities"))</f>
        <v>130</v>
      </c>
      <c r="G407" s="75">
        <f ca="1">ROUND((Table245[[#This Row],[XP]]*Table245[[#This Row],[entity_spawned (AVG)]])*(Table245[[#This Row],[activating_chance]]/100),0)</f>
        <v>130</v>
      </c>
      <c r="H40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7" s="72">
        <v>1</v>
      </c>
      <c r="J407" s="72">
        <v>1</v>
      </c>
      <c r="K407" s="72" t="b">
        <v>0</v>
      </c>
      <c r="AI407" t="s">
        <v>255</v>
      </c>
      <c r="AJ407">
        <v>1</v>
      </c>
      <c r="AK407">
        <v>170</v>
      </c>
      <c r="AL407">
        <v>60</v>
      </c>
      <c r="AM407" s="75">
        <f ca="1">INDIRECT(ADDRESS(11+(MATCH(RIGHT(Table2[[#This Row],[spawner_sku]],LEN(Table2[[#This Row],[spawner_sku]])-FIND("/",Table2[[#This Row],[spawner_sku]])),Table1[Entity Prefab],0)),10,1,1,"Entities"))</f>
        <v>25</v>
      </c>
      <c r="AN407" s="75">
        <f ca="1">ROUND((Table2[[#This Row],[XP]]*Table2[[#This Row],[entity_spawned (AVG)]])*(Table2[[#This Row],[activating_chance]]/100),0)</f>
        <v>15</v>
      </c>
      <c r="AO40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07" s="72">
        <v>1</v>
      </c>
      <c r="AQ407" s="72">
        <v>1</v>
      </c>
      <c r="AR407" s="72" t="b">
        <v>0</v>
      </c>
      <c r="BP407" t="s">
        <v>450</v>
      </c>
      <c r="BQ407">
        <v>1</v>
      </c>
      <c r="BR407">
        <v>80</v>
      </c>
      <c r="BS407">
        <v>100</v>
      </c>
      <c r="BT40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07" s="75">
        <f ca="1">ROUND((Table61011[[#This Row],[XP]]*Table61011[[#This Row],[entity_spawned (AVG)]])*(Table61011[[#This Row],[activating_chance]]/100),0)</f>
        <v>25</v>
      </c>
      <c r="BV40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07" s="72">
        <v>1</v>
      </c>
      <c r="BX407" s="72">
        <v>1</v>
      </c>
      <c r="BY407" s="72" t="b">
        <v>0</v>
      </c>
      <c r="CA407" t="s">
        <v>255</v>
      </c>
      <c r="CB407">
        <v>1</v>
      </c>
      <c r="CC407">
        <v>150</v>
      </c>
      <c r="CD407">
        <v>30</v>
      </c>
      <c r="CE407" s="75">
        <f ca="1">INDIRECT(ADDRESS(11+(MATCH(RIGHT(Table11[[#This Row],[spawner_sku]],LEN(Table11[[#This Row],[spawner_sku]])-FIND("/",Table11[[#This Row],[spawner_sku]])),Table1[Entity Prefab],0)),10,1,1,"Entities"))</f>
        <v>25</v>
      </c>
      <c r="CF407">
        <f ca="1">ROUND((Table11[[#This Row],[XP]]*Table11[[#This Row],[entity_spawned (AVG)]])*(Table11[[#This Row],[activating_chance]]/100),0)</f>
        <v>8</v>
      </c>
      <c r="CG407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407" s="72">
        <v>1</v>
      </c>
      <c r="CI407" s="72">
        <v>1</v>
      </c>
      <c r="CJ407" s="72" t="b">
        <v>0</v>
      </c>
      <c r="DH407" t="s">
        <v>390</v>
      </c>
      <c r="DI407">
        <v>1</v>
      </c>
      <c r="DJ407">
        <v>200</v>
      </c>
      <c r="DK407">
        <v>100</v>
      </c>
      <c r="DL407" s="75">
        <f ca="1">INDIRECT(ADDRESS(11+(MATCH(RIGHT(Table14[[#This Row],[spawner_sku]],LEN(Table14[[#This Row],[spawner_sku]])-FIND("/",Table14[[#This Row],[spawner_sku]])),Table1[Entity Prefab],0)),10,1,1,"Entities"))</f>
        <v>75</v>
      </c>
      <c r="DM407" s="75">
        <f ca="1">ROUND((Table14[[#This Row],[XP]]*Table14[[#This Row],[entity_spawned (AVG)]])*(Table14[[#This Row],[activating_chance]]/100),0)</f>
        <v>75</v>
      </c>
      <c r="DN40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407" s="72">
        <v>1</v>
      </c>
      <c r="DP407" s="72">
        <v>1</v>
      </c>
      <c r="DQ407" s="72" t="b">
        <v>0</v>
      </c>
    </row>
    <row r="408" spans="2:121" x14ac:dyDescent="0.25">
      <c r="B408" s="73" t="s">
        <v>473</v>
      </c>
      <c r="C408">
        <v>1</v>
      </c>
      <c r="D408">
        <v>300</v>
      </c>
      <c r="E408">
        <v>100</v>
      </c>
      <c r="F408" s="75">
        <f ca="1">INDIRECT(ADDRESS(11+(MATCH(RIGHT(Table245[[#This Row],[spawner_sku]],LEN(Table245[[#This Row],[spawner_sku]])-FIND("/",Table245[[#This Row],[spawner_sku]])),Table1[Entity Prefab],0)),10,1,1,"Entities"))</f>
        <v>130</v>
      </c>
      <c r="G408" s="75">
        <f ca="1">ROUND((Table245[[#This Row],[XP]]*Table245[[#This Row],[entity_spawned (AVG)]])*(Table245[[#This Row],[activating_chance]]/100),0)</f>
        <v>130</v>
      </c>
      <c r="H40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8" s="72">
        <v>1</v>
      </c>
      <c r="J408" s="72">
        <v>1</v>
      </c>
      <c r="K408" s="72" t="b">
        <v>0</v>
      </c>
      <c r="AI408" t="s">
        <v>255</v>
      </c>
      <c r="AJ408">
        <v>1</v>
      </c>
      <c r="AK408">
        <v>110</v>
      </c>
      <c r="AL408">
        <v>100</v>
      </c>
      <c r="AM408" s="75">
        <f ca="1">INDIRECT(ADDRESS(11+(MATCH(RIGHT(Table2[[#This Row],[spawner_sku]],LEN(Table2[[#This Row],[spawner_sku]])-FIND("/",Table2[[#This Row],[spawner_sku]])),Table1[Entity Prefab],0)),10,1,1,"Entities"))</f>
        <v>25</v>
      </c>
      <c r="AN408" s="75">
        <f ca="1">ROUND((Table2[[#This Row],[XP]]*Table2[[#This Row],[entity_spawned (AVG)]])*(Table2[[#This Row],[activating_chance]]/100),0)</f>
        <v>25</v>
      </c>
      <c r="AO40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08" s="72">
        <v>1</v>
      </c>
      <c r="AQ408" s="72">
        <v>1</v>
      </c>
      <c r="AR408" s="72" t="b">
        <v>0</v>
      </c>
      <c r="BP408" t="s">
        <v>450</v>
      </c>
      <c r="BQ408">
        <v>1</v>
      </c>
      <c r="BR408">
        <v>100</v>
      </c>
      <c r="BS408">
        <v>75</v>
      </c>
      <c r="BT40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08" s="75">
        <f ca="1">ROUND((Table61011[[#This Row],[XP]]*Table61011[[#This Row],[entity_spawned (AVG)]])*(Table61011[[#This Row],[activating_chance]]/100),0)</f>
        <v>19</v>
      </c>
      <c r="BV40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08" s="72">
        <v>1</v>
      </c>
      <c r="BX408" s="72">
        <v>1</v>
      </c>
      <c r="BY408" s="72" t="b">
        <v>0</v>
      </c>
      <c r="CA408" t="s">
        <v>255</v>
      </c>
      <c r="CB408">
        <v>1</v>
      </c>
      <c r="CC408">
        <v>150</v>
      </c>
      <c r="CD408">
        <v>100</v>
      </c>
      <c r="CE408" s="75">
        <f ca="1">INDIRECT(ADDRESS(11+(MATCH(RIGHT(Table11[[#This Row],[spawner_sku]],LEN(Table11[[#This Row],[spawner_sku]])-FIND("/",Table11[[#This Row],[spawner_sku]])),Table1[Entity Prefab],0)),10,1,1,"Entities"))</f>
        <v>25</v>
      </c>
      <c r="CF408">
        <f ca="1">ROUND((Table11[[#This Row],[XP]]*Table11[[#This Row],[entity_spawned (AVG)]])*(Table11[[#This Row],[activating_chance]]/100),0)</f>
        <v>25</v>
      </c>
      <c r="CG408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408" s="72">
        <v>1</v>
      </c>
      <c r="CI408" s="72">
        <v>1</v>
      </c>
      <c r="CJ408" s="72" t="b">
        <v>0</v>
      </c>
      <c r="DH408" t="s">
        <v>390</v>
      </c>
      <c r="DI408">
        <v>1</v>
      </c>
      <c r="DJ408">
        <v>200</v>
      </c>
      <c r="DK408">
        <v>30</v>
      </c>
      <c r="DL408" s="75">
        <f ca="1">INDIRECT(ADDRESS(11+(MATCH(RIGHT(Table14[[#This Row],[spawner_sku]],LEN(Table14[[#This Row],[spawner_sku]])-FIND("/",Table14[[#This Row],[spawner_sku]])),Table1[Entity Prefab],0)),10,1,1,"Entities"))</f>
        <v>75</v>
      </c>
      <c r="DM408" s="75">
        <f ca="1">ROUND((Table14[[#This Row],[XP]]*Table14[[#This Row],[entity_spawned (AVG)]])*(Table14[[#This Row],[activating_chance]]/100),0)</f>
        <v>23</v>
      </c>
      <c r="DN40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408" s="72">
        <v>1</v>
      </c>
      <c r="DP408" s="72">
        <v>1</v>
      </c>
      <c r="DQ408" s="72" t="b">
        <v>0</v>
      </c>
    </row>
    <row r="409" spans="2:121" x14ac:dyDescent="0.25">
      <c r="B409" s="73" t="s">
        <v>473</v>
      </c>
      <c r="C409">
        <v>1</v>
      </c>
      <c r="D409">
        <v>300</v>
      </c>
      <c r="E409">
        <v>100</v>
      </c>
      <c r="F409" s="75">
        <f ca="1">INDIRECT(ADDRESS(11+(MATCH(RIGHT(Table245[[#This Row],[spawner_sku]],LEN(Table245[[#This Row],[spawner_sku]])-FIND("/",Table245[[#This Row],[spawner_sku]])),Table1[Entity Prefab],0)),10,1,1,"Entities"))</f>
        <v>130</v>
      </c>
      <c r="G409" s="75">
        <f ca="1">ROUND((Table245[[#This Row],[XP]]*Table245[[#This Row],[entity_spawned (AVG)]])*(Table245[[#This Row],[activating_chance]]/100),0)</f>
        <v>130</v>
      </c>
      <c r="H40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9" s="72">
        <v>1</v>
      </c>
      <c r="J409" s="72">
        <v>1</v>
      </c>
      <c r="K409" s="72" t="b">
        <v>0</v>
      </c>
      <c r="AI409" t="s">
        <v>255</v>
      </c>
      <c r="AJ409">
        <v>1</v>
      </c>
      <c r="AK409">
        <v>170</v>
      </c>
      <c r="AL409">
        <v>90</v>
      </c>
      <c r="AM409" s="75">
        <f ca="1">INDIRECT(ADDRESS(11+(MATCH(RIGHT(Table2[[#This Row],[spawner_sku]],LEN(Table2[[#This Row],[spawner_sku]])-FIND("/",Table2[[#This Row],[spawner_sku]])),Table1[Entity Prefab],0)),10,1,1,"Entities"))</f>
        <v>25</v>
      </c>
      <c r="AN409" s="75">
        <f ca="1">ROUND((Table2[[#This Row],[XP]]*Table2[[#This Row],[entity_spawned (AVG)]])*(Table2[[#This Row],[activating_chance]]/100),0)</f>
        <v>23</v>
      </c>
      <c r="AO40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09" s="72">
        <v>1</v>
      </c>
      <c r="AQ409" s="72">
        <v>1</v>
      </c>
      <c r="AR409" s="72" t="b">
        <v>0</v>
      </c>
      <c r="BP409" t="s">
        <v>347</v>
      </c>
      <c r="BQ409">
        <v>1</v>
      </c>
      <c r="BR409">
        <v>150</v>
      </c>
      <c r="BS409">
        <v>100</v>
      </c>
      <c r="BT409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09" s="75">
        <f ca="1">ROUND((Table61011[[#This Row],[XP]]*Table61011[[#This Row],[entity_spawned (AVG)]])*(Table61011[[#This Row],[activating_chance]]/100),0)</f>
        <v>50</v>
      </c>
      <c r="BV40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09" s="72">
        <v>1</v>
      </c>
      <c r="BX409" s="72">
        <v>1</v>
      </c>
      <c r="BY409" s="72" t="b">
        <v>0</v>
      </c>
      <c r="CA409" t="s">
        <v>255</v>
      </c>
      <c r="CB409">
        <v>1</v>
      </c>
      <c r="CC409">
        <v>150</v>
      </c>
      <c r="CD409">
        <v>100</v>
      </c>
      <c r="CE409" s="75">
        <f ca="1">INDIRECT(ADDRESS(11+(MATCH(RIGHT(Table11[[#This Row],[spawner_sku]],LEN(Table11[[#This Row],[spawner_sku]])-FIND("/",Table11[[#This Row],[spawner_sku]])),Table1[Entity Prefab],0)),10,1,1,"Entities"))</f>
        <v>25</v>
      </c>
      <c r="CF409">
        <f ca="1">ROUND((Table11[[#This Row],[XP]]*Table11[[#This Row],[entity_spawned (AVG)]])*(Table11[[#This Row],[activating_chance]]/100),0)</f>
        <v>25</v>
      </c>
      <c r="CG409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409" s="72">
        <v>1</v>
      </c>
      <c r="CI409" s="72">
        <v>1</v>
      </c>
      <c r="CJ409" s="72" t="b">
        <v>0</v>
      </c>
      <c r="DH409" t="s">
        <v>390</v>
      </c>
      <c r="DI409">
        <v>1</v>
      </c>
      <c r="DJ409">
        <v>180</v>
      </c>
      <c r="DK409">
        <v>100</v>
      </c>
      <c r="DL409" s="75">
        <f ca="1">INDIRECT(ADDRESS(11+(MATCH(RIGHT(Table14[[#This Row],[spawner_sku]],LEN(Table14[[#This Row],[spawner_sku]])-FIND("/",Table14[[#This Row],[spawner_sku]])),Table1[Entity Prefab],0)),10,1,1,"Entities"))</f>
        <v>75</v>
      </c>
      <c r="DM409" s="75">
        <f ca="1">ROUND((Table14[[#This Row],[XP]]*Table14[[#This Row],[entity_spawned (AVG)]])*(Table14[[#This Row],[activating_chance]]/100),0)</f>
        <v>75</v>
      </c>
      <c r="DN40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409" s="72">
        <v>1</v>
      </c>
      <c r="DP409" s="72">
        <v>1</v>
      </c>
      <c r="DQ409" s="72" t="b">
        <v>0</v>
      </c>
    </row>
    <row r="410" spans="2:121" x14ac:dyDescent="0.25">
      <c r="B410" s="73" t="s">
        <v>445</v>
      </c>
      <c r="C410">
        <v>1</v>
      </c>
      <c r="D410">
        <v>190</v>
      </c>
      <c r="E410">
        <v>30</v>
      </c>
      <c r="F410" s="75">
        <f ca="1">INDIRECT(ADDRESS(11+(MATCH(RIGHT(Table245[[#This Row],[spawner_sku]],LEN(Table245[[#This Row],[spawner_sku]])-FIND("/",Table245[[#This Row],[spawner_sku]])),Table1[Entity Prefab],0)),10,1,1,"Entities"))</f>
        <v>0</v>
      </c>
      <c r="G410" s="75">
        <f ca="1">ROUND((Table245[[#This Row],[XP]]*Table245[[#This Row],[entity_spawned (AVG)]])*(Table245[[#This Row],[activating_chance]]/100),0)</f>
        <v>0</v>
      </c>
      <c r="H41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10" s="72">
        <v>1</v>
      </c>
      <c r="J410" s="72">
        <v>1</v>
      </c>
      <c r="K410" s="72" t="b">
        <v>0</v>
      </c>
      <c r="AI410" t="s">
        <v>255</v>
      </c>
      <c r="AJ410">
        <v>1</v>
      </c>
      <c r="AK410">
        <v>110</v>
      </c>
      <c r="AL410">
        <v>100</v>
      </c>
      <c r="AM410" s="75">
        <f ca="1">INDIRECT(ADDRESS(11+(MATCH(RIGHT(Table2[[#This Row],[spawner_sku]],LEN(Table2[[#This Row],[spawner_sku]])-FIND("/",Table2[[#This Row],[spawner_sku]])),Table1[Entity Prefab],0)),10,1,1,"Entities"))</f>
        <v>25</v>
      </c>
      <c r="AN410" s="75">
        <f ca="1">ROUND((Table2[[#This Row],[XP]]*Table2[[#This Row],[entity_spawned (AVG)]])*(Table2[[#This Row],[activating_chance]]/100),0)</f>
        <v>25</v>
      </c>
      <c r="AO41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10" s="72">
        <v>1</v>
      </c>
      <c r="AQ410" s="72">
        <v>1</v>
      </c>
      <c r="AR410" s="72" t="b">
        <v>0</v>
      </c>
      <c r="BP410" t="s">
        <v>252</v>
      </c>
      <c r="BQ410">
        <v>1</v>
      </c>
      <c r="BR410">
        <v>190</v>
      </c>
      <c r="BS410">
        <v>100</v>
      </c>
      <c r="BT410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410" s="75">
        <f ca="1">ROUND((Table61011[[#This Row],[XP]]*Table61011[[#This Row],[entity_spawned (AVG)]])*(Table61011[[#This Row],[activating_chance]]/100),0)</f>
        <v>75</v>
      </c>
      <c r="BV41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10" s="72">
        <v>1</v>
      </c>
      <c r="BX410" s="72">
        <v>1</v>
      </c>
      <c r="BY410" s="72" t="b">
        <v>0</v>
      </c>
      <c r="CA410" t="s">
        <v>255</v>
      </c>
      <c r="CB410">
        <v>1</v>
      </c>
      <c r="CC410">
        <v>150</v>
      </c>
      <c r="CD410">
        <v>100</v>
      </c>
      <c r="CE410" s="75">
        <f ca="1">INDIRECT(ADDRESS(11+(MATCH(RIGHT(Table11[[#This Row],[spawner_sku]],LEN(Table11[[#This Row],[spawner_sku]])-FIND("/",Table11[[#This Row],[spawner_sku]])),Table1[Entity Prefab],0)),10,1,1,"Entities"))</f>
        <v>25</v>
      </c>
      <c r="CF410">
        <f ca="1">ROUND((Table11[[#This Row],[XP]]*Table11[[#This Row],[entity_spawned (AVG)]])*(Table11[[#This Row],[activating_chance]]/100),0)</f>
        <v>25</v>
      </c>
      <c r="CG410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410" s="72">
        <v>1</v>
      </c>
      <c r="CI410" s="72">
        <v>1</v>
      </c>
      <c r="CJ410" s="72" t="b">
        <v>0</v>
      </c>
      <c r="DH410" t="s">
        <v>390</v>
      </c>
      <c r="DI410">
        <v>1</v>
      </c>
      <c r="DJ410">
        <v>200</v>
      </c>
      <c r="DK410">
        <v>100</v>
      </c>
      <c r="DL410" s="75">
        <f ca="1">INDIRECT(ADDRESS(11+(MATCH(RIGHT(Table14[[#This Row],[spawner_sku]],LEN(Table14[[#This Row],[spawner_sku]])-FIND("/",Table14[[#This Row],[spawner_sku]])),Table1[Entity Prefab],0)),10,1,1,"Entities"))</f>
        <v>75</v>
      </c>
      <c r="DM410" s="75">
        <f ca="1">ROUND((Table14[[#This Row],[XP]]*Table14[[#This Row],[entity_spawned (AVG)]])*(Table14[[#This Row],[activating_chance]]/100),0)</f>
        <v>75</v>
      </c>
      <c r="DN41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410" s="72">
        <v>1</v>
      </c>
      <c r="DP410" s="72">
        <v>1</v>
      </c>
      <c r="DQ410" s="72" t="b">
        <v>0</v>
      </c>
    </row>
    <row r="411" spans="2:121" x14ac:dyDescent="0.25">
      <c r="B411" s="73" t="s">
        <v>445</v>
      </c>
      <c r="C411">
        <v>1</v>
      </c>
      <c r="D411">
        <v>190</v>
      </c>
      <c r="E411">
        <v>100</v>
      </c>
      <c r="F411" s="75">
        <f ca="1">INDIRECT(ADDRESS(11+(MATCH(RIGHT(Table245[[#This Row],[spawner_sku]],LEN(Table245[[#This Row],[spawner_sku]])-FIND("/",Table245[[#This Row],[spawner_sku]])),Table1[Entity Prefab],0)),10,1,1,"Entities"))</f>
        <v>0</v>
      </c>
      <c r="G411" s="75">
        <f ca="1">ROUND((Table245[[#This Row],[XP]]*Table245[[#This Row],[entity_spawned (AVG)]])*(Table245[[#This Row],[activating_chance]]/100),0)</f>
        <v>0</v>
      </c>
      <c r="H41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11" s="72">
        <v>1</v>
      </c>
      <c r="J411" s="72">
        <v>1</v>
      </c>
      <c r="K411" s="72" t="b">
        <v>0</v>
      </c>
      <c r="AI411" t="s">
        <v>255</v>
      </c>
      <c r="AJ411">
        <v>1</v>
      </c>
      <c r="AK411">
        <v>180</v>
      </c>
      <c r="AL411">
        <v>100</v>
      </c>
      <c r="AM411" s="75">
        <f ca="1">INDIRECT(ADDRESS(11+(MATCH(RIGHT(Table2[[#This Row],[spawner_sku]],LEN(Table2[[#This Row],[spawner_sku]])-FIND("/",Table2[[#This Row],[spawner_sku]])),Table1[Entity Prefab],0)),10,1,1,"Entities"))</f>
        <v>25</v>
      </c>
      <c r="AN411" s="75">
        <f ca="1">ROUND((Table2[[#This Row],[XP]]*Table2[[#This Row],[entity_spawned (AVG)]])*(Table2[[#This Row],[activating_chance]]/100),0)</f>
        <v>25</v>
      </c>
      <c r="AO41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11" s="72">
        <v>1</v>
      </c>
      <c r="AQ411" s="72">
        <v>1</v>
      </c>
      <c r="AR411" s="72" t="b">
        <v>0</v>
      </c>
      <c r="BP411" t="s">
        <v>252</v>
      </c>
      <c r="BQ411">
        <v>1</v>
      </c>
      <c r="BR411">
        <v>220</v>
      </c>
      <c r="BS411">
        <v>100</v>
      </c>
      <c r="BT411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411" s="75">
        <f ca="1">ROUND((Table61011[[#This Row],[XP]]*Table61011[[#This Row],[entity_spawned (AVG)]])*(Table61011[[#This Row],[activating_chance]]/100),0)</f>
        <v>75</v>
      </c>
      <c r="BV41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11" s="72">
        <v>1</v>
      </c>
      <c r="BX411" s="72">
        <v>1</v>
      </c>
      <c r="BY411" s="72" t="b">
        <v>0</v>
      </c>
      <c r="CA411" t="s">
        <v>255</v>
      </c>
      <c r="CB411">
        <v>1</v>
      </c>
      <c r="CC411">
        <v>150</v>
      </c>
      <c r="CD411">
        <v>100</v>
      </c>
      <c r="CE411" s="75">
        <f ca="1">INDIRECT(ADDRESS(11+(MATCH(RIGHT(Table11[[#This Row],[spawner_sku]],LEN(Table11[[#This Row],[spawner_sku]])-FIND("/",Table11[[#This Row],[spawner_sku]])),Table1[Entity Prefab],0)),10,1,1,"Entities"))</f>
        <v>25</v>
      </c>
      <c r="CF411">
        <f ca="1">ROUND((Table11[[#This Row],[XP]]*Table11[[#This Row],[entity_spawned (AVG)]])*(Table11[[#This Row],[activating_chance]]/100),0)</f>
        <v>25</v>
      </c>
      <c r="CG411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411" s="72">
        <v>1</v>
      </c>
      <c r="CI411" s="72">
        <v>1</v>
      </c>
      <c r="CJ411" s="72" t="b">
        <v>0</v>
      </c>
      <c r="DH411" t="s">
        <v>390</v>
      </c>
      <c r="DI411">
        <v>1</v>
      </c>
      <c r="DJ411">
        <v>200</v>
      </c>
      <c r="DK411">
        <v>30</v>
      </c>
      <c r="DL411" s="75">
        <f ca="1">INDIRECT(ADDRESS(11+(MATCH(RIGHT(Table14[[#This Row],[spawner_sku]],LEN(Table14[[#This Row],[spawner_sku]])-FIND("/",Table14[[#This Row],[spawner_sku]])),Table1[Entity Prefab],0)),10,1,1,"Entities"))</f>
        <v>75</v>
      </c>
      <c r="DM411" s="75">
        <f ca="1">ROUND((Table14[[#This Row],[XP]]*Table14[[#This Row],[entity_spawned (AVG)]])*(Table14[[#This Row],[activating_chance]]/100),0)</f>
        <v>23</v>
      </c>
      <c r="DN41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411" s="72">
        <v>1</v>
      </c>
      <c r="DP411" s="72">
        <v>1</v>
      </c>
      <c r="DQ411" s="72" t="b">
        <v>0</v>
      </c>
    </row>
    <row r="412" spans="2:121" x14ac:dyDescent="0.25">
      <c r="B412" s="73" t="s">
        <v>445</v>
      </c>
      <c r="C412">
        <v>1</v>
      </c>
      <c r="D412">
        <v>180</v>
      </c>
      <c r="E412">
        <v>80</v>
      </c>
      <c r="F412" s="75">
        <f ca="1">INDIRECT(ADDRESS(11+(MATCH(RIGHT(Table245[[#This Row],[spawner_sku]],LEN(Table245[[#This Row],[spawner_sku]])-FIND("/",Table245[[#This Row],[spawner_sku]])),Table1[Entity Prefab],0)),10,1,1,"Entities"))</f>
        <v>0</v>
      </c>
      <c r="G412" s="75">
        <f ca="1">ROUND((Table245[[#This Row],[XP]]*Table245[[#This Row],[entity_spawned (AVG)]])*(Table245[[#This Row],[activating_chance]]/100),0)</f>
        <v>0</v>
      </c>
      <c r="H41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12" s="72">
        <v>1</v>
      </c>
      <c r="J412" s="72">
        <v>1</v>
      </c>
      <c r="K412" s="72" t="b">
        <v>0</v>
      </c>
      <c r="AI412" t="s">
        <v>255</v>
      </c>
      <c r="AJ412">
        <v>1</v>
      </c>
      <c r="AK412">
        <v>100</v>
      </c>
      <c r="AL412">
        <v>100</v>
      </c>
      <c r="AM412" s="75">
        <f ca="1">INDIRECT(ADDRESS(11+(MATCH(RIGHT(Table2[[#This Row],[spawner_sku]],LEN(Table2[[#This Row],[spawner_sku]])-FIND("/",Table2[[#This Row],[spawner_sku]])),Table1[Entity Prefab],0)),10,1,1,"Entities"))</f>
        <v>25</v>
      </c>
      <c r="AN412" s="75">
        <f ca="1">ROUND((Table2[[#This Row],[XP]]*Table2[[#This Row],[entity_spawned (AVG)]])*(Table2[[#This Row],[activating_chance]]/100),0)</f>
        <v>25</v>
      </c>
      <c r="AO41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12" s="72">
        <v>1</v>
      </c>
      <c r="AQ412" s="72">
        <v>1</v>
      </c>
      <c r="AR412" s="72" t="b">
        <v>0</v>
      </c>
      <c r="BP412" t="s">
        <v>252</v>
      </c>
      <c r="BQ412">
        <v>1</v>
      </c>
      <c r="BR412">
        <v>220</v>
      </c>
      <c r="BS412">
        <v>100</v>
      </c>
      <c r="BT412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412" s="75">
        <f ca="1">ROUND((Table61011[[#This Row],[XP]]*Table61011[[#This Row],[entity_spawned (AVG)]])*(Table61011[[#This Row],[activating_chance]]/100),0)</f>
        <v>75</v>
      </c>
      <c r="BV41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12" s="72">
        <v>1</v>
      </c>
      <c r="BX412" s="72">
        <v>1</v>
      </c>
      <c r="BY412" s="72" t="b">
        <v>0</v>
      </c>
      <c r="CA412" t="s">
        <v>255</v>
      </c>
      <c r="CB412">
        <v>1</v>
      </c>
      <c r="CC412">
        <v>150</v>
      </c>
      <c r="CD412">
        <v>100</v>
      </c>
      <c r="CE412" s="75">
        <f ca="1">INDIRECT(ADDRESS(11+(MATCH(RIGHT(Table11[[#This Row],[spawner_sku]],LEN(Table11[[#This Row],[spawner_sku]])-FIND("/",Table11[[#This Row],[spawner_sku]])),Table1[Entity Prefab],0)),10,1,1,"Entities"))</f>
        <v>25</v>
      </c>
      <c r="CF412">
        <f ca="1">ROUND((Table11[[#This Row],[XP]]*Table11[[#This Row],[entity_spawned (AVG)]])*(Table11[[#This Row],[activating_chance]]/100),0)</f>
        <v>25</v>
      </c>
      <c r="CG412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412" s="72">
        <v>1</v>
      </c>
      <c r="CI412" s="72">
        <v>1</v>
      </c>
      <c r="CJ412" s="72" t="b">
        <v>0</v>
      </c>
      <c r="DH412" t="s">
        <v>390</v>
      </c>
      <c r="DI412">
        <v>1</v>
      </c>
      <c r="DJ412">
        <v>200</v>
      </c>
      <c r="DK412">
        <v>40</v>
      </c>
      <c r="DL412" s="75">
        <f ca="1">INDIRECT(ADDRESS(11+(MATCH(RIGHT(Table14[[#This Row],[spawner_sku]],LEN(Table14[[#This Row],[spawner_sku]])-FIND("/",Table14[[#This Row],[spawner_sku]])),Table1[Entity Prefab],0)),10,1,1,"Entities"))</f>
        <v>75</v>
      </c>
      <c r="DM412" s="75">
        <f ca="1">ROUND((Table14[[#This Row],[XP]]*Table14[[#This Row],[entity_spawned (AVG)]])*(Table14[[#This Row],[activating_chance]]/100),0)</f>
        <v>30</v>
      </c>
      <c r="DN41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412" s="72">
        <v>1</v>
      </c>
      <c r="DP412" s="72">
        <v>1</v>
      </c>
      <c r="DQ412" s="72" t="b">
        <v>0</v>
      </c>
    </row>
    <row r="413" spans="2:121" x14ac:dyDescent="0.25">
      <c r="B413" s="73" t="s">
        <v>445</v>
      </c>
      <c r="C413">
        <v>1</v>
      </c>
      <c r="D413">
        <v>180</v>
      </c>
      <c r="E413">
        <v>100</v>
      </c>
      <c r="F413" s="75">
        <f ca="1">INDIRECT(ADDRESS(11+(MATCH(RIGHT(Table245[[#This Row],[spawner_sku]],LEN(Table245[[#This Row],[spawner_sku]])-FIND("/",Table245[[#This Row],[spawner_sku]])),Table1[Entity Prefab],0)),10,1,1,"Entities"))</f>
        <v>0</v>
      </c>
      <c r="G413" s="75">
        <f ca="1">ROUND((Table245[[#This Row],[XP]]*Table245[[#This Row],[entity_spawned (AVG)]])*(Table245[[#This Row],[activating_chance]]/100),0)</f>
        <v>0</v>
      </c>
      <c r="H41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13" s="72">
        <v>1</v>
      </c>
      <c r="J413" s="72">
        <v>1</v>
      </c>
      <c r="K413" s="72" t="b">
        <v>0</v>
      </c>
      <c r="AI413" t="s">
        <v>255</v>
      </c>
      <c r="AJ413">
        <v>1</v>
      </c>
      <c r="AK413">
        <v>120</v>
      </c>
      <c r="AL413">
        <v>90</v>
      </c>
      <c r="AM413" s="75">
        <f ca="1">INDIRECT(ADDRESS(11+(MATCH(RIGHT(Table2[[#This Row],[spawner_sku]],LEN(Table2[[#This Row],[spawner_sku]])-FIND("/",Table2[[#This Row],[spawner_sku]])),Table1[Entity Prefab],0)),10,1,1,"Entities"))</f>
        <v>25</v>
      </c>
      <c r="AN413" s="75">
        <f ca="1">ROUND((Table2[[#This Row],[XP]]*Table2[[#This Row],[entity_spawned (AVG)]])*(Table2[[#This Row],[activating_chance]]/100),0)</f>
        <v>23</v>
      </c>
      <c r="AO41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13" s="72">
        <v>1</v>
      </c>
      <c r="AQ413" s="72">
        <v>1</v>
      </c>
      <c r="AR413" s="72" t="b">
        <v>0</v>
      </c>
      <c r="BP413" t="s">
        <v>252</v>
      </c>
      <c r="BQ413">
        <v>1</v>
      </c>
      <c r="BR413">
        <v>170</v>
      </c>
      <c r="BS413">
        <v>100</v>
      </c>
      <c r="BT413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413" s="75">
        <f ca="1">ROUND((Table61011[[#This Row],[XP]]*Table61011[[#This Row],[entity_spawned (AVG)]])*(Table61011[[#This Row],[activating_chance]]/100),0)</f>
        <v>75</v>
      </c>
      <c r="BV41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13" s="72">
        <v>1</v>
      </c>
      <c r="BX413" s="72">
        <v>1</v>
      </c>
      <c r="BY413" s="72" t="b">
        <v>0</v>
      </c>
      <c r="CA413" t="s">
        <v>255</v>
      </c>
      <c r="CB413">
        <v>1</v>
      </c>
      <c r="CC413">
        <v>150</v>
      </c>
      <c r="CD413">
        <v>20</v>
      </c>
      <c r="CE413" s="75">
        <f ca="1">INDIRECT(ADDRESS(11+(MATCH(RIGHT(Table11[[#This Row],[spawner_sku]],LEN(Table11[[#This Row],[spawner_sku]])-FIND("/",Table11[[#This Row],[spawner_sku]])),Table1[Entity Prefab],0)),10,1,1,"Entities"))</f>
        <v>25</v>
      </c>
      <c r="CF413">
        <f ca="1">ROUND((Table11[[#This Row],[XP]]*Table11[[#This Row],[entity_spawned (AVG)]])*(Table11[[#This Row],[activating_chance]]/100),0)</f>
        <v>5</v>
      </c>
      <c r="CG413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413" s="72">
        <v>1</v>
      </c>
      <c r="CI413" s="72">
        <v>1</v>
      </c>
      <c r="CJ413" s="72" t="b">
        <v>0</v>
      </c>
      <c r="DH413" t="s">
        <v>386</v>
      </c>
      <c r="DI413">
        <v>1</v>
      </c>
      <c r="DJ413">
        <v>180</v>
      </c>
      <c r="DK413">
        <v>100</v>
      </c>
      <c r="DL413" s="75">
        <f ca="1">INDIRECT(ADDRESS(11+(MATCH(RIGHT(Table14[[#This Row],[spawner_sku]],LEN(Table14[[#This Row],[spawner_sku]])-FIND("/",Table14[[#This Row],[spawner_sku]])),Table1[Entity Prefab],0)),10,1,1,"Entities"))</f>
        <v>75</v>
      </c>
      <c r="DM413" s="75">
        <f ca="1">ROUND((Table14[[#This Row],[XP]]*Table14[[#This Row],[entity_spawned (AVG)]])*(Table14[[#This Row],[activating_chance]]/100),0)</f>
        <v>75</v>
      </c>
      <c r="DN41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413" s="72">
        <v>1</v>
      </c>
      <c r="DP413" s="72">
        <v>1</v>
      </c>
      <c r="DQ413" s="72" t="b">
        <v>0</v>
      </c>
    </row>
    <row r="414" spans="2:121" x14ac:dyDescent="0.25">
      <c r="B414" s="73" t="s">
        <v>445</v>
      </c>
      <c r="C414">
        <v>1</v>
      </c>
      <c r="D414">
        <v>180</v>
      </c>
      <c r="E414">
        <v>100</v>
      </c>
      <c r="F414" s="75">
        <f ca="1">INDIRECT(ADDRESS(11+(MATCH(RIGHT(Table245[[#This Row],[spawner_sku]],LEN(Table245[[#This Row],[spawner_sku]])-FIND("/",Table245[[#This Row],[spawner_sku]])),Table1[Entity Prefab],0)),10,1,1,"Entities"))</f>
        <v>0</v>
      </c>
      <c r="G414" s="75">
        <f ca="1">ROUND((Table245[[#This Row],[XP]]*Table245[[#This Row],[entity_spawned (AVG)]])*(Table245[[#This Row],[activating_chance]]/100),0)</f>
        <v>0</v>
      </c>
      <c r="H41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14" s="72">
        <v>1</v>
      </c>
      <c r="J414" s="72">
        <v>1</v>
      </c>
      <c r="K414" s="72" t="b">
        <v>0</v>
      </c>
      <c r="AI414" t="s">
        <v>255</v>
      </c>
      <c r="AJ414">
        <v>1</v>
      </c>
      <c r="AK414">
        <v>180</v>
      </c>
      <c r="AL414">
        <v>30</v>
      </c>
      <c r="AM414" s="75">
        <f ca="1">INDIRECT(ADDRESS(11+(MATCH(RIGHT(Table2[[#This Row],[spawner_sku]],LEN(Table2[[#This Row],[spawner_sku]])-FIND("/",Table2[[#This Row],[spawner_sku]])),Table1[Entity Prefab],0)),10,1,1,"Entities"))</f>
        <v>25</v>
      </c>
      <c r="AN414" s="75">
        <f ca="1">ROUND((Table2[[#This Row],[XP]]*Table2[[#This Row],[entity_spawned (AVG)]])*(Table2[[#This Row],[activating_chance]]/100),0)</f>
        <v>8</v>
      </c>
      <c r="AO41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14" s="72">
        <v>1</v>
      </c>
      <c r="AQ414" s="72">
        <v>1</v>
      </c>
      <c r="AR414" s="72" t="b">
        <v>0</v>
      </c>
      <c r="BP414" t="s">
        <v>252</v>
      </c>
      <c r="BQ414">
        <v>1</v>
      </c>
      <c r="BR414">
        <v>220</v>
      </c>
      <c r="BS414">
        <v>30</v>
      </c>
      <c r="BT414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414" s="75">
        <f ca="1">ROUND((Table61011[[#This Row],[XP]]*Table61011[[#This Row],[entity_spawned (AVG)]])*(Table61011[[#This Row],[activating_chance]]/100),0)</f>
        <v>23</v>
      </c>
      <c r="BV41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14" s="72">
        <v>1</v>
      </c>
      <c r="BX414" s="72">
        <v>1</v>
      </c>
      <c r="BY414" s="72" t="b">
        <v>0</v>
      </c>
      <c r="CA414" t="s">
        <v>255</v>
      </c>
      <c r="CB414">
        <v>1</v>
      </c>
      <c r="CC414">
        <v>150</v>
      </c>
      <c r="CD414">
        <v>80</v>
      </c>
      <c r="CE414" s="75">
        <f ca="1">INDIRECT(ADDRESS(11+(MATCH(RIGHT(Table11[[#This Row],[spawner_sku]],LEN(Table11[[#This Row],[spawner_sku]])-FIND("/",Table11[[#This Row],[spawner_sku]])),Table1[Entity Prefab],0)),10,1,1,"Entities"))</f>
        <v>25</v>
      </c>
      <c r="CF414">
        <f ca="1">ROUND((Table11[[#This Row],[XP]]*Table11[[#This Row],[entity_spawned (AVG)]])*(Table11[[#This Row],[activating_chance]]/100),0)</f>
        <v>20</v>
      </c>
      <c r="CG414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414" s="72">
        <v>1</v>
      </c>
      <c r="CI414" s="72">
        <v>1</v>
      </c>
      <c r="CJ414" s="72" t="b">
        <v>0</v>
      </c>
      <c r="DH414" t="s">
        <v>386</v>
      </c>
      <c r="DI414">
        <v>1</v>
      </c>
      <c r="DJ414">
        <v>180</v>
      </c>
      <c r="DK414">
        <v>100</v>
      </c>
      <c r="DL414" s="75">
        <f ca="1">INDIRECT(ADDRESS(11+(MATCH(RIGHT(Table14[[#This Row],[spawner_sku]],LEN(Table14[[#This Row],[spawner_sku]])-FIND("/",Table14[[#This Row],[spawner_sku]])),Table1[Entity Prefab],0)),10,1,1,"Entities"))</f>
        <v>75</v>
      </c>
      <c r="DM414" s="75">
        <f ca="1">ROUND((Table14[[#This Row],[XP]]*Table14[[#This Row],[entity_spawned (AVG)]])*(Table14[[#This Row],[activating_chance]]/100),0)</f>
        <v>75</v>
      </c>
      <c r="DN41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414" s="72">
        <v>1</v>
      </c>
      <c r="DP414" s="72">
        <v>1</v>
      </c>
      <c r="DQ414" s="72" t="b">
        <v>0</v>
      </c>
    </row>
    <row r="415" spans="2:121" x14ac:dyDescent="0.25">
      <c r="B415" s="73" t="s">
        <v>445</v>
      </c>
      <c r="C415">
        <v>1</v>
      </c>
      <c r="D415">
        <v>180</v>
      </c>
      <c r="E415">
        <v>100</v>
      </c>
      <c r="F415" s="75">
        <f ca="1">INDIRECT(ADDRESS(11+(MATCH(RIGHT(Table245[[#This Row],[spawner_sku]],LEN(Table245[[#This Row],[spawner_sku]])-FIND("/",Table245[[#This Row],[spawner_sku]])),Table1[Entity Prefab],0)),10,1,1,"Entities"))</f>
        <v>0</v>
      </c>
      <c r="G415" s="75">
        <f ca="1">ROUND((Table245[[#This Row],[XP]]*Table245[[#This Row],[entity_spawned (AVG)]])*(Table245[[#This Row],[activating_chance]]/100),0)</f>
        <v>0</v>
      </c>
      <c r="H41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15" s="72">
        <v>1</v>
      </c>
      <c r="J415" s="72">
        <v>1</v>
      </c>
      <c r="K415" s="72" t="b">
        <v>0</v>
      </c>
      <c r="AI415" t="s">
        <v>255</v>
      </c>
      <c r="AJ415">
        <v>1</v>
      </c>
      <c r="AK415">
        <v>170</v>
      </c>
      <c r="AL415">
        <v>90</v>
      </c>
      <c r="AM415" s="75">
        <f ca="1">INDIRECT(ADDRESS(11+(MATCH(RIGHT(Table2[[#This Row],[spawner_sku]],LEN(Table2[[#This Row],[spawner_sku]])-FIND("/",Table2[[#This Row],[spawner_sku]])),Table1[Entity Prefab],0)),10,1,1,"Entities"))</f>
        <v>25</v>
      </c>
      <c r="AN415" s="75">
        <f ca="1">ROUND((Table2[[#This Row],[XP]]*Table2[[#This Row],[entity_spawned (AVG)]])*(Table2[[#This Row],[activating_chance]]/100),0)</f>
        <v>23</v>
      </c>
      <c r="AO41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15" s="72">
        <v>1</v>
      </c>
      <c r="AQ415" s="72">
        <v>1</v>
      </c>
      <c r="AR415" s="72" t="b">
        <v>0</v>
      </c>
      <c r="BP415" t="s">
        <v>252</v>
      </c>
      <c r="BQ415">
        <v>1</v>
      </c>
      <c r="BR415">
        <v>220</v>
      </c>
      <c r="BS415">
        <v>100</v>
      </c>
      <c r="BT415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415" s="75">
        <f ca="1">ROUND((Table61011[[#This Row],[XP]]*Table61011[[#This Row],[entity_spawned (AVG)]])*(Table61011[[#This Row],[activating_chance]]/100),0)</f>
        <v>75</v>
      </c>
      <c r="BV41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15" s="72">
        <v>1</v>
      </c>
      <c r="BX415" s="72">
        <v>1</v>
      </c>
      <c r="BY415" s="72" t="b">
        <v>0</v>
      </c>
      <c r="CA415" t="s">
        <v>255</v>
      </c>
      <c r="CB415">
        <v>1</v>
      </c>
      <c r="CC415">
        <v>150</v>
      </c>
      <c r="CD415">
        <v>100</v>
      </c>
      <c r="CE415" s="75">
        <f ca="1">INDIRECT(ADDRESS(11+(MATCH(RIGHT(Table11[[#This Row],[spawner_sku]],LEN(Table11[[#This Row],[spawner_sku]])-FIND("/",Table11[[#This Row],[spawner_sku]])),Table1[Entity Prefab],0)),10,1,1,"Entities"))</f>
        <v>25</v>
      </c>
      <c r="CF415">
        <f ca="1">ROUND((Table11[[#This Row],[XP]]*Table11[[#This Row],[entity_spawned (AVG)]])*(Table11[[#This Row],[activating_chance]]/100),0)</f>
        <v>25</v>
      </c>
      <c r="CG415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415" s="72">
        <v>1</v>
      </c>
      <c r="CI415" s="72">
        <v>1</v>
      </c>
      <c r="CJ415" s="72" t="b">
        <v>0</v>
      </c>
      <c r="DH415" t="s">
        <v>386</v>
      </c>
      <c r="DI415">
        <v>1</v>
      </c>
      <c r="DJ415">
        <v>180</v>
      </c>
      <c r="DK415">
        <v>100</v>
      </c>
      <c r="DL415" s="75">
        <f ca="1">INDIRECT(ADDRESS(11+(MATCH(RIGHT(Table14[[#This Row],[spawner_sku]],LEN(Table14[[#This Row],[spawner_sku]])-FIND("/",Table14[[#This Row],[spawner_sku]])),Table1[Entity Prefab],0)),10,1,1,"Entities"))</f>
        <v>75</v>
      </c>
      <c r="DM415" s="75">
        <f ca="1">ROUND((Table14[[#This Row],[XP]]*Table14[[#This Row],[entity_spawned (AVG)]])*(Table14[[#This Row],[activating_chance]]/100),0)</f>
        <v>75</v>
      </c>
      <c r="DN41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415" s="72">
        <v>1</v>
      </c>
      <c r="DP415" s="72">
        <v>1</v>
      </c>
      <c r="DQ415" s="72" t="b">
        <v>0</v>
      </c>
    </row>
    <row r="416" spans="2:121" x14ac:dyDescent="0.25">
      <c r="B416" s="73" t="s">
        <v>445</v>
      </c>
      <c r="C416">
        <v>1</v>
      </c>
      <c r="D416">
        <v>180</v>
      </c>
      <c r="E416">
        <v>100</v>
      </c>
      <c r="F416" s="75">
        <f ca="1">INDIRECT(ADDRESS(11+(MATCH(RIGHT(Table245[[#This Row],[spawner_sku]],LEN(Table245[[#This Row],[spawner_sku]])-FIND("/",Table245[[#This Row],[spawner_sku]])),Table1[Entity Prefab],0)),10,1,1,"Entities"))</f>
        <v>0</v>
      </c>
      <c r="G416" s="75">
        <f ca="1">ROUND((Table245[[#This Row],[XP]]*Table245[[#This Row],[entity_spawned (AVG)]])*(Table245[[#This Row],[activating_chance]]/100),0)</f>
        <v>0</v>
      </c>
      <c r="H41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16" s="72">
        <v>1</v>
      </c>
      <c r="J416" s="72">
        <v>1</v>
      </c>
      <c r="K416" s="72" t="b">
        <v>0</v>
      </c>
      <c r="AI416" t="s">
        <v>255</v>
      </c>
      <c r="AJ416">
        <v>1</v>
      </c>
      <c r="AK416">
        <v>170</v>
      </c>
      <c r="AL416">
        <v>80</v>
      </c>
      <c r="AM416" s="75">
        <f ca="1">INDIRECT(ADDRESS(11+(MATCH(RIGHT(Table2[[#This Row],[spawner_sku]],LEN(Table2[[#This Row],[spawner_sku]])-FIND("/",Table2[[#This Row],[spawner_sku]])),Table1[Entity Prefab],0)),10,1,1,"Entities"))</f>
        <v>25</v>
      </c>
      <c r="AN416" s="75">
        <f ca="1">ROUND((Table2[[#This Row],[XP]]*Table2[[#This Row],[entity_spawned (AVG)]])*(Table2[[#This Row],[activating_chance]]/100),0)</f>
        <v>20</v>
      </c>
      <c r="AO41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16" s="72">
        <v>1</v>
      </c>
      <c r="AQ416" s="72">
        <v>1</v>
      </c>
      <c r="AR416" s="72" t="b">
        <v>0</v>
      </c>
      <c r="BP416" t="s">
        <v>252</v>
      </c>
      <c r="BQ416">
        <v>1</v>
      </c>
      <c r="BR416">
        <v>170</v>
      </c>
      <c r="BS416">
        <v>100</v>
      </c>
      <c r="BT416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416" s="75">
        <f ca="1">ROUND((Table61011[[#This Row],[XP]]*Table61011[[#This Row],[entity_spawned (AVG)]])*(Table61011[[#This Row],[activating_chance]]/100),0)</f>
        <v>75</v>
      </c>
      <c r="BV41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16" s="72">
        <v>1</v>
      </c>
      <c r="BX416" s="72">
        <v>1</v>
      </c>
      <c r="BY416" s="72" t="b">
        <v>0</v>
      </c>
      <c r="CA416" t="s">
        <v>255</v>
      </c>
      <c r="CB416">
        <v>1</v>
      </c>
      <c r="CC416">
        <v>150</v>
      </c>
      <c r="CD416">
        <v>100</v>
      </c>
      <c r="CE416" s="75">
        <f ca="1">INDIRECT(ADDRESS(11+(MATCH(RIGHT(Table11[[#This Row],[spawner_sku]],LEN(Table11[[#This Row],[spawner_sku]])-FIND("/",Table11[[#This Row],[spawner_sku]])),Table1[Entity Prefab],0)),10,1,1,"Entities"))</f>
        <v>25</v>
      </c>
      <c r="CF416">
        <f ca="1">ROUND((Table11[[#This Row],[XP]]*Table11[[#This Row],[entity_spawned (AVG)]])*(Table11[[#This Row],[activating_chance]]/100),0)</f>
        <v>25</v>
      </c>
      <c r="CG416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416" s="72">
        <v>1</v>
      </c>
      <c r="CI416" s="72">
        <v>1</v>
      </c>
      <c r="CJ416" s="72" t="b">
        <v>0</v>
      </c>
      <c r="DH416" t="s">
        <v>386</v>
      </c>
      <c r="DI416">
        <v>1</v>
      </c>
      <c r="DJ416">
        <v>180</v>
      </c>
      <c r="DK416">
        <v>100</v>
      </c>
      <c r="DL416" s="75">
        <f ca="1">INDIRECT(ADDRESS(11+(MATCH(RIGHT(Table14[[#This Row],[spawner_sku]],LEN(Table14[[#This Row],[spawner_sku]])-FIND("/",Table14[[#This Row],[spawner_sku]])),Table1[Entity Prefab],0)),10,1,1,"Entities"))</f>
        <v>75</v>
      </c>
      <c r="DM416" s="75">
        <f ca="1">ROUND((Table14[[#This Row],[XP]]*Table14[[#This Row],[entity_spawned (AVG)]])*(Table14[[#This Row],[activating_chance]]/100),0)</f>
        <v>75</v>
      </c>
      <c r="DN41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416" s="72">
        <v>1</v>
      </c>
      <c r="DP416" s="72">
        <v>1</v>
      </c>
      <c r="DQ416" s="72" t="b">
        <v>0</v>
      </c>
    </row>
    <row r="417" spans="2:121" x14ac:dyDescent="0.25">
      <c r="B417" s="73" t="s">
        <v>445</v>
      </c>
      <c r="C417">
        <v>1</v>
      </c>
      <c r="D417">
        <v>180</v>
      </c>
      <c r="E417">
        <v>80</v>
      </c>
      <c r="F417" s="75">
        <f ca="1">INDIRECT(ADDRESS(11+(MATCH(RIGHT(Table245[[#This Row],[spawner_sku]],LEN(Table245[[#This Row],[spawner_sku]])-FIND("/",Table245[[#This Row],[spawner_sku]])),Table1[Entity Prefab],0)),10,1,1,"Entities"))</f>
        <v>0</v>
      </c>
      <c r="G417" s="75">
        <f ca="1">ROUND((Table245[[#This Row],[XP]]*Table245[[#This Row],[entity_spawned (AVG)]])*(Table245[[#This Row],[activating_chance]]/100),0)</f>
        <v>0</v>
      </c>
      <c r="H41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17" s="72">
        <v>1</v>
      </c>
      <c r="J417" s="72">
        <v>1</v>
      </c>
      <c r="K417" s="72" t="b">
        <v>0</v>
      </c>
      <c r="AI417" t="s">
        <v>255</v>
      </c>
      <c r="AJ417">
        <v>1</v>
      </c>
      <c r="AK417">
        <v>170</v>
      </c>
      <c r="AL417">
        <v>90</v>
      </c>
      <c r="AM417" s="75">
        <f ca="1">INDIRECT(ADDRESS(11+(MATCH(RIGHT(Table2[[#This Row],[spawner_sku]],LEN(Table2[[#This Row],[spawner_sku]])-FIND("/",Table2[[#This Row],[spawner_sku]])),Table1[Entity Prefab],0)),10,1,1,"Entities"))</f>
        <v>25</v>
      </c>
      <c r="AN417" s="75">
        <f ca="1">ROUND((Table2[[#This Row],[XP]]*Table2[[#This Row],[entity_spawned (AVG)]])*(Table2[[#This Row],[activating_chance]]/100),0)</f>
        <v>23</v>
      </c>
      <c r="AO41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17" s="72">
        <v>1</v>
      </c>
      <c r="AQ417" s="72">
        <v>1</v>
      </c>
      <c r="AR417" s="72" t="b">
        <v>0</v>
      </c>
      <c r="BP417" t="s">
        <v>252</v>
      </c>
      <c r="BQ417">
        <v>1</v>
      </c>
      <c r="BR417">
        <v>220</v>
      </c>
      <c r="BS417">
        <v>100</v>
      </c>
      <c r="BT417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417" s="75">
        <f ca="1">ROUND((Table61011[[#This Row],[XP]]*Table61011[[#This Row],[entity_spawned (AVG)]])*(Table61011[[#This Row],[activating_chance]]/100),0)</f>
        <v>75</v>
      </c>
      <c r="BV41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17" s="72">
        <v>1</v>
      </c>
      <c r="BX417" s="72">
        <v>1</v>
      </c>
      <c r="BY417" s="72" t="b">
        <v>0</v>
      </c>
      <c r="CA417" t="s">
        <v>255</v>
      </c>
      <c r="CB417">
        <v>1</v>
      </c>
      <c r="CC417">
        <v>150</v>
      </c>
      <c r="CD417">
        <v>100</v>
      </c>
      <c r="CE417" s="75">
        <f ca="1">INDIRECT(ADDRESS(11+(MATCH(RIGHT(Table11[[#This Row],[spawner_sku]],LEN(Table11[[#This Row],[spawner_sku]])-FIND("/",Table11[[#This Row],[spawner_sku]])),Table1[Entity Prefab],0)),10,1,1,"Entities"))</f>
        <v>25</v>
      </c>
      <c r="CF417">
        <f ca="1">ROUND((Table11[[#This Row],[XP]]*Table11[[#This Row],[entity_spawned (AVG)]])*(Table11[[#This Row],[activating_chance]]/100),0)</f>
        <v>25</v>
      </c>
      <c r="CG417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417" s="72">
        <v>1</v>
      </c>
      <c r="CI417" s="72">
        <v>1</v>
      </c>
      <c r="CJ417" s="72" t="b">
        <v>0</v>
      </c>
      <c r="DH417" t="s">
        <v>386</v>
      </c>
      <c r="DI417">
        <v>1</v>
      </c>
      <c r="DJ417">
        <v>180</v>
      </c>
      <c r="DK417">
        <v>100</v>
      </c>
      <c r="DL417" s="75">
        <f ca="1">INDIRECT(ADDRESS(11+(MATCH(RIGHT(Table14[[#This Row],[spawner_sku]],LEN(Table14[[#This Row],[spawner_sku]])-FIND("/",Table14[[#This Row],[spawner_sku]])),Table1[Entity Prefab],0)),10,1,1,"Entities"))</f>
        <v>75</v>
      </c>
      <c r="DM417" s="75">
        <f ca="1">ROUND((Table14[[#This Row],[XP]]*Table14[[#This Row],[entity_spawned (AVG)]])*(Table14[[#This Row],[activating_chance]]/100),0)</f>
        <v>75</v>
      </c>
      <c r="DN41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417" s="72">
        <v>1</v>
      </c>
      <c r="DP417" s="72">
        <v>1</v>
      </c>
      <c r="DQ417" s="72" t="b">
        <v>0</v>
      </c>
    </row>
    <row r="418" spans="2:121" x14ac:dyDescent="0.25">
      <c r="B418" s="73" t="s">
        <v>445</v>
      </c>
      <c r="C418">
        <v>1</v>
      </c>
      <c r="D418">
        <v>180</v>
      </c>
      <c r="E418">
        <v>100</v>
      </c>
      <c r="F418" s="75">
        <f ca="1">INDIRECT(ADDRESS(11+(MATCH(RIGHT(Table245[[#This Row],[spawner_sku]],LEN(Table245[[#This Row],[spawner_sku]])-FIND("/",Table245[[#This Row],[spawner_sku]])),Table1[Entity Prefab],0)),10,1,1,"Entities"))</f>
        <v>0</v>
      </c>
      <c r="G418" s="75">
        <f ca="1">ROUND((Table245[[#This Row],[XP]]*Table245[[#This Row],[entity_spawned (AVG)]])*(Table245[[#This Row],[activating_chance]]/100),0)</f>
        <v>0</v>
      </c>
      <c r="H41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18" s="72">
        <v>1</v>
      </c>
      <c r="J418" s="72">
        <v>1</v>
      </c>
      <c r="K418" s="72" t="b">
        <v>0</v>
      </c>
      <c r="AI418" t="s">
        <v>255</v>
      </c>
      <c r="AJ418">
        <v>1</v>
      </c>
      <c r="AK418">
        <v>170</v>
      </c>
      <c r="AL418">
        <v>100</v>
      </c>
      <c r="AM418" s="75">
        <f ca="1">INDIRECT(ADDRESS(11+(MATCH(RIGHT(Table2[[#This Row],[spawner_sku]],LEN(Table2[[#This Row],[spawner_sku]])-FIND("/",Table2[[#This Row],[spawner_sku]])),Table1[Entity Prefab],0)),10,1,1,"Entities"))</f>
        <v>25</v>
      </c>
      <c r="AN418" s="75">
        <f ca="1">ROUND((Table2[[#This Row],[XP]]*Table2[[#This Row],[entity_spawned (AVG)]])*(Table2[[#This Row],[activating_chance]]/100),0)</f>
        <v>25</v>
      </c>
      <c r="AO41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18" s="72">
        <v>1</v>
      </c>
      <c r="AQ418" s="72">
        <v>1</v>
      </c>
      <c r="AR418" s="72" t="b">
        <v>0</v>
      </c>
      <c r="BP418" t="s">
        <v>252</v>
      </c>
      <c r="BQ418">
        <v>1</v>
      </c>
      <c r="BR418">
        <v>200</v>
      </c>
      <c r="BS418">
        <v>100</v>
      </c>
      <c r="BT418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418" s="75">
        <f ca="1">ROUND((Table61011[[#This Row],[XP]]*Table61011[[#This Row],[entity_spawned (AVG)]])*(Table61011[[#This Row],[activating_chance]]/100),0)</f>
        <v>75</v>
      </c>
      <c r="BV41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18" s="72">
        <v>1</v>
      </c>
      <c r="BX418" s="72">
        <v>1</v>
      </c>
      <c r="BY418" s="72" t="b">
        <v>0</v>
      </c>
      <c r="CA418" t="s">
        <v>255</v>
      </c>
      <c r="CB418">
        <v>1</v>
      </c>
      <c r="CC418">
        <v>80</v>
      </c>
      <c r="CD418">
        <v>100</v>
      </c>
      <c r="CE418" s="75">
        <f ca="1">INDIRECT(ADDRESS(11+(MATCH(RIGHT(Table11[[#This Row],[spawner_sku]],LEN(Table11[[#This Row],[spawner_sku]])-FIND("/",Table11[[#This Row],[spawner_sku]])),Table1[Entity Prefab],0)),10,1,1,"Entities"))</f>
        <v>25</v>
      </c>
      <c r="CF418">
        <f ca="1">ROUND((Table11[[#This Row],[XP]]*Table11[[#This Row],[entity_spawned (AVG)]])*(Table11[[#This Row],[activating_chance]]/100),0)</f>
        <v>25</v>
      </c>
      <c r="CG418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418" s="72">
        <v>1</v>
      </c>
      <c r="CI418" s="72">
        <v>1</v>
      </c>
      <c r="CJ418" s="72" t="b">
        <v>0</v>
      </c>
      <c r="DH418" t="s">
        <v>386</v>
      </c>
      <c r="DI418">
        <v>1</v>
      </c>
      <c r="DJ418">
        <v>180</v>
      </c>
      <c r="DK418">
        <v>100</v>
      </c>
      <c r="DL418" s="75">
        <f ca="1">INDIRECT(ADDRESS(11+(MATCH(RIGHT(Table14[[#This Row],[spawner_sku]],LEN(Table14[[#This Row],[spawner_sku]])-FIND("/",Table14[[#This Row],[spawner_sku]])),Table1[Entity Prefab],0)),10,1,1,"Entities"))</f>
        <v>75</v>
      </c>
      <c r="DM418" s="75">
        <f ca="1">ROUND((Table14[[#This Row],[XP]]*Table14[[#This Row],[entity_spawned (AVG)]])*(Table14[[#This Row],[activating_chance]]/100),0)</f>
        <v>75</v>
      </c>
      <c r="DN41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418" s="72">
        <v>1</v>
      </c>
      <c r="DP418" s="72">
        <v>1</v>
      </c>
      <c r="DQ418" s="72" t="b">
        <v>0</v>
      </c>
    </row>
    <row r="419" spans="2:121" x14ac:dyDescent="0.25">
      <c r="B419" s="73" t="s">
        <v>445</v>
      </c>
      <c r="C419">
        <v>1</v>
      </c>
      <c r="D419">
        <v>190</v>
      </c>
      <c r="E419">
        <v>100</v>
      </c>
      <c r="F419" s="75">
        <f ca="1">INDIRECT(ADDRESS(11+(MATCH(RIGHT(Table245[[#This Row],[spawner_sku]],LEN(Table245[[#This Row],[spawner_sku]])-FIND("/",Table245[[#This Row],[spawner_sku]])),Table1[Entity Prefab],0)),10,1,1,"Entities"))</f>
        <v>0</v>
      </c>
      <c r="G419" s="75">
        <f ca="1">ROUND((Table245[[#This Row],[XP]]*Table245[[#This Row],[entity_spawned (AVG)]])*(Table245[[#This Row],[activating_chance]]/100),0)</f>
        <v>0</v>
      </c>
      <c r="H41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19" s="72">
        <v>1</v>
      </c>
      <c r="J419" s="72">
        <v>1</v>
      </c>
      <c r="K419" s="72" t="b">
        <v>0</v>
      </c>
      <c r="AI419" t="s">
        <v>255</v>
      </c>
      <c r="AJ419">
        <v>1</v>
      </c>
      <c r="AK419">
        <v>160</v>
      </c>
      <c r="AL419">
        <v>100</v>
      </c>
      <c r="AM419" s="75">
        <f ca="1">INDIRECT(ADDRESS(11+(MATCH(RIGHT(Table2[[#This Row],[spawner_sku]],LEN(Table2[[#This Row],[spawner_sku]])-FIND("/",Table2[[#This Row],[spawner_sku]])),Table1[Entity Prefab],0)),10,1,1,"Entities"))</f>
        <v>25</v>
      </c>
      <c r="AN419" s="75">
        <f ca="1">ROUND((Table2[[#This Row],[XP]]*Table2[[#This Row],[entity_spawned (AVG)]])*(Table2[[#This Row],[activating_chance]]/100),0)</f>
        <v>25</v>
      </c>
      <c r="AO41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19" s="72">
        <v>1</v>
      </c>
      <c r="AQ419" s="72">
        <v>1</v>
      </c>
      <c r="AR419" s="72" t="b">
        <v>0</v>
      </c>
      <c r="BP419" t="s">
        <v>252</v>
      </c>
      <c r="BQ419">
        <v>1</v>
      </c>
      <c r="BR419">
        <v>200</v>
      </c>
      <c r="BS419">
        <v>100</v>
      </c>
      <c r="BT419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419" s="75">
        <f ca="1">ROUND((Table61011[[#This Row],[XP]]*Table61011[[#This Row],[entity_spawned (AVG)]])*(Table61011[[#This Row],[activating_chance]]/100),0)</f>
        <v>75</v>
      </c>
      <c r="BV41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19" s="72">
        <v>1</v>
      </c>
      <c r="BX419" s="72">
        <v>1</v>
      </c>
      <c r="BY419" s="72" t="b">
        <v>0</v>
      </c>
      <c r="CA419" t="s">
        <v>256</v>
      </c>
      <c r="CB419">
        <v>1</v>
      </c>
      <c r="CC419">
        <v>150</v>
      </c>
      <c r="CD419">
        <v>100</v>
      </c>
      <c r="CE419" s="75">
        <f ca="1">INDIRECT(ADDRESS(11+(MATCH(RIGHT(Table11[[#This Row],[spawner_sku]],LEN(Table11[[#This Row],[spawner_sku]])-FIND("/",Table11[[#This Row],[spawner_sku]])),Table1[Entity Prefab],0)),10,1,1,"Entities"))</f>
        <v>25</v>
      </c>
      <c r="CF419">
        <f ca="1">ROUND((Table11[[#This Row],[XP]]*Table11[[#This Row],[entity_spawned (AVG)]])*(Table11[[#This Row],[activating_chance]]/100),0)</f>
        <v>25</v>
      </c>
      <c r="CG419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419" s="72">
        <v>1</v>
      </c>
      <c r="CI419" s="72">
        <v>1</v>
      </c>
      <c r="CJ419" s="72" t="b">
        <v>0</v>
      </c>
      <c r="DH419" t="s">
        <v>386</v>
      </c>
      <c r="DI419">
        <v>1</v>
      </c>
      <c r="DJ419">
        <v>180</v>
      </c>
      <c r="DK419">
        <v>100</v>
      </c>
      <c r="DL419" s="75">
        <f ca="1">INDIRECT(ADDRESS(11+(MATCH(RIGHT(Table14[[#This Row],[spawner_sku]],LEN(Table14[[#This Row],[spawner_sku]])-FIND("/",Table14[[#This Row],[spawner_sku]])),Table1[Entity Prefab],0)),10,1,1,"Entities"))</f>
        <v>75</v>
      </c>
      <c r="DM419" s="75">
        <f ca="1">ROUND((Table14[[#This Row],[XP]]*Table14[[#This Row],[entity_spawned (AVG)]])*(Table14[[#This Row],[activating_chance]]/100),0)</f>
        <v>75</v>
      </c>
      <c r="DN41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419" s="72">
        <v>1</v>
      </c>
      <c r="DP419" s="72">
        <v>1</v>
      </c>
      <c r="DQ419" s="72" t="b">
        <v>0</v>
      </c>
    </row>
    <row r="420" spans="2:121" x14ac:dyDescent="0.25">
      <c r="B420" s="73" t="s">
        <v>445</v>
      </c>
      <c r="C420">
        <v>1</v>
      </c>
      <c r="D420">
        <v>180</v>
      </c>
      <c r="E420">
        <v>80</v>
      </c>
      <c r="F420" s="75">
        <f ca="1">INDIRECT(ADDRESS(11+(MATCH(RIGHT(Table245[[#This Row],[spawner_sku]],LEN(Table245[[#This Row],[spawner_sku]])-FIND("/",Table245[[#This Row],[spawner_sku]])),Table1[Entity Prefab],0)),10,1,1,"Entities"))</f>
        <v>0</v>
      </c>
      <c r="G420" s="75">
        <f ca="1">ROUND((Table245[[#This Row],[XP]]*Table245[[#This Row],[entity_spawned (AVG)]])*(Table245[[#This Row],[activating_chance]]/100),0)</f>
        <v>0</v>
      </c>
      <c r="H42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20" s="72">
        <v>1</v>
      </c>
      <c r="J420" s="72">
        <v>1</v>
      </c>
      <c r="K420" s="72" t="b">
        <v>0</v>
      </c>
      <c r="AI420" t="s">
        <v>255</v>
      </c>
      <c r="AJ420">
        <v>1</v>
      </c>
      <c r="AK420">
        <v>170</v>
      </c>
      <c r="AL420">
        <v>60</v>
      </c>
      <c r="AM420" s="75">
        <f ca="1">INDIRECT(ADDRESS(11+(MATCH(RIGHT(Table2[[#This Row],[spawner_sku]],LEN(Table2[[#This Row],[spawner_sku]])-FIND("/",Table2[[#This Row],[spawner_sku]])),Table1[Entity Prefab],0)),10,1,1,"Entities"))</f>
        <v>25</v>
      </c>
      <c r="AN420" s="75">
        <f ca="1">ROUND((Table2[[#This Row],[XP]]*Table2[[#This Row],[entity_spawned (AVG)]])*(Table2[[#This Row],[activating_chance]]/100),0)</f>
        <v>15</v>
      </c>
      <c r="AO42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20" s="72">
        <v>1</v>
      </c>
      <c r="AQ420" s="72">
        <v>1</v>
      </c>
      <c r="AR420" s="72" t="b">
        <v>0</v>
      </c>
      <c r="BP420" t="s">
        <v>252</v>
      </c>
      <c r="BQ420">
        <v>1</v>
      </c>
      <c r="BR420">
        <v>220</v>
      </c>
      <c r="BS420">
        <v>100</v>
      </c>
      <c r="BT420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420" s="75">
        <f ca="1">ROUND((Table61011[[#This Row],[XP]]*Table61011[[#This Row],[entity_spawned (AVG)]])*(Table61011[[#This Row],[activating_chance]]/100),0)</f>
        <v>75</v>
      </c>
      <c r="BV42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0" s="72">
        <v>1</v>
      </c>
      <c r="BX420" s="72">
        <v>1</v>
      </c>
      <c r="BY420" s="72" t="b">
        <v>0</v>
      </c>
      <c r="CA420" t="s">
        <v>256</v>
      </c>
      <c r="CB420">
        <v>1</v>
      </c>
      <c r="CC420">
        <v>150</v>
      </c>
      <c r="CD420">
        <v>100</v>
      </c>
      <c r="CE420" s="75">
        <f ca="1">INDIRECT(ADDRESS(11+(MATCH(RIGHT(Table11[[#This Row],[spawner_sku]],LEN(Table11[[#This Row],[spawner_sku]])-FIND("/",Table11[[#This Row],[spawner_sku]])),Table1[Entity Prefab],0)),10,1,1,"Entities"))</f>
        <v>25</v>
      </c>
      <c r="CF420">
        <f ca="1">ROUND((Table11[[#This Row],[XP]]*Table11[[#This Row],[entity_spawned (AVG)]])*(Table11[[#This Row],[activating_chance]]/100),0)</f>
        <v>25</v>
      </c>
      <c r="CG420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420" s="72">
        <v>1</v>
      </c>
      <c r="CI420" s="72">
        <v>1</v>
      </c>
      <c r="CJ420" s="72" t="b">
        <v>0</v>
      </c>
      <c r="DH420" t="s">
        <v>386</v>
      </c>
      <c r="DI420">
        <v>1</v>
      </c>
      <c r="DJ420">
        <v>180</v>
      </c>
      <c r="DK420">
        <v>100</v>
      </c>
      <c r="DL420" s="75">
        <f ca="1">INDIRECT(ADDRESS(11+(MATCH(RIGHT(Table14[[#This Row],[spawner_sku]],LEN(Table14[[#This Row],[spawner_sku]])-FIND("/",Table14[[#This Row],[spawner_sku]])),Table1[Entity Prefab],0)),10,1,1,"Entities"))</f>
        <v>75</v>
      </c>
      <c r="DM420" s="75">
        <f ca="1">ROUND((Table14[[#This Row],[XP]]*Table14[[#This Row],[entity_spawned (AVG)]])*(Table14[[#This Row],[activating_chance]]/100),0)</f>
        <v>75</v>
      </c>
      <c r="DN42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420" s="72">
        <v>1</v>
      </c>
      <c r="DP420" s="72">
        <v>1</v>
      </c>
      <c r="DQ420" s="72" t="b">
        <v>0</v>
      </c>
    </row>
    <row r="421" spans="2:121" x14ac:dyDescent="0.25">
      <c r="B421" s="73" t="s">
        <v>445</v>
      </c>
      <c r="C421">
        <v>1</v>
      </c>
      <c r="D421">
        <v>180</v>
      </c>
      <c r="E421">
        <v>100</v>
      </c>
      <c r="F421" s="75">
        <f ca="1">INDIRECT(ADDRESS(11+(MATCH(RIGHT(Table245[[#This Row],[spawner_sku]],LEN(Table245[[#This Row],[spawner_sku]])-FIND("/",Table245[[#This Row],[spawner_sku]])),Table1[Entity Prefab],0)),10,1,1,"Entities"))</f>
        <v>0</v>
      </c>
      <c r="G421" s="75">
        <f ca="1">ROUND((Table245[[#This Row],[XP]]*Table245[[#This Row],[entity_spawned (AVG)]])*(Table245[[#This Row],[activating_chance]]/100),0)</f>
        <v>0</v>
      </c>
      <c r="H42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21" s="72">
        <v>1</v>
      </c>
      <c r="J421" s="72">
        <v>1</v>
      </c>
      <c r="K421" s="72" t="b">
        <v>0</v>
      </c>
      <c r="AI421" t="s">
        <v>255</v>
      </c>
      <c r="AJ421">
        <v>1</v>
      </c>
      <c r="AK421">
        <v>100</v>
      </c>
      <c r="AL421">
        <v>100</v>
      </c>
      <c r="AM421" s="75">
        <f ca="1">INDIRECT(ADDRESS(11+(MATCH(RIGHT(Table2[[#This Row],[spawner_sku]],LEN(Table2[[#This Row],[spawner_sku]])-FIND("/",Table2[[#This Row],[spawner_sku]])),Table1[Entity Prefab],0)),10,1,1,"Entities"))</f>
        <v>25</v>
      </c>
      <c r="AN421" s="75">
        <f ca="1">ROUND((Table2[[#This Row],[XP]]*Table2[[#This Row],[entity_spawned (AVG)]])*(Table2[[#This Row],[activating_chance]]/100),0)</f>
        <v>25</v>
      </c>
      <c r="AO42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21" s="72">
        <v>1</v>
      </c>
      <c r="AQ421" s="72">
        <v>1</v>
      </c>
      <c r="AR421" s="72" t="b">
        <v>0</v>
      </c>
      <c r="BP421" t="s">
        <v>252</v>
      </c>
      <c r="BQ421">
        <v>1</v>
      </c>
      <c r="BR421">
        <v>220</v>
      </c>
      <c r="BS421">
        <v>80</v>
      </c>
      <c r="BT421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421" s="75">
        <f ca="1">ROUND((Table61011[[#This Row],[XP]]*Table61011[[#This Row],[entity_spawned (AVG)]])*(Table61011[[#This Row],[activating_chance]]/100),0)</f>
        <v>60</v>
      </c>
      <c r="BV42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1" s="72">
        <v>1</v>
      </c>
      <c r="BX421" s="72">
        <v>1</v>
      </c>
      <c r="BY421" s="72" t="b">
        <v>0</v>
      </c>
      <c r="CA421" t="s">
        <v>256</v>
      </c>
      <c r="CB421">
        <v>1</v>
      </c>
      <c r="CC421">
        <v>150</v>
      </c>
      <c r="CD421">
        <v>100</v>
      </c>
      <c r="CE421" s="75">
        <f ca="1">INDIRECT(ADDRESS(11+(MATCH(RIGHT(Table11[[#This Row],[spawner_sku]],LEN(Table11[[#This Row],[spawner_sku]])-FIND("/",Table11[[#This Row],[spawner_sku]])),Table1[Entity Prefab],0)),10,1,1,"Entities"))</f>
        <v>25</v>
      </c>
      <c r="CF421">
        <f ca="1">ROUND((Table11[[#This Row],[XP]]*Table11[[#This Row],[entity_spawned (AVG)]])*(Table11[[#This Row],[activating_chance]]/100),0)</f>
        <v>25</v>
      </c>
      <c r="CG421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421" s="72">
        <v>1</v>
      </c>
      <c r="CI421" s="72">
        <v>1</v>
      </c>
      <c r="CJ421" s="72" t="b">
        <v>0</v>
      </c>
      <c r="DH421" t="s">
        <v>386</v>
      </c>
      <c r="DI421">
        <v>1</v>
      </c>
      <c r="DJ421">
        <v>180</v>
      </c>
      <c r="DK421">
        <v>100</v>
      </c>
      <c r="DL421" s="75">
        <f ca="1">INDIRECT(ADDRESS(11+(MATCH(RIGHT(Table14[[#This Row],[spawner_sku]],LEN(Table14[[#This Row],[spawner_sku]])-FIND("/",Table14[[#This Row],[spawner_sku]])),Table1[Entity Prefab],0)),10,1,1,"Entities"))</f>
        <v>75</v>
      </c>
      <c r="DM421" s="75">
        <f ca="1">ROUND((Table14[[#This Row],[XP]]*Table14[[#This Row],[entity_spawned (AVG)]])*(Table14[[#This Row],[activating_chance]]/100),0)</f>
        <v>75</v>
      </c>
      <c r="DN42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421" s="72">
        <v>1</v>
      </c>
      <c r="DP421" s="72">
        <v>1</v>
      </c>
      <c r="DQ421" s="72" t="b">
        <v>0</v>
      </c>
    </row>
    <row r="422" spans="2:121" x14ac:dyDescent="0.25">
      <c r="B422" s="73" t="s">
        <v>445</v>
      </c>
      <c r="C422">
        <v>1</v>
      </c>
      <c r="D422">
        <v>180</v>
      </c>
      <c r="E422">
        <v>100</v>
      </c>
      <c r="F422" s="75">
        <f ca="1">INDIRECT(ADDRESS(11+(MATCH(RIGHT(Table245[[#This Row],[spawner_sku]],LEN(Table245[[#This Row],[spawner_sku]])-FIND("/",Table245[[#This Row],[spawner_sku]])),Table1[Entity Prefab],0)),10,1,1,"Entities"))</f>
        <v>0</v>
      </c>
      <c r="G422" s="75">
        <f ca="1">ROUND((Table245[[#This Row],[XP]]*Table245[[#This Row],[entity_spawned (AVG)]])*(Table245[[#This Row],[activating_chance]]/100),0)</f>
        <v>0</v>
      </c>
      <c r="H42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22" s="72">
        <v>1</v>
      </c>
      <c r="J422" s="72">
        <v>1</v>
      </c>
      <c r="K422" s="72" t="b">
        <v>0</v>
      </c>
      <c r="AI422" t="s">
        <v>255</v>
      </c>
      <c r="AJ422">
        <v>1</v>
      </c>
      <c r="AK422">
        <v>180</v>
      </c>
      <c r="AL422">
        <v>100</v>
      </c>
      <c r="AM422" s="75">
        <f ca="1">INDIRECT(ADDRESS(11+(MATCH(RIGHT(Table2[[#This Row],[spawner_sku]],LEN(Table2[[#This Row],[spawner_sku]])-FIND("/",Table2[[#This Row],[spawner_sku]])),Table1[Entity Prefab],0)),10,1,1,"Entities"))</f>
        <v>25</v>
      </c>
      <c r="AN422" s="75">
        <f ca="1">ROUND((Table2[[#This Row],[XP]]*Table2[[#This Row],[entity_spawned (AVG)]])*(Table2[[#This Row],[activating_chance]]/100),0)</f>
        <v>25</v>
      </c>
      <c r="AO42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22" s="72">
        <v>1</v>
      </c>
      <c r="AQ422" s="72">
        <v>1</v>
      </c>
      <c r="AR422" s="72" t="b">
        <v>0</v>
      </c>
      <c r="BP422" t="s">
        <v>252</v>
      </c>
      <c r="BQ422">
        <v>1</v>
      </c>
      <c r="BR422">
        <v>170</v>
      </c>
      <c r="BS422">
        <v>100</v>
      </c>
      <c r="BT422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422" s="75">
        <f ca="1">ROUND((Table61011[[#This Row],[XP]]*Table61011[[#This Row],[entity_spawned (AVG)]])*(Table61011[[#This Row],[activating_chance]]/100),0)</f>
        <v>75</v>
      </c>
      <c r="BV42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2" s="72">
        <v>1</v>
      </c>
      <c r="BX422" s="72">
        <v>1</v>
      </c>
      <c r="BY422" s="72" t="b">
        <v>0</v>
      </c>
      <c r="CA422" t="s">
        <v>257</v>
      </c>
      <c r="CB422">
        <v>1</v>
      </c>
      <c r="CC422">
        <v>120</v>
      </c>
      <c r="CD422">
        <v>80</v>
      </c>
      <c r="CE422" s="75">
        <f ca="1">INDIRECT(ADDRESS(11+(MATCH(RIGHT(Table11[[#This Row],[spawner_sku]],LEN(Table11[[#This Row],[spawner_sku]])-FIND("/",Table11[[#This Row],[spawner_sku]])),Table1[Entity Prefab],0)),10,1,1,"Entities"))</f>
        <v>50</v>
      </c>
      <c r="CF422">
        <f ca="1">ROUND((Table11[[#This Row],[XP]]*Table11[[#This Row],[entity_spawned (AVG)]])*(Table11[[#This Row],[activating_chance]]/100),0)</f>
        <v>40</v>
      </c>
      <c r="CG422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422" s="72">
        <v>1</v>
      </c>
      <c r="CI422" s="72">
        <v>1</v>
      </c>
      <c r="CJ422" s="72" t="b">
        <v>0</v>
      </c>
      <c r="DH422" t="s">
        <v>386</v>
      </c>
      <c r="DI422">
        <v>1</v>
      </c>
      <c r="DJ422">
        <v>180</v>
      </c>
      <c r="DK422">
        <v>100</v>
      </c>
      <c r="DL422" s="75">
        <f ca="1">INDIRECT(ADDRESS(11+(MATCH(RIGHT(Table14[[#This Row],[spawner_sku]],LEN(Table14[[#This Row],[spawner_sku]])-FIND("/",Table14[[#This Row],[spawner_sku]])),Table1[Entity Prefab],0)),10,1,1,"Entities"))</f>
        <v>75</v>
      </c>
      <c r="DM422" s="75">
        <f ca="1">ROUND((Table14[[#This Row],[XP]]*Table14[[#This Row],[entity_spawned (AVG)]])*(Table14[[#This Row],[activating_chance]]/100),0)</f>
        <v>75</v>
      </c>
      <c r="DN42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422" s="72">
        <v>1</v>
      </c>
      <c r="DP422" s="72">
        <v>1</v>
      </c>
      <c r="DQ422" s="72" t="b">
        <v>0</v>
      </c>
    </row>
    <row r="423" spans="2:121" x14ac:dyDescent="0.25">
      <c r="B423" s="73" t="s">
        <v>445</v>
      </c>
      <c r="C423">
        <v>1</v>
      </c>
      <c r="D423">
        <v>180</v>
      </c>
      <c r="E423">
        <v>100</v>
      </c>
      <c r="F423" s="75">
        <f ca="1">INDIRECT(ADDRESS(11+(MATCH(RIGHT(Table245[[#This Row],[spawner_sku]],LEN(Table245[[#This Row],[spawner_sku]])-FIND("/",Table245[[#This Row],[spawner_sku]])),Table1[Entity Prefab],0)),10,1,1,"Entities"))</f>
        <v>0</v>
      </c>
      <c r="G423" s="75">
        <f ca="1">ROUND((Table245[[#This Row],[XP]]*Table245[[#This Row],[entity_spawned (AVG)]])*(Table245[[#This Row],[activating_chance]]/100),0)</f>
        <v>0</v>
      </c>
      <c r="H42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23" s="72">
        <v>1</v>
      </c>
      <c r="J423" s="72">
        <v>1</v>
      </c>
      <c r="K423" s="72" t="b">
        <v>0</v>
      </c>
      <c r="AI423" t="s">
        <v>255</v>
      </c>
      <c r="AJ423">
        <v>1</v>
      </c>
      <c r="AK423">
        <v>170</v>
      </c>
      <c r="AL423">
        <v>90</v>
      </c>
      <c r="AM423" s="75">
        <f ca="1">INDIRECT(ADDRESS(11+(MATCH(RIGHT(Table2[[#This Row],[spawner_sku]],LEN(Table2[[#This Row],[spawner_sku]])-FIND("/",Table2[[#This Row],[spawner_sku]])),Table1[Entity Prefab],0)),10,1,1,"Entities"))</f>
        <v>25</v>
      </c>
      <c r="AN423" s="75">
        <f ca="1">ROUND((Table2[[#This Row],[XP]]*Table2[[#This Row],[entity_spawned (AVG)]])*(Table2[[#This Row],[activating_chance]]/100),0)</f>
        <v>23</v>
      </c>
      <c r="AO42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23" s="72">
        <v>1</v>
      </c>
      <c r="AQ423" s="72">
        <v>1</v>
      </c>
      <c r="AR423" s="72" t="b">
        <v>0</v>
      </c>
      <c r="BP423" t="s">
        <v>252</v>
      </c>
      <c r="BQ423">
        <v>1</v>
      </c>
      <c r="BR423">
        <v>220</v>
      </c>
      <c r="BS423">
        <v>100</v>
      </c>
      <c r="BT423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423" s="75">
        <f ca="1">ROUND((Table61011[[#This Row],[XP]]*Table61011[[#This Row],[entity_spawned (AVG)]])*(Table61011[[#This Row],[activating_chance]]/100),0)</f>
        <v>75</v>
      </c>
      <c r="BV42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3" s="72">
        <v>1</v>
      </c>
      <c r="BX423" s="72">
        <v>1</v>
      </c>
      <c r="BY423" s="72" t="b">
        <v>0</v>
      </c>
      <c r="CA423" t="s">
        <v>257</v>
      </c>
      <c r="CB423">
        <v>1</v>
      </c>
      <c r="CC423">
        <v>120</v>
      </c>
      <c r="CD423">
        <v>80</v>
      </c>
      <c r="CE423" s="75">
        <f ca="1">INDIRECT(ADDRESS(11+(MATCH(RIGHT(Table11[[#This Row],[spawner_sku]],LEN(Table11[[#This Row],[spawner_sku]])-FIND("/",Table11[[#This Row],[spawner_sku]])),Table1[Entity Prefab],0)),10,1,1,"Entities"))</f>
        <v>50</v>
      </c>
      <c r="CF423">
        <f ca="1">ROUND((Table11[[#This Row],[XP]]*Table11[[#This Row],[entity_spawned (AVG)]])*(Table11[[#This Row],[activating_chance]]/100),0)</f>
        <v>40</v>
      </c>
      <c r="CG423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423" s="72">
        <v>1</v>
      </c>
      <c r="CI423" s="72">
        <v>1</v>
      </c>
      <c r="CJ423" s="72" t="b">
        <v>0</v>
      </c>
      <c r="DH423" t="s">
        <v>386</v>
      </c>
      <c r="DI423">
        <v>1</v>
      </c>
      <c r="DJ423">
        <v>180</v>
      </c>
      <c r="DK423">
        <v>100</v>
      </c>
      <c r="DL423" s="75">
        <f ca="1">INDIRECT(ADDRESS(11+(MATCH(RIGHT(Table14[[#This Row],[spawner_sku]],LEN(Table14[[#This Row],[spawner_sku]])-FIND("/",Table14[[#This Row],[spawner_sku]])),Table1[Entity Prefab],0)),10,1,1,"Entities"))</f>
        <v>75</v>
      </c>
      <c r="DM423" s="75">
        <f ca="1">ROUND((Table14[[#This Row],[XP]]*Table14[[#This Row],[entity_spawned (AVG)]])*(Table14[[#This Row],[activating_chance]]/100),0)</f>
        <v>75</v>
      </c>
      <c r="DN42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423" s="72">
        <v>1</v>
      </c>
      <c r="DP423" s="72">
        <v>1</v>
      </c>
      <c r="DQ423" s="72" t="b">
        <v>0</v>
      </c>
    </row>
    <row r="424" spans="2:121" x14ac:dyDescent="0.25">
      <c r="B424" s="73" t="s">
        <v>445</v>
      </c>
      <c r="C424">
        <v>1</v>
      </c>
      <c r="D424">
        <v>180</v>
      </c>
      <c r="E424">
        <v>100</v>
      </c>
      <c r="F424" s="75">
        <f ca="1">INDIRECT(ADDRESS(11+(MATCH(RIGHT(Table245[[#This Row],[spawner_sku]],LEN(Table245[[#This Row],[spawner_sku]])-FIND("/",Table245[[#This Row],[spawner_sku]])),Table1[Entity Prefab],0)),10,1,1,"Entities"))</f>
        <v>0</v>
      </c>
      <c r="G424" s="75">
        <f ca="1">ROUND((Table245[[#This Row],[XP]]*Table245[[#This Row],[entity_spawned (AVG)]])*(Table245[[#This Row],[activating_chance]]/100),0)</f>
        <v>0</v>
      </c>
      <c r="H42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24" s="72">
        <v>1</v>
      </c>
      <c r="J424" s="72">
        <v>1</v>
      </c>
      <c r="K424" s="72" t="b">
        <v>0</v>
      </c>
      <c r="AI424" t="s">
        <v>255</v>
      </c>
      <c r="AJ424">
        <v>1</v>
      </c>
      <c r="AK424">
        <v>140</v>
      </c>
      <c r="AL424">
        <v>90</v>
      </c>
      <c r="AM424" s="75">
        <f ca="1">INDIRECT(ADDRESS(11+(MATCH(RIGHT(Table2[[#This Row],[spawner_sku]],LEN(Table2[[#This Row],[spawner_sku]])-FIND("/",Table2[[#This Row],[spawner_sku]])),Table1[Entity Prefab],0)),10,1,1,"Entities"))</f>
        <v>25</v>
      </c>
      <c r="AN424" s="75">
        <f ca="1">ROUND((Table2[[#This Row],[XP]]*Table2[[#This Row],[entity_spawned (AVG)]])*(Table2[[#This Row],[activating_chance]]/100),0)</f>
        <v>23</v>
      </c>
      <c r="AO42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24" s="72">
        <v>1</v>
      </c>
      <c r="AQ424" s="72">
        <v>1</v>
      </c>
      <c r="AR424" s="72" t="b">
        <v>0</v>
      </c>
      <c r="BP424" t="s">
        <v>252</v>
      </c>
      <c r="BQ424">
        <v>1</v>
      </c>
      <c r="BR424">
        <v>220</v>
      </c>
      <c r="BS424">
        <v>100</v>
      </c>
      <c r="BT424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424" s="75">
        <f ca="1">ROUND((Table61011[[#This Row],[XP]]*Table61011[[#This Row],[entity_spawned (AVG)]])*(Table61011[[#This Row],[activating_chance]]/100),0)</f>
        <v>75</v>
      </c>
      <c r="BV42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4" s="72">
        <v>1</v>
      </c>
      <c r="BX424" s="72">
        <v>1</v>
      </c>
      <c r="BY424" s="72" t="b">
        <v>0</v>
      </c>
      <c r="CA424" t="s">
        <v>257</v>
      </c>
      <c r="CB424">
        <v>1</v>
      </c>
      <c r="CC424">
        <v>120</v>
      </c>
      <c r="CD424">
        <v>100</v>
      </c>
      <c r="CE424" s="75">
        <f ca="1">INDIRECT(ADDRESS(11+(MATCH(RIGHT(Table11[[#This Row],[spawner_sku]],LEN(Table11[[#This Row],[spawner_sku]])-FIND("/",Table11[[#This Row],[spawner_sku]])),Table1[Entity Prefab],0)),10,1,1,"Entities"))</f>
        <v>50</v>
      </c>
      <c r="CF424">
        <f ca="1">ROUND((Table11[[#This Row],[XP]]*Table11[[#This Row],[entity_spawned (AVG)]])*(Table11[[#This Row],[activating_chance]]/100),0)</f>
        <v>50</v>
      </c>
      <c r="CG424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424" s="72">
        <v>1</v>
      </c>
      <c r="CI424" s="72">
        <v>1</v>
      </c>
      <c r="CJ424" s="72" t="b">
        <v>0</v>
      </c>
      <c r="DH424" t="s">
        <v>386</v>
      </c>
      <c r="DI424">
        <v>1</v>
      </c>
      <c r="DJ424">
        <v>180</v>
      </c>
      <c r="DK424">
        <v>100</v>
      </c>
      <c r="DL424" s="75">
        <f ca="1">INDIRECT(ADDRESS(11+(MATCH(RIGHT(Table14[[#This Row],[spawner_sku]],LEN(Table14[[#This Row],[spawner_sku]])-FIND("/",Table14[[#This Row],[spawner_sku]])),Table1[Entity Prefab],0)),10,1,1,"Entities"))</f>
        <v>75</v>
      </c>
      <c r="DM424" s="75">
        <f ca="1">ROUND((Table14[[#This Row],[XP]]*Table14[[#This Row],[entity_spawned (AVG)]])*(Table14[[#This Row],[activating_chance]]/100),0)</f>
        <v>75</v>
      </c>
      <c r="DN42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424" s="72">
        <v>1</v>
      </c>
      <c r="DP424" s="72">
        <v>1</v>
      </c>
      <c r="DQ424" s="72" t="b">
        <v>0</v>
      </c>
    </row>
    <row r="425" spans="2:121" x14ac:dyDescent="0.25">
      <c r="B425" s="73" t="s">
        <v>445</v>
      </c>
      <c r="C425">
        <v>1</v>
      </c>
      <c r="D425">
        <v>190</v>
      </c>
      <c r="E425">
        <v>80</v>
      </c>
      <c r="F425" s="75">
        <f ca="1">INDIRECT(ADDRESS(11+(MATCH(RIGHT(Table245[[#This Row],[spawner_sku]],LEN(Table245[[#This Row],[spawner_sku]])-FIND("/",Table245[[#This Row],[spawner_sku]])),Table1[Entity Prefab],0)),10,1,1,"Entities"))</f>
        <v>0</v>
      </c>
      <c r="G425" s="75">
        <f ca="1">ROUND((Table245[[#This Row],[XP]]*Table245[[#This Row],[entity_spawned (AVG)]])*(Table245[[#This Row],[activating_chance]]/100),0)</f>
        <v>0</v>
      </c>
      <c r="H42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25" s="72">
        <v>1</v>
      </c>
      <c r="J425" s="72">
        <v>1</v>
      </c>
      <c r="K425" s="72" t="b">
        <v>0</v>
      </c>
      <c r="AI425" t="s">
        <v>255</v>
      </c>
      <c r="AJ425">
        <v>1</v>
      </c>
      <c r="AK425">
        <v>180</v>
      </c>
      <c r="AL425">
        <v>100</v>
      </c>
      <c r="AM425" s="75">
        <f ca="1">INDIRECT(ADDRESS(11+(MATCH(RIGHT(Table2[[#This Row],[spawner_sku]],LEN(Table2[[#This Row],[spawner_sku]])-FIND("/",Table2[[#This Row],[spawner_sku]])),Table1[Entity Prefab],0)),10,1,1,"Entities"))</f>
        <v>25</v>
      </c>
      <c r="AN425" s="75">
        <f ca="1">ROUND((Table2[[#This Row],[XP]]*Table2[[#This Row],[entity_spawned (AVG)]])*(Table2[[#This Row],[activating_chance]]/100),0)</f>
        <v>25</v>
      </c>
      <c r="AO42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25" s="72">
        <v>1</v>
      </c>
      <c r="AQ425" s="72">
        <v>1</v>
      </c>
      <c r="AR425" s="72" t="b">
        <v>0</v>
      </c>
      <c r="BP425" t="s">
        <v>252</v>
      </c>
      <c r="BQ425">
        <v>1</v>
      </c>
      <c r="BR425">
        <v>220</v>
      </c>
      <c r="BS425">
        <v>100</v>
      </c>
      <c r="BT425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425" s="75">
        <f ca="1">ROUND((Table61011[[#This Row],[XP]]*Table61011[[#This Row],[entity_spawned (AVG)]])*(Table61011[[#This Row],[activating_chance]]/100),0)</f>
        <v>75</v>
      </c>
      <c r="BV42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5" s="72">
        <v>1</v>
      </c>
      <c r="BX425" s="72">
        <v>1</v>
      </c>
      <c r="BY425" s="72" t="b">
        <v>0</v>
      </c>
      <c r="CA425" t="s">
        <v>257</v>
      </c>
      <c r="CB425">
        <v>1</v>
      </c>
      <c r="CC425">
        <v>120</v>
      </c>
      <c r="CD425">
        <v>30</v>
      </c>
      <c r="CE425" s="75">
        <f ca="1">INDIRECT(ADDRESS(11+(MATCH(RIGHT(Table11[[#This Row],[spawner_sku]],LEN(Table11[[#This Row],[spawner_sku]])-FIND("/",Table11[[#This Row],[spawner_sku]])),Table1[Entity Prefab],0)),10,1,1,"Entities"))</f>
        <v>50</v>
      </c>
      <c r="CF425">
        <f ca="1">ROUND((Table11[[#This Row],[XP]]*Table11[[#This Row],[entity_spawned (AVG)]])*(Table11[[#This Row],[activating_chance]]/100),0)</f>
        <v>15</v>
      </c>
      <c r="CG425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425" s="72">
        <v>1</v>
      </c>
      <c r="CI425" s="72">
        <v>1</v>
      </c>
      <c r="CJ425" s="72" t="b">
        <v>0</v>
      </c>
      <c r="DH425" t="s">
        <v>385</v>
      </c>
      <c r="DI425">
        <v>1</v>
      </c>
      <c r="DJ425">
        <v>110</v>
      </c>
      <c r="DK425">
        <v>100</v>
      </c>
      <c r="DL425" s="75">
        <f ca="1">INDIRECT(ADDRESS(11+(MATCH(RIGHT(Table14[[#This Row],[spawner_sku]],LEN(Table14[[#This Row],[spawner_sku]])-FIND("/",Table14[[#This Row],[spawner_sku]])),Table1[Entity Prefab],0)),10,1,1,"Entities"))</f>
        <v>75</v>
      </c>
      <c r="DM425" s="75">
        <f ca="1">ROUND((Table14[[#This Row],[XP]]*Table14[[#This Row],[entity_spawned (AVG)]])*(Table14[[#This Row],[activating_chance]]/100),0)</f>
        <v>75</v>
      </c>
      <c r="DN42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25" s="72">
        <v>1</v>
      </c>
      <c r="DP425" s="72">
        <v>1</v>
      </c>
      <c r="DQ425" s="72" t="b">
        <v>0</v>
      </c>
    </row>
    <row r="426" spans="2:121" x14ac:dyDescent="0.25">
      <c r="B426" s="73" t="s">
        <v>445</v>
      </c>
      <c r="C426">
        <v>1</v>
      </c>
      <c r="D426">
        <v>180</v>
      </c>
      <c r="E426">
        <v>100</v>
      </c>
      <c r="F426" s="75">
        <f ca="1">INDIRECT(ADDRESS(11+(MATCH(RIGHT(Table245[[#This Row],[spawner_sku]],LEN(Table245[[#This Row],[spawner_sku]])-FIND("/",Table245[[#This Row],[spawner_sku]])),Table1[Entity Prefab],0)),10,1,1,"Entities"))</f>
        <v>0</v>
      </c>
      <c r="G426" s="75">
        <f ca="1">ROUND((Table245[[#This Row],[XP]]*Table245[[#This Row],[entity_spawned (AVG)]])*(Table245[[#This Row],[activating_chance]]/100),0)</f>
        <v>0</v>
      </c>
      <c r="H42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26" s="72">
        <v>1</v>
      </c>
      <c r="J426" s="72">
        <v>1</v>
      </c>
      <c r="K426" s="72" t="b">
        <v>0</v>
      </c>
      <c r="AI426" t="s">
        <v>255</v>
      </c>
      <c r="AJ426">
        <v>1</v>
      </c>
      <c r="AK426">
        <v>180</v>
      </c>
      <c r="AL426">
        <v>100</v>
      </c>
      <c r="AM426" s="75">
        <f ca="1">INDIRECT(ADDRESS(11+(MATCH(RIGHT(Table2[[#This Row],[spawner_sku]],LEN(Table2[[#This Row],[spawner_sku]])-FIND("/",Table2[[#This Row],[spawner_sku]])),Table1[Entity Prefab],0)),10,1,1,"Entities"))</f>
        <v>25</v>
      </c>
      <c r="AN426" s="75">
        <f ca="1">ROUND((Table2[[#This Row],[XP]]*Table2[[#This Row],[entity_spawned (AVG)]])*(Table2[[#This Row],[activating_chance]]/100),0)</f>
        <v>25</v>
      </c>
      <c r="AO42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26" s="72">
        <v>1</v>
      </c>
      <c r="AQ426" s="72">
        <v>1</v>
      </c>
      <c r="AR426" s="72" t="b">
        <v>0</v>
      </c>
      <c r="BP426" t="s">
        <v>252</v>
      </c>
      <c r="BQ426">
        <v>1</v>
      </c>
      <c r="BR426">
        <v>220</v>
      </c>
      <c r="BS426">
        <v>100</v>
      </c>
      <c r="BT426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426" s="75">
        <f ca="1">ROUND((Table61011[[#This Row],[XP]]*Table61011[[#This Row],[entity_spawned (AVG)]])*(Table61011[[#This Row],[activating_chance]]/100),0)</f>
        <v>75</v>
      </c>
      <c r="BV42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6" s="72">
        <v>1</v>
      </c>
      <c r="BX426" s="72">
        <v>1</v>
      </c>
      <c r="BY426" s="72" t="b">
        <v>0</v>
      </c>
      <c r="CA426" t="s">
        <v>257</v>
      </c>
      <c r="CB426">
        <v>1</v>
      </c>
      <c r="CC426">
        <v>120</v>
      </c>
      <c r="CD426">
        <v>100</v>
      </c>
      <c r="CE426" s="75">
        <f ca="1">INDIRECT(ADDRESS(11+(MATCH(RIGHT(Table11[[#This Row],[spawner_sku]],LEN(Table11[[#This Row],[spawner_sku]])-FIND("/",Table11[[#This Row],[spawner_sku]])),Table1[Entity Prefab],0)),10,1,1,"Entities"))</f>
        <v>50</v>
      </c>
      <c r="CF426">
        <f ca="1">ROUND((Table11[[#This Row],[XP]]*Table11[[#This Row],[entity_spawned (AVG)]])*(Table11[[#This Row],[activating_chance]]/100),0)</f>
        <v>50</v>
      </c>
      <c r="CG426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426" s="72">
        <v>1</v>
      </c>
      <c r="CI426" s="72">
        <v>1</v>
      </c>
      <c r="CJ426" s="72" t="b">
        <v>0</v>
      </c>
      <c r="DH426" t="s">
        <v>385</v>
      </c>
      <c r="DI426">
        <v>1</v>
      </c>
      <c r="DJ426">
        <v>100</v>
      </c>
      <c r="DK426">
        <v>100</v>
      </c>
      <c r="DL426" s="75">
        <f ca="1">INDIRECT(ADDRESS(11+(MATCH(RIGHT(Table14[[#This Row],[spawner_sku]],LEN(Table14[[#This Row],[spawner_sku]])-FIND("/",Table14[[#This Row],[spawner_sku]])),Table1[Entity Prefab],0)),10,1,1,"Entities"))</f>
        <v>75</v>
      </c>
      <c r="DM426" s="75">
        <f ca="1">ROUND((Table14[[#This Row],[XP]]*Table14[[#This Row],[entity_spawned (AVG)]])*(Table14[[#This Row],[activating_chance]]/100),0)</f>
        <v>75</v>
      </c>
      <c r="DN42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26" s="72">
        <v>1</v>
      </c>
      <c r="DP426" s="72">
        <v>1</v>
      </c>
      <c r="DQ426" s="72" t="b">
        <v>0</v>
      </c>
    </row>
    <row r="427" spans="2:121" x14ac:dyDescent="0.25">
      <c r="B427" s="73" t="s">
        <v>445</v>
      </c>
      <c r="C427">
        <v>1</v>
      </c>
      <c r="D427">
        <v>180</v>
      </c>
      <c r="E427">
        <v>100</v>
      </c>
      <c r="F427" s="75">
        <f ca="1">INDIRECT(ADDRESS(11+(MATCH(RIGHT(Table245[[#This Row],[spawner_sku]],LEN(Table245[[#This Row],[spawner_sku]])-FIND("/",Table245[[#This Row],[spawner_sku]])),Table1[Entity Prefab],0)),10,1,1,"Entities"))</f>
        <v>0</v>
      </c>
      <c r="G427" s="75">
        <f ca="1">ROUND((Table245[[#This Row],[XP]]*Table245[[#This Row],[entity_spawned (AVG)]])*(Table245[[#This Row],[activating_chance]]/100),0)</f>
        <v>0</v>
      </c>
      <c r="H42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27" s="72">
        <v>1</v>
      </c>
      <c r="J427" s="72">
        <v>1</v>
      </c>
      <c r="K427" s="72" t="b">
        <v>0</v>
      </c>
      <c r="AI427" t="s">
        <v>387</v>
      </c>
      <c r="AJ427">
        <v>1</v>
      </c>
      <c r="AK427">
        <v>300</v>
      </c>
      <c r="AL427">
        <v>100</v>
      </c>
      <c r="AM427" s="75">
        <f ca="1">INDIRECT(ADDRESS(11+(MATCH(RIGHT(Table2[[#This Row],[spawner_sku]],LEN(Table2[[#This Row],[spawner_sku]])-FIND("/",Table2[[#This Row],[spawner_sku]])),Table1[Entity Prefab],0)),10,1,1,"Entities"))</f>
        <v>83</v>
      </c>
      <c r="AN427" s="75">
        <f ca="1">ROUND((Table2[[#This Row],[XP]]*Table2[[#This Row],[entity_spawned (AVG)]])*(Table2[[#This Row],[activating_chance]]/100),0)</f>
        <v>83</v>
      </c>
      <c r="AO42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27" s="72">
        <v>1</v>
      </c>
      <c r="AQ427" s="72">
        <v>1</v>
      </c>
      <c r="AR427" s="72" t="b">
        <v>0</v>
      </c>
      <c r="BP427" t="s">
        <v>252</v>
      </c>
      <c r="BQ427">
        <v>1</v>
      </c>
      <c r="BR427">
        <v>190</v>
      </c>
      <c r="BS427">
        <v>100</v>
      </c>
      <c r="BT427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427" s="75">
        <f ca="1">ROUND((Table61011[[#This Row],[XP]]*Table61011[[#This Row],[entity_spawned (AVG)]])*(Table61011[[#This Row],[activating_chance]]/100),0)</f>
        <v>75</v>
      </c>
      <c r="BV42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7" s="72">
        <v>1</v>
      </c>
      <c r="BX427" s="72">
        <v>1</v>
      </c>
      <c r="BY427" s="72" t="b">
        <v>0</v>
      </c>
      <c r="CA427" t="s">
        <v>257</v>
      </c>
      <c r="CB427">
        <v>1</v>
      </c>
      <c r="CC427">
        <v>120</v>
      </c>
      <c r="CD427">
        <v>100</v>
      </c>
      <c r="CE427" s="75">
        <f ca="1">INDIRECT(ADDRESS(11+(MATCH(RIGHT(Table11[[#This Row],[spawner_sku]],LEN(Table11[[#This Row],[spawner_sku]])-FIND("/",Table11[[#This Row],[spawner_sku]])),Table1[Entity Prefab],0)),10,1,1,"Entities"))</f>
        <v>50</v>
      </c>
      <c r="CF427">
        <f ca="1">ROUND((Table11[[#This Row],[XP]]*Table11[[#This Row],[entity_spawned (AVG)]])*(Table11[[#This Row],[activating_chance]]/100),0)</f>
        <v>50</v>
      </c>
      <c r="CG427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427" s="72">
        <v>1</v>
      </c>
      <c r="CI427" s="72">
        <v>1</v>
      </c>
      <c r="CJ427" s="72" t="b">
        <v>0</v>
      </c>
      <c r="DH427" t="s">
        <v>385</v>
      </c>
      <c r="DI427">
        <v>1</v>
      </c>
      <c r="DJ427">
        <v>200</v>
      </c>
      <c r="DK427">
        <v>80</v>
      </c>
      <c r="DL427" s="75">
        <f ca="1">INDIRECT(ADDRESS(11+(MATCH(RIGHT(Table14[[#This Row],[spawner_sku]],LEN(Table14[[#This Row],[spawner_sku]])-FIND("/",Table14[[#This Row],[spawner_sku]])),Table1[Entity Prefab],0)),10,1,1,"Entities"))</f>
        <v>75</v>
      </c>
      <c r="DM427" s="75">
        <f ca="1">ROUND((Table14[[#This Row],[XP]]*Table14[[#This Row],[entity_spawned (AVG)]])*(Table14[[#This Row],[activating_chance]]/100),0)</f>
        <v>60</v>
      </c>
      <c r="DN42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27" s="72">
        <v>1</v>
      </c>
      <c r="DP427" s="72">
        <v>1</v>
      </c>
      <c r="DQ427" s="72" t="b">
        <v>0</v>
      </c>
    </row>
    <row r="428" spans="2:121" x14ac:dyDescent="0.25">
      <c r="B428" s="73" t="s">
        <v>445</v>
      </c>
      <c r="C428">
        <v>1</v>
      </c>
      <c r="D428">
        <v>180</v>
      </c>
      <c r="E428">
        <v>100</v>
      </c>
      <c r="F428" s="75">
        <f ca="1">INDIRECT(ADDRESS(11+(MATCH(RIGHT(Table245[[#This Row],[spawner_sku]],LEN(Table245[[#This Row],[spawner_sku]])-FIND("/",Table245[[#This Row],[spawner_sku]])),Table1[Entity Prefab],0)),10,1,1,"Entities"))</f>
        <v>0</v>
      </c>
      <c r="G428" s="75">
        <f ca="1">ROUND((Table245[[#This Row],[XP]]*Table245[[#This Row],[entity_spawned (AVG)]])*(Table245[[#This Row],[activating_chance]]/100),0)</f>
        <v>0</v>
      </c>
      <c r="H42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28" s="72">
        <v>1</v>
      </c>
      <c r="J428" s="72">
        <v>1</v>
      </c>
      <c r="K428" s="72" t="b">
        <v>0</v>
      </c>
      <c r="AI428" t="s">
        <v>387</v>
      </c>
      <c r="AJ428">
        <v>1</v>
      </c>
      <c r="AK428">
        <v>300</v>
      </c>
      <c r="AL428">
        <v>100</v>
      </c>
      <c r="AM428" s="75">
        <f ca="1">INDIRECT(ADDRESS(11+(MATCH(RIGHT(Table2[[#This Row],[spawner_sku]],LEN(Table2[[#This Row],[spawner_sku]])-FIND("/",Table2[[#This Row],[spawner_sku]])),Table1[Entity Prefab],0)),10,1,1,"Entities"))</f>
        <v>83</v>
      </c>
      <c r="AN428" s="75">
        <f ca="1">ROUND((Table2[[#This Row],[XP]]*Table2[[#This Row],[entity_spawned (AVG)]])*(Table2[[#This Row],[activating_chance]]/100),0)</f>
        <v>83</v>
      </c>
      <c r="AO42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28" s="72">
        <v>1</v>
      </c>
      <c r="AQ428" s="72">
        <v>1</v>
      </c>
      <c r="AR428" s="72" t="b">
        <v>0</v>
      </c>
      <c r="BP428" t="s">
        <v>254</v>
      </c>
      <c r="BQ428">
        <v>1</v>
      </c>
      <c r="BR428">
        <v>200</v>
      </c>
      <c r="BS428">
        <v>100</v>
      </c>
      <c r="BT428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428" s="75">
        <f ca="1">ROUND((Table61011[[#This Row],[XP]]*Table61011[[#This Row],[entity_spawned (AVG)]])*(Table61011[[#This Row],[activating_chance]]/100),0)</f>
        <v>70</v>
      </c>
      <c r="BV42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28" s="72">
        <v>1</v>
      </c>
      <c r="BX428" s="72">
        <v>1</v>
      </c>
      <c r="BY428" s="72" t="b">
        <v>0</v>
      </c>
      <c r="CA428" t="s">
        <v>257</v>
      </c>
      <c r="CB428">
        <v>1</v>
      </c>
      <c r="CC428">
        <v>120</v>
      </c>
      <c r="CD428">
        <v>10</v>
      </c>
      <c r="CE428" s="75">
        <f ca="1">INDIRECT(ADDRESS(11+(MATCH(RIGHT(Table11[[#This Row],[spawner_sku]],LEN(Table11[[#This Row],[spawner_sku]])-FIND("/",Table11[[#This Row],[spawner_sku]])),Table1[Entity Prefab],0)),10,1,1,"Entities"))</f>
        <v>50</v>
      </c>
      <c r="CF428">
        <f ca="1">ROUND((Table11[[#This Row],[XP]]*Table11[[#This Row],[entity_spawned (AVG)]])*(Table11[[#This Row],[activating_chance]]/100),0)</f>
        <v>5</v>
      </c>
      <c r="CG428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428" s="72">
        <v>1</v>
      </c>
      <c r="CI428" s="72">
        <v>1</v>
      </c>
      <c r="CJ428" s="72" t="b">
        <v>0</v>
      </c>
      <c r="DH428" t="s">
        <v>385</v>
      </c>
      <c r="DI428">
        <v>1</v>
      </c>
      <c r="DJ428">
        <v>130</v>
      </c>
      <c r="DK428">
        <v>100</v>
      </c>
      <c r="DL428" s="75">
        <f ca="1">INDIRECT(ADDRESS(11+(MATCH(RIGHT(Table14[[#This Row],[spawner_sku]],LEN(Table14[[#This Row],[spawner_sku]])-FIND("/",Table14[[#This Row],[spawner_sku]])),Table1[Entity Prefab],0)),10,1,1,"Entities"))</f>
        <v>75</v>
      </c>
      <c r="DM428" s="75">
        <f ca="1">ROUND((Table14[[#This Row],[XP]]*Table14[[#This Row],[entity_spawned (AVG)]])*(Table14[[#This Row],[activating_chance]]/100),0)</f>
        <v>75</v>
      </c>
      <c r="DN42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28" s="72">
        <v>1</v>
      </c>
      <c r="DP428" s="72">
        <v>1</v>
      </c>
      <c r="DQ428" s="72" t="b">
        <v>0</v>
      </c>
    </row>
    <row r="429" spans="2:121" x14ac:dyDescent="0.25">
      <c r="B429" s="73" t="s">
        <v>445</v>
      </c>
      <c r="C429">
        <v>1</v>
      </c>
      <c r="D429">
        <v>180</v>
      </c>
      <c r="E429">
        <v>100</v>
      </c>
      <c r="F429" s="75">
        <f ca="1">INDIRECT(ADDRESS(11+(MATCH(RIGHT(Table245[[#This Row],[spawner_sku]],LEN(Table245[[#This Row],[spawner_sku]])-FIND("/",Table245[[#This Row],[spawner_sku]])),Table1[Entity Prefab],0)),10,1,1,"Entities"))</f>
        <v>0</v>
      </c>
      <c r="G429" s="75">
        <f ca="1">ROUND((Table245[[#This Row],[XP]]*Table245[[#This Row],[entity_spawned (AVG)]])*(Table245[[#This Row],[activating_chance]]/100),0)</f>
        <v>0</v>
      </c>
      <c r="H42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29" s="72">
        <v>1</v>
      </c>
      <c r="J429" s="72">
        <v>1</v>
      </c>
      <c r="K429" s="72" t="b">
        <v>0</v>
      </c>
      <c r="AI429" t="s">
        <v>512</v>
      </c>
      <c r="AJ429">
        <v>1</v>
      </c>
      <c r="AK429">
        <v>300</v>
      </c>
      <c r="AL429">
        <v>100</v>
      </c>
      <c r="AM429" s="75">
        <f ca="1">INDIRECT(ADDRESS(11+(MATCH(RIGHT(Table2[[#This Row],[spawner_sku]],LEN(Table2[[#This Row],[spawner_sku]])-FIND("/",Table2[[#This Row],[spawner_sku]])),Table1[Entity Prefab],0)),10,1,1,"Entities"))</f>
        <v>83</v>
      </c>
      <c r="AN429" s="75">
        <f ca="1">ROUND((Table2[[#This Row],[XP]]*Table2[[#This Row],[entity_spawned (AVG)]])*(Table2[[#This Row],[activating_chance]]/100),0)</f>
        <v>83</v>
      </c>
      <c r="AO42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429" s="72">
        <v>1</v>
      </c>
      <c r="AQ429" s="72">
        <v>1</v>
      </c>
      <c r="AR429" s="72" t="b">
        <v>0</v>
      </c>
      <c r="BP429" t="s">
        <v>254</v>
      </c>
      <c r="BQ429">
        <v>1</v>
      </c>
      <c r="BR429">
        <v>170</v>
      </c>
      <c r="BS429">
        <v>100</v>
      </c>
      <c r="BT429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429" s="75">
        <f ca="1">ROUND((Table61011[[#This Row],[XP]]*Table61011[[#This Row],[entity_spawned (AVG)]])*(Table61011[[#This Row],[activating_chance]]/100),0)</f>
        <v>70</v>
      </c>
      <c r="BV42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29" s="72">
        <v>1</v>
      </c>
      <c r="BX429" s="72">
        <v>1</v>
      </c>
      <c r="BY429" s="72" t="b">
        <v>0</v>
      </c>
      <c r="CA429" t="s">
        <v>257</v>
      </c>
      <c r="CB429">
        <v>1</v>
      </c>
      <c r="CC429">
        <v>120</v>
      </c>
      <c r="CD429">
        <v>100</v>
      </c>
      <c r="CE429" s="75">
        <f ca="1">INDIRECT(ADDRESS(11+(MATCH(RIGHT(Table11[[#This Row],[spawner_sku]],LEN(Table11[[#This Row],[spawner_sku]])-FIND("/",Table11[[#This Row],[spawner_sku]])),Table1[Entity Prefab],0)),10,1,1,"Entities"))</f>
        <v>50</v>
      </c>
      <c r="CF429">
        <f ca="1">ROUND((Table11[[#This Row],[XP]]*Table11[[#This Row],[entity_spawned (AVG)]])*(Table11[[#This Row],[activating_chance]]/100),0)</f>
        <v>50</v>
      </c>
      <c r="CG429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429" s="72">
        <v>1</v>
      </c>
      <c r="CI429" s="72">
        <v>1</v>
      </c>
      <c r="CJ429" s="72" t="b">
        <v>0</v>
      </c>
      <c r="DH429" t="s">
        <v>385</v>
      </c>
      <c r="DI429">
        <v>1</v>
      </c>
      <c r="DJ429">
        <v>135</v>
      </c>
      <c r="DK429">
        <v>100</v>
      </c>
      <c r="DL429" s="75">
        <f ca="1">INDIRECT(ADDRESS(11+(MATCH(RIGHT(Table14[[#This Row],[spawner_sku]],LEN(Table14[[#This Row],[spawner_sku]])-FIND("/",Table14[[#This Row],[spawner_sku]])),Table1[Entity Prefab],0)),10,1,1,"Entities"))</f>
        <v>75</v>
      </c>
      <c r="DM429" s="75">
        <f ca="1">ROUND((Table14[[#This Row],[XP]]*Table14[[#This Row],[entity_spawned (AVG)]])*(Table14[[#This Row],[activating_chance]]/100),0)</f>
        <v>75</v>
      </c>
      <c r="DN42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29" s="72">
        <v>1</v>
      </c>
      <c r="DP429" s="72">
        <v>1</v>
      </c>
      <c r="DQ429" s="72" t="b">
        <v>0</v>
      </c>
    </row>
    <row r="430" spans="2:121" x14ac:dyDescent="0.25">
      <c r="B430" s="73" t="s">
        <v>445</v>
      </c>
      <c r="C430">
        <v>1</v>
      </c>
      <c r="D430">
        <v>180</v>
      </c>
      <c r="E430">
        <v>80</v>
      </c>
      <c r="F430" s="75">
        <f ca="1">INDIRECT(ADDRESS(11+(MATCH(RIGHT(Table245[[#This Row],[spawner_sku]],LEN(Table245[[#This Row],[spawner_sku]])-FIND("/",Table245[[#This Row],[spawner_sku]])),Table1[Entity Prefab],0)),10,1,1,"Entities"))</f>
        <v>0</v>
      </c>
      <c r="G430" s="75">
        <f ca="1">ROUND((Table245[[#This Row],[XP]]*Table245[[#This Row],[entity_spawned (AVG)]])*(Table245[[#This Row],[activating_chance]]/100),0)</f>
        <v>0</v>
      </c>
      <c r="H43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30" s="72">
        <v>1</v>
      </c>
      <c r="J430" s="72">
        <v>1</v>
      </c>
      <c r="K430" s="72" t="b">
        <v>0</v>
      </c>
      <c r="BP430" t="s">
        <v>254</v>
      </c>
      <c r="BQ430">
        <v>1</v>
      </c>
      <c r="BR430">
        <v>200</v>
      </c>
      <c r="BS430">
        <v>80</v>
      </c>
      <c r="BT430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430" s="75">
        <f ca="1">ROUND((Table61011[[#This Row],[XP]]*Table61011[[#This Row],[entity_spawned (AVG)]])*(Table61011[[#This Row],[activating_chance]]/100),0)</f>
        <v>56</v>
      </c>
      <c r="BV43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30" s="72">
        <v>1</v>
      </c>
      <c r="BX430" s="72">
        <v>1</v>
      </c>
      <c r="BY430" s="72" t="b">
        <v>0</v>
      </c>
      <c r="CA430" t="s">
        <v>257</v>
      </c>
      <c r="CB430">
        <v>1</v>
      </c>
      <c r="CC430">
        <v>120</v>
      </c>
      <c r="CD430">
        <v>10</v>
      </c>
      <c r="CE430" s="75">
        <f ca="1">INDIRECT(ADDRESS(11+(MATCH(RIGHT(Table11[[#This Row],[spawner_sku]],LEN(Table11[[#This Row],[spawner_sku]])-FIND("/",Table11[[#This Row],[spawner_sku]])),Table1[Entity Prefab],0)),10,1,1,"Entities"))</f>
        <v>50</v>
      </c>
      <c r="CF430">
        <f ca="1">ROUND((Table11[[#This Row],[XP]]*Table11[[#This Row],[entity_spawned (AVG)]])*(Table11[[#This Row],[activating_chance]]/100),0)</f>
        <v>5</v>
      </c>
      <c r="CG430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430" s="72">
        <v>1</v>
      </c>
      <c r="CI430" s="72">
        <v>1</v>
      </c>
      <c r="CJ430" s="72" t="b">
        <v>0</v>
      </c>
      <c r="DH430" t="s">
        <v>385</v>
      </c>
      <c r="DI430">
        <v>1</v>
      </c>
      <c r="DJ430">
        <v>200</v>
      </c>
      <c r="DK430">
        <v>100</v>
      </c>
      <c r="DL430" s="75">
        <f ca="1">INDIRECT(ADDRESS(11+(MATCH(RIGHT(Table14[[#This Row],[spawner_sku]],LEN(Table14[[#This Row],[spawner_sku]])-FIND("/",Table14[[#This Row],[spawner_sku]])),Table1[Entity Prefab],0)),10,1,1,"Entities"))</f>
        <v>75</v>
      </c>
      <c r="DM430" s="75">
        <f ca="1">ROUND((Table14[[#This Row],[XP]]*Table14[[#This Row],[entity_spawned (AVG)]])*(Table14[[#This Row],[activating_chance]]/100),0)</f>
        <v>75</v>
      </c>
      <c r="DN43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30" s="72">
        <v>1</v>
      </c>
      <c r="DP430" s="72">
        <v>1</v>
      </c>
      <c r="DQ430" s="72" t="b">
        <v>0</v>
      </c>
    </row>
    <row r="431" spans="2:121" x14ac:dyDescent="0.25">
      <c r="B431" s="73" t="s">
        <v>445</v>
      </c>
      <c r="C431">
        <v>1</v>
      </c>
      <c r="D431">
        <v>190</v>
      </c>
      <c r="E431">
        <v>100</v>
      </c>
      <c r="F431" s="75">
        <f ca="1">INDIRECT(ADDRESS(11+(MATCH(RIGHT(Table245[[#This Row],[spawner_sku]],LEN(Table245[[#This Row],[spawner_sku]])-FIND("/",Table245[[#This Row],[spawner_sku]])),Table1[Entity Prefab],0)),10,1,1,"Entities"))</f>
        <v>0</v>
      </c>
      <c r="G431" s="75">
        <f ca="1">ROUND((Table245[[#This Row],[XP]]*Table245[[#This Row],[entity_spawned (AVG)]])*(Table245[[#This Row],[activating_chance]]/100),0)</f>
        <v>0</v>
      </c>
      <c r="H43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31" s="72">
        <v>1</v>
      </c>
      <c r="J431" s="72">
        <v>1</v>
      </c>
      <c r="K431" s="72" t="b">
        <v>0</v>
      </c>
      <c r="BP431" t="s">
        <v>254</v>
      </c>
      <c r="BQ431">
        <v>1</v>
      </c>
      <c r="BR431">
        <v>170</v>
      </c>
      <c r="BS431">
        <v>100</v>
      </c>
      <c r="BT431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431" s="75">
        <f ca="1">ROUND((Table61011[[#This Row],[XP]]*Table61011[[#This Row],[entity_spawned (AVG)]])*(Table61011[[#This Row],[activating_chance]]/100),0)</f>
        <v>70</v>
      </c>
      <c r="BV43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31" s="72">
        <v>1</v>
      </c>
      <c r="BX431" s="72">
        <v>1</v>
      </c>
      <c r="BY431" s="72" t="b">
        <v>0</v>
      </c>
      <c r="CA431" t="s">
        <v>257</v>
      </c>
      <c r="CB431">
        <v>1</v>
      </c>
      <c r="CC431">
        <v>120</v>
      </c>
      <c r="CD431">
        <v>30</v>
      </c>
      <c r="CE431" s="75">
        <f ca="1">INDIRECT(ADDRESS(11+(MATCH(RIGHT(Table11[[#This Row],[spawner_sku]],LEN(Table11[[#This Row],[spawner_sku]])-FIND("/",Table11[[#This Row],[spawner_sku]])),Table1[Entity Prefab],0)),10,1,1,"Entities"))</f>
        <v>50</v>
      </c>
      <c r="CF431">
        <f ca="1">ROUND((Table11[[#This Row],[XP]]*Table11[[#This Row],[entity_spawned (AVG)]])*(Table11[[#This Row],[activating_chance]]/100),0)</f>
        <v>15</v>
      </c>
      <c r="CG431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431" s="72">
        <v>1</v>
      </c>
      <c r="CI431" s="72">
        <v>1</v>
      </c>
      <c r="CJ431" s="72" t="b">
        <v>0</v>
      </c>
      <c r="DH431" t="s">
        <v>385</v>
      </c>
      <c r="DI431">
        <v>1</v>
      </c>
      <c r="DJ431">
        <v>130</v>
      </c>
      <c r="DK431">
        <v>100</v>
      </c>
      <c r="DL431" s="75">
        <f ca="1">INDIRECT(ADDRESS(11+(MATCH(RIGHT(Table14[[#This Row],[spawner_sku]],LEN(Table14[[#This Row],[spawner_sku]])-FIND("/",Table14[[#This Row],[spawner_sku]])),Table1[Entity Prefab],0)),10,1,1,"Entities"))</f>
        <v>75</v>
      </c>
      <c r="DM431" s="75">
        <f ca="1">ROUND((Table14[[#This Row],[XP]]*Table14[[#This Row],[entity_spawned (AVG)]])*(Table14[[#This Row],[activating_chance]]/100),0)</f>
        <v>75</v>
      </c>
      <c r="DN43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31" s="72">
        <v>1</v>
      </c>
      <c r="DP431" s="72">
        <v>1</v>
      </c>
      <c r="DQ431" s="72" t="b">
        <v>0</v>
      </c>
    </row>
    <row r="432" spans="2:121" x14ac:dyDescent="0.25">
      <c r="B432" s="73" t="s">
        <v>445</v>
      </c>
      <c r="C432">
        <v>1</v>
      </c>
      <c r="D432">
        <v>180</v>
      </c>
      <c r="E432">
        <v>80</v>
      </c>
      <c r="F432" s="75">
        <f ca="1">INDIRECT(ADDRESS(11+(MATCH(RIGHT(Table245[[#This Row],[spawner_sku]],LEN(Table245[[#This Row],[spawner_sku]])-FIND("/",Table245[[#This Row],[spawner_sku]])),Table1[Entity Prefab],0)),10,1,1,"Entities"))</f>
        <v>0</v>
      </c>
      <c r="G432" s="75">
        <f ca="1">ROUND((Table245[[#This Row],[XP]]*Table245[[#This Row],[entity_spawned (AVG)]])*(Table245[[#This Row],[activating_chance]]/100),0)</f>
        <v>0</v>
      </c>
      <c r="H43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32" s="72">
        <v>1</v>
      </c>
      <c r="J432" s="72">
        <v>1</v>
      </c>
      <c r="K432" s="72" t="b">
        <v>0</v>
      </c>
      <c r="BP432" t="s">
        <v>254</v>
      </c>
      <c r="BQ432">
        <v>1</v>
      </c>
      <c r="BR432">
        <v>170</v>
      </c>
      <c r="BS432">
        <v>100</v>
      </c>
      <c r="BT432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432" s="75">
        <f ca="1">ROUND((Table61011[[#This Row],[XP]]*Table61011[[#This Row],[entity_spawned (AVG)]])*(Table61011[[#This Row],[activating_chance]]/100),0)</f>
        <v>70</v>
      </c>
      <c r="BV43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32" s="72">
        <v>1</v>
      </c>
      <c r="BX432" s="72">
        <v>1</v>
      </c>
      <c r="BY432" s="72" t="b">
        <v>0</v>
      </c>
      <c r="DH432" t="s">
        <v>385</v>
      </c>
      <c r="DI432">
        <v>1</v>
      </c>
      <c r="DJ432">
        <v>150</v>
      </c>
      <c r="DK432">
        <v>100</v>
      </c>
      <c r="DL432" s="75">
        <f ca="1">INDIRECT(ADDRESS(11+(MATCH(RIGHT(Table14[[#This Row],[spawner_sku]],LEN(Table14[[#This Row],[spawner_sku]])-FIND("/",Table14[[#This Row],[spawner_sku]])),Table1[Entity Prefab],0)),10,1,1,"Entities"))</f>
        <v>75</v>
      </c>
      <c r="DM432" s="75">
        <f ca="1">ROUND((Table14[[#This Row],[XP]]*Table14[[#This Row],[entity_spawned (AVG)]])*(Table14[[#This Row],[activating_chance]]/100),0)</f>
        <v>75</v>
      </c>
      <c r="DN43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32" s="72">
        <v>1</v>
      </c>
      <c r="DP432" s="72">
        <v>1</v>
      </c>
      <c r="DQ432" s="72" t="b">
        <v>0</v>
      </c>
    </row>
    <row r="433" spans="2:121" x14ac:dyDescent="0.25">
      <c r="B433" s="73" t="s">
        <v>445</v>
      </c>
      <c r="C433">
        <v>1</v>
      </c>
      <c r="D433">
        <v>180</v>
      </c>
      <c r="E433">
        <v>30</v>
      </c>
      <c r="F433" s="75">
        <f ca="1">INDIRECT(ADDRESS(11+(MATCH(RIGHT(Table245[[#This Row],[spawner_sku]],LEN(Table245[[#This Row],[spawner_sku]])-FIND("/",Table245[[#This Row],[spawner_sku]])),Table1[Entity Prefab],0)),10,1,1,"Entities"))</f>
        <v>0</v>
      </c>
      <c r="G433" s="75">
        <f ca="1">ROUND((Table245[[#This Row],[XP]]*Table245[[#This Row],[entity_spawned (AVG)]])*(Table245[[#This Row],[activating_chance]]/100),0)</f>
        <v>0</v>
      </c>
      <c r="H43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33" s="72">
        <v>1</v>
      </c>
      <c r="J433" s="72">
        <v>1</v>
      </c>
      <c r="K433" s="72" t="b">
        <v>0</v>
      </c>
      <c r="BP433" t="s">
        <v>254</v>
      </c>
      <c r="BQ433">
        <v>1</v>
      </c>
      <c r="BR433">
        <v>170</v>
      </c>
      <c r="BS433">
        <v>100</v>
      </c>
      <c r="BT433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433" s="75">
        <f ca="1">ROUND((Table61011[[#This Row],[XP]]*Table61011[[#This Row],[entity_spawned (AVG)]])*(Table61011[[#This Row],[activating_chance]]/100),0)</f>
        <v>70</v>
      </c>
      <c r="BV43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33" s="72">
        <v>1</v>
      </c>
      <c r="BX433" s="72">
        <v>1</v>
      </c>
      <c r="BY433" s="72" t="b">
        <v>0</v>
      </c>
      <c r="DH433" t="s">
        <v>385</v>
      </c>
      <c r="DI433">
        <v>1</v>
      </c>
      <c r="DJ433">
        <v>100</v>
      </c>
      <c r="DK433">
        <v>100</v>
      </c>
      <c r="DL433" s="75">
        <f ca="1">INDIRECT(ADDRESS(11+(MATCH(RIGHT(Table14[[#This Row],[spawner_sku]],LEN(Table14[[#This Row],[spawner_sku]])-FIND("/",Table14[[#This Row],[spawner_sku]])),Table1[Entity Prefab],0)),10,1,1,"Entities"))</f>
        <v>75</v>
      </c>
      <c r="DM433" s="75">
        <f ca="1">ROUND((Table14[[#This Row],[XP]]*Table14[[#This Row],[entity_spawned (AVG)]])*(Table14[[#This Row],[activating_chance]]/100),0)</f>
        <v>75</v>
      </c>
      <c r="DN43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33" s="72">
        <v>1</v>
      </c>
      <c r="DP433" s="72">
        <v>1</v>
      </c>
      <c r="DQ433" s="72" t="b">
        <v>0</v>
      </c>
    </row>
    <row r="434" spans="2:121" x14ac:dyDescent="0.25">
      <c r="B434" s="73" t="s">
        <v>445</v>
      </c>
      <c r="C434">
        <v>1</v>
      </c>
      <c r="D434">
        <v>180</v>
      </c>
      <c r="E434">
        <v>100</v>
      </c>
      <c r="F434" s="75">
        <f ca="1">INDIRECT(ADDRESS(11+(MATCH(RIGHT(Table245[[#This Row],[spawner_sku]],LEN(Table245[[#This Row],[spawner_sku]])-FIND("/",Table245[[#This Row],[spawner_sku]])),Table1[Entity Prefab],0)),10,1,1,"Entities"))</f>
        <v>0</v>
      </c>
      <c r="G434" s="75">
        <f ca="1">ROUND((Table245[[#This Row],[XP]]*Table245[[#This Row],[entity_spawned (AVG)]])*(Table245[[#This Row],[activating_chance]]/100),0)</f>
        <v>0</v>
      </c>
      <c r="H43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34" s="72">
        <v>1</v>
      </c>
      <c r="J434" s="72">
        <v>1</v>
      </c>
      <c r="K434" s="72" t="b">
        <v>0</v>
      </c>
      <c r="BP434" t="s">
        <v>254</v>
      </c>
      <c r="BQ434">
        <v>1</v>
      </c>
      <c r="BR434">
        <v>170</v>
      </c>
      <c r="BS434">
        <v>100</v>
      </c>
      <c r="BT434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434" s="75">
        <f ca="1">ROUND((Table61011[[#This Row],[XP]]*Table61011[[#This Row],[entity_spawned (AVG)]])*(Table61011[[#This Row],[activating_chance]]/100),0)</f>
        <v>70</v>
      </c>
      <c r="BV43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34" s="72">
        <v>1</v>
      </c>
      <c r="BX434" s="72">
        <v>1</v>
      </c>
      <c r="BY434" s="72" t="b">
        <v>0</v>
      </c>
      <c r="DH434" t="s">
        <v>385</v>
      </c>
      <c r="DI434">
        <v>1</v>
      </c>
      <c r="DJ434">
        <v>150</v>
      </c>
      <c r="DK434">
        <v>100</v>
      </c>
      <c r="DL434" s="75">
        <f ca="1">INDIRECT(ADDRESS(11+(MATCH(RIGHT(Table14[[#This Row],[spawner_sku]],LEN(Table14[[#This Row],[spawner_sku]])-FIND("/",Table14[[#This Row],[spawner_sku]])),Table1[Entity Prefab],0)),10,1,1,"Entities"))</f>
        <v>75</v>
      </c>
      <c r="DM434" s="75">
        <f ca="1">ROUND((Table14[[#This Row],[XP]]*Table14[[#This Row],[entity_spawned (AVG)]])*(Table14[[#This Row],[activating_chance]]/100),0)</f>
        <v>75</v>
      </c>
      <c r="DN43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34" s="72">
        <v>1</v>
      </c>
      <c r="DP434" s="72">
        <v>1</v>
      </c>
      <c r="DQ434" s="72" t="b">
        <v>0</v>
      </c>
    </row>
    <row r="435" spans="2:121" x14ac:dyDescent="0.25">
      <c r="B435" s="73" t="s">
        <v>445</v>
      </c>
      <c r="C435">
        <v>1</v>
      </c>
      <c r="D435">
        <v>190</v>
      </c>
      <c r="E435">
        <v>100</v>
      </c>
      <c r="F435" s="75">
        <f ca="1">INDIRECT(ADDRESS(11+(MATCH(RIGHT(Table245[[#This Row],[spawner_sku]],LEN(Table245[[#This Row],[spawner_sku]])-FIND("/",Table245[[#This Row],[spawner_sku]])),Table1[Entity Prefab],0)),10,1,1,"Entities"))</f>
        <v>0</v>
      </c>
      <c r="G435" s="75">
        <f ca="1">ROUND((Table245[[#This Row],[XP]]*Table245[[#This Row],[entity_spawned (AVG)]])*(Table245[[#This Row],[activating_chance]]/100),0)</f>
        <v>0</v>
      </c>
      <c r="H43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35" s="72">
        <v>1</v>
      </c>
      <c r="J435" s="72">
        <v>1</v>
      </c>
      <c r="K435" s="72" t="b">
        <v>0</v>
      </c>
      <c r="BP435" t="s">
        <v>254</v>
      </c>
      <c r="BQ435">
        <v>1</v>
      </c>
      <c r="BR435">
        <v>200</v>
      </c>
      <c r="BS435">
        <v>100</v>
      </c>
      <c r="BT435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435" s="75">
        <f ca="1">ROUND((Table61011[[#This Row],[XP]]*Table61011[[#This Row],[entity_spawned (AVG)]])*(Table61011[[#This Row],[activating_chance]]/100),0)</f>
        <v>70</v>
      </c>
      <c r="BV43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35" s="72">
        <v>1</v>
      </c>
      <c r="BX435" s="72">
        <v>1</v>
      </c>
      <c r="BY435" s="72" t="b">
        <v>0</v>
      </c>
      <c r="DH435" t="s">
        <v>385</v>
      </c>
      <c r="DI435">
        <v>1</v>
      </c>
      <c r="DJ435">
        <v>140</v>
      </c>
      <c r="DK435">
        <v>100</v>
      </c>
      <c r="DL435" s="75">
        <f ca="1">INDIRECT(ADDRESS(11+(MATCH(RIGHT(Table14[[#This Row],[spawner_sku]],LEN(Table14[[#This Row],[spawner_sku]])-FIND("/",Table14[[#This Row],[spawner_sku]])),Table1[Entity Prefab],0)),10,1,1,"Entities"))</f>
        <v>75</v>
      </c>
      <c r="DM435" s="75">
        <f ca="1">ROUND((Table14[[#This Row],[XP]]*Table14[[#This Row],[entity_spawned (AVG)]])*(Table14[[#This Row],[activating_chance]]/100),0)</f>
        <v>75</v>
      </c>
      <c r="DN43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35" s="72">
        <v>1</v>
      </c>
      <c r="DP435" s="72">
        <v>1</v>
      </c>
      <c r="DQ435" s="72" t="b">
        <v>0</v>
      </c>
    </row>
    <row r="436" spans="2:121" x14ac:dyDescent="0.25">
      <c r="B436" s="73" t="s">
        <v>445</v>
      </c>
      <c r="C436">
        <v>1</v>
      </c>
      <c r="D436">
        <v>190</v>
      </c>
      <c r="E436">
        <v>100</v>
      </c>
      <c r="F436" s="75">
        <f ca="1">INDIRECT(ADDRESS(11+(MATCH(RIGHT(Table245[[#This Row],[spawner_sku]],LEN(Table245[[#This Row],[spawner_sku]])-FIND("/",Table245[[#This Row],[spawner_sku]])),Table1[Entity Prefab],0)),10,1,1,"Entities"))</f>
        <v>0</v>
      </c>
      <c r="G436" s="75">
        <f ca="1">ROUND((Table245[[#This Row],[XP]]*Table245[[#This Row],[entity_spawned (AVG)]])*(Table245[[#This Row],[activating_chance]]/100),0)</f>
        <v>0</v>
      </c>
      <c r="H43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36" s="72">
        <v>1</v>
      </c>
      <c r="J436" s="72">
        <v>1</v>
      </c>
      <c r="K436" s="72" t="b">
        <v>0</v>
      </c>
      <c r="BP436" t="s">
        <v>254</v>
      </c>
      <c r="BQ436">
        <v>1</v>
      </c>
      <c r="BR436">
        <v>170</v>
      </c>
      <c r="BS436">
        <v>100</v>
      </c>
      <c r="BT436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436" s="75">
        <f ca="1">ROUND((Table61011[[#This Row],[XP]]*Table61011[[#This Row],[entity_spawned (AVG)]])*(Table61011[[#This Row],[activating_chance]]/100),0)</f>
        <v>70</v>
      </c>
      <c r="BV43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36" s="72">
        <v>1</v>
      </c>
      <c r="BX436" s="72">
        <v>1</v>
      </c>
      <c r="BY436" s="72" t="b">
        <v>0</v>
      </c>
      <c r="DH436" t="s">
        <v>385</v>
      </c>
      <c r="DI436">
        <v>1</v>
      </c>
      <c r="DJ436">
        <v>150</v>
      </c>
      <c r="DK436">
        <v>100</v>
      </c>
      <c r="DL436" s="75">
        <f ca="1">INDIRECT(ADDRESS(11+(MATCH(RIGHT(Table14[[#This Row],[spawner_sku]],LEN(Table14[[#This Row],[spawner_sku]])-FIND("/",Table14[[#This Row],[spawner_sku]])),Table1[Entity Prefab],0)),10,1,1,"Entities"))</f>
        <v>75</v>
      </c>
      <c r="DM436" s="75">
        <f ca="1">ROUND((Table14[[#This Row],[XP]]*Table14[[#This Row],[entity_spawned (AVG)]])*(Table14[[#This Row],[activating_chance]]/100),0)</f>
        <v>75</v>
      </c>
      <c r="DN43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36" s="72">
        <v>1</v>
      </c>
      <c r="DP436" s="72">
        <v>1</v>
      </c>
      <c r="DQ436" s="72" t="b">
        <v>0</v>
      </c>
    </row>
    <row r="437" spans="2:121" x14ac:dyDescent="0.25">
      <c r="B437" s="73" t="s">
        <v>445</v>
      </c>
      <c r="C437">
        <v>1</v>
      </c>
      <c r="D437">
        <v>180</v>
      </c>
      <c r="E437">
        <v>100</v>
      </c>
      <c r="F437" s="75">
        <f ca="1">INDIRECT(ADDRESS(11+(MATCH(RIGHT(Table245[[#This Row],[spawner_sku]],LEN(Table245[[#This Row],[spawner_sku]])-FIND("/",Table245[[#This Row],[spawner_sku]])),Table1[Entity Prefab],0)),10,1,1,"Entities"))</f>
        <v>0</v>
      </c>
      <c r="G437" s="75">
        <f ca="1">ROUND((Table245[[#This Row],[XP]]*Table245[[#This Row],[entity_spawned (AVG)]])*(Table245[[#This Row],[activating_chance]]/100),0)</f>
        <v>0</v>
      </c>
      <c r="H43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37" s="72">
        <v>1</v>
      </c>
      <c r="J437" s="72">
        <v>1</v>
      </c>
      <c r="K437" s="72" t="b">
        <v>0</v>
      </c>
      <c r="BP437" t="s">
        <v>254</v>
      </c>
      <c r="BQ437">
        <v>1</v>
      </c>
      <c r="BR437">
        <v>170</v>
      </c>
      <c r="BS437">
        <v>80</v>
      </c>
      <c r="BT437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437" s="75">
        <f ca="1">ROUND((Table61011[[#This Row],[XP]]*Table61011[[#This Row],[entity_spawned (AVG)]])*(Table61011[[#This Row],[activating_chance]]/100),0)</f>
        <v>56</v>
      </c>
      <c r="BV43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37" s="72">
        <v>1</v>
      </c>
      <c r="BX437" s="72">
        <v>1</v>
      </c>
      <c r="BY437" s="72" t="b">
        <v>0</v>
      </c>
      <c r="DH437" t="s">
        <v>385</v>
      </c>
      <c r="DI437">
        <v>1</v>
      </c>
      <c r="DJ437">
        <v>90</v>
      </c>
      <c r="DK437">
        <v>100</v>
      </c>
      <c r="DL437" s="75">
        <f ca="1">INDIRECT(ADDRESS(11+(MATCH(RIGHT(Table14[[#This Row],[spawner_sku]],LEN(Table14[[#This Row],[spawner_sku]])-FIND("/",Table14[[#This Row],[spawner_sku]])),Table1[Entity Prefab],0)),10,1,1,"Entities"))</f>
        <v>75</v>
      </c>
      <c r="DM437" s="75">
        <f ca="1">ROUND((Table14[[#This Row],[XP]]*Table14[[#This Row],[entity_spawned (AVG)]])*(Table14[[#This Row],[activating_chance]]/100),0)</f>
        <v>75</v>
      </c>
      <c r="DN43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37" s="72">
        <v>1</v>
      </c>
      <c r="DP437" s="72">
        <v>1</v>
      </c>
      <c r="DQ437" s="72" t="b">
        <v>0</v>
      </c>
    </row>
    <row r="438" spans="2:121" x14ac:dyDescent="0.25">
      <c r="B438" s="73" t="s">
        <v>445</v>
      </c>
      <c r="C438">
        <v>1</v>
      </c>
      <c r="D438">
        <v>190</v>
      </c>
      <c r="E438">
        <v>100</v>
      </c>
      <c r="F438" s="75">
        <f ca="1">INDIRECT(ADDRESS(11+(MATCH(RIGHT(Table245[[#This Row],[spawner_sku]],LEN(Table245[[#This Row],[spawner_sku]])-FIND("/",Table245[[#This Row],[spawner_sku]])),Table1[Entity Prefab],0)),10,1,1,"Entities"))</f>
        <v>0</v>
      </c>
      <c r="G438" s="75">
        <f ca="1">ROUND((Table245[[#This Row],[XP]]*Table245[[#This Row],[entity_spawned (AVG)]])*(Table245[[#This Row],[activating_chance]]/100),0)</f>
        <v>0</v>
      </c>
      <c r="H43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38" s="72">
        <v>1</v>
      </c>
      <c r="J438" s="72">
        <v>1</v>
      </c>
      <c r="K438" s="72" t="b">
        <v>0</v>
      </c>
      <c r="BP438" t="s">
        <v>255</v>
      </c>
      <c r="BQ438">
        <v>1</v>
      </c>
      <c r="BR438">
        <v>150</v>
      </c>
      <c r="BS438">
        <v>100</v>
      </c>
      <c r="BT43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38" s="75">
        <f ca="1">ROUND((Table61011[[#This Row],[XP]]*Table61011[[#This Row],[entity_spawned (AVG)]])*(Table61011[[#This Row],[activating_chance]]/100),0)</f>
        <v>25</v>
      </c>
      <c r="BV43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38" s="72">
        <v>1</v>
      </c>
      <c r="BX438" s="72">
        <v>1</v>
      </c>
      <c r="BY438" s="72" t="b">
        <v>0</v>
      </c>
      <c r="DH438" t="s">
        <v>385</v>
      </c>
      <c r="DI438">
        <v>1</v>
      </c>
      <c r="DJ438">
        <v>120</v>
      </c>
      <c r="DK438">
        <v>100</v>
      </c>
      <c r="DL438" s="75">
        <f ca="1">INDIRECT(ADDRESS(11+(MATCH(RIGHT(Table14[[#This Row],[spawner_sku]],LEN(Table14[[#This Row],[spawner_sku]])-FIND("/",Table14[[#This Row],[spawner_sku]])),Table1[Entity Prefab],0)),10,1,1,"Entities"))</f>
        <v>75</v>
      </c>
      <c r="DM438" s="75">
        <f ca="1">ROUND((Table14[[#This Row],[XP]]*Table14[[#This Row],[entity_spawned (AVG)]])*(Table14[[#This Row],[activating_chance]]/100),0)</f>
        <v>75</v>
      </c>
      <c r="DN43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38" s="72">
        <v>1</v>
      </c>
      <c r="DP438" s="72">
        <v>1</v>
      </c>
      <c r="DQ438" s="72" t="b">
        <v>0</v>
      </c>
    </row>
    <row r="439" spans="2:121" x14ac:dyDescent="0.25">
      <c r="B439" s="73" t="s">
        <v>445</v>
      </c>
      <c r="C439">
        <v>1</v>
      </c>
      <c r="D439">
        <v>180</v>
      </c>
      <c r="E439">
        <v>100</v>
      </c>
      <c r="F439" s="75">
        <f ca="1">INDIRECT(ADDRESS(11+(MATCH(RIGHT(Table245[[#This Row],[spawner_sku]],LEN(Table245[[#This Row],[spawner_sku]])-FIND("/",Table245[[#This Row],[spawner_sku]])),Table1[Entity Prefab],0)),10,1,1,"Entities"))</f>
        <v>0</v>
      </c>
      <c r="G439" s="75">
        <f ca="1">ROUND((Table245[[#This Row],[XP]]*Table245[[#This Row],[entity_spawned (AVG)]])*(Table245[[#This Row],[activating_chance]]/100),0)</f>
        <v>0</v>
      </c>
      <c r="H43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39" s="72">
        <v>1</v>
      </c>
      <c r="J439" s="72">
        <v>1</v>
      </c>
      <c r="K439" s="72" t="b">
        <v>0</v>
      </c>
      <c r="BP439" t="s">
        <v>255</v>
      </c>
      <c r="BQ439">
        <v>1</v>
      </c>
      <c r="BR439">
        <v>200</v>
      </c>
      <c r="BS439">
        <v>100</v>
      </c>
      <c r="BT43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39" s="75">
        <f ca="1">ROUND((Table61011[[#This Row],[XP]]*Table61011[[#This Row],[entity_spawned (AVG)]])*(Table61011[[#This Row],[activating_chance]]/100),0)</f>
        <v>25</v>
      </c>
      <c r="BV43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39" s="72">
        <v>1</v>
      </c>
      <c r="BX439" s="72">
        <v>1</v>
      </c>
      <c r="BY439" s="72" t="b">
        <v>0</v>
      </c>
      <c r="DH439" t="s">
        <v>385</v>
      </c>
      <c r="DI439">
        <v>1</v>
      </c>
      <c r="DJ439">
        <v>100</v>
      </c>
      <c r="DK439">
        <v>100</v>
      </c>
      <c r="DL439" s="75">
        <f ca="1">INDIRECT(ADDRESS(11+(MATCH(RIGHT(Table14[[#This Row],[spawner_sku]],LEN(Table14[[#This Row],[spawner_sku]])-FIND("/",Table14[[#This Row],[spawner_sku]])),Table1[Entity Prefab],0)),10,1,1,"Entities"))</f>
        <v>75</v>
      </c>
      <c r="DM439" s="75">
        <f ca="1">ROUND((Table14[[#This Row],[XP]]*Table14[[#This Row],[entity_spawned (AVG)]])*(Table14[[#This Row],[activating_chance]]/100),0)</f>
        <v>75</v>
      </c>
      <c r="DN43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39" s="72">
        <v>1</v>
      </c>
      <c r="DP439" s="72">
        <v>1</v>
      </c>
      <c r="DQ439" s="72" t="b">
        <v>0</v>
      </c>
    </row>
    <row r="440" spans="2:121" x14ac:dyDescent="0.25">
      <c r="B440" s="73" t="s">
        <v>445</v>
      </c>
      <c r="C440">
        <v>1</v>
      </c>
      <c r="D440">
        <v>190</v>
      </c>
      <c r="E440">
        <v>100</v>
      </c>
      <c r="F440" s="75">
        <f ca="1">INDIRECT(ADDRESS(11+(MATCH(RIGHT(Table245[[#This Row],[spawner_sku]],LEN(Table245[[#This Row],[spawner_sku]])-FIND("/",Table245[[#This Row],[spawner_sku]])),Table1[Entity Prefab],0)),10,1,1,"Entities"))</f>
        <v>0</v>
      </c>
      <c r="G440" s="75">
        <f ca="1">ROUND((Table245[[#This Row],[XP]]*Table245[[#This Row],[entity_spawned (AVG)]])*(Table245[[#This Row],[activating_chance]]/100),0)</f>
        <v>0</v>
      </c>
      <c r="H44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40" s="72">
        <v>1</v>
      </c>
      <c r="J440" s="72">
        <v>1</v>
      </c>
      <c r="K440" s="72" t="b">
        <v>0</v>
      </c>
      <c r="BP440" t="s">
        <v>255</v>
      </c>
      <c r="BQ440">
        <v>1</v>
      </c>
      <c r="BR440">
        <v>200</v>
      </c>
      <c r="BS440">
        <v>100</v>
      </c>
      <c r="BT44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40" s="75">
        <f ca="1">ROUND((Table61011[[#This Row],[XP]]*Table61011[[#This Row],[entity_spawned (AVG)]])*(Table61011[[#This Row],[activating_chance]]/100),0)</f>
        <v>25</v>
      </c>
      <c r="BV44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0" s="72">
        <v>1</v>
      </c>
      <c r="BX440" s="72">
        <v>1</v>
      </c>
      <c r="BY440" s="72" t="b">
        <v>0</v>
      </c>
      <c r="DH440" t="s">
        <v>385</v>
      </c>
      <c r="DI440">
        <v>1</v>
      </c>
      <c r="DJ440">
        <v>150</v>
      </c>
      <c r="DK440">
        <v>100</v>
      </c>
      <c r="DL440" s="75">
        <f ca="1">INDIRECT(ADDRESS(11+(MATCH(RIGHT(Table14[[#This Row],[spawner_sku]],LEN(Table14[[#This Row],[spawner_sku]])-FIND("/",Table14[[#This Row],[spawner_sku]])),Table1[Entity Prefab],0)),10,1,1,"Entities"))</f>
        <v>75</v>
      </c>
      <c r="DM440" s="75">
        <f ca="1">ROUND((Table14[[#This Row],[XP]]*Table14[[#This Row],[entity_spawned (AVG)]])*(Table14[[#This Row],[activating_chance]]/100),0)</f>
        <v>75</v>
      </c>
      <c r="DN44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40" s="72">
        <v>1</v>
      </c>
      <c r="DP440" s="72">
        <v>1</v>
      </c>
      <c r="DQ440" s="72" t="b">
        <v>0</v>
      </c>
    </row>
    <row r="441" spans="2:121" x14ac:dyDescent="0.25">
      <c r="B441" s="73" t="s">
        <v>445</v>
      </c>
      <c r="C441">
        <v>1</v>
      </c>
      <c r="D441">
        <v>180</v>
      </c>
      <c r="E441">
        <v>100</v>
      </c>
      <c r="F441" s="75">
        <f ca="1">INDIRECT(ADDRESS(11+(MATCH(RIGHT(Table245[[#This Row],[spawner_sku]],LEN(Table245[[#This Row],[spawner_sku]])-FIND("/",Table245[[#This Row],[spawner_sku]])),Table1[Entity Prefab],0)),10,1,1,"Entities"))</f>
        <v>0</v>
      </c>
      <c r="G441" s="75">
        <f ca="1">ROUND((Table245[[#This Row],[XP]]*Table245[[#This Row],[entity_spawned (AVG)]])*(Table245[[#This Row],[activating_chance]]/100),0)</f>
        <v>0</v>
      </c>
      <c r="H44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41" s="72">
        <v>1</v>
      </c>
      <c r="J441" s="72">
        <v>1</v>
      </c>
      <c r="K441" s="72" t="b">
        <v>0</v>
      </c>
      <c r="BP441" t="s">
        <v>255</v>
      </c>
      <c r="BQ441">
        <v>1</v>
      </c>
      <c r="BR441">
        <v>200</v>
      </c>
      <c r="BS441">
        <v>100</v>
      </c>
      <c r="BT44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41" s="75">
        <f ca="1">ROUND((Table61011[[#This Row],[XP]]*Table61011[[#This Row],[entity_spawned (AVG)]])*(Table61011[[#This Row],[activating_chance]]/100),0)</f>
        <v>25</v>
      </c>
      <c r="BV44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1" s="72">
        <v>1</v>
      </c>
      <c r="BX441" s="72">
        <v>1</v>
      </c>
      <c r="BY441" s="72" t="b">
        <v>0</v>
      </c>
      <c r="DH441" t="s">
        <v>385</v>
      </c>
      <c r="DI441">
        <v>1</v>
      </c>
      <c r="DJ441">
        <v>140</v>
      </c>
      <c r="DK441">
        <v>100</v>
      </c>
      <c r="DL441" s="75">
        <f ca="1">INDIRECT(ADDRESS(11+(MATCH(RIGHT(Table14[[#This Row],[spawner_sku]],LEN(Table14[[#This Row],[spawner_sku]])-FIND("/",Table14[[#This Row],[spawner_sku]])),Table1[Entity Prefab],0)),10,1,1,"Entities"))</f>
        <v>75</v>
      </c>
      <c r="DM441" s="75">
        <f ca="1">ROUND((Table14[[#This Row],[XP]]*Table14[[#This Row],[entity_spawned (AVG)]])*(Table14[[#This Row],[activating_chance]]/100),0)</f>
        <v>75</v>
      </c>
      <c r="DN44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41" s="72">
        <v>1</v>
      </c>
      <c r="DP441" s="72">
        <v>1</v>
      </c>
      <c r="DQ441" s="72" t="b">
        <v>0</v>
      </c>
    </row>
    <row r="442" spans="2:121" x14ac:dyDescent="0.25">
      <c r="B442" s="73" t="s">
        <v>445</v>
      </c>
      <c r="C442">
        <v>1</v>
      </c>
      <c r="D442">
        <v>190</v>
      </c>
      <c r="E442">
        <v>80</v>
      </c>
      <c r="F442" s="75">
        <f ca="1">INDIRECT(ADDRESS(11+(MATCH(RIGHT(Table245[[#This Row],[spawner_sku]],LEN(Table245[[#This Row],[spawner_sku]])-FIND("/",Table245[[#This Row],[spawner_sku]])),Table1[Entity Prefab],0)),10,1,1,"Entities"))</f>
        <v>0</v>
      </c>
      <c r="G442" s="75">
        <f ca="1">ROUND((Table245[[#This Row],[XP]]*Table245[[#This Row],[entity_spawned (AVG)]])*(Table245[[#This Row],[activating_chance]]/100),0)</f>
        <v>0</v>
      </c>
      <c r="H44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42" s="72">
        <v>1</v>
      </c>
      <c r="J442" s="72">
        <v>1</v>
      </c>
      <c r="K442" s="72" t="b">
        <v>0</v>
      </c>
      <c r="BP442" t="s">
        <v>255</v>
      </c>
      <c r="BQ442">
        <v>1</v>
      </c>
      <c r="BR442">
        <v>180</v>
      </c>
      <c r="BS442">
        <v>30</v>
      </c>
      <c r="BT44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42" s="75">
        <f ca="1">ROUND((Table61011[[#This Row],[XP]]*Table61011[[#This Row],[entity_spawned (AVG)]])*(Table61011[[#This Row],[activating_chance]]/100),0)</f>
        <v>8</v>
      </c>
      <c r="BV44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2" s="72">
        <v>1</v>
      </c>
      <c r="BX442" s="72">
        <v>1</v>
      </c>
      <c r="BY442" s="72" t="b">
        <v>0</v>
      </c>
      <c r="DH442" t="s">
        <v>385</v>
      </c>
      <c r="DI442">
        <v>1</v>
      </c>
      <c r="DJ442">
        <v>150</v>
      </c>
      <c r="DK442">
        <v>100</v>
      </c>
      <c r="DL442" s="75">
        <f ca="1">INDIRECT(ADDRESS(11+(MATCH(RIGHT(Table14[[#This Row],[spawner_sku]],LEN(Table14[[#This Row],[spawner_sku]])-FIND("/",Table14[[#This Row],[spawner_sku]])),Table1[Entity Prefab],0)),10,1,1,"Entities"))</f>
        <v>75</v>
      </c>
      <c r="DM442" s="75">
        <f ca="1">ROUND((Table14[[#This Row],[XP]]*Table14[[#This Row],[entity_spawned (AVG)]])*(Table14[[#This Row],[activating_chance]]/100),0)</f>
        <v>75</v>
      </c>
      <c r="DN44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42" s="72">
        <v>1</v>
      </c>
      <c r="DP442" s="72">
        <v>1</v>
      </c>
      <c r="DQ442" s="72" t="b">
        <v>0</v>
      </c>
    </row>
    <row r="443" spans="2:121" x14ac:dyDescent="0.25">
      <c r="B443" s="73" t="s">
        <v>445</v>
      </c>
      <c r="C443">
        <v>1</v>
      </c>
      <c r="D443">
        <v>180</v>
      </c>
      <c r="E443">
        <v>100</v>
      </c>
      <c r="F443" s="75">
        <f ca="1">INDIRECT(ADDRESS(11+(MATCH(RIGHT(Table245[[#This Row],[spawner_sku]],LEN(Table245[[#This Row],[spawner_sku]])-FIND("/",Table245[[#This Row],[spawner_sku]])),Table1[Entity Prefab],0)),10,1,1,"Entities"))</f>
        <v>0</v>
      </c>
      <c r="G443" s="75">
        <f ca="1">ROUND((Table245[[#This Row],[XP]]*Table245[[#This Row],[entity_spawned (AVG)]])*(Table245[[#This Row],[activating_chance]]/100),0)</f>
        <v>0</v>
      </c>
      <c r="H44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43" s="72">
        <v>1</v>
      </c>
      <c r="J443" s="72">
        <v>1</v>
      </c>
      <c r="K443" s="72" t="b">
        <v>0</v>
      </c>
      <c r="BP443" t="s">
        <v>255</v>
      </c>
      <c r="BQ443">
        <v>1</v>
      </c>
      <c r="BR443">
        <v>150</v>
      </c>
      <c r="BS443">
        <v>100</v>
      </c>
      <c r="BT44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43" s="75">
        <f ca="1">ROUND((Table61011[[#This Row],[XP]]*Table61011[[#This Row],[entity_spawned (AVG)]])*(Table61011[[#This Row],[activating_chance]]/100),0)</f>
        <v>25</v>
      </c>
      <c r="BV44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3" s="72">
        <v>1</v>
      </c>
      <c r="BX443" s="72">
        <v>1</v>
      </c>
      <c r="BY443" s="72" t="b">
        <v>0</v>
      </c>
      <c r="DH443" t="s">
        <v>385</v>
      </c>
      <c r="DI443">
        <v>1</v>
      </c>
      <c r="DJ443">
        <v>125</v>
      </c>
      <c r="DK443">
        <v>100</v>
      </c>
      <c r="DL443" s="75">
        <f ca="1">INDIRECT(ADDRESS(11+(MATCH(RIGHT(Table14[[#This Row],[spawner_sku]],LEN(Table14[[#This Row],[spawner_sku]])-FIND("/",Table14[[#This Row],[spawner_sku]])),Table1[Entity Prefab],0)),10,1,1,"Entities"))</f>
        <v>75</v>
      </c>
      <c r="DM443" s="75">
        <f ca="1">ROUND((Table14[[#This Row],[XP]]*Table14[[#This Row],[entity_spawned (AVG)]])*(Table14[[#This Row],[activating_chance]]/100),0)</f>
        <v>75</v>
      </c>
      <c r="DN44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43" s="72">
        <v>1</v>
      </c>
      <c r="DP443" s="72">
        <v>1</v>
      </c>
      <c r="DQ443" s="72" t="b">
        <v>0</v>
      </c>
    </row>
    <row r="444" spans="2:121" x14ac:dyDescent="0.25">
      <c r="B444" s="73" t="s">
        <v>445</v>
      </c>
      <c r="C444">
        <v>1</v>
      </c>
      <c r="D444">
        <v>190</v>
      </c>
      <c r="E444">
        <v>100</v>
      </c>
      <c r="F444" s="75">
        <f ca="1">INDIRECT(ADDRESS(11+(MATCH(RIGHT(Table245[[#This Row],[spawner_sku]],LEN(Table245[[#This Row],[spawner_sku]])-FIND("/",Table245[[#This Row],[spawner_sku]])),Table1[Entity Prefab],0)),10,1,1,"Entities"))</f>
        <v>0</v>
      </c>
      <c r="G444" s="75">
        <f ca="1">ROUND((Table245[[#This Row],[XP]]*Table245[[#This Row],[entity_spawned (AVG)]])*(Table245[[#This Row],[activating_chance]]/100),0)</f>
        <v>0</v>
      </c>
      <c r="H44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44" s="72">
        <v>1</v>
      </c>
      <c r="J444" s="72">
        <v>1</v>
      </c>
      <c r="K444" s="72" t="b">
        <v>0</v>
      </c>
      <c r="BP444" t="s">
        <v>255</v>
      </c>
      <c r="BQ444">
        <v>1</v>
      </c>
      <c r="BR444">
        <v>200</v>
      </c>
      <c r="BS444">
        <v>40</v>
      </c>
      <c r="BT44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44" s="75">
        <f ca="1">ROUND((Table61011[[#This Row],[XP]]*Table61011[[#This Row],[entity_spawned (AVG)]])*(Table61011[[#This Row],[activating_chance]]/100),0)</f>
        <v>10</v>
      </c>
      <c r="BV44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4" s="72">
        <v>1</v>
      </c>
      <c r="BX444" s="72">
        <v>1</v>
      </c>
      <c r="BY444" s="72" t="b">
        <v>0</v>
      </c>
      <c r="DH444" t="s">
        <v>385</v>
      </c>
      <c r="DI444">
        <v>1</v>
      </c>
      <c r="DJ444">
        <v>150</v>
      </c>
      <c r="DK444">
        <v>100</v>
      </c>
      <c r="DL444" s="75">
        <f ca="1">INDIRECT(ADDRESS(11+(MATCH(RIGHT(Table14[[#This Row],[spawner_sku]],LEN(Table14[[#This Row],[spawner_sku]])-FIND("/",Table14[[#This Row],[spawner_sku]])),Table1[Entity Prefab],0)),10,1,1,"Entities"))</f>
        <v>75</v>
      </c>
      <c r="DM444" s="75">
        <f ca="1">ROUND((Table14[[#This Row],[XP]]*Table14[[#This Row],[entity_spawned (AVG)]])*(Table14[[#This Row],[activating_chance]]/100),0)</f>
        <v>75</v>
      </c>
      <c r="DN44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44" s="72">
        <v>1</v>
      </c>
      <c r="DP444" s="72">
        <v>1</v>
      </c>
      <c r="DQ444" s="72" t="b">
        <v>0</v>
      </c>
    </row>
    <row r="445" spans="2:121" x14ac:dyDescent="0.25">
      <c r="B445" s="73" t="s">
        <v>445</v>
      </c>
      <c r="C445">
        <v>1</v>
      </c>
      <c r="D445">
        <v>190</v>
      </c>
      <c r="E445">
        <v>100</v>
      </c>
      <c r="F445" s="75">
        <f ca="1">INDIRECT(ADDRESS(11+(MATCH(RIGHT(Table245[[#This Row],[spawner_sku]],LEN(Table245[[#This Row],[spawner_sku]])-FIND("/",Table245[[#This Row],[spawner_sku]])),Table1[Entity Prefab],0)),10,1,1,"Entities"))</f>
        <v>0</v>
      </c>
      <c r="G445" s="75">
        <f ca="1">ROUND((Table245[[#This Row],[XP]]*Table245[[#This Row],[entity_spawned (AVG)]])*(Table245[[#This Row],[activating_chance]]/100),0)</f>
        <v>0</v>
      </c>
      <c r="H44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45" s="72">
        <v>1</v>
      </c>
      <c r="J445" s="72">
        <v>1</v>
      </c>
      <c r="K445" s="72" t="b">
        <v>0</v>
      </c>
      <c r="BP445" t="s">
        <v>255</v>
      </c>
      <c r="BQ445">
        <v>1</v>
      </c>
      <c r="BR445">
        <v>200</v>
      </c>
      <c r="BS445">
        <v>30</v>
      </c>
      <c r="BT44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45" s="75">
        <f ca="1">ROUND((Table61011[[#This Row],[XP]]*Table61011[[#This Row],[entity_spawned (AVG)]])*(Table61011[[#This Row],[activating_chance]]/100),0)</f>
        <v>8</v>
      </c>
      <c r="BV44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5" s="72">
        <v>1</v>
      </c>
      <c r="BX445" s="72">
        <v>1</v>
      </c>
      <c r="BY445" s="72" t="b">
        <v>0</v>
      </c>
      <c r="DH445" t="s">
        <v>385</v>
      </c>
      <c r="DI445">
        <v>1</v>
      </c>
      <c r="DJ445">
        <v>110</v>
      </c>
      <c r="DK445">
        <v>100</v>
      </c>
      <c r="DL445" s="75">
        <f ca="1">INDIRECT(ADDRESS(11+(MATCH(RIGHT(Table14[[#This Row],[spawner_sku]],LEN(Table14[[#This Row],[spawner_sku]])-FIND("/",Table14[[#This Row],[spawner_sku]])),Table1[Entity Prefab],0)),10,1,1,"Entities"))</f>
        <v>75</v>
      </c>
      <c r="DM445" s="75">
        <f ca="1">ROUND((Table14[[#This Row],[XP]]*Table14[[#This Row],[entity_spawned (AVG)]])*(Table14[[#This Row],[activating_chance]]/100),0)</f>
        <v>75</v>
      </c>
      <c r="DN44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45" s="72">
        <v>1</v>
      </c>
      <c r="DP445" s="72">
        <v>1</v>
      </c>
      <c r="DQ445" s="72" t="b">
        <v>0</v>
      </c>
    </row>
    <row r="446" spans="2:121" x14ac:dyDescent="0.25">
      <c r="B446" s="73" t="s">
        <v>445</v>
      </c>
      <c r="C446">
        <v>1</v>
      </c>
      <c r="D446">
        <v>180</v>
      </c>
      <c r="E446">
        <v>100</v>
      </c>
      <c r="F446" s="75">
        <f ca="1">INDIRECT(ADDRESS(11+(MATCH(RIGHT(Table245[[#This Row],[spawner_sku]],LEN(Table245[[#This Row],[spawner_sku]])-FIND("/",Table245[[#This Row],[spawner_sku]])),Table1[Entity Prefab],0)),10,1,1,"Entities"))</f>
        <v>0</v>
      </c>
      <c r="G446" s="75">
        <f ca="1">ROUND((Table245[[#This Row],[XP]]*Table245[[#This Row],[entity_spawned (AVG)]])*(Table245[[#This Row],[activating_chance]]/100),0)</f>
        <v>0</v>
      </c>
      <c r="H44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46" s="72">
        <v>1</v>
      </c>
      <c r="J446" s="72">
        <v>1</v>
      </c>
      <c r="K446" s="72" t="b">
        <v>0</v>
      </c>
      <c r="BP446" t="s">
        <v>255</v>
      </c>
      <c r="BQ446">
        <v>1</v>
      </c>
      <c r="BR446">
        <v>180</v>
      </c>
      <c r="BS446">
        <v>80</v>
      </c>
      <c r="BT44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46" s="75">
        <f ca="1">ROUND((Table61011[[#This Row],[XP]]*Table61011[[#This Row],[entity_spawned (AVG)]])*(Table61011[[#This Row],[activating_chance]]/100),0)</f>
        <v>20</v>
      </c>
      <c r="BV44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6" s="72">
        <v>1</v>
      </c>
      <c r="BX446" s="72">
        <v>1</v>
      </c>
      <c r="BY446" s="72" t="b">
        <v>0</v>
      </c>
      <c r="DH446" t="s">
        <v>385</v>
      </c>
      <c r="DI446">
        <v>1</v>
      </c>
      <c r="DJ446">
        <v>145</v>
      </c>
      <c r="DK446">
        <v>100</v>
      </c>
      <c r="DL446" s="75">
        <f ca="1">INDIRECT(ADDRESS(11+(MATCH(RIGHT(Table14[[#This Row],[spawner_sku]],LEN(Table14[[#This Row],[spawner_sku]])-FIND("/",Table14[[#This Row],[spawner_sku]])),Table1[Entity Prefab],0)),10,1,1,"Entities"))</f>
        <v>75</v>
      </c>
      <c r="DM446" s="75">
        <f ca="1">ROUND((Table14[[#This Row],[XP]]*Table14[[#This Row],[entity_spawned (AVG)]])*(Table14[[#This Row],[activating_chance]]/100),0)</f>
        <v>75</v>
      </c>
      <c r="DN44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46" s="72">
        <v>1</v>
      </c>
      <c r="DP446" s="72">
        <v>1</v>
      </c>
      <c r="DQ446" s="72" t="b">
        <v>0</v>
      </c>
    </row>
    <row r="447" spans="2:121" x14ac:dyDescent="0.25">
      <c r="B447" s="73" t="s">
        <v>445</v>
      </c>
      <c r="C447">
        <v>1</v>
      </c>
      <c r="D447">
        <v>190</v>
      </c>
      <c r="E447">
        <v>80</v>
      </c>
      <c r="F447" s="75">
        <f ca="1">INDIRECT(ADDRESS(11+(MATCH(RIGHT(Table245[[#This Row],[spawner_sku]],LEN(Table245[[#This Row],[spawner_sku]])-FIND("/",Table245[[#This Row],[spawner_sku]])),Table1[Entity Prefab],0)),10,1,1,"Entities"))</f>
        <v>0</v>
      </c>
      <c r="G447" s="75">
        <f ca="1">ROUND((Table245[[#This Row],[XP]]*Table245[[#This Row],[entity_spawned (AVG)]])*(Table245[[#This Row],[activating_chance]]/100),0)</f>
        <v>0</v>
      </c>
      <c r="H44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47" s="72">
        <v>1</v>
      </c>
      <c r="J447" s="72">
        <v>1</v>
      </c>
      <c r="K447" s="72" t="b">
        <v>0</v>
      </c>
      <c r="BP447" t="s">
        <v>255</v>
      </c>
      <c r="BQ447">
        <v>1</v>
      </c>
      <c r="BR447">
        <v>180</v>
      </c>
      <c r="BS447">
        <v>100</v>
      </c>
      <c r="BT44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47" s="75">
        <f ca="1">ROUND((Table61011[[#This Row],[XP]]*Table61011[[#This Row],[entity_spawned (AVG)]])*(Table61011[[#This Row],[activating_chance]]/100),0)</f>
        <v>25</v>
      </c>
      <c r="BV44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7" s="72">
        <v>1</v>
      </c>
      <c r="BX447" s="72">
        <v>1</v>
      </c>
      <c r="BY447" s="72" t="b">
        <v>0</v>
      </c>
      <c r="DH447" t="s">
        <v>385</v>
      </c>
      <c r="DI447">
        <v>1</v>
      </c>
      <c r="DJ447">
        <v>130</v>
      </c>
      <c r="DK447">
        <v>100</v>
      </c>
      <c r="DL447" s="75">
        <f ca="1">INDIRECT(ADDRESS(11+(MATCH(RIGHT(Table14[[#This Row],[spawner_sku]],LEN(Table14[[#This Row],[spawner_sku]])-FIND("/",Table14[[#This Row],[spawner_sku]])),Table1[Entity Prefab],0)),10,1,1,"Entities"))</f>
        <v>75</v>
      </c>
      <c r="DM447" s="75">
        <f ca="1">ROUND((Table14[[#This Row],[XP]]*Table14[[#This Row],[entity_spawned (AVG)]])*(Table14[[#This Row],[activating_chance]]/100),0)</f>
        <v>75</v>
      </c>
      <c r="DN44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47" s="72">
        <v>1</v>
      </c>
      <c r="DP447" s="72">
        <v>1</v>
      </c>
      <c r="DQ447" s="72" t="b">
        <v>0</v>
      </c>
    </row>
    <row r="448" spans="2:121" x14ac:dyDescent="0.25">
      <c r="B448" s="73" t="s">
        <v>445</v>
      </c>
      <c r="C448">
        <v>1</v>
      </c>
      <c r="D448">
        <v>180</v>
      </c>
      <c r="E448">
        <v>100</v>
      </c>
      <c r="F448" s="75">
        <f ca="1">INDIRECT(ADDRESS(11+(MATCH(RIGHT(Table245[[#This Row],[spawner_sku]],LEN(Table245[[#This Row],[spawner_sku]])-FIND("/",Table245[[#This Row],[spawner_sku]])),Table1[Entity Prefab],0)),10,1,1,"Entities"))</f>
        <v>0</v>
      </c>
      <c r="G448" s="75">
        <f ca="1">ROUND((Table245[[#This Row],[XP]]*Table245[[#This Row],[entity_spawned (AVG)]])*(Table245[[#This Row],[activating_chance]]/100),0)</f>
        <v>0</v>
      </c>
      <c r="H44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48" s="72">
        <v>1</v>
      </c>
      <c r="J448" s="72">
        <v>1</v>
      </c>
      <c r="K448" s="72" t="b">
        <v>0</v>
      </c>
      <c r="BP448" t="s">
        <v>255</v>
      </c>
      <c r="BQ448">
        <v>1</v>
      </c>
      <c r="BR448">
        <v>180</v>
      </c>
      <c r="BS448">
        <v>30</v>
      </c>
      <c r="BT44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48" s="75">
        <f ca="1">ROUND((Table61011[[#This Row],[XP]]*Table61011[[#This Row],[entity_spawned (AVG)]])*(Table61011[[#This Row],[activating_chance]]/100),0)</f>
        <v>8</v>
      </c>
      <c r="BV44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8" s="72">
        <v>1</v>
      </c>
      <c r="BX448" s="72">
        <v>1</v>
      </c>
      <c r="BY448" s="72" t="b">
        <v>0</v>
      </c>
      <c r="DH448" t="s">
        <v>385</v>
      </c>
      <c r="DI448">
        <v>1</v>
      </c>
      <c r="DJ448">
        <v>160</v>
      </c>
      <c r="DK448">
        <v>100</v>
      </c>
      <c r="DL448" s="75">
        <f ca="1">INDIRECT(ADDRESS(11+(MATCH(RIGHT(Table14[[#This Row],[spawner_sku]],LEN(Table14[[#This Row],[spawner_sku]])-FIND("/",Table14[[#This Row],[spawner_sku]])),Table1[Entity Prefab],0)),10,1,1,"Entities"))</f>
        <v>75</v>
      </c>
      <c r="DM448" s="75">
        <f ca="1">ROUND((Table14[[#This Row],[XP]]*Table14[[#This Row],[entity_spawned (AVG)]])*(Table14[[#This Row],[activating_chance]]/100),0)</f>
        <v>75</v>
      </c>
      <c r="DN44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48" s="72">
        <v>1</v>
      </c>
      <c r="DP448" s="72">
        <v>1</v>
      </c>
      <c r="DQ448" s="72" t="b">
        <v>0</v>
      </c>
    </row>
    <row r="449" spans="2:121" x14ac:dyDescent="0.25">
      <c r="B449" s="73" t="s">
        <v>445</v>
      </c>
      <c r="C449">
        <v>1</v>
      </c>
      <c r="D449">
        <v>180</v>
      </c>
      <c r="E449">
        <v>100</v>
      </c>
      <c r="F449" s="75">
        <f ca="1">INDIRECT(ADDRESS(11+(MATCH(RIGHT(Table245[[#This Row],[spawner_sku]],LEN(Table245[[#This Row],[spawner_sku]])-FIND("/",Table245[[#This Row],[spawner_sku]])),Table1[Entity Prefab],0)),10,1,1,"Entities"))</f>
        <v>0</v>
      </c>
      <c r="G449" s="75">
        <f ca="1">ROUND((Table245[[#This Row],[XP]]*Table245[[#This Row],[entity_spawned (AVG)]])*(Table245[[#This Row],[activating_chance]]/100),0)</f>
        <v>0</v>
      </c>
      <c r="H44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49" s="72">
        <v>1</v>
      </c>
      <c r="J449" s="72">
        <v>1</v>
      </c>
      <c r="K449" s="72" t="b">
        <v>0</v>
      </c>
      <c r="BP449" t="s">
        <v>255</v>
      </c>
      <c r="BQ449">
        <v>1</v>
      </c>
      <c r="BR449">
        <v>200</v>
      </c>
      <c r="BS449">
        <v>100</v>
      </c>
      <c r="BT44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49" s="75">
        <f ca="1">ROUND((Table61011[[#This Row],[XP]]*Table61011[[#This Row],[entity_spawned (AVG)]])*(Table61011[[#This Row],[activating_chance]]/100),0)</f>
        <v>25</v>
      </c>
      <c r="BV44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9" s="72">
        <v>1</v>
      </c>
      <c r="BX449" s="72">
        <v>1</v>
      </c>
      <c r="BY449" s="72" t="b">
        <v>0</v>
      </c>
      <c r="DH449" t="s">
        <v>385</v>
      </c>
      <c r="DI449">
        <v>1</v>
      </c>
      <c r="DJ449">
        <v>120</v>
      </c>
      <c r="DK449">
        <v>100</v>
      </c>
      <c r="DL449" s="75">
        <f ca="1">INDIRECT(ADDRESS(11+(MATCH(RIGHT(Table14[[#This Row],[spawner_sku]],LEN(Table14[[#This Row],[spawner_sku]])-FIND("/",Table14[[#This Row],[spawner_sku]])),Table1[Entity Prefab],0)),10,1,1,"Entities"))</f>
        <v>75</v>
      </c>
      <c r="DM449" s="75">
        <f ca="1">ROUND((Table14[[#This Row],[XP]]*Table14[[#This Row],[entity_spawned (AVG)]])*(Table14[[#This Row],[activating_chance]]/100),0)</f>
        <v>75</v>
      </c>
      <c r="DN44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49" s="72">
        <v>1</v>
      </c>
      <c r="DP449" s="72">
        <v>1</v>
      </c>
      <c r="DQ449" s="72" t="b">
        <v>0</v>
      </c>
    </row>
    <row r="450" spans="2:121" x14ac:dyDescent="0.25">
      <c r="B450" s="73" t="s">
        <v>445</v>
      </c>
      <c r="C450">
        <v>1</v>
      </c>
      <c r="D450">
        <v>190</v>
      </c>
      <c r="E450">
        <v>100</v>
      </c>
      <c r="F450" s="75">
        <f ca="1">INDIRECT(ADDRESS(11+(MATCH(RIGHT(Table245[[#This Row],[spawner_sku]],LEN(Table245[[#This Row],[spawner_sku]])-FIND("/",Table245[[#This Row],[spawner_sku]])),Table1[Entity Prefab],0)),10,1,1,"Entities"))</f>
        <v>0</v>
      </c>
      <c r="G450" s="75">
        <f ca="1">ROUND((Table245[[#This Row],[XP]]*Table245[[#This Row],[entity_spawned (AVG)]])*(Table245[[#This Row],[activating_chance]]/100),0)</f>
        <v>0</v>
      </c>
      <c r="H45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50" s="72">
        <v>1</v>
      </c>
      <c r="J450" s="72">
        <v>1</v>
      </c>
      <c r="K450" s="72" t="b">
        <v>0</v>
      </c>
      <c r="BP450" t="s">
        <v>255</v>
      </c>
      <c r="BQ450">
        <v>1</v>
      </c>
      <c r="BR450">
        <v>200</v>
      </c>
      <c r="BS450">
        <v>100</v>
      </c>
      <c r="BT45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50" s="75">
        <f ca="1">ROUND((Table61011[[#This Row],[XP]]*Table61011[[#This Row],[entity_spawned (AVG)]])*(Table61011[[#This Row],[activating_chance]]/100),0)</f>
        <v>25</v>
      </c>
      <c r="BV45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0" s="72">
        <v>1</v>
      </c>
      <c r="BX450" s="72">
        <v>1</v>
      </c>
      <c r="BY450" s="72" t="b">
        <v>0</v>
      </c>
      <c r="DH450" t="s">
        <v>385</v>
      </c>
      <c r="DI450">
        <v>1</v>
      </c>
      <c r="DJ450">
        <v>100</v>
      </c>
      <c r="DK450">
        <v>100</v>
      </c>
      <c r="DL450" s="75">
        <f ca="1">INDIRECT(ADDRESS(11+(MATCH(RIGHT(Table14[[#This Row],[spawner_sku]],LEN(Table14[[#This Row],[spawner_sku]])-FIND("/",Table14[[#This Row],[spawner_sku]])),Table1[Entity Prefab],0)),10,1,1,"Entities"))</f>
        <v>75</v>
      </c>
      <c r="DM450" s="75">
        <f ca="1">ROUND((Table14[[#This Row],[XP]]*Table14[[#This Row],[entity_spawned (AVG)]])*(Table14[[#This Row],[activating_chance]]/100),0)</f>
        <v>75</v>
      </c>
      <c r="DN45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50" s="72">
        <v>1</v>
      </c>
      <c r="DP450" s="72">
        <v>1</v>
      </c>
      <c r="DQ450" s="72" t="b">
        <v>0</v>
      </c>
    </row>
    <row r="451" spans="2:121" x14ac:dyDescent="0.25">
      <c r="B451" s="73" t="s">
        <v>445</v>
      </c>
      <c r="C451">
        <v>1</v>
      </c>
      <c r="D451">
        <v>190</v>
      </c>
      <c r="E451">
        <v>100</v>
      </c>
      <c r="F451" s="75">
        <f ca="1">INDIRECT(ADDRESS(11+(MATCH(RIGHT(Table245[[#This Row],[spawner_sku]],LEN(Table245[[#This Row],[spawner_sku]])-FIND("/",Table245[[#This Row],[spawner_sku]])),Table1[Entity Prefab],0)),10,1,1,"Entities"))</f>
        <v>0</v>
      </c>
      <c r="G451" s="75">
        <f ca="1">ROUND((Table245[[#This Row],[XP]]*Table245[[#This Row],[entity_spawned (AVG)]])*(Table245[[#This Row],[activating_chance]]/100),0)</f>
        <v>0</v>
      </c>
      <c r="H45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51" s="72">
        <v>1</v>
      </c>
      <c r="J451" s="72">
        <v>1</v>
      </c>
      <c r="K451" s="72" t="b">
        <v>0</v>
      </c>
      <c r="BP451" t="s">
        <v>255</v>
      </c>
      <c r="BQ451">
        <v>1</v>
      </c>
      <c r="BR451">
        <v>150</v>
      </c>
      <c r="BS451">
        <v>100</v>
      </c>
      <c r="BT45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51" s="75">
        <f ca="1">ROUND((Table61011[[#This Row],[XP]]*Table61011[[#This Row],[entity_spawned (AVG)]])*(Table61011[[#This Row],[activating_chance]]/100),0)</f>
        <v>25</v>
      </c>
      <c r="BV45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1" s="72">
        <v>1</v>
      </c>
      <c r="BX451" s="72">
        <v>1</v>
      </c>
      <c r="BY451" s="72" t="b">
        <v>0</v>
      </c>
      <c r="DH451" t="s">
        <v>385</v>
      </c>
      <c r="DI451">
        <v>1</v>
      </c>
      <c r="DJ451">
        <v>150</v>
      </c>
      <c r="DK451">
        <v>100</v>
      </c>
      <c r="DL451" s="75">
        <f ca="1">INDIRECT(ADDRESS(11+(MATCH(RIGHT(Table14[[#This Row],[spawner_sku]],LEN(Table14[[#This Row],[spawner_sku]])-FIND("/",Table14[[#This Row],[spawner_sku]])),Table1[Entity Prefab],0)),10,1,1,"Entities"))</f>
        <v>75</v>
      </c>
      <c r="DM451" s="75">
        <f ca="1">ROUND((Table14[[#This Row],[XP]]*Table14[[#This Row],[entity_spawned (AVG)]])*(Table14[[#This Row],[activating_chance]]/100),0)</f>
        <v>75</v>
      </c>
      <c r="DN45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51" s="72">
        <v>1</v>
      </c>
      <c r="DP451" s="72">
        <v>1</v>
      </c>
      <c r="DQ451" s="72" t="b">
        <v>0</v>
      </c>
    </row>
    <row r="452" spans="2:121" x14ac:dyDescent="0.25">
      <c r="B452" s="73" t="s">
        <v>445</v>
      </c>
      <c r="C452">
        <v>1</v>
      </c>
      <c r="D452">
        <v>190</v>
      </c>
      <c r="E452">
        <v>80</v>
      </c>
      <c r="F452" s="75">
        <f ca="1">INDIRECT(ADDRESS(11+(MATCH(RIGHT(Table245[[#This Row],[spawner_sku]],LEN(Table245[[#This Row],[spawner_sku]])-FIND("/",Table245[[#This Row],[spawner_sku]])),Table1[Entity Prefab],0)),10,1,1,"Entities"))</f>
        <v>0</v>
      </c>
      <c r="G452" s="75">
        <f ca="1">ROUND((Table245[[#This Row],[XP]]*Table245[[#This Row],[entity_spawned (AVG)]])*(Table245[[#This Row],[activating_chance]]/100),0)</f>
        <v>0</v>
      </c>
      <c r="H45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52" s="72">
        <v>1</v>
      </c>
      <c r="J452" s="72">
        <v>1</v>
      </c>
      <c r="K452" s="72" t="b">
        <v>0</v>
      </c>
      <c r="BP452" t="s">
        <v>255</v>
      </c>
      <c r="BQ452">
        <v>1</v>
      </c>
      <c r="BR452">
        <v>100</v>
      </c>
      <c r="BS452">
        <v>100</v>
      </c>
      <c r="BT45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52" s="75">
        <f ca="1">ROUND((Table61011[[#This Row],[XP]]*Table61011[[#This Row],[entity_spawned (AVG)]])*(Table61011[[#This Row],[activating_chance]]/100),0)</f>
        <v>25</v>
      </c>
      <c r="BV45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2" s="72">
        <v>1</v>
      </c>
      <c r="BX452" s="72">
        <v>1</v>
      </c>
      <c r="BY452" s="72" t="b">
        <v>0</v>
      </c>
      <c r="DH452" t="s">
        <v>538</v>
      </c>
      <c r="DI452">
        <v>1</v>
      </c>
      <c r="DJ452">
        <v>130</v>
      </c>
      <c r="DK452">
        <v>100</v>
      </c>
      <c r="DL452" s="75">
        <f ca="1">INDIRECT(ADDRESS(11+(MATCH(RIGHT(Table14[[#This Row],[spawner_sku]],LEN(Table14[[#This Row],[spawner_sku]])-FIND("/",Table14[[#This Row],[spawner_sku]])),Table1[Entity Prefab],0)),10,1,1,"Entities"))</f>
        <v>75</v>
      </c>
      <c r="DM452" s="75">
        <f ca="1">ROUND((Table14[[#This Row],[XP]]*Table14[[#This Row],[entity_spawned (AVG)]])*(Table14[[#This Row],[activating_chance]]/100),0)</f>
        <v>75</v>
      </c>
      <c r="DN45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52" s="72">
        <v>1</v>
      </c>
      <c r="DP452" s="72">
        <v>1</v>
      </c>
      <c r="DQ452" s="72" t="b">
        <v>0</v>
      </c>
    </row>
    <row r="453" spans="2:121" x14ac:dyDescent="0.25">
      <c r="B453" s="73" t="s">
        <v>445</v>
      </c>
      <c r="C453">
        <v>1</v>
      </c>
      <c r="D453">
        <v>190</v>
      </c>
      <c r="E453">
        <v>100</v>
      </c>
      <c r="F453" s="75">
        <f ca="1">INDIRECT(ADDRESS(11+(MATCH(RIGHT(Table245[[#This Row],[spawner_sku]],LEN(Table245[[#This Row],[spawner_sku]])-FIND("/",Table245[[#This Row],[spawner_sku]])),Table1[Entity Prefab],0)),10,1,1,"Entities"))</f>
        <v>0</v>
      </c>
      <c r="G453" s="75">
        <f ca="1">ROUND((Table245[[#This Row],[XP]]*Table245[[#This Row],[entity_spawned (AVG)]])*(Table245[[#This Row],[activating_chance]]/100),0)</f>
        <v>0</v>
      </c>
      <c r="H45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53" s="72">
        <v>1</v>
      </c>
      <c r="J453" s="72">
        <v>1</v>
      </c>
      <c r="K453" s="72" t="b">
        <v>0</v>
      </c>
      <c r="BP453" t="s">
        <v>255</v>
      </c>
      <c r="BQ453">
        <v>1</v>
      </c>
      <c r="BR453">
        <v>150</v>
      </c>
      <c r="BS453">
        <v>100</v>
      </c>
      <c r="BT45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53" s="75">
        <f ca="1">ROUND((Table61011[[#This Row],[XP]]*Table61011[[#This Row],[entity_spawned (AVG)]])*(Table61011[[#This Row],[activating_chance]]/100),0)</f>
        <v>25</v>
      </c>
      <c r="BV45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3" s="72">
        <v>1</v>
      </c>
      <c r="BX453" s="72">
        <v>1</v>
      </c>
      <c r="BY453" s="72" t="b">
        <v>0</v>
      </c>
      <c r="DH453" t="s">
        <v>538</v>
      </c>
      <c r="DI453">
        <v>1</v>
      </c>
      <c r="DJ453">
        <v>100</v>
      </c>
      <c r="DK453">
        <v>100</v>
      </c>
      <c r="DL453" s="75">
        <f ca="1">INDIRECT(ADDRESS(11+(MATCH(RIGHT(Table14[[#This Row],[spawner_sku]],LEN(Table14[[#This Row],[spawner_sku]])-FIND("/",Table14[[#This Row],[spawner_sku]])),Table1[Entity Prefab],0)),10,1,1,"Entities"))</f>
        <v>75</v>
      </c>
      <c r="DM453" s="75">
        <f ca="1">ROUND((Table14[[#This Row],[XP]]*Table14[[#This Row],[entity_spawned (AVG)]])*(Table14[[#This Row],[activating_chance]]/100),0)</f>
        <v>75</v>
      </c>
      <c r="DN45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53" s="72">
        <v>1</v>
      </c>
      <c r="DP453" s="72">
        <v>1</v>
      </c>
      <c r="DQ453" s="72" t="b">
        <v>0</v>
      </c>
    </row>
    <row r="454" spans="2:121" x14ac:dyDescent="0.25">
      <c r="B454" s="73" t="s">
        <v>445</v>
      </c>
      <c r="C454">
        <v>1</v>
      </c>
      <c r="D454">
        <v>180</v>
      </c>
      <c r="E454">
        <v>100</v>
      </c>
      <c r="F454" s="75">
        <f ca="1">INDIRECT(ADDRESS(11+(MATCH(RIGHT(Table245[[#This Row],[spawner_sku]],LEN(Table245[[#This Row],[spawner_sku]])-FIND("/",Table245[[#This Row],[spawner_sku]])),Table1[Entity Prefab],0)),10,1,1,"Entities"))</f>
        <v>0</v>
      </c>
      <c r="G454" s="75">
        <f ca="1">ROUND((Table245[[#This Row],[XP]]*Table245[[#This Row],[entity_spawned (AVG)]])*(Table245[[#This Row],[activating_chance]]/100),0)</f>
        <v>0</v>
      </c>
      <c r="H45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54" s="72">
        <v>1</v>
      </c>
      <c r="J454" s="72">
        <v>1</v>
      </c>
      <c r="K454" s="72" t="b">
        <v>0</v>
      </c>
      <c r="BP454" t="s">
        <v>255</v>
      </c>
      <c r="BQ454">
        <v>1</v>
      </c>
      <c r="BR454">
        <v>100</v>
      </c>
      <c r="BS454">
        <v>80</v>
      </c>
      <c r="BT45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54" s="75">
        <f ca="1">ROUND((Table61011[[#This Row],[XP]]*Table61011[[#This Row],[entity_spawned (AVG)]])*(Table61011[[#This Row],[activating_chance]]/100),0)</f>
        <v>20</v>
      </c>
      <c r="BV45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4" s="72">
        <v>1</v>
      </c>
      <c r="BX454" s="72">
        <v>1</v>
      </c>
      <c r="BY454" s="72" t="b">
        <v>0</v>
      </c>
      <c r="DH454" t="s">
        <v>538</v>
      </c>
      <c r="DI454">
        <v>1</v>
      </c>
      <c r="DJ454">
        <v>145</v>
      </c>
      <c r="DK454">
        <v>100</v>
      </c>
      <c r="DL454" s="75">
        <f ca="1">INDIRECT(ADDRESS(11+(MATCH(RIGHT(Table14[[#This Row],[spawner_sku]],LEN(Table14[[#This Row],[spawner_sku]])-FIND("/",Table14[[#This Row],[spawner_sku]])),Table1[Entity Prefab],0)),10,1,1,"Entities"))</f>
        <v>75</v>
      </c>
      <c r="DM454" s="75">
        <f ca="1">ROUND((Table14[[#This Row],[XP]]*Table14[[#This Row],[entity_spawned (AVG)]])*(Table14[[#This Row],[activating_chance]]/100),0)</f>
        <v>75</v>
      </c>
      <c r="DN45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54" s="72">
        <v>1</v>
      </c>
      <c r="DP454" s="72">
        <v>1</v>
      </c>
      <c r="DQ454" s="72" t="b">
        <v>0</v>
      </c>
    </row>
    <row r="455" spans="2:121" x14ac:dyDescent="0.25">
      <c r="B455" s="73" t="s">
        <v>445</v>
      </c>
      <c r="C455">
        <v>1</v>
      </c>
      <c r="D455">
        <v>190</v>
      </c>
      <c r="E455">
        <v>80</v>
      </c>
      <c r="F455" s="75">
        <f ca="1">INDIRECT(ADDRESS(11+(MATCH(RIGHT(Table245[[#This Row],[spawner_sku]],LEN(Table245[[#This Row],[spawner_sku]])-FIND("/",Table245[[#This Row],[spawner_sku]])),Table1[Entity Prefab],0)),10,1,1,"Entities"))</f>
        <v>0</v>
      </c>
      <c r="G455" s="75">
        <f ca="1">ROUND((Table245[[#This Row],[XP]]*Table245[[#This Row],[entity_spawned (AVG)]])*(Table245[[#This Row],[activating_chance]]/100),0)</f>
        <v>0</v>
      </c>
      <c r="H45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55" s="72">
        <v>1</v>
      </c>
      <c r="J455" s="72">
        <v>1</v>
      </c>
      <c r="K455" s="72" t="b">
        <v>0</v>
      </c>
      <c r="BP455" t="s">
        <v>255</v>
      </c>
      <c r="BQ455">
        <v>1</v>
      </c>
      <c r="BR455">
        <v>180</v>
      </c>
      <c r="BS455">
        <v>100</v>
      </c>
      <c r="BT45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55" s="75">
        <f ca="1">ROUND((Table61011[[#This Row],[XP]]*Table61011[[#This Row],[entity_spawned (AVG)]])*(Table61011[[#This Row],[activating_chance]]/100),0)</f>
        <v>25</v>
      </c>
      <c r="BV45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5" s="72">
        <v>1</v>
      </c>
      <c r="BX455" s="72">
        <v>1</v>
      </c>
      <c r="BY455" s="72" t="b">
        <v>0</v>
      </c>
      <c r="DH455" t="s">
        <v>538</v>
      </c>
      <c r="DI455">
        <v>1</v>
      </c>
      <c r="DJ455">
        <v>200</v>
      </c>
      <c r="DK455">
        <v>100</v>
      </c>
      <c r="DL455" s="75">
        <f ca="1">INDIRECT(ADDRESS(11+(MATCH(RIGHT(Table14[[#This Row],[spawner_sku]],LEN(Table14[[#This Row],[spawner_sku]])-FIND("/",Table14[[#This Row],[spawner_sku]])),Table1[Entity Prefab],0)),10,1,1,"Entities"))</f>
        <v>75</v>
      </c>
      <c r="DM455" s="75">
        <f ca="1">ROUND((Table14[[#This Row],[XP]]*Table14[[#This Row],[entity_spawned (AVG)]])*(Table14[[#This Row],[activating_chance]]/100),0)</f>
        <v>75</v>
      </c>
      <c r="DN45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55" s="72">
        <v>1</v>
      </c>
      <c r="DP455" s="72">
        <v>1</v>
      </c>
      <c r="DQ455" s="72" t="b">
        <v>0</v>
      </c>
    </row>
    <row r="456" spans="2:121" x14ac:dyDescent="0.25">
      <c r="B456" s="73" t="s">
        <v>445</v>
      </c>
      <c r="C456">
        <v>1</v>
      </c>
      <c r="D456">
        <v>180</v>
      </c>
      <c r="E456">
        <v>100</v>
      </c>
      <c r="F456" s="75">
        <f ca="1">INDIRECT(ADDRESS(11+(MATCH(RIGHT(Table245[[#This Row],[spawner_sku]],LEN(Table245[[#This Row],[spawner_sku]])-FIND("/",Table245[[#This Row],[spawner_sku]])),Table1[Entity Prefab],0)),10,1,1,"Entities"))</f>
        <v>0</v>
      </c>
      <c r="G456" s="75">
        <f ca="1">ROUND((Table245[[#This Row],[XP]]*Table245[[#This Row],[entity_spawned (AVG)]])*(Table245[[#This Row],[activating_chance]]/100),0)</f>
        <v>0</v>
      </c>
      <c r="H45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56" s="72">
        <v>1</v>
      </c>
      <c r="J456" s="72">
        <v>1</v>
      </c>
      <c r="K456" s="72" t="b">
        <v>0</v>
      </c>
      <c r="BP456" t="s">
        <v>255</v>
      </c>
      <c r="BQ456">
        <v>1</v>
      </c>
      <c r="BR456">
        <v>150</v>
      </c>
      <c r="BS456">
        <v>100</v>
      </c>
      <c r="BT45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56" s="75">
        <f ca="1">ROUND((Table61011[[#This Row],[XP]]*Table61011[[#This Row],[entity_spawned (AVG)]])*(Table61011[[#This Row],[activating_chance]]/100),0)</f>
        <v>25</v>
      </c>
      <c r="BV45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6" s="72">
        <v>1</v>
      </c>
      <c r="BX456" s="72">
        <v>1</v>
      </c>
      <c r="BY456" s="72" t="b">
        <v>0</v>
      </c>
      <c r="DH456" t="s">
        <v>538</v>
      </c>
      <c r="DI456">
        <v>1</v>
      </c>
      <c r="DJ456">
        <v>145</v>
      </c>
      <c r="DK456">
        <v>100</v>
      </c>
      <c r="DL456" s="75">
        <f ca="1">INDIRECT(ADDRESS(11+(MATCH(RIGHT(Table14[[#This Row],[spawner_sku]],LEN(Table14[[#This Row],[spawner_sku]])-FIND("/",Table14[[#This Row],[spawner_sku]])),Table1[Entity Prefab],0)),10,1,1,"Entities"))</f>
        <v>75</v>
      </c>
      <c r="DM456" s="75">
        <f ca="1">ROUND((Table14[[#This Row],[XP]]*Table14[[#This Row],[entity_spawned (AVG)]])*(Table14[[#This Row],[activating_chance]]/100),0)</f>
        <v>75</v>
      </c>
      <c r="DN45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56" s="72">
        <v>1</v>
      </c>
      <c r="DP456" s="72">
        <v>1</v>
      </c>
      <c r="DQ456" s="72" t="b">
        <v>0</v>
      </c>
    </row>
    <row r="457" spans="2:121" x14ac:dyDescent="0.25">
      <c r="B457" s="73" t="s">
        <v>445</v>
      </c>
      <c r="C457">
        <v>1</v>
      </c>
      <c r="D457">
        <v>180</v>
      </c>
      <c r="E457">
        <v>100</v>
      </c>
      <c r="F457" s="75">
        <f ca="1">INDIRECT(ADDRESS(11+(MATCH(RIGHT(Table245[[#This Row],[spawner_sku]],LEN(Table245[[#This Row],[spawner_sku]])-FIND("/",Table245[[#This Row],[spawner_sku]])),Table1[Entity Prefab],0)),10,1,1,"Entities"))</f>
        <v>0</v>
      </c>
      <c r="G457" s="75">
        <f ca="1">ROUND((Table245[[#This Row],[XP]]*Table245[[#This Row],[entity_spawned (AVG)]])*(Table245[[#This Row],[activating_chance]]/100),0)</f>
        <v>0</v>
      </c>
      <c r="H45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57" s="72">
        <v>1</v>
      </c>
      <c r="J457" s="72">
        <v>1</v>
      </c>
      <c r="K457" s="72" t="b">
        <v>0</v>
      </c>
      <c r="BP457" t="s">
        <v>255</v>
      </c>
      <c r="BQ457">
        <v>1</v>
      </c>
      <c r="BR457">
        <v>150</v>
      </c>
      <c r="BS457">
        <v>100</v>
      </c>
      <c r="BT45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57" s="75">
        <f ca="1">ROUND((Table61011[[#This Row],[XP]]*Table61011[[#This Row],[entity_spawned (AVG)]])*(Table61011[[#This Row],[activating_chance]]/100),0)</f>
        <v>25</v>
      </c>
      <c r="BV45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7" s="72">
        <v>1</v>
      </c>
      <c r="BX457" s="72">
        <v>1</v>
      </c>
      <c r="BY457" s="72" t="b">
        <v>0</v>
      </c>
      <c r="DH457" t="s">
        <v>538</v>
      </c>
      <c r="DI457">
        <v>1</v>
      </c>
      <c r="DJ457">
        <v>150</v>
      </c>
      <c r="DK457">
        <v>100</v>
      </c>
      <c r="DL457" s="75">
        <f ca="1">INDIRECT(ADDRESS(11+(MATCH(RIGHT(Table14[[#This Row],[spawner_sku]],LEN(Table14[[#This Row],[spawner_sku]])-FIND("/",Table14[[#This Row],[spawner_sku]])),Table1[Entity Prefab],0)),10,1,1,"Entities"))</f>
        <v>75</v>
      </c>
      <c r="DM457" s="75">
        <f ca="1">ROUND((Table14[[#This Row],[XP]]*Table14[[#This Row],[entity_spawned (AVG)]])*(Table14[[#This Row],[activating_chance]]/100),0)</f>
        <v>75</v>
      </c>
      <c r="DN45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57" s="72">
        <v>1</v>
      </c>
      <c r="DP457" s="72">
        <v>1</v>
      </c>
      <c r="DQ457" s="72" t="b">
        <v>0</v>
      </c>
    </row>
    <row r="458" spans="2:121" x14ac:dyDescent="0.25">
      <c r="B458" s="73" t="s">
        <v>445</v>
      </c>
      <c r="C458">
        <v>1</v>
      </c>
      <c r="D458">
        <v>190</v>
      </c>
      <c r="E458">
        <v>80</v>
      </c>
      <c r="F458" s="75">
        <f ca="1">INDIRECT(ADDRESS(11+(MATCH(RIGHT(Table245[[#This Row],[spawner_sku]],LEN(Table245[[#This Row],[spawner_sku]])-FIND("/",Table245[[#This Row],[spawner_sku]])),Table1[Entity Prefab],0)),10,1,1,"Entities"))</f>
        <v>0</v>
      </c>
      <c r="G458" s="75">
        <f ca="1">ROUND((Table245[[#This Row],[XP]]*Table245[[#This Row],[entity_spawned (AVG)]])*(Table245[[#This Row],[activating_chance]]/100),0)</f>
        <v>0</v>
      </c>
      <c r="H45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58" s="72">
        <v>1</v>
      </c>
      <c r="J458" s="72">
        <v>1</v>
      </c>
      <c r="K458" s="72" t="b">
        <v>0</v>
      </c>
      <c r="BP458" t="s">
        <v>255</v>
      </c>
      <c r="BQ458">
        <v>1</v>
      </c>
      <c r="BR458">
        <v>180</v>
      </c>
      <c r="BS458">
        <v>80</v>
      </c>
      <c r="BT45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58" s="75">
        <f ca="1">ROUND((Table61011[[#This Row],[XP]]*Table61011[[#This Row],[entity_spawned (AVG)]])*(Table61011[[#This Row],[activating_chance]]/100),0)</f>
        <v>20</v>
      </c>
      <c r="BV45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8" s="72">
        <v>1</v>
      </c>
      <c r="BX458" s="72">
        <v>1</v>
      </c>
      <c r="BY458" s="72" t="b">
        <v>0</v>
      </c>
      <c r="DH458" t="s">
        <v>538</v>
      </c>
      <c r="DI458">
        <v>1</v>
      </c>
      <c r="DJ458">
        <v>140</v>
      </c>
      <c r="DK458">
        <v>100</v>
      </c>
      <c r="DL458" s="75">
        <f ca="1">INDIRECT(ADDRESS(11+(MATCH(RIGHT(Table14[[#This Row],[spawner_sku]],LEN(Table14[[#This Row],[spawner_sku]])-FIND("/",Table14[[#This Row],[spawner_sku]])),Table1[Entity Prefab],0)),10,1,1,"Entities"))</f>
        <v>75</v>
      </c>
      <c r="DM458" s="75">
        <f ca="1">ROUND((Table14[[#This Row],[XP]]*Table14[[#This Row],[entity_spawned (AVG)]])*(Table14[[#This Row],[activating_chance]]/100),0)</f>
        <v>75</v>
      </c>
      <c r="DN45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58" s="72">
        <v>1</v>
      </c>
      <c r="DP458" s="72">
        <v>1</v>
      </c>
      <c r="DQ458" s="72" t="b">
        <v>0</v>
      </c>
    </row>
    <row r="459" spans="2:121" x14ac:dyDescent="0.25">
      <c r="B459" s="73" t="s">
        <v>445</v>
      </c>
      <c r="C459">
        <v>1</v>
      </c>
      <c r="D459">
        <v>190</v>
      </c>
      <c r="E459">
        <v>100</v>
      </c>
      <c r="F459" s="75">
        <f ca="1">INDIRECT(ADDRESS(11+(MATCH(RIGHT(Table245[[#This Row],[spawner_sku]],LEN(Table245[[#This Row],[spawner_sku]])-FIND("/",Table245[[#This Row],[spawner_sku]])),Table1[Entity Prefab],0)),10,1,1,"Entities"))</f>
        <v>0</v>
      </c>
      <c r="G459" s="75">
        <f ca="1">ROUND((Table245[[#This Row],[XP]]*Table245[[#This Row],[entity_spawned (AVG)]])*(Table245[[#This Row],[activating_chance]]/100),0)</f>
        <v>0</v>
      </c>
      <c r="H45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59" s="72">
        <v>1</v>
      </c>
      <c r="J459" s="72">
        <v>1</v>
      </c>
      <c r="K459" s="72" t="b">
        <v>0</v>
      </c>
      <c r="BP459" t="s">
        <v>255</v>
      </c>
      <c r="BQ459">
        <v>1</v>
      </c>
      <c r="BR459">
        <v>180</v>
      </c>
      <c r="BS459">
        <v>30</v>
      </c>
      <c r="BT45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59" s="75">
        <f ca="1">ROUND((Table61011[[#This Row],[XP]]*Table61011[[#This Row],[entity_spawned (AVG)]])*(Table61011[[#This Row],[activating_chance]]/100),0)</f>
        <v>8</v>
      </c>
      <c r="BV45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9" s="72">
        <v>1</v>
      </c>
      <c r="BX459" s="72">
        <v>1</v>
      </c>
      <c r="BY459" s="72" t="b">
        <v>0</v>
      </c>
      <c r="DH459" t="s">
        <v>538</v>
      </c>
      <c r="DI459">
        <v>1</v>
      </c>
      <c r="DJ459">
        <v>150</v>
      </c>
      <c r="DK459">
        <v>100</v>
      </c>
      <c r="DL459" s="75">
        <f ca="1">INDIRECT(ADDRESS(11+(MATCH(RIGHT(Table14[[#This Row],[spawner_sku]],LEN(Table14[[#This Row],[spawner_sku]])-FIND("/",Table14[[#This Row],[spawner_sku]])),Table1[Entity Prefab],0)),10,1,1,"Entities"))</f>
        <v>75</v>
      </c>
      <c r="DM459" s="75">
        <f ca="1">ROUND((Table14[[#This Row],[XP]]*Table14[[#This Row],[entity_spawned (AVG)]])*(Table14[[#This Row],[activating_chance]]/100),0)</f>
        <v>75</v>
      </c>
      <c r="DN45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59" s="72">
        <v>1</v>
      </c>
      <c r="DP459" s="72">
        <v>1</v>
      </c>
      <c r="DQ459" s="72" t="b">
        <v>0</v>
      </c>
    </row>
    <row r="460" spans="2:121" x14ac:dyDescent="0.25">
      <c r="B460" s="73" t="s">
        <v>606</v>
      </c>
      <c r="C460">
        <v>1</v>
      </c>
      <c r="D460">
        <v>5000</v>
      </c>
      <c r="E460">
        <v>30</v>
      </c>
      <c r="F460" s="75">
        <f ca="1">INDIRECT(ADDRESS(11+(MATCH(RIGHT(Table245[[#This Row],[spawner_sku]],LEN(Table245[[#This Row],[spawner_sku]])-FIND("/",Table245[[#This Row],[spawner_sku]])),Table1[Entity Prefab],0)),10,1,1,"Entities"))</f>
        <v>25</v>
      </c>
      <c r="G460" s="75">
        <f ca="1">ROUND((Table245[[#This Row],[XP]]*Table245[[#This Row],[entity_spawned (AVG)]])*(Table245[[#This Row],[activating_chance]]/100),0)</f>
        <v>8</v>
      </c>
      <c r="H46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60" s="72">
        <v>1</v>
      </c>
      <c r="J460" s="72">
        <v>1</v>
      </c>
      <c r="K460" s="72" t="b">
        <v>0</v>
      </c>
      <c r="BP460" t="s">
        <v>255</v>
      </c>
      <c r="BQ460">
        <v>1</v>
      </c>
      <c r="BR460">
        <v>200</v>
      </c>
      <c r="BS460">
        <v>100</v>
      </c>
      <c r="BT46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60" s="75">
        <f ca="1">ROUND((Table61011[[#This Row],[XP]]*Table61011[[#This Row],[entity_spawned (AVG)]])*(Table61011[[#This Row],[activating_chance]]/100),0)</f>
        <v>25</v>
      </c>
      <c r="BV46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0" s="72">
        <v>1</v>
      </c>
      <c r="BX460" s="72">
        <v>1</v>
      </c>
      <c r="BY460" s="72" t="b">
        <v>0</v>
      </c>
      <c r="DH460" t="s">
        <v>538</v>
      </c>
      <c r="DI460">
        <v>1</v>
      </c>
      <c r="DJ460">
        <v>120</v>
      </c>
      <c r="DK460">
        <v>100</v>
      </c>
      <c r="DL460" s="75">
        <f ca="1">INDIRECT(ADDRESS(11+(MATCH(RIGHT(Table14[[#This Row],[spawner_sku]],LEN(Table14[[#This Row],[spawner_sku]])-FIND("/",Table14[[#This Row],[spawner_sku]])),Table1[Entity Prefab],0)),10,1,1,"Entities"))</f>
        <v>75</v>
      </c>
      <c r="DM460" s="75">
        <f ca="1">ROUND((Table14[[#This Row],[XP]]*Table14[[#This Row],[entity_spawned (AVG)]])*(Table14[[#This Row],[activating_chance]]/100),0)</f>
        <v>75</v>
      </c>
      <c r="DN46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60" s="72">
        <v>1</v>
      </c>
      <c r="DP460" s="72">
        <v>1</v>
      </c>
      <c r="DQ460" s="72" t="b">
        <v>0</v>
      </c>
    </row>
    <row r="461" spans="2:121" x14ac:dyDescent="0.25">
      <c r="B461" s="73" t="s">
        <v>606</v>
      </c>
      <c r="C461">
        <v>1</v>
      </c>
      <c r="D461">
        <v>5000</v>
      </c>
      <c r="E461">
        <v>30</v>
      </c>
      <c r="F461" s="75">
        <f ca="1">INDIRECT(ADDRESS(11+(MATCH(RIGHT(Table245[[#This Row],[spawner_sku]],LEN(Table245[[#This Row],[spawner_sku]])-FIND("/",Table245[[#This Row],[spawner_sku]])),Table1[Entity Prefab],0)),10,1,1,"Entities"))</f>
        <v>25</v>
      </c>
      <c r="G461" s="75">
        <f ca="1">ROUND((Table245[[#This Row],[XP]]*Table245[[#This Row],[entity_spawned (AVG)]])*(Table245[[#This Row],[activating_chance]]/100),0)</f>
        <v>8</v>
      </c>
      <c r="H46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61" s="72">
        <v>1</v>
      </c>
      <c r="J461" s="72">
        <v>1</v>
      </c>
      <c r="K461" s="72" t="b">
        <v>0</v>
      </c>
      <c r="BP461" t="s">
        <v>255</v>
      </c>
      <c r="BQ461">
        <v>1</v>
      </c>
      <c r="BR461">
        <v>100</v>
      </c>
      <c r="BS461">
        <v>80</v>
      </c>
      <c r="BT46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61" s="75">
        <f ca="1">ROUND((Table61011[[#This Row],[XP]]*Table61011[[#This Row],[entity_spawned (AVG)]])*(Table61011[[#This Row],[activating_chance]]/100),0)</f>
        <v>20</v>
      </c>
      <c r="BV46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1" s="72">
        <v>1</v>
      </c>
      <c r="BX461" s="72">
        <v>1</v>
      </c>
      <c r="BY461" s="72" t="b">
        <v>0</v>
      </c>
      <c r="DH461" t="s">
        <v>538</v>
      </c>
      <c r="DI461">
        <v>1</v>
      </c>
      <c r="DJ461">
        <v>130</v>
      </c>
      <c r="DK461">
        <v>100</v>
      </c>
      <c r="DL461" s="75">
        <f ca="1">INDIRECT(ADDRESS(11+(MATCH(RIGHT(Table14[[#This Row],[spawner_sku]],LEN(Table14[[#This Row],[spawner_sku]])-FIND("/",Table14[[#This Row],[spawner_sku]])),Table1[Entity Prefab],0)),10,1,1,"Entities"))</f>
        <v>75</v>
      </c>
      <c r="DM461" s="75">
        <f ca="1">ROUND((Table14[[#This Row],[XP]]*Table14[[#This Row],[entity_spawned (AVG)]])*(Table14[[#This Row],[activating_chance]]/100),0)</f>
        <v>75</v>
      </c>
      <c r="DN46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61" s="72">
        <v>1</v>
      </c>
      <c r="DP461" s="72">
        <v>1</v>
      </c>
      <c r="DQ461" s="72" t="b">
        <v>0</v>
      </c>
    </row>
    <row r="462" spans="2:121" x14ac:dyDescent="0.25">
      <c r="B462" s="73" t="s">
        <v>606</v>
      </c>
      <c r="C462">
        <v>1</v>
      </c>
      <c r="D462">
        <v>5000</v>
      </c>
      <c r="E462">
        <v>30</v>
      </c>
      <c r="F462" s="75">
        <f ca="1">INDIRECT(ADDRESS(11+(MATCH(RIGHT(Table245[[#This Row],[spawner_sku]],LEN(Table245[[#This Row],[spawner_sku]])-FIND("/",Table245[[#This Row],[spawner_sku]])),Table1[Entity Prefab],0)),10,1,1,"Entities"))</f>
        <v>25</v>
      </c>
      <c r="G462" s="75">
        <f ca="1">ROUND((Table245[[#This Row],[XP]]*Table245[[#This Row],[entity_spawned (AVG)]])*(Table245[[#This Row],[activating_chance]]/100),0)</f>
        <v>8</v>
      </c>
      <c r="H46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62" s="72">
        <v>1</v>
      </c>
      <c r="J462" s="72">
        <v>1</v>
      </c>
      <c r="K462" s="72" t="b">
        <v>0</v>
      </c>
      <c r="BP462" t="s">
        <v>255</v>
      </c>
      <c r="BQ462">
        <v>1</v>
      </c>
      <c r="BR462">
        <v>200</v>
      </c>
      <c r="BS462">
        <v>100</v>
      </c>
      <c r="BT46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62" s="75">
        <f ca="1">ROUND((Table61011[[#This Row],[XP]]*Table61011[[#This Row],[entity_spawned (AVG)]])*(Table61011[[#This Row],[activating_chance]]/100),0)</f>
        <v>25</v>
      </c>
      <c r="BV46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2" s="72">
        <v>1</v>
      </c>
      <c r="BX462" s="72">
        <v>1</v>
      </c>
      <c r="BY462" s="72" t="b">
        <v>0</v>
      </c>
      <c r="DH462" t="s">
        <v>538</v>
      </c>
      <c r="DI462">
        <v>1</v>
      </c>
      <c r="DJ462">
        <v>145</v>
      </c>
      <c r="DK462">
        <v>100</v>
      </c>
      <c r="DL462" s="75">
        <f ca="1">INDIRECT(ADDRESS(11+(MATCH(RIGHT(Table14[[#This Row],[spawner_sku]],LEN(Table14[[#This Row],[spawner_sku]])-FIND("/",Table14[[#This Row],[spawner_sku]])),Table1[Entity Prefab],0)),10,1,1,"Entities"))</f>
        <v>75</v>
      </c>
      <c r="DM462" s="75">
        <f ca="1">ROUND((Table14[[#This Row],[XP]]*Table14[[#This Row],[entity_spawned (AVG)]])*(Table14[[#This Row],[activating_chance]]/100),0)</f>
        <v>75</v>
      </c>
      <c r="DN46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62" s="72">
        <v>1</v>
      </c>
      <c r="DP462" s="72">
        <v>1</v>
      </c>
      <c r="DQ462" s="72" t="b">
        <v>0</v>
      </c>
    </row>
    <row r="463" spans="2:121" x14ac:dyDescent="0.25">
      <c r="B463" s="73" t="s">
        <v>606</v>
      </c>
      <c r="C463">
        <v>1</v>
      </c>
      <c r="D463">
        <v>5000</v>
      </c>
      <c r="E463">
        <v>30</v>
      </c>
      <c r="F463" s="75">
        <f ca="1">INDIRECT(ADDRESS(11+(MATCH(RIGHT(Table245[[#This Row],[spawner_sku]],LEN(Table245[[#This Row],[spawner_sku]])-FIND("/",Table245[[#This Row],[spawner_sku]])),Table1[Entity Prefab],0)),10,1,1,"Entities"))</f>
        <v>25</v>
      </c>
      <c r="G463" s="75">
        <f ca="1">ROUND((Table245[[#This Row],[XP]]*Table245[[#This Row],[entity_spawned (AVG)]])*(Table245[[#This Row],[activating_chance]]/100),0)</f>
        <v>8</v>
      </c>
      <c r="H46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63" s="72">
        <v>1</v>
      </c>
      <c r="J463" s="72">
        <v>1</v>
      </c>
      <c r="K463" s="72" t="b">
        <v>0</v>
      </c>
      <c r="BP463" t="s">
        <v>255</v>
      </c>
      <c r="BQ463">
        <v>1</v>
      </c>
      <c r="BR463">
        <v>200</v>
      </c>
      <c r="BS463">
        <v>100</v>
      </c>
      <c r="BT46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63" s="75">
        <f ca="1">ROUND((Table61011[[#This Row],[XP]]*Table61011[[#This Row],[entity_spawned (AVG)]])*(Table61011[[#This Row],[activating_chance]]/100),0)</f>
        <v>25</v>
      </c>
      <c r="BV46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3" s="72">
        <v>1</v>
      </c>
      <c r="BX463" s="72">
        <v>1</v>
      </c>
      <c r="BY463" s="72" t="b">
        <v>0</v>
      </c>
      <c r="DH463" t="s">
        <v>538</v>
      </c>
      <c r="DI463">
        <v>1</v>
      </c>
      <c r="DJ463">
        <v>150</v>
      </c>
      <c r="DK463">
        <v>100</v>
      </c>
      <c r="DL463" s="75">
        <f ca="1">INDIRECT(ADDRESS(11+(MATCH(RIGHT(Table14[[#This Row],[spawner_sku]],LEN(Table14[[#This Row],[spawner_sku]])-FIND("/",Table14[[#This Row],[spawner_sku]])),Table1[Entity Prefab],0)),10,1,1,"Entities"))</f>
        <v>75</v>
      </c>
      <c r="DM463" s="75">
        <f ca="1">ROUND((Table14[[#This Row],[XP]]*Table14[[#This Row],[entity_spawned (AVG)]])*(Table14[[#This Row],[activating_chance]]/100),0)</f>
        <v>75</v>
      </c>
      <c r="DN46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63" s="72">
        <v>1</v>
      </c>
      <c r="DP463" s="72">
        <v>1</v>
      </c>
      <c r="DQ463" s="72" t="b">
        <v>0</v>
      </c>
    </row>
    <row r="464" spans="2:121" x14ac:dyDescent="0.25">
      <c r="B464" s="73" t="s">
        <v>606</v>
      </c>
      <c r="C464">
        <v>1</v>
      </c>
      <c r="D464">
        <v>5000</v>
      </c>
      <c r="E464">
        <v>30</v>
      </c>
      <c r="F464" s="75">
        <f ca="1">INDIRECT(ADDRESS(11+(MATCH(RIGHT(Table245[[#This Row],[spawner_sku]],LEN(Table245[[#This Row],[spawner_sku]])-FIND("/",Table245[[#This Row],[spawner_sku]])),Table1[Entity Prefab],0)),10,1,1,"Entities"))</f>
        <v>25</v>
      </c>
      <c r="G464" s="75">
        <f ca="1">ROUND((Table245[[#This Row],[XP]]*Table245[[#This Row],[entity_spawned (AVG)]])*(Table245[[#This Row],[activating_chance]]/100),0)</f>
        <v>8</v>
      </c>
      <c r="H46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64" s="72">
        <v>1</v>
      </c>
      <c r="J464" s="72">
        <v>1</v>
      </c>
      <c r="K464" s="72" t="b">
        <v>0</v>
      </c>
      <c r="BP464" t="s">
        <v>255</v>
      </c>
      <c r="BQ464">
        <v>1</v>
      </c>
      <c r="BR464">
        <v>150</v>
      </c>
      <c r="BS464">
        <v>100</v>
      </c>
      <c r="BT46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64" s="75">
        <f ca="1">ROUND((Table61011[[#This Row],[XP]]*Table61011[[#This Row],[entity_spawned (AVG)]])*(Table61011[[#This Row],[activating_chance]]/100),0)</f>
        <v>25</v>
      </c>
      <c r="BV46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4" s="72">
        <v>1</v>
      </c>
      <c r="BX464" s="72">
        <v>1</v>
      </c>
      <c r="BY464" s="72" t="b">
        <v>0</v>
      </c>
      <c r="DH464" t="s">
        <v>538</v>
      </c>
      <c r="DI464">
        <v>1</v>
      </c>
      <c r="DJ464">
        <v>150</v>
      </c>
      <c r="DK464">
        <v>100</v>
      </c>
      <c r="DL464" s="75">
        <f ca="1">INDIRECT(ADDRESS(11+(MATCH(RIGHT(Table14[[#This Row],[spawner_sku]],LEN(Table14[[#This Row],[spawner_sku]])-FIND("/",Table14[[#This Row],[spawner_sku]])),Table1[Entity Prefab],0)),10,1,1,"Entities"))</f>
        <v>75</v>
      </c>
      <c r="DM464" s="75">
        <f ca="1">ROUND((Table14[[#This Row],[XP]]*Table14[[#This Row],[entity_spawned (AVG)]])*(Table14[[#This Row],[activating_chance]]/100),0)</f>
        <v>75</v>
      </c>
      <c r="DN46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64" s="72">
        <v>1</v>
      </c>
      <c r="DP464" s="72">
        <v>1</v>
      </c>
      <c r="DQ464" s="72" t="b">
        <v>0</v>
      </c>
    </row>
    <row r="465" spans="2:121" x14ac:dyDescent="0.25">
      <c r="B465" s="73" t="s">
        <v>606</v>
      </c>
      <c r="C465">
        <v>1</v>
      </c>
      <c r="D465">
        <v>5000</v>
      </c>
      <c r="E465">
        <v>30</v>
      </c>
      <c r="F465" s="75">
        <f ca="1">INDIRECT(ADDRESS(11+(MATCH(RIGHT(Table245[[#This Row],[spawner_sku]],LEN(Table245[[#This Row],[spawner_sku]])-FIND("/",Table245[[#This Row],[spawner_sku]])),Table1[Entity Prefab],0)),10,1,1,"Entities"))</f>
        <v>25</v>
      </c>
      <c r="G465" s="75">
        <f ca="1">ROUND((Table245[[#This Row],[XP]]*Table245[[#This Row],[entity_spawned (AVG)]])*(Table245[[#This Row],[activating_chance]]/100),0)</f>
        <v>8</v>
      </c>
      <c r="H46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65" s="72">
        <v>1</v>
      </c>
      <c r="J465" s="72">
        <v>1</v>
      </c>
      <c r="K465" s="72" t="b">
        <v>0</v>
      </c>
      <c r="BP465" t="s">
        <v>255</v>
      </c>
      <c r="BQ465">
        <v>1</v>
      </c>
      <c r="BR465">
        <v>100</v>
      </c>
      <c r="BS465">
        <v>100</v>
      </c>
      <c r="BT46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65" s="75">
        <f ca="1">ROUND((Table61011[[#This Row],[XP]]*Table61011[[#This Row],[entity_spawned (AVG)]])*(Table61011[[#This Row],[activating_chance]]/100),0)</f>
        <v>25</v>
      </c>
      <c r="BV46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5" s="72">
        <v>1</v>
      </c>
      <c r="BX465" s="72">
        <v>1</v>
      </c>
      <c r="BY465" s="72" t="b">
        <v>0</v>
      </c>
      <c r="DH465" t="s">
        <v>538</v>
      </c>
      <c r="DI465">
        <v>1</v>
      </c>
      <c r="DJ465">
        <v>100</v>
      </c>
      <c r="DK465">
        <v>100</v>
      </c>
      <c r="DL465" s="75">
        <f ca="1">INDIRECT(ADDRESS(11+(MATCH(RIGHT(Table14[[#This Row],[spawner_sku]],LEN(Table14[[#This Row],[spawner_sku]])-FIND("/",Table14[[#This Row],[spawner_sku]])),Table1[Entity Prefab],0)),10,1,1,"Entities"))</f>
        <v>75</v>
      </c>
      <c r="DM465" s="75">
        <f ca="1">ROUND((Table14[[#This Row],[XP]]*Table14[[#This Row],[entity_spawned (AVG)]])*(Table14[[#This Row],[activating_chance]]/100),0)</f>
        <v>75</v>
      </c>
      <c r="DN46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65" s="72">
        <v>1</v>
      </c>
      <c r="DP465" s="72">
        <v>1</v>
      </c>
      <c r="DQ465" s="72" t="b">
        <v>0</v>
      </c>
    </row>
    <row r="466" spans="2:121" x14ac:dyDescent="0.25">
      <c r="B466" s="73" t="s">
        <v>606</v>
      </c>
      <c r="C466">
        <v>1</v>
      </c>
      <c r="D466">
        <v>5000</v>
      </c>
      <c r="E466">
        <v>30</v>
      </c>
      <c r="F466" s="75">
        <f ca="1">INDIRECT(ADDRESS(11+(MATCH(RIGHT(Table245[[#This Row],[spawner_sku]],LEN(Table245[[#This Row],[spawner_sku]])-FIND("/",Table245[[#This Row],[spawner_sku]])),Table1[Entity Prefab],0)),10,1,1,"Entities"))</f>
        <v>25</v>
      </c>
      <c r="G466" s="75">
        <f ca="1">ROUND((Table245[[#This Row],[XP]]*Table245[[#This Row],[entity_spawned (AVG)]])*(Table245[[#This Row],[activating_chance]]/100),0)</f>
        <v>8</v>
      </c>
      <c r="H46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66" s="72">
        <v>1</v>
      </c>
      <c r="J466" s="72">
        <v>1</v>
      </c>
      <c r="K466" s="72" t="b">
        <v>0</v>
      </c>
      <c r="BP466" t="s">
        <v>255</v>
      </c>
      <c r="BQ466">
        <v>1</v>
      </c>
      <c r="BR466">
        <v>150</v>
      </c>
      <c r="BS466">
        <v>100</v>
      </c>
      <c r="BT46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66" s="75">
        <f ca="1">ROUND((Table61011[[#This Row],[XP]]*Table61011[[#This Row],[entity_spawned (AVG)]])*(Table61011[[#This Row],[activating_chance]]/100),0)</f>
        <v>25</v>
      </c>
      <c r="BV46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6" s="72">
        <v>1</v>
      </c>
      <c r="BX466" s="72">
        <v>1</v>
      </c>
      <c r="BY466" s="72" t="b">
        <v>0</v>
      </c>
      <c r="DH466" t="s">
        <v>538</v>
      </c>
      <c r="DI466">
        <v>1</v>
      </c>
      <c r="DJ466">
        <v>140</v>
      </c>
      <c r="DK466">
        <v>80</v>
      </c>
      <c r="DL466" s="75">
        <f ca="1">INDIRECT(ADDRESS(11+(MATCH(RIGHT(Table14[[#This Row],[spawner_sku]],LEN(Table14[[#This Row],[spawner_sku]])-FIND("/",Table14[[#This Row],[spawner_sku]])),Table1[Entity Prefab],0)),10,1,1,"Entities"))</f>
        <v>75</v>
      </c>
      <c r="DM466" s="75">
        <f ca="1">ROUND((Table14[[#This Row],[XP]]*Table14[[#This Row],[entity_spawned (AVG)]])*(Table14[[#This Row],[activating_chance]]/100),0)</f>
        <v>60</v>
      </c>
      <c r="DN46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66" s="72">
        <v>1</v>
      </c>
      <c r="DP466" s="72">
        <v>1</v>
      </c>
      <c r="DQ466" s="72" t="b">
        <v>0</v>
      </c>
    </row>
    <row r="467" spans="2:121" x14ac:dyDescent="0.25">
      <c r="B467" s="73" t="s">
        <v>246</v>
      </c>
      <c r="C467">
        <v>1</v>
      </c>
      <c r="D467">
        <v>500</v>
      </c>
      <c r="E467">
        <v>75</v>
      </c>
      <c r="F467" s="75">
        <f ca="1">INDIRECT(ADDRESS(11+(MATCH(RIGHT(Table245[[#This Row],[spawner_sku]],LEN(Table245[[#This Row],[spawner_sku]])-FIND("/",Table245[[#This Row],[spawner_sku]])),Table1[Entity Prefab],0)),10,1,1,"Entities"))</f>
        <v>25</v>
      </c>
      <c r="G467" s="75">
        <f ca="1">ROUND((Table245[[#This Row],[XP]]*Table245[[#This Row],[entity_spawned (AVG)]])*(Table245[[#This Row],[activating_chance]]/100),0)</f>
        <v>19</v>
      </c>
      <c r="H46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67" s="72">
        <v>1</v>
      </c>
      <c r="J467" s="72">
        <v>1</v>
      </c>
      <c r="K467" s="72" t="b">
        <v>0</v>
      </c>
      <c r="BP467" t="s">
        <v>257</v>
      </c>
      <c r="BQ467">
        <v>1</v>
      </c>
      <c r="BR467">
        <v>220</v>
      </c>
      <c r="BS467">
        <v>100</v>
      </c>
      <c r="BT467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67" s="75">
        <f ca="1">ROUND((Table61011[[#This Row],[XP]]*Table61011[[#This Row],[entity_spawned (AVG)]])*(Table61011[[#This Row],[activating_chance]]/100),0)</f>
        <v>50</v>
      </c>
      <c r="BV46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7" s="72">
        <v>1</v>
      </c>
      <c r="BX467" s="72">
        <v>1</v>
      </c>
      <c r="BY467" s="72" t="b">
        <v>0</v>
      </c>
      <c r="DH467" t="s">
        <v>538</v>
      </c>
      <c r="DI467">
        <v>1</v>
      </c>
      <c r="DJ467">
        <v>135</v>
      </c>
      <c r="DK467">
        <v>100</v>
      </c>
      <c r="DL467" s="75">
        <f ca="1">INDIRECT(ADDRESS(11+(MATCH(RIGHT(Table14[[#This Row],[spawner_sku]],LEN(Table14[[#This Row],[spawner_sku]])-FIND("/",Table14[[#This Row],[spawner_sku]])),Table1[Entity Prefab],0)),10,1,1,"Entities"))</f>
        <v>75</v>
      </c>
      <c r="DM467" s="75">
        <f ca="1">ROUND((Table14[[#This Row],[XP]]*Table14[[#This Row],[entity_spawned (AVG)]])*(Table14[[#This Row],[activating_chance]]/100),0)</f>
        <v>75</v>
      </c>
      <c r="DN46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67" s="72">
        <v>1</v>
      </c>
      <c r="DP467" s="72">
        <v>1</v>
      </c>
      <c r="DQ467" s="72" t="b">
        <v>0</v>
      </c>
    </row>
    <row r="468" spans="2:121" x14ac:dyDescent="0.25">
      <c r="B468" s="73" t="s">
        <v>246</v>
      </c>
      <c r="C468">
        <v>1</v>
      </c>
      <c r="D468">
        <v>500</v>
      </c>
      <c r="E468">
        <v>75</v>
      </c>
      <c r="F468" s="75">
        <f ca="1">INDIRECT(ADDRESS(11+(MATCH(RIGHT(Table245[[#This Row],[spawner_sku]],LEN(Table245[[#This Row],[spawner_sku]])-FIND("/",Table245[[#This Row],[spawner_sku]])),Table1[Entity Prefab],0)),10,1,1,"Entities"))</f>
        <v>25</v>
      </c>
      <c r="G468" s="75">
        <f ca="1">ROUND((Table245[[#This Row],[XP]]*Table245[[#This Row],[entity_spawned (AVG)]])*(Table245[[#This Row],[activating_chance]]/100),0)</f>
        <v>19</v>
      </c>
      <c r="H46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68" s="72">
        <v>1</v>
      </c>
      <c r="J468" s="72">
        <v>1</v>
      </c>
      <c r="K468" s="72" t="b">
        <v>0</v>
      </c>
      <c r="BP468" t="s">
        <v>257</v>
      </c>
      <c r="BQ468">
        <v>1</v>
      </c>
      <c r="BR468">
        <v>240</v>
      </c>
      <c r="BS468">
        <v>100</v>
      </c>
      <c r="BT468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68" s="75">
        <f ca="1">ROUND((Table61011[[#This Row],[XP]]*Table61011[[#This Row],[entity_spawned (AVG)]])*(Table61011[[#This Row],[activating_chance]]/100),0)</f>
        <v>50</v>
      </c>
      <c r="BV46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8" s="72">
        <v>1</v>
      </c>
      <c r="BX468" s="72">
        <v>1</v>
      </c>
      <c r="BY468" s="72" t="b">
        <v>0</v>
      </c>
      <c r="DH468" t="s">
        <v>538</v>
      </c>
      <c r="DI468">
        <v>1</v>
      </c>
      <c r="DJ468">
        <v>120</v>
      </c>
      <c r="DK468">
        <v>100</v>
      </c>
      <c r="DL468" s="75">
        <f ca="1">INDIRECT(ADDRESS(11+(MATCH(RIGHT(Table14[[#This Row],[spawner_sku]],LEN(Table14[[#This Row],[spawner_sku]])-FIND("/",Table14[[#This Row],[spawner_sku]])),Table1[Entity Prefab],0)),10,1,1,"Entities"))</f>
        <v>75</v>
      </c>
      <c r="DM468" s="75">
        <f ca="1">ROUND((Table14[[#This Row],[XP]]*Table14[[#This Row],[entity_spawned (AVG)]])*(Table14[[#This Row],[activating_chance]]/100),0)</f>
        <v>75</v>
      </c>
      <c r="DN46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68" s="72">
        <v>1</v>
      </c>
      <c r="DP468" s="72">
        <v>1</v>
      </c>
      <c r="DQ468" s="72" t="b">
        <v>0</v>
      </c>
    </row>
    <row r="469" spans="2:121" x14ac:dyDescent="0.25">
      <c r="B469" s="73" t="s">
        <v>490</v>
      </c>
      <c r="C469">
        <v>1</v>
      </c>
      <c r="D469">
        <v>220</v>
      </c>
      <c r="E469">
        <v>100</v>
      </c>
      <c r="F469" s="75">
        <f ca="1">INDIRECT(ADDRESS(11+(MATCH(RIGHT(Table245[[#This Row],[spawner_sku]],LEN(Table245[[#This Row],[spawner_sku]])-FIND("/",Table245[[#This Row],[spawner_sku]])),Table1[Entity Prefab],0)),10,1,1,"Entities"))</f>
        <v>28</v>
      </c>
      <c r="G469" s="75">
        <f ca="1">ROUND((Table245[[#This Row],[XP]]*Table245[[#This Row],[entity_spawned (AVG)]])*(Table245[[#This Row],[activating_chance]]/100),0)</f>
        <v>28</v>
      </c>
      <c r="H46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69" s="72">
        <v>1</v>
      </c>
      <c r="J469" s="72">
        <v>1</v>
      </c>
      <c r="K469" s="72" t="b">
        <v>0</v>
      </c>
      <c r="BP469" t="s">
        <v>257</v>
      </c>
      <c r="BQ469">
        <v>1</v>
      </c>
      <c r="BR469">
        <v>200</v>
      </c>
      <c r="BS469">
        <v>100</v>
      </c>
      <c r="BT469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69" s="75">
        <f ca="1">ROUND((Table61011[[#This Row],[XP]]*Table61011[[#This Row],[entity_spawned (AVG)]])*(Table61011[[#This Row],[activating_chance]]/100),0)</f>
        <v>50</v>
      </c>
      <c r="BV46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9" s="72">
        <v>1</v>
      </c>
      <c r="BX469" s="72">
        <v>1</v>
      </c>
      <c r="BY469" s="72" t="b">
        <v>0</v>
      </c>
      <c r="DH469" t="s">
        <v>538</v>
      </c>
      <c r="DI469">
        <v>1</v>
      </c>
      <c r="DJ469">
        <v>150</v>
      </c>
      <c r="DK469">
        <v>100</v>
      </c>
      <c r="DL469" s="75">
        <f ca="1">INDIRECT(ADDRESS(11+(MATCH(RIGHT(Table14[[#This Row],[spawner_sku]],LEN(Table14[[#This Row],[spawner_sku]])-FIND("/",Table14[[#This Row],[spawner_sku]])),Table1[Entity Prefab],0)),10,1,1,"Entities"))</f>
        <v>75</v>
      </c>
      <c r="DM469" s="75">
        <f ca="1">ROUND((Table14[[#This Row],[XP]]*Table14[[#This Row],[entity_spawned (AVG)]])*(Table14[[#This Row],[activating_chance]]/100),0)</f>
        <v>75</v>
      </c>
      <c r="DN46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69" s="72">
        <v>1</v>
      </c>
      <c r="DP469" s="72">
        <v>1</v>
      </c>
      <c r="DQ469" s="72" t="b">
        <v>0</v>
      </c>
    </row>
    <row r="470" spans="2:121" x14ac:dyDescent="0.25">
      <c r="B470" s="73" t="s">
        <v>490</v>
      </c>
      <c r="C470">
        <v>1</v>
      </c>
      <c r="D470">
        <v>220</v>
      </c>
      <c r="E470">
        <v>100</v>
      </c>
      <c r="F470" s="75">
        <f ca="1">INDIRECT(ADDRESS(11+(MATCH(RIGHT(Table245[[#This Row],[spawner_sku]],LEN(Table245[[#This Row],[spawner_sku]])-FIND("/",Table245[[#This Row],[spawner_sku]])),Table1[Entity Prefab],0)),10,1,1,"Entities"))</f>
        <v>28</v>
      </c>
      <c r="G470" s="75">
        <f ca="1">ROUND((Table245[[#This Row],[XP]]*Table245[[#This Row],[entity_spawned (AVG)]])*(Table245[[#This Row],[activating_chance]]/100),0)</f>
        <v>28</v>
      </c>
      <c r="H47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70" s="72">
        <v>1</v>
      </c>
      <c r="J470" s="72">
        <v>1</v>
      </c>
      <c r="K470" s="72" t="b">
        <v>0</v>
      </c>
      <c r="BP470" t="s">
        <v>257</v>
      </c>
      <c r="BQ470">
        <v>1</v>
      </c>
      <c r="BR470">
        <v>200</v>
      </c>
      <c r="BS470">
        <v>100</v>
      </c>
      <c r="BT470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70" s="75">
        <f ca="1">ROUND((Table61011[[#This Row],[XP]]*Table61011[[#This Row],[entity_spawned (AVG)]])*(Table61011[[#This Row],[activating_chance]]/100),0)</f>
        <v>50</v>
      </c>
      <c r="BV47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0" s="72">
        <v>1</v>
      </c>
      <c r="BX470" s="72">
        <v>1</v>
      </c>
      <c r="BY470" s="72" t="b">
        <v>0</v>
      </c>
      <c r="DH470" t="s">
        <v>538</v>
      </c>
      <c r="DI470">
        <v>1</v>
      </c>
      <c r="DJ470">
        <v>150</v>
      </c>
      <c r="DK470">
        <v>100</v>
      </c>
      <c r="DL470" s="75">
        <f ca="1">INDIRECT(ADDRESS(11+(MATCH(RIGHT(Table14[[#This Row],[spawner_sku]],LEN(Table14[[#This Row],[spawner_sku]])-FIND("/",Table14[[#This Row],[spawner_sku]])),Table1[Entity Prefab],0)),10,1,1,"Entities"))</f>
        <v>75</v>
      </c>
      <c r="DM470" s="75">
        <f ca="1">ROUND((Table14[[#This Row],[XP]]*Table14[[#This Row],[entity_spawned (AVG)]])*(Table14[[#This Row],[activating_chance]]/100),0)</f>
        <v>75</v>
      </c>
      <c r="DN47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70" s="72">
        <v>1</v>
      </c>
      <c r="DP470" s="72">
        <v>1</v>
      </c>
      <c r="DQ470" s="72" t="b">
        <v>0</v>
      </c>
    </row>
    <row r="471" spans="2:121" x14ac:dyDescent="0.25">
      <c r="B471" s="73" t="s">
        <v>490</v>
      </c>
      <c r="C471">
        <v>1</v>
      </c>
      <c r="D471">
        <v>200</v>
      </c>
      <c r="E471">
        <v>100</v>
      </c>
      <c r="F471" s="75">
        <f ca="1">INDIRECT(ADDRESS(11+(MATCH(RIGHT(Table245[[#This Row],[spawner_sku]],LEN(Table245[[#This Row],[spawner_sku]])-FIND("/",Table245[[#This Row],[spawner_sku]])),Table1[Entity Prefab],0)),10,1,1,"Entities"))</f>
        <v>28</v>
      </c>
      <c r="G471" s="75">
        <f ca="1">ROUND((Table245[[#This Row],[XP]]*Table245[[#This Row],[entity_spawned (AVG)]])*(Table245[[#This Row],[activating_chance]]/100),0)</f>
        <v>28</v>
      </c>
      <c r="H47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71" s="72">
        <v>1</v>
      </c>
      <c r="J471" s="72">
        <v>1</v>
      </c>
      <c r="K471" s="72" t="b">
        <v>0</v>
      </c>
      <c r="BP471" t="s">
        <v>257</v>
      </c>
      <c r="BQ471">
        <v>1</v>
      </c>
      <c r="BR471">
        <v>240</v>
      </c>
      <c r="BS471">
        <v>100</v>
      </c>
      <c r="BT471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71" s="75">
        <f ca="1">ROUND((Table61011[[#This Row],[XP]]*Table61011[[#This Row],[entity_spawned (AVG)]])*(Table61011[[#This Row],[activating_chance]]/100),0)</f>
        <v>50</v>
      </c>
      <c r="BV47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1" s="72">
        <v>1</v>
      </c>
      <c r="BX471" s="72">
        <v>1</v>
      </c>
      <c r="BY471" s="72" t="b">
        <v>0</v>
      </c>
      <c r="DH471" t="s">
        <v>538</v>
      </c>
      <c r="DI471">
        <v>1</v>
      </c>
      <c r="DJ471">
        <v>100</v>
      </c>
      <c r="DK471">
        <v>10</v>
      </c>
      <c r="DL471" s="75">
        <f ca="1">INDIRECT(ADDRESS(11+(MATCH(RIGHT(Table14[[#This Row],[spawner_sku]],LEN(Table14[[#This Row],[spawner_sku]])-FIND("/",Table14[[#This Row],[spawner_sku]])),Table1[Entity Prefab],0)),10,1,1,"Entities"))</f>
        <v>75</v>
      </c>
      <c r="DM471" s="75">
        <f ca="1">ROUND((Table14[[#This Row],[XP]]*Table14[[#This Row],[entity_spawned (AVG)]])*(Table14[[#This Row],[activating_chance]]/100),0)</f>
        <v>8</v>
      </c>
      <c r="DN47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71" s="72">
        <v>1</v>
      </c>
      <c r="DP471" s="72">
        <v>1</v>
      </c>
      <c r="DQ471" s="72" t="b">
        <v>0</v>
      </c>
    </row>
    <row r="472" spans="2:121" x14ac:dyDescent="0.25">
      <c r="B472" s="73" t="s">
        <v>491</v>
      </c>
      <c r="C472">
        <v>1</v>
      </c>
      <c r="D472">
        <v>140</v>
      </c>
      <c r="E472">
        <v>80</v>
      </c>
      <c r="F472" s="75">
        <f ca="1">INDIRECT(ADDRESS(11+(MATCH(RIGHT(Table245[[#This Row],[spawner_sku]],LEN(Table245[[#This Row],[spawner_sku]])-FIND("/",Table245[[#This Row],[spawner_sku]])),Table1[Entity Prefab],0)),10,1,1,"Entities"))</f>
        <v>25</v>
      </c>
      <c r="G472" s="75">
        <f ca="1">ROUND((Table245[[#This Row],[XP]]*Table245[[#This Row],[entity_spawned (AVG)]])*(Table245[[#This Row],[activating_chance]]/100),0)</f>
        <v>20</v>
      </c>
      <c r="H47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72" s="72">
        <v>1</v>
      </c>
      <c r="J472" s="72">
        <v>1</v>
      </c>
      <c r="K472" s="72" t="b">
        <v>0</v>
      </c>
      <c r="BP472" t="s">
        <v>257</v>
      </c>
      <c r="BQ472">
        <v>1</v>
      </c>
      <c r="BR472">
        <v>200</v>
      </c>
      <c r="BS472">
        <v>100</v>
      </c>
      <c r="BT472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72" s="75">
        <f ca="1">ROUND((Table61011[[#This Row],[XP]]*Table61011[[#This Row],[entity_spawned (AVG)]])*(Table61011[[#This Row],[activating_chance]]/100),0)</f>
        <v>50</v>
      </c>
      <c r="BV47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2" s="72">
        <v>1</v>
      </c>
      <c r="BX472" s="72">
        <v>1</v>
      </c>
      <c r="BY472" s="72" t="b">
        <v>0</v>
      </c>
      <c r="DH472" t="s">
        <v>538</v>
      </c>
      <c r="DI472">
        <v>1</v>
      </c>
      <c r="DJ472">
        <v>110</v>
      </c>
      <c r="DK472">
        <v>100</v>
      </c>
      <c r="DL472" s="75">
        <f ca="1">INDIRECT(ADDRESS(11+(MATCH(RIGHT(Table14[[#This Row],[spawner_sku]],LEN(Table14[[#This Row],[spawner_sku]])-FIND("/",Table14[[#This Row],[spawner_sku]])),Table1[Entity Prefab],0)),10,1,1,"Entities"))</f>
        <v>75</v>
      </c>
      <c r="DM472" s="75">
        <f ca="1">ROUND((Table14[[#This Row],[XP]]*Table14[[#This Row],[entity_spawned (AVG)]])*(Table14[[#This Row],[activating_chance]]/100),0)</f>
        <v>75</v>
      </c>
      <c r="DN47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72" s="72">
        <v>1</v>
      </c>
      <c r="DP472" s="72">
        <v>1</v>
      </c>
      <c r="DQ472" s="72" t="b">
        <v>0</v>
      </c>
    </row>
    <row r="473" spans="2:121" x14ac:dyDescent="0.25">
      <c r="B473" s="73" t="s">
        <v>491</v>
      </c>
      <c r="C473">
        <v>1</v>
      </c>
      <c r="D473">
        <v>120</v>
      </c>
      <c r="E473">
        <v>80</v>
      </c>
      <c r="F473" s="75">
        <f ca="1">INDIRECT(ADDRESS(11+(MATCH(RIGHT(Table245[[#This Row],[spawner_sku]],LEN(Table245[[#This Row],[spawner_sku]])-FIND("/",Table245[[#This Row],[spawner_sku]])),Table1[Entity Prefab],0)),10,1,1,"Entities"))</f>
        <v>25</v>
      </c>
      <c r="G473" s="75">
        <f ca="1">ROUND((Table245[[#This Row],[XP]]*Table245[[#This Row],[entity_spawned (AVG)]])*(Table245[[#This Row],[activating_chance]]/100),0)</f>
        <v>20</v>
      </c>
      <c r="H47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73" s="72">
        <v>1</v>
      </c>
      <c r="J473" s="72">
        <v>1</v>
      </c>
      <c r="K473" s="72" t="b">
        <v>0</v>
      </c>
      <c r="BP473" t="s">
        <v>257</v>
      </c>
      <c r="BQ473">
        <v>1</v>
      </c>
      <c r="BR473">
        <v>240</v>
      </c>
      <c r="BS473">
        <v>100</v>
      </c>
      <c r="BT473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73" s="75">
        <f ca="1">ROUND((Table61011[[#This Row],[XP]]*Table61011[[#This Row],[entity_spawned (AVG)]])*(Table61011[[#This Row],[activating_chance]]/100),0)</f>
        <v>50</v>
      </c>
      <c r="BV47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3" s="72">
        <v>1</v>
      </c>
      <c r="BX473" s="72">
        <v>1</v>
      </c>
      <c r="BY473" s="72" t="b">
        <v>0</v>
      </c>
      <c r="DH473" t="s">
        <v>537</v>
      </c>
      <c r="DI473">
        <v>1</v>
      </c>
      <c r="DJ473">
        <v>200</v>
      </c>
      <c r="DK473">
        <v>100</v>
      </c>
      <c r="DL473" s="75">
        <f ca="1">INDIRECT(ADDRESS(11+(MATCH(RIGHT(Table14[[#This Row],[spawner_sku]],LEN(Table14[[#This Row],[spawner_sku]])-FIND("/",Table14[[#This Row],[spawner_sku]])),Table1[Entity Prefab],0)),10,1,1,"Entities"))</f>
        <v>75</v>
      </c>
      <c r="DM473" s="75">
        <f ca="1">ROUND((Table14[[#This Row],[XP]]*Table14[[#This Row],[entity_spawned (AVG)]])*(Table14[[#This Row],[activating_chance]]/100),0)</f>
        <v>75</v>
      </c>
      <c r="DN47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73" s="72">
        <v>1</v>
      </c>
      <c r="DP473" s="72">
        <v>1</v>
      </c>
      <c r="DQ473" s="72" t="b">
        <v>0</v>
      </c>
    </row>
    <row r="474" spans="2:121" x14ac:dyDescent="0.25">
      <c r="B474" s="73" t="s">
        <v>491</v>
      </c>
      <c r="C474">
        <v>1</v>
      </c>
      <c r="D474">
        <v>140</v>
      </c>
      <c r="E474">
        <v>80</v>
      </c>
      <c r="F474" s="75">
        <f ca="1">INDIRECT(ADDRESS(11+(MATCH(RIGHT(Table245[[#This Row],[spawner_sku]],LEN(Table245[[#This Row],[spawner_sku]])-FIND("/",Table245[[#This Row],[spawner_sku]])),Table1[Entity Prefab],0)),10,1,1,"Entities"))</f>
        <v>25</v>
      </c>
      <c r="G474" s="75">
        <f ca="1">ROUND((Table245[[#This Row],[XP]]*Table245[[#This Row],[entity_spawned (AVG)]])*(Table245[[#This Row],[activating_chance]]/100),0)</f>
        <v>20</v>
      </c>
      <c r="H47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74" s="72">
        <v>1</v>
      </c>
      <c r="J474" s="72">
        <v>1</v>
      </c>
      <c r="K474" s="72" t="b">
        <v>0</v>
      </c>
      <c r="BP474" t="s">
        <v>257</v>
      </c>
      <c r="BQ474">
        <v>1</v>
      </c>
      <c r="BR474">
        <v>240</v>
      </c>
      <c r="BS474">
        <v>100</v>
      </c>
      <c r="BT474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74" s="75">
        <f ca="1">ROUND((Table61011[[#This Row],[XP]]*Table61011[[#This Row],[entity_spawned (AVG)]])*(Table61011[[#This Row],[activating_chance]]/100),0)</f>
        <v>50</v>
      </c>
      <c r="BV47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4" s="72">
        <v>1</v>
      </c>
      <c r="BX474" s="72">
        <v>1</v>
      </c>
      <c r="BY474" s="72" t="b">
        <v>0</v>
      </c>
      <c r="DH474" t="s">
        <v>537</v>
      </c>
      <c r="DI474">
        <v>1</v>
      </c>
      <c r="DJ474">
        <v>145</v>
      </c>
      <c r="DK474">
        <v>100</v>
      </c>
      <c r="DL474" s="75">
        <f ca="1">INDIRECT(ADDRESS(11+(MATCH(RIGHT(Table14[[#This Row],[spawner_sku]],LEN(Table14[[#This Row],[spawner_sku]])-FIND("/",Table14[[#This Row],[spawner_sku]])),Table1[Entity Prefab],0)),10,1,1,"Entities"))</f>
        <v>75</v>
      </c>
      <c r="DM474" s="75">
        <f ca="1">ROUND((Table14[[#This Row],[XP]]*Table14[[#This Row],[entity_spawned (AVG)]])*(Table14[[#This Row],[activating_chance]]/100),0)</f>
        <v>75</v>
      </c>
      <c r="DN47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74" s="72">
        <v>1</v>
      </c>
      <c r="DP474" s="72">
        <v>1</v>
      </c>
      <c r="DQ474" s="72" t="b">
        <v>0</v>
      </c>
    </row>
    <row r="475" spans="2:121" x14ac:dyDescent="0.25">
      <c r="B475" s="73" t="s">
        <v>491</v>
      </c>
      <c r="C475">
        <v>1</v>
      </c>
      <c r="D475">
        <v>150</v>
      </c>
      <c r="E475">
        <v>100</v>
      </c>
      <c r="F475" s="75">
        <f ca="1">INDIRECT(ADDRESS(11+(MATCH(RIGHT(Table245[[#This Row],[spawner_sku]],LEN(Table245[[#This Row],[spawner_sku]])-FIND("/",Table245[[#This Row],[spawner_sku]])),Table1[Entity Prefab],0)),10,1,1,"Entities"))</f>
        <v>25</v>
      </c>
      <c r="G475" s="75">
        <f ca="1">ROUND((Table245[[#This Row],[XP]]*Table245[[#This Row],[entity_spawned (AVG)]])*(Table245[[#This Row],[activating_chance]]/100),0)</f>
        <v>25</v>
      </c>
      <c r="H47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75" s="72">
        <v>1</v>
      </c>
      <c r="J475" s="72">
        <v>1</v>
      </c>
      <c r="K475" s="72" t="b">
        <v>0</v>
      </c>
      <c r="BP475" t="s">
        <v>257</v>
      </c>
      <c r="BQ475">
        <v>1</v>
      </c>
      <c r="BR475">
        <v>240</v>
      </c>
      <c r="BS475">
        <v>100</v>
      </c>
      <c r="BT475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75" s="75">
        <f ca="1">ROUND((Table61011[[#This Row],[XP]]*Table61011[[#This Row],[entity_spawned (AVG)]])*(Table61011[[#This Row],[activating_chance]]/100),0)</f>
        <v>50</v>
      </c>
      <c r="BV47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5" s="72">
        <v>1</v>
      </c>
      <c r="BX475" s="72">
        <v>1</v>
      </c>
      <c r="BY475" s="72" t="b">
        <v>0</v>
      </c>
      <c r="DH475" t="s">
        <v>537</v>
      </c>
      <c r="DI475">
        <v>1</v>
      </c>
      <c r="DJ475">
        <v>130</v>
      </c>
      <c r="DK475">
        <v>100</v>
      </c>
      <c r="DL475" s="75">
        <f ca="1">INDIRECT(ADDRESS(11+(MATCH(RIGHT(Table14[[#This Row],[spawner_sku]],LEN(Table14[[#This Row],[spawner_sku]])-FIND("/",Table14[[#This Row],[spawner_sku]])),Table1[Entity Prefab],0)),10,1,1,"Entities"))</f>
        <v>75</v>
      </c>
      <c r="DM475" s="75">
        <f ca="1">ROUND((Table14[[#This Row],[XP]]*Table14[[#This Row],[entity_spawned (AVG)]])*(Table14[[#This Row],[activating_chance]]/100),0)</f>
        <v>75</v>
      </c>
      <c r="DN47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75" s="72">
        <v>1</v>
      </c>
      <c r="DP475" s="72">
        <v>1</v>
      </c>
      <c r="DQ475" s="72" t="b">
        <v>0</v>
      </c>
    </row>
    <row r="476" spans="2:121" x14ac:dyDescent="0.25">
      <c r="B476" s="73" t="s">
        <v>492</v>
      </c>
      <c r="C476">
        <v>1</v>
      </c>
      <c r="D476">
        <v>80</v>
      </c>
      <c r="E476">
        <v>100</v>
      </c>
      <c r="F476" s="75">
        <f ca="1">INDIRECT(ADDRESS(11+(MATCH(RIGHT(Table245[[#This Row],[spawner_sku]],LEN(Table245[[#This Row],[spawner_sku]])-FIND("/",Table245[[#This Row],[spawner_sku]])),Table1[Entity Prefab],0)),10,1,1,"Entities"))</f>
        <v>75</v>
      </c>
      <c r="G476" s="75">
        <f ca="1">ROUND((Table245[[#This Row],[XP]]*Table245[[#This Row],[entity_spawned (AVG)]])*(Table245[[#This Row],[activating_chance]]/100),0)</f>
        <v>75</v>
      </c>
      <c r="H47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76" s="72">
        <v>1</v>
      </c>
      <c r="J476" s="72">
        <v>1</v>
      </c>
      <c r="K476" s="72" t="b">
        <v>0</v>
      </c>
      <c r="BP476" t="s">
        <v>257</v>
      </c>
      <c r="BQ476">
        <v>1</v>
      </c>
      <c r="BR476">
        <v>240</v>
      </c>
      <c r="BS476">
        <v>100</v>
      </c>
      <c r="BT476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76" s="75">
        <f ca="1">ROUND((Table61011[[#This Row],[XP]]*Table61011[[#This Row],[entity_spawned (AVG)]])*(Table61011[[#This Row],[activating_chance]]/100),0)</f>
        <v>50</v>
      </c>
      <c r="BV47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6" s="72">
        <v>1</v>
      </c>
      <c r="BX476" s="72">
        <v>1</v>
      </c>
      <c r="BY476" s="72" t="b">
        <v>0</v>
      </c>
      <c r="DH476" t="s">
        <v>537</v>
      </c>
      <c r="DI476">
        <v>1</v>
      </c>
      <c r="DJ476">
        <v>150</v>
      </c>
      <c r="DK476">
        <v>10</v>
      </c>
      <c r="DL476" s="75">
        <f ca="1">INDIRECT(ADDRESS(11+(MATCH(RIGHT(Table14[[#This Row],[spawner_sku]],LEN(Table14[[#This Row],[spawner_sku]])-FIND("/",Table14[[#This Row],[spawner_sku]])),Table1[Entity Prefab],0)),10,1,1,"Entities"))</f>
        <v>75</v>
      </c>
      <c r="DM476" s="75">
        <f ca="1">ROUND((Table14[[#This Row],[XP]]*Table14[[#This Row],[entity_spawned (AVG)]])*(Table14[[#This Row],[activating_chance]]/100),0)</f>
        <v>8</v>
      </c>
      <c r="DN47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76" s="72">
        <v>1</v>
      </c>
      <c r="DP476" s="72">
        <v>1</v>
      </c>
      <c r="DQ476" s="72" t="b">
        <v>0</v>
      </c>
    </row>
    <row r="477" spans="2:121" x14ac:dyDescent="0.25">
      <c r="B477" s="73" t="s">
        <v>492</v>
      </c>
      <c r="C477">
        <v>1</v>
      </c>
      <c r="D477">
        <v>70</v>
      </c>
      <c r="E477">
        <v>100</v>
      </c>
      <c r="F477" s="75">
        <f ca="1">INDIRECT(ADDRESS(11+(MATCH(RIGHT(Table245[[#This Row],[spawner_sku]],LEN(Table245[[#This Row],[spawner_sku]])-FIND("/",Table245[[#This Row],[spawner_sku]])),Table1[Entity Prefab],0)),10,1,1,"Entities"))</f>
        <v>75</v>
      </c>
      <c r="G477" s="75">
        <f ca="1">ROUND((Table245[[#This Row],[XP]]*Table245[[#This Row],[entity_spawned (AVG)]])*(Table245[[#This Row],[activating_chance]]/100),0)</f>
        <v>75</v>
      </c>
      <c r="H47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77" s="72">
        <v>1</v>
      </c>
      <c r="J477" s="72">
        <v>1</v>
      </c>
      <c r="K477" s="72" t="b">
        <v>0</v>
      </c>
      <c r="BP477" t="s">
        <v>257</v>
      </c>
      <c r="BQ477">
        <v>1</v>
      </c>
      <c r="BR477">
        <v>200</v>
      </c>
      <c r="BS477">
        <v>100</v>
      </c>
      <c r="BT477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77" s="75">
        <f ca="1">ROUND((Table61011[[#This Row],[XP]]*Table61011[[#This Row],[entity_spawned (AVG)]])*(Table61011[[#This Row],[activating_chance]]/100),0)</f>
        <v>50</v>
      </c>
      <c r="BV47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7" s="72">
        <v>1</v>
      </c>
      <c r="BX477" s="72">
        <v>1</v>
      </c>
      <c r="BY477" s="72" t="b">
        <v>0</v>
      </c>
      <c r="DH477" t="s">
        <v>537</v>
      </c>
      <c r="DI477">
        <v>1</v>
      </c>
      <c r="DJ477">
        <v>150</v>
      </c>
      <c r="DK477">
        <v>100</v>
      </c>
      <c r="DL477" s="75">
        <f ca="1">INDIRECT(ADDRESS(11+(MATCH(RIGHT(Table14[[#This Row],[spawner_sku]],LEN(Table14[[#This Row],[spawner_sku]])-FIND("/",Table14[[#This Row],[spawner_sku]])),Table1[Entity Prefab],0)),10,1,1,"Entities"))</f>
        <v>75</v>
      </c>
      <c r="DM477" s="75">
        <f ca="1">ROUND((Table14[[#This Row],[XP]]*Table14[[#This Row],[entity_spawned (AVG)]])*(Table14[[#This Row],[activating_chance]]/100),0)</f>
        <v>75</v>
      </c>
      <c r="DN47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77" s="72">
        <v>1</v>
      </c>
      <c r="DP477" s="72">
        <v>1</v>
      </c>
      <c r="DQ477" s="72" t="b">
        <v>0</v>
      </c>
    </row>
    <row r="478" spans="2:121" x14ac:dyDescent="0.25">
      <c r="B478" s="73" t="s">
        <v>492</v>
      </c>
      <c r="C478">
        <v>1</v>
      </c>
      <c r="D478">
        <v>70</v>
      </c>
      <c r="E478">
        <v>100</v>
      </c>
      <c r="F478" s="75">
        <f ca="1">INDIRECT(ADDRESS(11+(MATCH(RIGHT(Table245[[#This Row],[spawner_sku]],LEN(Table245[[#This Row],[spawner_sku]])-FIND("/",Table245[[#This Row],[spawner_sku]])),Table1[Entity Prefab],0)),10,1,1,"Entities"))</f>
        <v>75</v>
      </c>
      <c r="G478" s="75">
        <f ca="1">ROUND((Table245[[#This Row],[XP]]*Table245[[#This Row],[entity_spawned (AVG)]])*(Table245[[#This Row],[activating_chance]]/100),0)</f>
        <v>75</v>
      </c>
      <c r="H47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78" s="72">
        <v>1</v>
      </c>
      <c r="J478" s="72">
        <v>1</v>
      </c>
      <c r="K478" s="72" t="b">
        <v>0</v>
      </c>
      <c r="BP478" t="s">
        <v>257</v>
      </c>
      <c r="BQ478">
        <v>1</v>
      </c>
      <c r="BR478">
        <v>240</v>
      </c>
      <c r="BS478">
        <v>100</v>
      </c>
      <c r="BT478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78" s="75">
        <f ca="1">ROUND((Table61011[[#This Row],[XP]]*Table61011[[#This Row],[entity_spawned (AVG)]])*(Table61011[[#This Row],[activating_chance]]/100),0)</f>
        <v>50</v>
      </c>
      <c r="BV47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8" s="72">
        <v>1</v>
      </c>
      <c r="BX478" s="72">
        <v>1</v>
      </c>
      <c r="BY478" s="72" t="b">
        <v>0</v>
      </c>
      <c r="DH478" t="s">
        <v>537</v>
      </c>
      <c r="DI478">
        <v>1</v>
      </c>
      <c r="DJ478">
        <v>140</v>
      </c>
      <c r="DK478">
        <v>100</v>
      </c>
      <c r="DL478" s="75">
        <f ca="1">INDIRECT(ADDRESS(11+(MATCH(RIGHT(Table14[[#This Row],[spawner_sku]],LEN(Table14[[#This Row],[spawner_sku]])-FIND("/",Table14[[#This Row],[spawner_sku]])),Table1[Entity Prefab],0)),10,1,1,"Entities"))</f>
        <v>75</v>
      </c>
      <c r="DM478" s="75">
        <f ca="1">ROUND((Table14[[#This Row],[XP]]*Table14[[#This Row],[entity_spawned (AVG)]])*(Table14[[#This Row],[activating_chance]]/100),0)</f>
        <v>75</v>
      </c>
      <c r="DN47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78" s="72">
        <v>1</v>
      </c>
      <c r="DP478" s="72">
        <v>1</v>
      </c>
      <c r="DQ478" s="72" t="b">
        <v>0</v>
      </c>
    </row>
    <row r="479" spans="2:121" x14ac:dyDescent="0.25">
      <c r="B479" s="73" t="s">
        <v>492</v>
      </c>
      <c r="C479">
        <v>1</v>
      </c>
      <c r="D479">
        <v>140</v>
      </c>
      <c r="E479">
        <v>100</v>
      </c>
      <c r="F479" s="75">
        <f ca="1">INDIRECT(ADDRESS(11+(MATCH(RIGHT(Table245[[#This Row],[spawner_sku]],LEN(Table245[[#This Row],[spawner_sku]])-FIND("/",Table245[[#This Row],[spawner_sku]])),Table1[Entity Prefab],0)),10,1,1,"Entities"))</f>
        <v>75</v>
      </c>
      <c r="G479" s="75">
        <f ca="1">ROUND((Table245[[#This Row],[XP]]*Table245[[#This Row],[entity_spawned (AVG)]])*(Table245[[#This Row],[activating_chance]]/100),0)</f>
        <v>75</v>
      </c>
      <c r="H47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79" s="72">
        <v>1</v>
      </c>
      <c r="J479" s="72">
        <v>1</v>
      </c>
      <c r="K479" s="72" t="b">
        <v>0</v>
      </c>
      <c r="BP479" t="s">
        <v>257</v>
      </c>
      <c r="BQ479">
        <v>1</v>
      </c>
      <c r="BR479">
        <v>240</v>
      </c>
      <c r="BS479">
        <v>100</v>
      </c>
      <c r="BT479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79" s="75">
        <f ca="1">ROUND((Table61011[[#This Row],[XP]]*Table61011[[#This Row],[entity_spawned (AVG)]])*(Table61011[[#This Row],[activating_chance]]/100),0)</f>
        <v>50</v>
      </c>
      <c r="BV47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9" s="72">
        <v>1</v>
      </c>
      <c r="BX479" s="72">
        <v>1</v>
      </c>
      <c r="BY479" s="72" t="b">
        <v>0</v>
      </c>
      <c r="DH479" t="s">
        <v>537</v>
      </c>
      <c r="DI479">
        <v>1</v>
      </c>
      <c r="DJ479">
        <v>160</v>
      </c>
      <c r="DK479">
        <v>100</v>
      </c>
      <c r="DL479" s="75">
        <f ca="1">INDIRECT(ADDRESS(11+(MATCH(RIGHT(Table14[[#This Row],[spawner_sku]],LEN(Table14[[#This Row],[spawner_sku]])-FIND("/",Table14[[#This Row],[spawner_sku]])),Table1[Entity Prefab],0)),10,1,1,"Entities"))</f>
        <v>75</v>
      </c>
      <c r="DM479" s="75">
        <f ca="1">ROUND((Table14[[#This Row],[XP]]*Table14[[#This Row],[entity_spawned (AVG)]])*(Table14[[#This Row],[activating_chance]]/100),0)</f>
        <v>75</v>
      </c>
      <c r="DN47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79" s="72">
        <v>1</v>
      </c>
      <c r="DP479" s="72">
        <v>1</v>
      </c>
      <c r="DQ479" s="72" t="b">
        <v>0</v>
      </c>
    </row>
    <row r="480" spans="2:121" x14ac:dyDescent="0.25">
      <c r="B480" s="73" t="s">
        <v>492</v>
      </c>
      <c r="C480">
        <v>1</v>
      </c>
      <c r="D480">
        <v>70</v>
      </c>
      <c r="E480">
        <v>100</v>
      </c>
      <c r="F480" s="75">
        <f ca="1">INDIRECT(ADDRESS(11+(MATCH(RIGHT(Table245[[#This Row],[spawner_sku]],LEN(Table245[[#This Row],[spawner_sku]])-FIND("/",Table245[[#This Row],[spawner_sku]])),Table1[Entity Prefab],0)),10,1,1,"Entities"))</f>
        <v>75</v>
      </c>
      <c r="G480" s="75">
        <f ca="1">ROUND((Table245[[#This Row],[XP]]*Table245[[#This Row],[entity_spawned (AVG)]])*(Table245[[#This Row],[activating_chance]]/100),0)</f>
        <v>75</v>
      </c>
      <c r="H48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80" s="72">
        <v>1</v>
      </c>
      <c r="J480" s="72">
        <v>1</v>
      </c>
      <c r="K480" s="72" t="b">
        <v>0</v>
      </c>
      <c r="BP480" t="s">
        <v>257</v>
      </c>
      <c r="BQ480">
        <v>1</v>
      </c>
      <c r="BR480">
        <v>240</v>
      </c>
      <c r="BS480">
        <v>30</v>
      </c>
      <c r="BT480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80" s="75">
        <f ca="1">ROUND((Table61011[[#This Row],[XP]]*Table61011[[#This Row],[entity_spawned (AVG)]])*(Table61011[[#This Row],[activating_chance]]/100),0)</f>
        <v>15</v>
      </c>
      <c r="BV48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80" s="72">
        <v>1</v>
      </c>
      <c r="BX480" s="72">
        <v>1</v>
      </c>
      <c r="BY480" s="72" t="b">
        <v>0</v>
      </c>
      <c r="DH480" t="s">
        <v>537</v>
      </c>
      <c r="DI480">
        <v>1</v>
      </c>
      <c r="DJ480">
        <v>140</v>
      </c>
      <c r="DK480">
        <v>100</v>
      </c>
      <c r="DL480" s="75">
        <f ca="1">INDIRECT(ADDRESS(11+(MATCH(RIGHT(Table14[[#This Row],[spawner_sku]],LEN(Table14[[#This Row],[spawner_sku]])-FIND("/",Table14[[#This Row],[spawner_sku]])),Table1[Entity Prefab],0)),10,1,1,"Entities"))</f>
        <v>75</v>
      </c>
      <c r="DM480" s="75">
        <f ca="1">ROUND((Table14[[#This Row],[XP]]*Table14[[#This Row],[entity_spawned (AVG)]])*(Table14[[#This Row],[activating_chance]]/100),0)</f>
        <v>75</v>
      </c>
      <c r="DN48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80" s="72">
        <v>1</v>
      </c>
      <c r="DP480" s="72">
        <v>1</v>
      </c>
      <c r="DQ480" s="72" t="b">
        <v>0</v>
      </c>
    </row>
    <row r="481" spans="2:121" x14ac:dyDescent="0.25">
      <c r="B481" s="73" t="s">
        <v>492</v>
      </c>
      <c r="C481">
        <v>1</v>
      </c>
      <c r="D481">
        <v>150</v>
      </c>
      <c r="E481">
        <v>100</v>
      </c>
      <c r="F481" s="75">
        <f ca="1">INDIRECT(ADDRESS(11+(MATCH(RIGHT(Table245[[#This Row],[spawner_sku]],LEN(Table245[[#This Row],[spawner_sku]])-FIND("/",Table245[[#This Row],[spawner_sku]])),Table1[Entity Prefab],0)),10,1,1,"Entities"))</f>
        <v>75</v>
      </c>
      <c r="G481" s="75">
        <f ca="1">ROUND((Table245[[#This Row],[XP]]*Table245[[#This Row],[entity_spawned (AVG)]])*(Table245[[#This Row],[activating_chance]]/100),0)</f>
        <v>75</v>
      </c>
      <c r="H48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81" s="72">
        <v>1</v>
      </c>
      <c r="J481" s="72">
        <v>1</v>
      </c>
      <c r="K481" s="72" t="b">
        <v>0</v>
      </c>
      <c r="BP481" t="s">
        <v>257</v>
      </c>
      <c r="BQ481">
        <v>1</v>
      </c>
      <c r="BR481">
        <v>220</v>
      </c>
      <c r="BS481">
        <v>100</v>
      </c>
      <c r="BT481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81" s="75">
        <f ca="1">ROUND((Table61011[[#This Row],[XP]]*Table61011[[#This Row],[entity_spawned (AVG)]])*(Table61011[[#This Row],[activating_chance]]/100),0)</f>
        <v>50</v>
      </c>
      <c r="BV48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81" s="72">
        <v>1</v>
      </c>
      <c r="BX481" s="72">
        <v>1</v>
      </c>
      <c r="BY481" s="72" t="b">
        <v>0</v>
      </c>
      <c r="DH481" t="s">
        <v>537</v>
      </c>
      <c r="DI481">
        <v>1</v>
      </c>
      <c r="DJ481">
        <v>130</v>
      </c>
      <c r="DK481">
        <v>100</v>
      </c>
      <c r="DL481" s="75">
        <f ca="1">INDIRECT(ADDRESS(11+(MATCH(RIGHT(Table14[[#This Row],[spawner_sku]],LEN(Table14[[#This Row],[spawner_sku]])-FIND("/",Table14[[#This Row],[spawner_sku]])),Table1[Entity Prefab],0)),10,1,1,"Entities"))</f>
        <v>75</v>
      </c>
      <c r="DM481" s="75">
        <f ca="1">ROUND((Table14[[#This Row],[XP]]*Table14[[#This Row],[entity_spawned (AVG)]])*(Table14[[#This Row],[activating_chance]]/100),0)</f>
        <v>75</v>
      </c>
      <c r="DN48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81" s="72">
        <v>1</v>
      </c>
      <c r="DP481" s="72">
        <v>1</v>
      </c>
      <c r="DQ481" s="72" t="b">
        <v>0</v>
      </c>
    </row>
    <row r="482" spans="2:121" x14ac:dyDescent="0.25">
      <c r="B482" s="73" t="s">
        <v>492</v>
      </c>
      <c r="C482">
        <v>1</v>
      </c>
      <c r="D482">
        <v>70</v>
      </c>
      <c r="E482">
        <v>100</v>
      </c>
      <c r="F482" s="75">
        <f ca="1">INDIRECT(ADDRESS(11+(MATCH(RIGHT(Table245[[#This Row],[spawner_sku]],LEN(Table245[[#This Row],[spawner_sku]])-FIND("/",Table245[[#This Row],[spawner_sku]])),Table1[Entity Prefab],0)),10,1,1,"Entities"))</f>
        <v>75</v>
      </c>
      <c r="G482" s="75">
        <f ca="1">ROUND((Table245[[#This Row],[XP]]*Table245[[#This Row],[entity_spawned (AVG)]])*(Table245[[#This Row],[activating_chance]]/100),0)</f>
        <v>75</v>
      </c>
      <c r="H48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82" s="72">
        <v>1</v>
      </c>
      <c r="J482" s="72">
        <v>1</v>
      </c>
      <c r="K482" s="72" t="b">
        <v>0</v>
      </c>
      <c r="BP482" t="s">
        <v>257</v>
      </c>
      <c r="BQ482">
        <v>1</v>
      </c>
      <c r="BR482">
        <v>220</v>
      </c>
      <c r="BS482">
        <v>60</v>
      </c>
      <c r="BT482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82" s="75">
        <f ca="1">ROUND((Table61011[[#This Row],[XP]]*Table61011[[#This Row],[entity_spawned (AVG)]])*(Table61011[[#This Row],[activating_chance]]/100),0)</f>
        <v>30</v>
      </c>
      <c r="BV48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82" s="72">
        <v>1</v>
      </c>
      <c r="BX482" s="72">
        <v>1</v>
      </c>
      <c r="BY482" s="72" t="b">
        <v>0</v>
      </c>
      <c r="DH482" t="s">
        <v>537</v>
      </c>
      <c r="DI482">
        <v>1</v>
      </c>
      <c r="DJ482">
        <v>150</v>
      </c>
      <c r="DK482">
        <v>100</v>
      </c>
      <c r="DL482" s="75">
        <f ca="1">INDIRECT(ADDRESS(11+(MATCH(RIGHT(Table14[[#This Row],[spawner_sku]],LEN(Table14[[#This Row],[spawner_sku]])-FIND("/",Table14[[#This Row],[spawner_sku]])),Table1[Entity Prefab],0)),10,1,1,"Entities"))</f>
        <v>75</v>
      </c>
      <c r="DM482" s="75">
        <f ca="1">ROUND((Table14[[#This Row],[XP]]*Table14[[#This Row],[entity_spawned (AVG)]])*(Table14[[#This Row],[activating_chance]]/100),0)</f>
        <v>75</v>
      </c>
      <c r="DN48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82" s="72">
        <v>1</v>
      </c>
      <c r="DP482" s="72">
        <v>1</v>
      </c>
      <c r="DQ482" s="72" t="b">
        <v>0</v>
      </c>
    </row>
    <row r="483" spans="2:121" x14ac:dyDescent="0.25">
      <c r="B483" s="73" t="s">
        <v>247</v>
      </c>
      <c r="C483">
        <v>1</v>
      </c>
      <c r="D483">
        <v>420</v>
      </c>
      <c r="E483">
        <v>100</v>
      </c>
      <c r="F483" s="75">
        <f ca="1">INDIRECT(ADDRESS(11+(MATCH(RIGHT(Table245[[#This Row],[spawner_sku]],LEN(Table245[[#This Row],[spawner_sku]])-FIND("/",Table245[[#This Row],[spawner_sku]])),Table1[Entity Prefab],0)),10,1,1,"Entities"))</f>
        <v>83</v>
      </c>
      <c r="G483" s="75">
        <f ca="1">ROUND((Table245[[#This Row],[XP]]*Table245[[#This Row],[entity_spawned (AVG)]])*(Table245[[#This Row],[activating_chance]]/100),0)</f>
        <v>83</v>
      </c>
      <c r="H48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83" s="72">
        <v>1</v>
      </c>
      <c r="J483" s="72">
        <v>1</v>
      </c>
      <c r="K483" s="72" t="b">
        <v>0</v>
      </c>
      <c r="BP483" t="s">
        <v>257</v>
      </c>
      <c r="BQ483">
        <v>1</v>
      </c>
      <c r="BR483">
        <v>240</v>
      </c>
      <c r="BS483">
        <v>100</v>
      </c>
      <c r="BT483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83" s="75">
        <f ca="1">ROUND((Table61011[[#This Row],[XP]]*Table61011[[#This Row],[entity_spawned (AVG)]])*(Table61011[[#This Row],[activating_chance]]/100),0)</f>
        <v>50</v>
      </c>
      <c r="BV48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83" s="72">
        <v>1</v>
      </c>
      <c r="BX483" s="72">
        <v>1</v>
      </c>
      <c r="BY483" s="72" t="b">
        <v>0</v>
      </c>
      <c r="DH483" t="s">
        <v>537</v>
      </c>
      <c r="DI483">
        <v>1</v>
      </c>
      <c r="DJ483">
        <v>145</v>
      </c>
      <c r="DK483">
        <v>100</v>
      </c>
      <c r="DL483" s="75">
        <f ca="1">INDIRECT(ADDRESS(11+(MATCH(RIGHT(Table14[[#This Row],[spawner_sku]],LEN(Table14[[#This Row],[spawner_sku]])-FIND("/",Table14[[#This Row],[spawner_sku]])),Table1[Entity Prefab],0)),10,1,1,"Entities"))</f>
        <v>75</v>
      </c>
      <c r="DM483" s="75">
        <f ca="1">ROUND((Table14[[#This Row],[XP]]*Table14[[#This Row],[entity_spawned (AVG)]])*(Table14[[#This Row],[activating_chance]]/100),0)</f>
        <v>75</v>
      </c>
      <c r="DN48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83" s="72">
        <v>1</v>
      </c>
      <c r="DP483" s="72">
        <v>1</v>
      </c>
      <c r="DQ483" s="72" t="b">
        <v>0</v>
      </c>
    </row>
    <row r="484" spans="2:121" x14ac:dyDescent="0.25">
      <c r="B484" s="73" t="s">
        <v>247</v>
      </c>
      <c r="C484">
        <v>1</v>
      </c>
      <c r="D484">
        <v>420</v>
      </c>
      <c r="E484">
        <v>100</v>
      </c>
      <c r="F484" s="75">
        <f ca="1">INDIRECT(ADDRESS(11+(MATCH(RIGHT(Table245[[#This Row],[spawner_sku]],LEN(Table245[[#This Row],[spawner_sku]])-FIND("/",Table245[[#This Row],[spawner_sku]])),Table1[Entity Prefab],0)),10,1,1,"Entities"))</f>
        <v>83</v>
      </c>
      <c r="G484" s="75">
        <f ca="1">ROUND((Table245[[#This Row],[XP]]*Table245[[#This Row],[entity_spawned (AVG)]])*(Table245[[#This Row],[activating_chance]]/100),0)</f>
        <v>83</v>
      </c>
      <c r="H48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84" s="72">
        <v>1</v>
      </c>
      <c r="J484" s="72">
        <v>1</v>
      </c>
      <c r="K484" s="72" t="b">
        <v>0</v>
      </c>
      <c r="BP484" t="s">
        <v>257</v>
      </c>
      <c r="BQ484">
        <v>1</v>
      </c>
      <c r="BR484">
        <v>200</v>
      </c>
      <c r="BS484">
        <v>30</v>
      </c>
      <c r="BT484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84" s="75">
        <f ca="1">ROUND((Table61011[[#This Row],[XP]]*Table61011[[#This Row],[entity_spawned (AVG)]])*(Table61011[[#This Row],[activating_chance]]/100),0)</f>
        <v>15</v>
      </c>
      <c r="BV48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84" s="72">
        <v>1</v>
      </c>
      <c r="BX484" s="72">
        <v>1</v>
      </c>
      <c r="BY484" s="72" t="b">
        <v>0</v>
      </c>
      <c r="DH484" t="s">
        <v>537</v>
      </c>
      <c r="DI484">
        <v>1</v>
      </c>
      <c r="DJ484">
        <v>110</v>
      </c>
      <c r="DK484">
        <v>100</v>
      </c>
      <c r="DL484" s="75">
        <f ca="1">INDIRECT(ADDRESS(11+(MATCH(RIGHT(Table14[[#This Row],[spawner_sku]],LEN(Table14[[#This Row],[spawner_sku]])-FIND("/",Table14[[#This Row],[spawner_sku]])),Table1[Entity Prefab],0)),10,1,1,"Entities"))</f>
        <v>75</v>
      </c>
      <c r="DM484" s="75">
        <f ca="1">ROUND((Table14[[#This Row],[XP]]*Table14[[#This Row],[entity_spawned (AVG)]])*(Table14[[#This Row],[activating_chance]]/100),0)</f>
        <v>75</v>
      </c>
      <c r="DN48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84" s="72">
        <v>1</v>
      </c>
      <c r="DP484" s="72">
        <v>1</v>
      </c>
      <c r="DQ484" s="72" t="b">
        <v>0</v>
      </c>
    </row>
    <row r="485" spans="2:121" x14ac:dyDescent="0.25">
      <c r="B485" s="73" t="s">
        <v>248</v>
      </c>
      <c r="C485">
        <v>1</v>
      </c>
      <c r="D485">
        <v>300</v>
      </c>
      <c r="E485">
        <v>50</v>
      </c>
      <c r="F485" s="75">
        <f ca="1">INDIRECT(ADDRESS(11+(MATCH(RIGHT(Table245[[#This Row],[spawner_sku]],LEN(Table245[[#This Row],[spawner_sku]])-FIND("/",Table245[[#This Row],[spawner_sku]])),Table1[Entity Prefab],0)),10,1,1,"Entities"))</f>
        <v>75</v>
      </c>
      <c r="G485" s="75">
        <f ca="1">ROUND((Table245[[#This Row],[XP]]*Table245[[#This Row],[entity_spawned (AVG)]])*(Table245[[#This Row],[activating_chance]]/100),0)</f>
        <v>38</v>
      </c>
      <c r="H48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85" s="72">
        <v>1</v>
      </c>
      <c r="J485" s="72">
        <v>1</v>
      </c>
      <c r="K485" s="72" t="b">
        <v>0</v>
      </c>
      <c r="BP485" t="s">
        <v>257</v>
      </c>
      <c r="BQ485">
        <v>1</v>
      </c>
      <c r="BR485">
        <v>200</v>
      </c>
      <c r="BS485">
        <v>100</v>
      </c>
      <c r="BT485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85" s="75">
        <f ca="1">ROUND((Table61011[[#This Row],[XP]]*Table61011[[#This Row],[entity_spawned (AVG)]])*(Table61011[[#This Row],[activating_chance]]/100),0)</f>
        <v>50</v>
      </c>
      <c r="BV48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85" s="72">
        <v>1</v>
      </c>
      <c r="BX485" s="72">
        <v>1</v>
      </c>
      <c r="BY485" s="72" t="b">
        <v>0</v>
      </c>
      <c r="DH485" t="s">
        <v>537</v>
      </c>
      <c r="DI485">
        <v>1</v>
      </c>
      <c r="DJ485">
        <v>145</v>
      </c>
      <c r="DK485">
        <v>100</v>
      </c>
      <c r="DL485" s="75">
        <f ca="1">INDIRECT(ADDRESS(11+(MATCH(RIGHT(Table14[[#This Row],[spawner_sku]],LEN(Table14[[#This Row],[spawner_sku]])-FIND("/",Table14[[#This Row],[spawner_sku]])),Table1[Entity Prefab],0)),10,1,1,"Entities"))</f>
        <v>75</v>
      </c>
      <c r="DM485" s="75">
        <f ca="1">ROUND((Table14[[#This Row],[XP]]*Table14[[#This Row],[entity_spawned (AVG)]])*(Table14[[#This Row],[activating_chance]]/100),0)</f>
        <v>75</v>
      </c>
      <c r="DN48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85" s="72">
        <v>1</v>
      </c>
      <c r="DP485" s="72">
        <v>1</v>
      </c>
      <c r="DQ485" s="72" t="b">
        <v>0</v>
      </c>
    </row>
    <row r="486" spans="2:121" x14ac:dyDescent="0.25">
      <c r="B486" s="73" t="s">
        <v>248</v>
      </c>
      <c r="C486">
        <v>1.5</v>
      </c>
      <c r="D486">
        <v>300</v>
      </c>
      <c r="E486">
        <v>100</v>
      </c>
      <c r="F486" s="75">
        <f ca="1">INDIRECT(ADDRESS(11+(MATCH(RIGHT(Table245[[#This Row],[spawner_sku]],LEN(Table245[[#This Row],[spawner_sku]])-FIND("/",Table245[[#This Row],[spawner_sku]])),Table1[Entity Prefab],0)),10,1,1,"Entities"))</f>
        <v>75</v>
      </c>
      <c r="G486" s="75">
        <f ca="1">ROUND((Table245[[#This Row],[XP]]*Table245[[#This Row],[entity_spawned (AVG)]])*(Table245[[#This Row],[activating_chance]]/100),0)</f>
        <v>113</v>
      </c>
      <c r="H48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86" s="72">
        <v>1</v>
      </c>
      <c r="J486" s="72">
        <v>2</v>
      </c>
      <c r="K486" s="72" t="b">
        <v>0</v>
      </c>
      <c r="BP486" t="s">
        <v>257</v>
      </c>
      <c r="BQ486">
        <v>1</v>
      </c>
      <c r="BR486">
        <v>240</v>
      </c>
      <c r="BS486">
        <v>100</v>
      </c>
      <c r="BT486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86" s="75">
        <f ca="1">ROUND((Table61011[[#This Row],[XP]]*Table61011[[#This Row],[entity_spawned (AVG)]])*(Table61011[[#This Row],[activating_chance]]/100),0)</f>
        <v>50</v>
      </c>
      <c r="BV48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86" s="72">
        <v>1</v>
      </c>
      <c r="BX486" s="72">
        <v>1</v>
      </c>
      <c r="BY486" s="72" t="b">
        <v>0</v>
      </c>
      <c r="DH486" t="s">
        <v>537</v>
      </c>
      <c r="DI486">
        <v>1</v>
      </c>
      <c r="DJ486">
        <v>140</v>
      </c>
      <c r="DK486">
        <v>100</v>
      </c>
      <c r="DL486" s="75">
        <f ca="1">INDIRECT(ADDRESS(11+(MATCH(RIGHT(Table14[[#This Row],[spawner_sku]],LEN(Table14[[#This Row],[spawner_sku]])-FIND("/",Table14[[#This Row],[spawner_sku]])),Table1[Entity Prefab],0)),10,1,1,"Entities"))</f>
        <v>75</v>
      </c>
      <c r="DM486" s="75">
        <f ca="1">ROUND((Table14[[#This Row],[XP]]*Table14[[#This Row],[entity_spawned (AVG)]])*(Table14[[#This Row],[activating_chance]]/100),0)</f>
        <v>75</v>
      </c>
      <c r="DN48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86" s="72">
        <v>1</v>
      </c>
      <c r="DP486" s="72">
        <v>1</v>
      </c>
      <c r="DQ486" s="72" t="b">
        <v>0</v>
      </c>
    </row>
    <row r="487" spans="2:121" x14ac:dyDescent="0.25">
      <c r="B487" s="73" t="s">
        <v>248</v>
      </c>
      <c r="C487">
        <v>1</v>
      </c>
      <c r="D487">
        <v>300</v>
      </c>
      <c r="E487">
        <v>80</v>
      </c>
      <c r="F487" s="75">
        <f ca="1">INDIRECT(ADDRESS(11+(MATCH(RIGHT(Table245[[#This Row],[spawner_sku]],LEN(Table245[[#This Row],[spawner_sku]])-FIND("/",Table245[[#This Row],[spawner_sku]])),Table1[Entity Prefab],0)),10,1,1,"Entities"))</f>
        <v>75</v>
      </c>
      <c r="G487" s="75">
        <f ca="1">ROUND((Table245[[#This Row],[XP]]*Table245[[#This Row],[entity_spawned (AVG)]])*(Table245[[#This Row],[activating_chance]]/100),0)</f>
        <v>60</v>
      </c>
      <c r="H48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87" s="72">
        <v>1</v>
      </c>
      <c r="J487" s="72">
        <v>1</v>
      </c>
      <c r="K487" s="72" t="b">
        <v>0</v>
      </c>
      <c r="BP487" t="s">
        <v>257</v>
      </c>
      <c r="BQ487">
        <v>1</v>
      </c>
      <c r="BR487">
        <v>240</v>
      </c>
      <c r="BS487">
        <v>100</v>
      </c>
      <c r="BT487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87" s="75">
        <f ca="1">ROUND((Table61011[[#This Row],[XP]]*Table61011[[#This Row],[entity_spawned (AVG)]])*(Table61011[[#This Row],[activating_chance]]/100),0)</f>
        <v>50</v>
      </c>
      <c r="BV48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87" s="72">
        <v>1</v>
      </c>
      <c r="BX487" s="72">
        <v>1</v>
      </c>
      <c r="BY487" s="72" t="b">
        <v>0</v>
      </c>
      <c r="DH487" t="s">
        <v>537</v>
      </c>
      <c r="DI487">
        <v>1</v>
      </c>
      <c r="DJ487">
        <v>145</v>
      </c>
      <c r="DK487">
        <v>100</v>
      </c>
      <c r="DL487" s="75">
        <f ca="1">INDIRECT(ADDRESS(11+(MATCH(RIGHT(Table14[[#This Row],[spawner_sku]],LEN(Table14[[#This Row],[spawner_sku]])-FIND("/",Table14[[#This Row],[spawner_sku]])),Table1[Entity Prefab],0)),10,1,1,"Entities"))</f>
        <v>75</v>
      </c>
      <c r="DM487" s="75">
        <f ca="1">ROUND((Table14[[#This Row],[XP]]*Table14[[#This Row],[entity_spawned (AVG)]])*(Table14[[#This Row],[activating_chance]]/100),0)</f>
        <v>75</v>
      </c>
      <c r="DN48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87" s="72">
        <v>1</v>
      </c>
      <c r="DP487" s="72">
        <v>1</v>
      </c>
      <c r="DQ487" s="72" t="b">
        <v>0</v>
      </c>
    </row>
    <row r="488" spans="2:121" x14ac:dyDescent="0.25">
      <c r="B488" s="73" t="s">
        <v>248</v>
      </c>
      <c r="C488">
        <v>1</v>
      </c>
      <c r="D488">
        <v>300</v>
      </c>
      <c r="E488">
        <v>100</v>
      </c>
      <c r="F488" s="75">
        <f ca="1">INDIRECT(ADDRESS(11+(MATCH(RIGHT(Table245[[#This Row],[spawner_sku]],LEN(Table245[[#This Row],[spawner_sku]])-FIND("/",Table245[[#This Row],[spawner_sku]])),Table1[Entity Prefab],0)),10,1,1,"Entities"))</f>
        <v>75</v>
      </c>
      <c r="G488" s="75">
        <f ca="1">ROUND((Table245[[#This Row],[XP]]*Table245[[#This Row],[entity_spawned (AVG)]])*(Table245[[#This Row],[activating_chance]]/100),0)</f>
        <v>75</v>
      </c>
      <c r="H48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88" s="72">
        <v>1</v>
      </c>
      <c r="J488" s="72">
        <v>1</v>
      </c>
      <c r="K488" s="72" t="b">
        <v>0</v>
      </c>
      <c r="BP488" t="s">
        <v>257</v>
      </c>
      <c r="BQ488">
        <v>1</v>
      </c>
      <c r="BR488">
        <v>240</v>
      </c>
      <c r="BS488">
        <v>100</v>
      </c>
      <c r="BT488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88" s="75">
        <f ca="1">ROUND((Table61011[[#This Row],[XP]]*Table61011[[#This Row],[entity_spawned (AVG)]])*(Table61011[[#This Row],[activating_chance]]/100),0)</f>
        <v>50</v>
      </c>
      <c r="BV48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88" s="72">
        <v>1</v>
      </c>
      <c r="BX488" s="72">
        <v>1</v>
      </c>
      <c r="BY488" s="72" t="b">
        <v>0</v>
      </c>
      <c r="DH488" t="s">
        <v>537</v>
      </c>
      <c r="DI488">
        <v>1</v>
      </c>
      <c r="DJ488">
        <v>130</v>
      </c>
      <c r="DK488">
        <v>100</v>
      </c>
      <c r="DL488" s="75">
        <f ca="1">INDIRECT(ADDRESS(11+(MATCH(RIGHT(Table14[[#This Row],[spawner_sku]],LEN(Table14[[#This Row],[spawner_sku]])-FIND("/",Table14[[#This Row],[spawner_sku]])),Table1[Entity Prefab],0)),10,1,1,"Entities"))</f>
        <v>75</v>
      </c>
      <c r="DM488" s="75">
        <f ca="1">ROUND((Table14[[#This Row],[XP]]*Table14[[#This Row],[entity_spawned (AVG)]])*(Table14[[#This Row],[activating_chance]]/100),0)</f>
        <v>75</v>
      </c>
      <c r="DN48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88" s="72">
        <v>1</v>
      </c>
      <c r="DP488" s="72">
        <v>1</v>
      </c>
      <c r="DQ488" s="72" t="b">
        <v>0</v>
      </c>
    </row>
    <row r="489" spans="2:121" x14ac:dyDescent="0.25">
      <c r="B489" s="73" t="s">
        <v>248</v>
      </c>
      <c r="C489">
        <v>1</v>
      </c>
      <c r="D489">
        <v>260</v>
      </c>
      <c r="E489">
        <v>100</v>
      </c>
      <c r="F489" s="75">
        <f ca="1">INDIRECT(ADDRESS(11+(MATCH(RIGHT(Table245[[#This Row],[spawner_sku]],LEN(Table245[[#This Row],[spawner_sku]])-FIND("/",Table245[[#This Row],[spawner_sku]])),Table1[Entity Prefab],0)),10,1,1,"Entities"))</f>
        <v>75</v>
      </c>
      <c r="G489" s="75">
        <f ca="1">ROUND((Table245[[#This Row],[XP]]*Table245[[#This Row],[entity_spawned (AVG)]])*(Table245[[#This Row],[activating_chance]]/100),0)</f>
        <v>75</v>
      </c>
      <c r="H48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89" s="72">
        <v>1</v>
      </c>
      <c r="J489" s="72">
        <v>1</v>
      </c>
      <c r="K489" s="72" t="b">
        <v>0</v>
      </c>
      <c r="BP489" t="s">
        <v>394</v>
      </c>
      <c r="BQ489">
        <v>1</v>
      </c>
      <c r="BR489">
        <v>240</v>
      </c>
      <c r="BS489">
        <v>100</v>
      </c>
      <c r="BT489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89" s="75">
        <f ca="1">ROUND((Table61011[[#This Row],[XP]]*Table61011[[#This Row],[entity_spawned (AVG)]])*(Table61011[[#This Row],[activating_chance]]/100),0)</f>
        <v>50</v>
      </c>
      <c r="BV48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89" s="72">
        <v>1</v>
      </c>
      <c r="BX489" s="72">
        <v>1</v>
      </c>
      <c r="BY489" s="72" t="b">
        <v>0</v>
      </c>
      <c r="DH489" t="s">
        <v>537</v>
      </c>
      <c r="DI489">
        <v>1</v>
      </c>
      <c r="DJ489">
        <v>160</v>
      </c>
      <c r="DK489">
        <v>100</v>
      </c>
      <c r="DL489" s="75">
        <f ca="1">INDIRECT(ADDRESS(11+(MATCH(RIGHT(Table14[[#This Row],[spawner_sku]],LEN(Table14[[#This Row],[spawner_sku]])-FIND("/",Table14[[#This Row],[spawner_sku]])),Table1[Entity Prefab],0)),10,1,1,"Entities"))</f>
        <v>75</v>
      </c>
      <c r="DM489" s="75">
        <f ca="1">ROUND((Table14[[#This Row],[XP]]*Table14[[#This Row],[entity_spawned (AVG)]])*(Table14[[#This Row],[activating_chance]]/100),0)</f>
        <v>75</v>
      </c>
      <c r="DN48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89" s="72">
        <v>1</v>
      </c>
      <c r="DP489" s="72">
        <v>1</v>
      </c>
      <c r="DQ489" s="72" t="b">
        <v>0</v>
      </c>
    </row>
    <row r="490" spans="2:121" x14ac:dyDescent="0.25">
      <c r="B490" s="73" t="s">
        <v>400</v>
      </c>
      <c r="C490">
        <v>1</v>
      </c>
      <c r="D490">
        <v>300</v>
      </c>
      <c r="E490">
        <v>100</v>
      </c>
      <c r="F490" s="75">
        <f ca="1">INDIRECT(ADDRESS(11+(MATCH(RIGHT(Table245[[#This Row],[spawner_sku]],LEN(Table245[[#This Row],[spawner_sku]])-FIND("/",Table245[[#This Row],[spawner_sku]])),Table1[Entity Prefab],0)),10,1,1,"Entities"))</f>
        <v>75</v>
      </c>
      <c r="G490" s="75">
        <f ca="1">ROUND((Table245[[#This Row],[XP]]*Table245[[#This Row],[entity_spawned (AVG)]])*(Table245[[#This Row],[activating_chance]]/100),0)</f>
        <v>75</v>
      </c>
      <c r="H49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90" s="72">
        <v>1</v>
      </c>
      <c r="J490" s="72">
        <v>1</v>
      </c>
      <c r="K490" s="72" t="b">
        <v>0</v>
      </c>
      <c r="BP490" t="s">
        <v>394</v>
      </c>
      <c r="BQ490">
        <v>1</v>
      </c>
      <c r="BR490">
        <v>220</v>
      </c>
      <c r="BS490">
        <v>100</v>
      </c>
      <c r="BT490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90" s="75">
        <f ca="1">ROUND((Table61011[[#This Row],[XP]]*Table61011[[#This Row],[entity_spawned (AVG)]])*(Table61011[[#This Row],[activating_chance]]/100),0)</f>
        <v>50</v>
      </c>
      <c r="BV49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90" s="72">
        <v>1</v>
      </c>
      <c r="BX490" s="72">
        <v>1</v>
      </c>
      <c r="BY490" s="72" t="b">
        <v>0</v>
      </c>
      <c r="DH490" t="s">
        <v>537</v>
      </c>
      <c r="DI490">
        <v>1</v>
      </c>
      <c r="DJ490">
        <v>135</v>
      </c>
      <c r="DK490">
        <v>100</v>
      </c>
      <c r="DL490" s="75">
        <f ca="1">INDIRECT(ADDRESS(11+(MATCH(RIGHT(Table14[[#This Row],[spawner_sku]],LEN(Table14[[#This Row],[spawner_sku]])-FIND("/",Table14[[#This Row],[spawner_sku]])),Table1[Entity Prefab],0)),10,1,1,"Entities"))</f>
        <v>75</v>
      </c>
      <c r="DM490" s="75">
        <f ca="1">ROUND((Table14[[#This Row],[XP]]*Table14[[#This Row],[entity_spawned (AVG)]])*(Table14[[#This Row],[activating_chance]]/100),0)</f>
        <v>75</v>
      </c>
      <c r="DN49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90" s="72">
        <v>1</v>
      </c>
      <c r="DP490" s="72">
        <v>1</v>
      </c>
      <c r="DQ490" s="72" t="b">
        <v>0</v>
      </c>
    </row>
    <row r="491" spans="2:121" x14ac:dyDescent="0.25">
      <c r="B491" s="73" t="s">
        <v>400</v>
      </c>
      <c r="C491">
        <v>1</v>
      </c>
      <c r="D491">
        <v>300</v>
      </c>
      <c r="E491">
        <v>100</v>
      </c>
      <c r="F491" s="75">
        <f ca="1">INDIRECT(ADDRESS(11+(MATCH(RIGHT(Table245[[#This Row],[spawner_sku]],LEN(Table245[[#This Row],[spawner_sku]])-FIND("/",Table245[[#This Row],[spawner_sku]])),Table1[Entity Prefab],0)),10,1,1,"Entities"))</f>
        <v>75</v>
      </c>
      <c r="G491" s="75">
        <f ca="1">ROUND((Table245[[#This Row],[XP]]*Table245[[#This Row],[entity_spawned (AVG)]])*(Table245[[#This Row],[activating_chance]]/100),0)</f>
        <v>75</v>
      </c>
      <c r="H49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91" s="72">
        <v>1</v>
      </c>
      <c r="J491" s="72">
        <v>1</v>
      </c>
      <c r="K491" s="72" t="b">
        <v>0</v>
      </c>
      <c r="BP491" t="s">
        <v>394</v>
      </c>
      <c r="BQ491">
        <v>1</v>
      </c>
      <c r="BR491">
        <v>240</v>
      </c>
      <c r="BS491">
        <v>100</v>
      </c>
      <c r="BT491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91" s="75">
        <f ca="1">ROUND((Table61011[[#This Row],[XP]]*Table61011[[#This Row],[entity_spawned (AVG)]])*(Table61011[[#This Row],[activating_chance]]/100),0)</f>
        <v>50</v>
      </c>
      <c r="BV49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91" s="72">
        <v>1</v>
      </c>
      <c r="BX491" s="72">
        <v>1</v>
      </c>
      <c r="BY491" s="72" t="b">
        <v>0</v>
      </c>
      <c r="DH491" t="s">
        <v>537</v>
      </c>
      <c r="DI491">
        <v>1</v>
      </c>
      <c r="DJ491">
        <v>150</v>
      </c>
      <c r="DK491">
        <v>100</v>
      </c>
      <c r="DL491" s="75">
        <f ca="1">INDIRECT(ADDRESS(11+(MATCH(RIGHT(Table14[[#This Row],[spawner_sku]],LEN(Table14[[#This Row],[spawner_sku]])-FIND("/",Table14[[#This Row],[spawner_sku]])),Table1[Entity Prefab],0)),10,1,1,"Entities"))</f>
        <v>75</v>
      </c>
      <c r="DM491" s="75">
        <f ca="1">ROUND((Table14[[#This Row],[XP]]*Table14[[#This Row],[entity_spawned (AVG)]])*(Table14[[#This Row],[activating_chance]]/100),0)</f>
        <v>75</v>
      </c>
      <c r="DN49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91" s="72">
        <v>1</v>
      </c>
      <c r="DP491" s="72">
        <v>1</v>
      </c>
      <c r="DQ491" s="72" t="b">
        <v>0</v>
      </c>
    </row>
    <row r="492" spans="2:121" x14ac:dyDescent="0.25">
      <c r="B492" s="73" t="s">
        <v>400</v>
      </c>
      <c r="C492">
        <v>1</v>
      </c>
      <c r="D492">
        <v>300</v>
      </c>
      <c r="E492">
        <v>100</v>
      </c>
      <c r="F492" s="75">
        <f ca="1">INDIRECT(ADDRESS(11+(MATCH(RIGHT(Table245[[#This Row],[spawner_sku]],LEN(Table245[[#This Row],[spawner_sku]])-FIND("/",Table245[[#This Row],[spawner_sku]])),Table1[Entity Prefab],0)),10,1,1,"Entities"))</f>
        <v>75</v>
      </c>
      <c r="G492" s="75">
        <f ca="1">ROUND((Table245[[#This Row],[XP]]*Table245[[#This Row],[entity_spawned (AVG)]])*(Table245[[#This Row],[activating_chance]]/100),0)</f>
        <v>75</v>
      </c>
      <c r="H49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92" s="72">
        <v>1</v>
      </c>
      <c r="J492" s="72">
        <v>1</v>
      </c>
      <c r="K492" s="72" t="b">
        <v>0</v>
      </c>
      <c r="BP492" t="s">
        <v>337</v>
      </c>
      <c r="BQ492">
        <v>1</v>
      </c>
      <c r="BR492">
        <v>240</v>
      </c>
      <c r="BS492">
        <v>100</v>
      </c>
      <c r="BT492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92" s="75">
        <f ca="1">ROUND((Table61011[[#This Row],[XP]]*Table61011[[#This Row],[entity_spawned (AVG)]])*(Table61011[[#This Row],[activating_chance]]/100),0)</f>
        <v>50</v>
      </c>
      <c r="BV49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92" s="72">
        <v>1</v>
      </c>
      <c r="BX492" s="72">
        <v>1</v>
      </c>
      <c r="BY492" s="72" t="b">
        <v>0</v>
      </c>
      <c r="DH492" t="s">
        <v>537</v>
      </c>
      <c r="DI492">
        <v>1</v>
      </c>
      <c r="DJ492">
        <v>130</v>
      </c>
      <c r="DK492">
        <v>10</v>
      </c>
      <c r="DL492" s="75">
        <f ca="1">INDIRECT(ADDRESS(11+(MATCH(RIGHT(Table14[[#This Row],[spawner_sku]],LEN(Table14[[#This Row],[spawner_sku]])-FIND("/",Table14[[#This Row],[spawner_sku]])),Table1[Entity Prefab],0)),10,1,1,"Entities"))</f>
        <v>75</v>
      </c>
      <c r="DM492" s="75">
        <f ca="1">ROUND((Table14[[#This Row],[XP]]*Table14[[#This Row],[entity_spawned (AVG)]])*(Table14[[#This Row],[activating_chance]]/100),0)</f>
        <v>8</v>
      </c>
      <c r="DN49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92" s="72">
        <v>1</v>
      </c>
      <c r="DP492" s="72">
        <v>1</v>
      </c>
      <c r="DQ492" s="72" t="b">
        <v>0</v>
      </c>
    </row>
    <row r="493" spans="2:121" x14ac:dyDescent="0.25">
      <c r="B493" s="73" t="s">
        <v>400</v>
      </c>
      <c r="C493">
        <v>1</v>
      </c>
      <c r="D493">
        <v>300</v>
      </c>
      <c r="E493">
        <v>100</v>
      </c>
      <c r="F493" s="75">
        <f ca="1">INDIRECT(ADDRESS(11+(MATCH(RIGHT(Table245[[#This Row],[spawner_sku]],LEN(Table245[[#This Row],[spawner_sku]])-FIND("/",Table245[[#This Row],[spawner_sku]])),Table1[Entity Prefab],0)),10,1,1,"Entities"))</f>
        <v>75</v>
      </c>
      <c r="G493" s="75">
        <f ca="1">ROUND((Table245[[#This Row],[XP]]*Table245[[#This Row],[entity_spawned (AVG)]])*(Table245[[#This Row],[activating_chance]]/100),0)</f>
        <v>75</v>
      </c>
      <c r="H49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93" s="72">
        <v>1</v>
      </c>
      <c r="J493" s="72">
        <v>1</v>
      </c>
      <c r="K493" s="72" t="b">
        <v>0</v>
      </c>
      <c r="BP493" t="s">
        <v>337</v>
      </c>
      <c r="BQ493">
        <v>1</v>
      </c>
      <c r="BR493">
        <v>240</v>
      </c>
      <c r="BS493">
        <v>20</v>
      </c>
      <c r="BT493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93" s="75">
        <f ca="1">ROUND((Table61011[[#This Row],[XP]]*Table61011[[#This Row],[entity_spawned (AVG)]])*(Table61011[[#This Row],[activating_chance]]/100),0)</f>
        <v>10</v>
      </c>
      <c r="BV49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93" s="72">
        <v>1</v>
      </c>
      <c r="BX493" s="72">
        <v>1</v>
      </c>
      <c r="BY493" s="72" t="b">
        <v>0</v>
      </c>
      <c r="DH493" t="s">
        <v>537</v>
      </c>
      <c r="DI493">
        <v>1</v>
      </c>
      <c r="DJ493">
        <v>145</v>
      </c>
      <c r="DK493">
        <v>100</v>
      </c>
      <c r="DL493" s="75">
        <f ca="1">INDIRECT(ADDRESS(11+(MATCH(RIGHT(Table14[[#This Row],[spawner_sku]],LEN(Table14[[#This Row],[spawner_sku]])-FIND("/",Table14[[#This Row],[spawner_sku]])),Table1[Entity Prefab],0)),10,1,1,"Entities"))</f>
        <v>75</v>
      </c>
      <c r="DM493" s="75">
        <f ca="1">ROUND((Table14[[#This Row],[XP]]*Table14[[#This Row],[entity_spawned (AVG)]])*(Table14[[#This Row],[activating_chance]]/100),0)</f>
        <v>75</v>
      </c>
      <c r="DN49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93" s="72">
        <v>1</v>
      </c>
      <c r="DP493" s="72">
        <v>1</v>
      </c>
      <c r="DQ493" s="72" t="b">
        <v>0</v>
      </c>
    </row>
    <row r="494" spans="2:121" x14ac:dyDescent="0.25">
      <c r="B494" s="73" t="s">
        <v>401</v>
      </c>
      <c r="C494">
        <v>1</v>
      </c>
      <c r="D494">
        <v>270</v>
      </c>
      <c r="E494">
        <v>100</v>
      </c>
      <c r="F494" s="75">
        <f ca="1">INDIRECT(ADDRESS(11+(MATCH(RIGHT(Table245[[#This Row],[spawner_sku]],LEN(Table245[[#This Row],[spawner_sku]])-FIND("/",Table245[[#This Row],[spawner_sku]])),Table1[Entity Prefab],0)),10,1,1,"Entities"))</f>
        <v>75</v>
      </c>
      <c r="G494" s="75">
        <f ca="1">ROUND((Table245[[#This Row],[XP]]*Table245[[#This Row],[entity_spawned (AVG)]])*(Table245[[#This Row],[activating_chance]]/100),0)</f>
        <v>75</v>
      </c>
      <c r="H49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94" s="72">
        <v>1</v>
      </c>
      <c r="J494" s="72">
        <v>1</v>
      </c>
      <c r="K494" s="72" t="b">
        <v>0</v>
      </c>
      <c r="BP494" t="s">
        <v>337</v>
      </c>
      <c r="BQ494">
        <v>1</v>
      </c>
      <c r="BR494">
        <v>240</v>
      </c>
      <c r="BS494">
        <v>100</v>
      </c>
      <c r="BT494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94" s="75">
        <f ca="1">ROUND((Table61011[[#This Row],[XP]]*Table61011[[#This Row],[entity_spawned (AVG)]])*(Table61011[[#This Row],[activating_chance]]/100),0)</f>
        <v>50</v>
      </c>
      <c r="BV49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94" s="72">
        <v>1</v>
      </c>
      <c r="BX494" s="72">
        <v>1</v>
      </c>
      <c r="BY494" s="72" t="b">
        <v>0</v>
      </c>
      <c r="DH494" t="s">
        <v>537</v>
      </c>
      <c r="DI494">
        <v>1</v>
      </c>
      <c r="DJ494">
        <v>100</v>
      </c>
      <c r="DK494">
        <v>100</v>
      </c>
      <c r="DL494" s="75">
        <f ca="1">INDIRECT(ADDRESS(11+(MATCH(RIGHT(Table14[[#This Row],[spawner_sku]],LEN(Table14[[#This Row],[spawner_sku]])-FIND("/",Table14[[#This Row],[spawner_sku]])),Table1[Entity Prefab],0)),10,1,1,"Entities"))</f>
        <v>75</v>
      </c>
      <c r="DM494" s="75">
        <f ca="1">ROUND((Table14[[#This Row],[XP]]*Table14[[#This Row],[entity_spawned (AVG)]])*(Table14[[#This Row],[activating_chance]]/100),0)</f>
        <v>75</v>
      </c>
      <c r="DN49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94" s="72">
        <v>1</v>
      </c>
      <c r="DP494" s="72">
        <v>1</v>
      </c>
      <c r="DQ494" s="72" t="b">
        <v>0</v>
      </c>
    </row>
    <row r="495" spans="2:121" x14ac:dyDescent="0.25">
      <c r="B495" s="73" t="s">
        <v>401</v>
      </c>
      <c r="C495">
        <v>1</v>
      </c>
      <c r="D495">
        <v>270</v>
      </c>
      <c r="E495">
        <v>100</v>
      </c>
      <c r="F495" s="75">
        <f ca="1">INDIRECT(ADDRESS(11+(MATCH(RIGHT(Table245[[#This Row],[spawner_sku]],LEN(Table245[[#This Row],[spawner_sku]])-FIND("/",Table245[[#This Row],[spawner_sku]])),Table1[Entity Prefab],0)),10,1,1,"Entities"))</f>
        <v>75</v>
      </c>
      <c r="G495" s="75">
        <f ca="1">ROUND((Table245[[#This Row],[XP]]*Table245[[#This Row],[entity_spawned (AVG)]])*(Table245[[#This Row],[activating_chance]]/100),0)</f>
        <v>75</v>
      </c>
      <c r="H49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95" s="72">
        <v>1</v>
      </c>
      <c r="J495" s="72">
        <v>1</v>
      </c>
      <c r="K495" s="72" t="b">
        <v>0</v>
      </c>
      <c r="BP495" t="s">
        <v>454</v>
      </c>
      <c r="BQ495">
        <v>1</v>
      </c>
      <c r="BR495">
        <v>240</v>
      </c>
      <c r="BS495">
        <v>80</v>
      </c>
      <c r="BT495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95" s="75">
        <f ca="1">ROUND((Table61011[[#This Row],[XP]]*Table61011[[#This Row],[entity_spawned (AVG)]])*(Table61011[[#This Row],[activating_chance]]/100),0)</f>
        <v>40</v>
      </c>
      <c r="BV49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95" s="72">
        <v>1</v>
      </c>
      <c r="BX495" s="72">
        <v>1</v>
      </c>
      <c r="BY495" s="72" t="b">
        <v>0</v>
      </c>
      <c r="DH495" t="s">
        <v>537</v>
      </c>
      <c r="DI495">
        <v>1</v>
      </c>
      <c r="DJ495">
        <v>200</v>
      </c>
      <c r="DK495">
        <v>100</v>
      </c>
      <c r="DL495" s="75">
        <f ca="1">INDIRECT(ADDRESS(11+(MATCH(RIGHT(Table14[[#This Row],[spawner_sku]],LEN(Table14[[#This Row],[spawner_sku]])-FIND("/",Table14[[#This Row],[spawner_sku]])),Table1[Entity Prefab],0)),10,1,1,"Entities"))</f>
        <v>75</v>
      </c>
      <c r="DM495" s="75">
        <f ca="1">ROUND((Table14[[#This Row],[XP]]*Table14[[#This Row],[entity_spawned (AVG)]])*(Table14[[#This Row],[activating_chance]]/100),0)</f>
        <v>75</v>
      </c>
      <c r="DN49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95" s="72">
        <v>1</v>
      </c>
      <c r="DP495" s="72">
        <v>1</v>
      </c>
      <c r="DQ495" s="72" t="b">
        <v>0</v>
      </c>
    </row>
    <row r="496" spans="2:121" x14ac:dyDescent="0.25">
      <c r="B496" s="73" t="s">
        <v>401</v>
      </c>
      <c r="C496">
        <v>1</v>
      </c>
      <c r="D496">
        <v>270</v>
      </c>
      <c r="E496">
        <v>100</v>
      </c>
      <c r="F496" s="75">
        <f ca="1">INDIRECT(ADDRESS(11+(MATCH(RIGHT(Table245[[#This Row],[spawner_sku]],LEN(Table245[[#This Row],[spawner_sku]])-FIND("/",Table245[[#This Row],[spawner_sku]])),Table1[Entity Prefab],0)),10,1,1,"Entities"))</f>
        <v>75</v>
      </c>
      <c r="G496" s="75">
        <f ca="1">ROUND((Table245[[#This Row],[XP]]*Table245[[#This Row],[entity_spawned (AVG)]])*(Table245[[#This Row],[activating_chance]]/100),0)</f>
        <v>75</v>
      </c>
      <c r="H49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96" s="72">
        <v>1</v>
      </c>
      <c r="J496" s="72">
        <v>1</v>
      </c>
      <c r="K496" s="72" t="b">
        <v>0</v>
      </c>
      <c r="BP496" t="s">
        <v>454</v>
      </c>
      <c r="BQ496">
        <v>1</v>
      </c>
      <c r="BR496">
        <v>240</v>
      </c>
      <c r="BS496">
        <v>100</v>
      </c>
      <c r="BT496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96" s="75">
        <f ca="1">ROUND((Table61011[[#This Row],[XP]]*Table61011[[#This Row],[entity_spawned (AVG)]])*(Table61011[[#This Row],[activating_chance]]/100),0)</f>
        <v>50</v>
      </c>
      <c r="BV49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96" s="72">
        <v>1</v>
      </c>
      <c r="BX496" s="72">
        <v>1</v>
      </c>
      <c r="BY496" s="72" t="b">
        <v>0</v>
      </c>
      <c r="DH496" t="s">
        <v>537</v>
      </c>
      <c r="DI496">
        <v>1</v>
      </c>
      <c r="DJ496">
        <v>150</v>
      </c>
      <c r="DK496">
        <v>100</v>
      </c>
      <c r="DL496" s="75">
        <f ca="1">INDIRECT(ADDRESS(11+(MATCH(RIGHT(Table14[[#This Row],[spawner_sku]],LEN(Table14[[#This Row],[spawner_sku]])-FIND("/",Table14[[#This Row],[spawner_sku]])),Table1[Entity Prefab],0)),10,1,1,"Entities"))</f>
        <v>75</v>
      </c>
      <c r="DM496" s="75">
        <f ca="1">ROUND((Table14[[#This Row],[XP]]*Table14[[#This Row],[entity_spawned (AVG)]])*(Table14[[#This Row],[activating_chance]]/100),0)</f>
        <v>75</v>
      </c>
      <c r="DN49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96" s="72">
        <v>1</v>
      </c>
      <c r="DP496" s="72">
        <v>1</v>
      </c>
      <c r="DQ496" s="72" t="b">
        <v>0</v>
      </c>
    </row>
    <row r="497" spans="2:121" x14ac:dyDescent="0.25">
      <c r="B497" s="73" t="s">
        <v>401</v>
      </c>
      <c r="C497">
        <v>1</v>
      </c>
      <c r="D497">
        <v>270</v>
      </c>
      <c r="E497">
        <v>100</v>
      </c>
      <c r="F497" s="75">
        <f ca="1">INDIRECT(ADDRESS(11+(MATCH(RIGHT(Table245[[#This Row],[spawner_sku]],LEN(Table245[[#This Row],[spawner_sku]])-FIND("/",Table245[[#This Row],[spawner_sku]])),Table1[Entity Prefab],0)),10,1,1,"Entities"))</f>
        <v>75</v>
      </c>
      <c r="G497" s="75">
        <f ca="1">ROUND((Table245[[#This Row],[XP]]*Table245[[#This Row],[entity_spawned (AVG)]])*(Table245[[#This Row],[activating_chance]]/100),0)</f>
        <v>75</v>
      </c>
      <c r="H49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97" s="72">
        <v>1</v>
      </c>
      <c r="J497" s="72">
        <v>1</v>
      </c>
      <c r="K497" s="72" t="b">
        <v>0</v>
      </c>
      <c r="BP497" t="s">
        <v>454</v>
      </c>
      <c r="BQ497">
        <v>1</v>
      </c>
      <c r="BR497">
        <v>240</v>
      </c>
      <c r="BS497">
        <v>80</v>
      </c>
      <c r="BT497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97" s="75">
        <f ca="1">ROUND((Table61011[[#This Row],[XP]]*Table61011[[#This Row],[entity_spawned (AVG)]])*(Table61011[[#This Row],[activating_chance]]/100),0)</f>
        <v>40</v>
      </c>
      <c r="BV49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97" s="72">
        <v>1</v>
      </c>
      <c r="BX497" s="72">
        <v>1</v>
      </c>
      <c r="BY497" s="72" t="b">
        <v>0</v>
      </c>
      <c r="DH497" t="s">
        <v>537</v>
      </c>
      <c r="DI497">
        <v>1</v>
      </c>
      <c r="DJ497">
        <v>100</v>
      </c>
      <c r="DK497">
        <v>100</v>
      </c>
      <c r="DL497" s="75">
        <f ca="1">INDIRECT(ADDRESS(11+(MATCH(RIGHT(Table14[[#This Row],[spawner_sku]],LEN(Table14[[#This Row],[spawner_sku]])-FIND("/",Table14[[#This Row],[spawner_sku]])),Table1[Entity Prefab],0)),10,1,1,"Entities"))</f>
        <v>75</v>
      </c>
      <c r="DM497" s="75">
        <f ca="1">ROUND((Table14[[#This Row],[XP]]*Table14[[#This Row],[entity_spawned (AVG)]])*(Table14[[#This Row],[activating_chance]]/100),0)</f>
        <v>75</v>
      </c>
      <c r="DN49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97" s="72">
        <v>1</v>
      </c>
      <c r="DP497" s="72">
        <v>1</v>
      </c>
      <c r="DQ497" s="72" t="b">
        <v>0</v>
      </c>
    </row>
    <row r="498" spans="2:121" x14ac:dyDescent="0.25">
      <c r="B498" s="73" t="s">
        <v>446</v>
      </c>
      <c r="C498">
        <v>1</v>
      </c>
      <c r="D498">
        <v>280</v>
      </c>
      <c r="E498">
        <v>50</v>
      </c>
      <c r="F498" s="75">
        <f ca="1">INDIRECT(ADDRESS(11+(MATCH(RIGHT(Table245[[#This Row],[spawner_sku]],LEN(Table245[[#This Row],[spawner_sku]])-FIND("/",Table245[[#This Row],[spawner_sku]])),Table1[Entity Prefab],0)),10,1,1,"Entities"))</f>
        <v>55</v>
      </c>
      <c r="G498" s="75">
        <f ca="1">ROUND((Table245[[#This Row],[XP]]*Table245[[#This Row],[entity_spawned (AVG)]])*(Table245[[#This Row],[activating_chance]]/100),0)</f>
        <v>28</v>
      </c>
      <c r="H49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98" s="72">
        <v>1</v>
      </c>
      <c r="J498" s="72">
        <v>1</v>
      </c>
      <c r="K498" s="72" t="b">
        <v>0</v>
      </c>
      <c r="BP498" t="s">
        <v>454</v>
      </c>
      <c r="BQ498">
        <v>1</v>
      </c>
      <c r="BR498">
        <v>240</v>
      </c>
      <c r="BS498">
        <v>100</v>
      </c>
      <c r="BT498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98" s="75">
        <f ca="1">ROUND((Table61011[[#This Row],[XP]]*Table61011[[#This Row],[entity_spawned (AVG)]])*(Table61011[[#This Row],[activating_chance]]/100),0)</f>
        <v>50</v>
      </c>
      <c r="BV49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98" s="72">
        <v>1</v>
      </c>
      <c r="BX498" s="72">
        <v>1</v>
      </c>
      <c r="BY498" s="72" t="b">
        <v>0</v>
      </c>
      <c r="DH498" t="s">
        <v>537</v>
      </c>
      <c r="DI498">
        <v>1</v>
      </c>
      <c r="DJ498">
        <v>145</v>
      </c>
      <c r="DK498">
        <v>100</v>
      </c>
      <c r="DL498" s="75">
        <f ca="1">INDIRECT(ADDRESS(11+(MATCH(RIGHT(Table14[[#This Row],[spawner_sku]],LEN(Table14[[#This Row],[spawner_sku]])-FIND("/",Table14[[#This Row],[spawner_sku]])),Table1[Entity Prefab],0)),10,1,1,"Entities"))</f>
        <v>75</v>
      </c>
      <c r="DM498" s="75">
        <f ca="1">ROUND((Table14[[#This Row],[XP]]*Table14[[#This Row],[entity_spawned (AVG)]])*(Table14[[#This Row],[activating_chance]]/100),0)</f>
        <v>75</v>
      </c>
      <c r="DN49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98" s="72">
        <v>1</v>
      </c>
      <c r="DP498" s="72">
        <v>1</v>
      </c>
      <c r="DQ498" s="72" t="b">
        <v>0</v>
      </c>
    </row>
    <row r="499" spans="2:121" x14ac:dyDescent="0.25">
      <c r="B499" s="73" t="s">
        <v>446</v>
      </c>
      <c r="C499">
        <v>1</v>
      </c>
      <c r="D499">
        <v>310</v>
      </c>
      <c r="E499">
        <v>100</v>
      </c>
      <c r="F499" s="75">
        <f ca="1">INDIRECT(ADDRESS(11+(MATCH(RIGHT(Table245[[#This Row],[spawner_sku]],LEN(Table245[[#This Row],[spawner_sku]])-FIND("/",Table245[[#This Row],[spawner_sku]])),Table1[Entity Prefab],0)),10,1,1,"Entities"))</f>
        <v>55</v>
      </c>
      <c r="G499" s="75">
        <f ca="1">ROUND((Table245[[#This Row],[XP]]*Table245[[#This Row],[entity_spawned (AVG)]])*(Table245[[#This Row],[activating_chance]]/100),0)</f>
        <v>55</v>
      </c>
      <c r="H49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99" s="72">
        <v>1</v>
      </c>
      <c r="J499" s="72">
        <v>1</v>
      </c>
      <c r="K499" s="72" t="b">
        <v>0</v>
      </c>
      <c r="BP499" t="s">
        <v>454</v>
      </c>
      <c r="BQ499">
        <v>1</v>
      </c>
      <c r="BR499">
        <v>240</v>
      </c>
      <c r="BS499">
        <v>100</v>
      </c>
      <c r="BT499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99" s="75">
        <f ca="1">ROUND((Table61011[[#This Row],[XP]]*Table61011[[#This Row],[entity_spawned (AVG)]])*(Table61011[[#This Row],[activating_chance]]/100),0)</f>
        <v>50</v>
      </c>
      <c r="BV49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99" s="72">
        <v>1</v>
      </c>
      <c r="BX499" s="72">
        <v>1</v>
      </c>
      <c r="BY499" s="72" t="b">
        <v>0</v>
      </c>
      <c r="DH499" t="s">
        <v>537</v>
      </c>
      <c r="DI499">
        <v>1</v>
      </c>
      <c r="DJ499">
        <v>150</v>
      </c>
      <c r="DK499">
        <v>100</v>
      </c>
      <c r="DL499" s="75">
        <f ca="1">INDIRECT(ADDRESS(11+(MATCH(RIGHT(Table14[[#This Row],[spawner_sku]],LEN(Table14[[#This Row],[spawner_sku]])-FIND("/",Table14[[#This Row],[spawner_sku]])),Table1[Entity Prefab],0)),10,1,1,"Entities"))</f>
        <v>75</v>
      </c>
      <c r="DM499" s="75">
        <f ca="1">ROUND((Table14[[#This Row],[XP]]*Table14[[#This Row],[entity_spawned (AVG)]])*(Table14[[#This Row],[activating_chance]]/100),0)</f>
        <v>75</v>
      </c>
      <c r="DN49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99" s="72">
        <v>1</v>
      </c>
      <c r="DP499" s="72">
        <v>1</v>
      </c>
      <c r="DQ499" s="72" t="b">
        <v>0</v>
      </c>
    </row>
    <row r="500" spans="2:121" x14ac:dyDescent="0.25">
      <c r="B500" s="73" t="s">
        <v>446</v>
      </c>
      <c r="C500">
        <v>1</v>
      </c>
      <c r="D500">
        <v>310</v>
      </c>
      <c r="E500">
        <v>100</v>
      </c>
      <c r="F500" s="75">
        <f ca="1">INDIRECT(ADDRESS(11+(MATCH(RIGHT(Table245[[#This Row],[spawner_sku]],LEN(Table245[[#This Row],[spawner_sku]])-FIND("/",Table245[[#This Row],[spawner_sku]])),Table1[Entity Prefab],0)),10,1,1,"Entities"))</f>
        <v>55</v>
      </c>
      <c r="G500" s="75">
        <f ca="1">ROUND((Table245[[#This Row],[XP]]*Table245[[#This Row],[entity_spawned (AVG)]])*(Table245[[#This Row],[activating_chance]]/100),0)</f>
        <v>55</v>
      </c>
      <c r="H50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00" s="72">
        <v>1</v>
      </c>
      <c r="J500" s="72">
        <v>1</v>
      </c>
      <c r="K500" s="72" t="b">
        <v>0</v>
      </c>
      <c r="BP500" t="s">
        <v>455</v>
      </c>
      <c r="BQ500">
        <v>1</v>
      </c>
      <c r="BR500">
        <v>220</v>
      </c>
      <c r="BS500">
        <v>100</v>
      </c>
      <c r="BT500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500" s="75">
        <f ca="1">ROUND((Table61011[[#This Row],[XP]]*Table61011[[#This Row],[entity_spawned (AVG)]])*(Table61011[[#This Row],[activating_chance]]/100),0)</f>
        <v>50</v>
      </c>
      <c r="BV50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00" s="72">
        <v>1</v>
      </c>
      <c r="BX500" s="72">
        <v>1</v>
      </c>
      <c r="BY500" s="72" t="b">
        <v>0</v>
      </c>
      <c r="DH500" t="s">
        <v>537</v>
      </c>
      <c r="DI500">
        <v>1</v>
      </c>
      <c r="DJ500">
        <v>140</v>
      </c>
      <c r="DK500">
        <v>100</v>
      </c>
      <c r="DL500" s="75">
        <f ca="1">INDIRECT(ADDRESS(11+(MATCH(RIGHT(Table14[[#This Row],[spawner_sku]],LEN(Table14[[#This Row],[spawner_sku]])-FIND("/",Table14[[#This Row],[spawner_sku]])),Table1[Entity Prefab],0)),10,1,1,"Entities"))</f>
        <v>75</v>
      </c>
      <c r="DM500" s="75">
        <f ca="1">ROUND((Table14[[#This Row],[XP]]*Table14[[#This Row],[entity_spawned (AVG)]])*(Table14[[#This Row],[activating_chance]]/100),0)</f>
        <v>75</v>
      </c>
      <c r="DN50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00" s="72">
        <v>1</v>
      </c>
      <c r="DP500" s="72">
        <v>1</v>
      </c>
      <c r="DQ500" s="72" t="b">
        <v>0</v>
      </c>
    </row>
    <row r="501" spans="2:121" x14ac:dyDescent="0.25">
      <c r="B501" s="73" t="s">
        <v>446</v>
      </c>
      <c r="C501">
        <v>1</v>
      </c>
      <c r="D501">
        <v>280</v>
      </c>
      <c r="E501">
        <v>50</v>
      </c>
      <c r="F501" s="75">
        <f ca="1">INDIRECT(ADDRESS(11+(MATCH(RIGHT(Table245[[#This Row],[spawner_sku]],LEN(Table245[[#This Row],[spawner_sku]])-FIND("/",Table245[[#This Row],[spawner_sku]])),Table1[Entity Prefab],0)),10,1,1,"Entities"))</f>
        <v>55</v>
      </c>
      <c r="G501" s="75">
        <f ca="1">ROUND((Table245[[#This Row],[XP]]*Table245[[#This Row],[entity_spawned (AVG)]])*(Table245[[#This Row],[activating_chance]]/100),0)</f>
        <v>28</v>
      </c>
      <c r="H50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01" s="72">
        <v>1</v>
      </c>
      <c r="J501" s="72">
        <v>1</v>
      </c>
      <c r="K501" s="72" t="b">
        <v>0</v>
      </c>
      <c r="BP501" t="s">
        <v>455</v>
      </c>
      <c r="BQ501">
        <v>1</v>
      </c>
      <c r="BR501">
        <v>220</v>
      </c>
      <c r="BS501">
        <v>100</v>
      </c>
      <c r="BT501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501" s="75">
        <f ca="1">ROUND((Table61011[[#This Row],[XP]]*Table61011[[#This Row],[entity_spawned (AVG)]])*(Table61011[[#This Row],[activating_chance]]/100),0)</f>
        <v>50</v>
      </c>
      <c r="BV50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01" s="72">
        <v>1</v>
      </c>
      <c r="BX501" s="72">
        <v>1</v>
      </c>
      <c r="BY501" s="72" t="b">
        <v>0</v>
      </c>
      <c r="DH501" t="s">
        <v>537</v>
      </c>
      <c r="DI501">
        <v>1</v>
      </c>
      <c r="DJ501">
        <v>140</v>
      </c>
      <c r="DK501">
        <v>100</v>
      </c>
      <c r="DL501" s="75">
        <f ca="1">INDIRECT(ADDRESS(11+(MATCH(RIGHT(Table14[[#This Row],[spawner_sku]],LEN(Table14[[#This Row],[spawner_sku]])-FIND("/",Table14[[#This Row],[spawner_sku]])),Table1[Entity Prefab],0)),10,1,1,"Entities"))</f>
        <v>75</v>
      </c>
      <c r="DM501" s="75">
        <f ca="1">ROUND((Table14[[#This Row],[XP]]*Table14[[#This Row],[entity_spawned (AVG)]])*(Table14[[#This Row],[activating_chance]]/100),0)</f>
        <v>75</v>
      </c>
      <c r="DN50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01" s="72">
        <v>1</v>
      </c>
      <c r="DP501" s="72">
        <v>1</v>
      </c>
      <c r="DQ501" s="72" t="b">
        <v>0</v>
      </c>
    </row>
    <row r="502" spans="2:121" x14ac:dyDescent="0.25">
      <c r="B502" s="73" t="s">
        <v>249</v>
      </c>
      <c r="C502">
        <v>1</v>
      </c>
      <c r="D502">
        <v>230</v>
      </c>
      <c r="E502">
        <v>80</v>
      </c>
      <c r="F502" s="75">
        <f ca="1">INDIRECT(ADDRESS(11+(MATCH(RIGHT(Table245[[#This Row],[spawner_sku]],LEN(Table245[[#This Row],[spawner_sku]])-FIND("/",Table245[[#This Row],[spawner_sku]])),Table1[Entity Prefab],0)),10,1,1,"Entities"))</f>
        <v>50</v>
      </c>
      <c r="G502" s="75">
        <f ca="1">ROUND((Table245[[#This Row],[XP]]*Table245[[#This Row],[entity_spawned (AVG)]])*(Table245[[#This Row],[activating_chance]]/100),0)</f>
        <v>40</v>
      </c>
      <c r="H50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02" s="72">
        <v>1</v>
      </c>
      <c r="J502" s="72">
        <v>1</v>
      </c>
      <c r="K502" s="72" t="b">
        <v>0</v>
      </c>
      <c r="BP502" t="s">
        <v>455</v>
      </c>
      <c r="BQ502">
        <v>1</v>
      </c>
      <c r="BR502">
        <v>220</v>
      </c>
      <c r="BS502">
        <v>100</v>
      </c>
      <c r="BT502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502" s="75">
        <f ca="1">ROUND((Table61011[[#This Row],[XP]]*Table61011[[#This Row],[entity_spawned (AVG)]])*(Table61011[[#This Row],[activating_chance]]/100),0)</f>
        <v>50</v>
      </c>
      <c r="BV50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02" s="72">
        <v>1</v>
      </c>
      <c r="BX502" s="72">
        <v>1</v>
      </c>
      <c r="BY502" s="72" t="b">
        <v>0</v>
      </c>
      <c r="DH502" t="s">
        <v>537</v>
      </c>
      <c r="DI502">
        <v>1</v>
      </c>
      <c r="DJ502">
        <v>145</v>
      </c>
      <c r="DK502">
        <v>100</v>
      </c>
      <c r="DL502" s="75">
        <f ca="1">INDIRECT(ADDRESS(11+(MATCH(RIGHT(Table14[[#This Row],[spawner_sku]],LEN(Table14[[#This Row],[spawner_sku]])-FIND("/",Table14[[#This Row],[spawner_sku]])),Table1[Entity Prefab],0)),10,1,1,"Entities"))</f>
        <v>75</v>
      </c>
      <c r="DM502" s="75">
        <f ca="1">ROUND((Table14[[#This Row],[XP]]*Table14[[#This Row],[entity_spawned (AVG)]])*(Table14[[#This Row],[activating_chance]]/100),0)</f>
        <v>75</v>
      </c>
      <c r="DN50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02" s="72">
        <v>1</v>
      </c>
      <c r="DP502" s="72">
        <v>1</v>
      </c>
      <c r="DQ502" s="72" t="b">
        <v>0</v>
      </c>
    </row>
    <row r="503" spans="2:121" x14ac:dyDescent="0.25">
      <c r="B503" s="73" t="s">
        <v>250</v>
      </c>
      <c r="C503">
        <v>1</v>
      </c>
      <c r="D503">
        <v>270</v>
      </c>
      <c r="E503">
        <v>20</v>
      </c>
      <c r="F503" s="75">
        <f ca="1">INDIRECT(ADDRESS(11+(MATCH(RIGHT(Table245[[#This Row],[spawner_sku]],LEN(Table245[[#This Row],[spawner_sku]])-FIND("/",Table245[[#This Row],[spawner_sku]])),Table1[Entity Prefab],0)),10,1,1,"Entities"))</f>
        <v>83</v>
      </c>
      <c r="G503" s="75">
        <f ca="1">ROUND((Table245[[#This Row],[XP]]*Table245[[#This Row],[entity_spawned (AVG)]])*(Table245[[#This Row],[activating_chance]]/100),0)</f>
        <v>17</v>
      </c>
      <c r="H50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03" s="72">
        <v>1</v>
      </c>
      <c r="J503" s="72">
        <v>1</v>
      </c>
      <c r="K503" s="72" t="b">
        <v>0</v>
      </c>
      <c r="BP503" t="s">
        <v>513</v>
      </c>
      <c r="BQ503">
        <v>1</v>
      </c>
      <c r="BR503">
        <v>220</v>
      </c>
      <c r="BS503">
        <v>100</v>
      </c>
      <c r="BT503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503" s="75">
        <f ca="1">ROUND((Table61011[[#This Row],[XP]]*Table61011[[#This Row],[entity_spawned (AVG)]])*(Table61011[[#This Row],[activating_chance]]/100),0)</f>
        <v>50</v>
      </c>
      <c r="BV50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03" s="72">
        <v>1</v>
      </c>
      <c r="BX503" s="72">
        <v>1</v>
      </c>
      <c r="BY503" s="72" t="b">
        <v>0</v>
      </c>
      <c r="DH503" t="s">
        <v>537</v>
      </c>
      <c r="DI503">
        <v>1</v>
      </c>
      <c r="DJ503">
        <v>130</v>
      </c>
      <c r="DK503">
        <v>30</v>
      </c>
      <c r="DL503" s="75">
        <f ca="1">INDIRECT(ADDRESS(11+(MATCH(RIGHT(Table14[[#This Row],[spawner_sku]],LEN(Table14[[#This Row],[spawner_sku]])-FIND("/",Table14[[#This Row],[spawner_sku]])),Table1[Entity Prefab],0)),10,1,1,"Entities"))</f>
        <v>75</v>
      </c>
      <c r="DM503" s="75">
        <f ca="1">ROUND((Table14[[#This Row],[XP]]*Table14[[#This Row],[entity_spawned (AVG)]])*(Table14[[#This Row],[activating_chance]]/100),0)</f>
        <v>23</v>
      </c>
      <c r="DN50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03" s="72">
        <v>1</v>
      </c>
      <c r="DP503" s="72">
        <v>1</v>
      </c>
      <c r="DQ503" s="72" t="b">
        <v>0</v>
      </c>
    </row>
    <row r="504" spans="2:121" x14ac:dyDescent="0.25">
      <c r="B504" s="73" t="s">
        <v>250</v>
      </c>
      <c r="C504">
        <v>1</v>
      </c>
      <c r="D504">
        <v>270</v>
      </c>
      <c r="E504">
        <v>100</v>
      </c>
      <c r="F504" s="75">
        <f ca="1">INDIRECT(ADDRESS(11+(MATCH(RIGHT(Table245[[#This Row],[spawner_sku]],LEN(Table245[[#This Row],[spawner_sku]])-FIND("/",Table245[[#This Row],[spawner_sku]])),Table1[Entity Prefab],0)),10,1,1,"Entities"))</f>
        <v>83</v>
      </c>
      <c r="G504" s="75">
        <f ca="1">ROUND((Table245[[#This Row],[XP]]*Table245[[#This Row],[entity_spawned (AVG)]])*(Table245[[#This Row],[activating_chance]]/100),0)</f>
        <v>83</v>
      </c>
      <c r="H50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04" s="72">
        <v>1</v>
      </c>
      <c r="J504" s="72">
        <v>1</v>
      </c>
      <c r="K504" s="72" t="b">
        <v>0</v>
      </c>
      <c r="BP504" t="s">
        <v>513</v>
      </c>
      <c r="BQ504">
        <v>1</v>
      </c>
      <c r="BR504">
        <v>220</v>
      </c>
      <c r="BS504">
        <v>100</v>
      </c>
      <c r="BT504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504" s="75">
        <f ca="1">ROUND((Table61011[[#This Row],[XP]]*Table61011[[#This Row],[entity_spawned (AVG)]])*(Table61011[[#This Row],[activating_chance]]/100),0)</f>
        <v>50</v>
      </c>
      <c r="BV50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04" s="72">
        <v>1</v>
      </c>
      <c r="BX504" s="72">
        <v>1</v>
      </c>
      <c r="BY504" s="72" t="b">
        <v>0</v>
      </c>
      <c r="DH504" t="s">
        <v>537</v>
      </c>
      <c r="DI504">
        <v>1</v>
      </c>
      <c r="DJ504">
        <v>160</v>
      </c>
      <c r="DK504">
        <v>100</v>
      </c>
      <c r="DL504" s="75">
        <f ca="1">INDIRECT(ADDRESS(11+(MATCH(RIGHT(Table14[[#This Row],[spawner_sku]],LEN(Table14[[#This Row],[spawner_sku]])-FIND("/",Table14[[#This Row],[spawner_sku]])),Table1[Entity Prefab],0)),10,1,1,"Entities"))</f>
        <v>75</v>
      </c>
      <c r="DM504" s="75">
        <f ca="1">ROUND((Table14[[#This Row],[XP]]*Table14[[#This Row],[entity_spawned (AVG)]])*(Table14[[#This Row],[activating_chance]]/100),0)</f>
        <v>75</v>
      </c>
      <c r="DN50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04" s="72">
        <v>1</v>
      </c>
      <c r="DP504" s="72">
        <v>1</v>
      </c>
      <c r="DQ504" s="72" t="b">
        <v>0</v>
      </c>
    </row>
    <row r="505" spans="2:121" x14ac:dyDescent="0.25">
      <c r="B505" s="73" t="s">
        <v>250</v>
      </c>
      <c r="C505">
        <v>1</v>
      </c>
      <c r="D505">
        <v>230</v>
      </c>
      <c r="E505">
        <v>100</v>
      </c>
      <c r="F505" s="75">
        <f ca="1">INDIRECT(ADDRESS(11+(MATCH(RIGHT(Table245[[#This Row],[spawner_sku]],LEN(Table245[[#This Row],[spawner_sku]])-FIND("/",Table245[[#This Row],[spawner_sku]])),Table1[Entity Prefab],0)),10,1,1,"Entities"))</f>
        <v>83</v>
      </c>
      <c r="G505" s="75">
        <f ca="1">ROUND((Table245[[#This Row],[XP]]*Table245[[#This Row],[entity_spawned (AVG)]])*(Table245[[#This Row],[activating_chance]]/100),0)</f>
        <v>83</v>
      </c>
      <c r="H50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05" s="72">
        <v>1</v>
      </c>
      <c r="J505" s="72">
        <v>1</v>
      </c>
      <c r="K505" s="72" t="b">
        <v>0</v>
      </c>
      <c r="BP505" t="s">
        <v>511</v>
      </c>
      <c r="BQ505">
        <v>1</v>
      </c>
      <c r="BR505">
        <v>220</v>
      </c>
      <c r="BS505">
        <v>100</v>
      </c>
      <c r="BT505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505" s="75">
        <f ca="1">ROUND((Table61011[[#This Row],[XP]]*Table61011[[#This Row],[entity_spawned (AVG)]])*(Table61011[[#This Row],[activating_chance]]/100),0)</f>
        <v>50</v>
      </c>
      <c r="BV50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05" s="72">
        <v>1</v>
      </c>
      <c r="BX505" s="72">
        <v>1</v>
      </c>
      <c r="BY505" s="72" t="b">
        <v>0</v>
      </c>
      <c r="DH505" t="s">
        <v>537</v>
      </c>
      <c r="DI505">
        <v>1</v>
      </c>
      <c r="DJ505">
        <v>160</v>
      </c>
      <c r="DK505">
        <v>100</v>
      </c>
      <c r="DL505" s="75">
        <f ca="1">INDIRECT(ADDRESS(11+(MATCH(RIGHT(Table14[[#This Row],[spawner_sku]],LEN(Table14[[#This Row],[spawner_sku]])-FIND("/",Table14[[#This Row],[spawner_sku]])),Table1[Entity Prefab],0)),10,1,1,"Entities"))</f>
        <v>75</v>
      </c>
      <c r="DM505" s="75">
        <f ca="1">ROUND((Table14[[#This Row],[XP]]*Table14[[#This Row],[entity_spawned (AVG)]])*(Table14[[#This Row],[activating_chance]]/100),0)</f>
        <v>75</v>
      </c>
      <c r="DN50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05" s="72">
        <v>1</v>
      </c>
      <c r="DP505" s="72">
        <v>1</v>
      </c>
      <c r="DQ505" s="72" t="b">
        <v>0</v>
      </c>
    </row>
    <row r="506" spans="2:121" x14ac:dyDescent="0.25">
      <c r="B506" s="73" t="s">
        <v>250</v>
      </c>
      <c r="C506">
        <v>1</v>
      </c>
      <c r="D506">
        <v>240</v>
      </c>
      <c r="E506">
        <v>40</v>
      </c>
      <c r="F506" s="75">
        <f ca="1">INDIRECT(ADDRESS(11+(MATCH(RIGHT(Table245[[#This Row],[spawner_sku]],LEN(Table245[[#This Row],[spawner_sku]])-FIND("/",Table245[[#This Row],[spawner_sku]])),Table1[Entity Prefab],0)),10,1,1,"Entities"))</f>
        <v>83</v>
      </c>
      <c r="G506" s="75">
        <f ca="1">ROUND((Table245[[#This Row],[XP]]*Table245[[#This Row],[entity_spawned (AVG)]])*(Table245[[#This Row],[activating_chance]]/100),0)</f>
        <v>33</v>
      </c>
      <c r="H50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06" s="72">
        <v>1</v>
      </c>
      <c r="J506" s="72">
        <v>1</v>
      </c>
      <c r="K506" s="72" t="b">
        <v>0</v>
      </c>
      <c r="BP506" t="s">
        <v>387</v>
      </c>
      <c r="BQ506">
        <v>1</v>
      </c>
      <c r="BR506">
        <v>300</v>
      </c>
      <c r="BS506">
        <v>100</v>
      </c>
      <c r="BT506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506" s="75">
        <f ca="1">ROUND((Table61011[[#This Row],[XP]]*Table61011[[#This Row],[entity_spawned (AVG)]])*(Table61011[[#This Row],[activating_chance]]/100),0)</f>
        <v>83</v>
      </c>
      <c r="BV50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06" s="72">
        <v>1</v>
      </c>
      <c r="BX506" s="72">
        <v>1</v>
      </c>
      <c r="BY506" s="72" t="b">
        <v>0</v>
      </c>
      <c r="DH506" t="s">
        <v>537</v>
      </c>
      <c r="DI506">
        <v>1</v>
      </c>
      <c r="DJ506">
        <v>175</v>
      </c>
      <c r="DK506">
        <v>80</v>
      </c>
      <c r="DL506" s="75">
        <f ca="1">INDIRECT(ADDRESS(11+(MATCH(RIGHT(Table14[[#This Row],[spawner_sku]],LEN(Table14[[#This Row],[spawner_sku]])-FIND("/",Table14[[#This Row],[spawner_sku]])),Table1[Entity Prefab],0)),10,1,1,"Entities"))</f>
        <v>75</v>
      </c>
      <c r="DM506" s="75">
        <f ca="1">ROUND((Table14[[#This Row],[XP]]*Table14[[#This Row],[entity_spawned (AVG)]])*(Table14[[#This Row],[activating_chance]]/100),0)</f>
        <v>60</v>
      </c>
      <c r="DN50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06" s="72">
        <v>1</v>
      </c>
      <c r="DP506" s="72">
        <v>1</v>
      </c>
      <c r="DQ506" s="72" t="b">
        <v>0</v>
      </c>
    </row>
    <row r="507" spans="2:121" x14ac:dyDescent="0.25">
      <c r="B507" s="73" t="s">
        <v>250</v>
      </c>
      <c r="C507">
        <v>1</v>
      </c>
      <c r="D507">
        <v>230</v>
      </c>
      <c r="E507">
        <v>100</v>
      </c>
      <c r="F507" s="75">
        <f ca="1">INDIRECT(ADDRESS(11+(MATCH(RIGHT(Table245[[#This Row],[spawner_sku]],LEN(Table245[[#This Row],[spawner_sku]])-FIND("/",Table245[[#This Row],[spawner_sku]])),Table1[Entity Prefab],0)),10,1,1,"Entities"))</f>
        <v>83</v>
      </c>
      <c r="G507" s="75">
        <f ca="1">ROUND((Table245[[#This Row],[XP]]*Table245[[#This Row],[entity_spawned (AVG)]])*(Table245[[#This Row],[activating_chance]]/100),0)</f>
        <v>83</v>
      </c>
      <c r="H50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07" s="72">
        <v>1</v>
      </c>
      <c r="J507" s="72">
        <v>1</v>
      </c>
      <c r="K507" s="72" t="b">
        <v>0</v>
      </c>
      <c r="DH507" t="s">
        <v>537</v>
      </c>
      <c r="DI507">
        <v>1</v>
      </c>
      <c r="DJ507">
        <v>140</v>
      </c>
      <c r="DK507">
        <v>100</v>
      </c>
      <c r="DL507" s="75">
        <f ca="1">INDIRECT(ADDRESS(11+(MATCH(RIGHT(Table14[[#This Row],[spawner_sku]],LEN(Table14[[#This Row],[spawner_sku]])-FIND("/",Table14[[#This Row],[spawner_sku]])),Table1[Entity Prefab],0)),10,1,1,"Entities"))</f>
        <v>75</v>
      </c>
      <c r="DM507" s="75">
        <f ca="1">ROUND((Table14[[#This Row],[XP]]*Table14[[#This Row],[entity_spawned (AVG)]])*(Table14[[#This Row],[activating_chance]]/100),0)</f>
        <v>75</v>
      </c>
      <c r="DN50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07" s="72">
        <v>1</v>
      </c>
      <c r="DP507" s="72">
        <v>1</v>
      </c>
      <c r="DQ507" s="72" t="b">
        <v>0</v>
      </c>
    </row>
    <row r="508" spans="2:121" x14ac:dyDescent="0.25">
      <c r="B508" s="73" t="s">
        <v>250</v>
      </c>
      <c r="C508">
        <v>1</v>
      </c>
      <c r="D508">
        <v>230</v>
      </c>
      <c r="E508">
        <v>60</v>
      </c>
      <c r="F508" s="75">
        <f ca="1">INDIRECT(ADDRESS(11+(MATCH(RIGHT(Table245[[#This Row],[spawner_sku]],LEN(Table245[[#This Row],[spawner_sku]])-FIND("/",Table245[[#This Row],[spawner_sku]])),Table1[Entity Prefab],0)),10,1,1,"Entities"))</f>
        <v>83</v>
      </c>
      <c r="G508" s="75">
        <f ca="1">ROUND((Table245[[#This Row],[XP]]*Table245[[#This Row],[entity_spawned (AVG)]])*(Table245[[#This Row],[activating_chance]]/100),0)</f>
        <v>50</v>
      </c>
      <c r="H50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08" s="72">
        <v>1</v>
      </c>
      <c r="J508" s="72">
        <v>1</v>
      </c>
      <c r="K508" s="72" t="b">
        <v>0</v>
      </c>
      <c r="DH508" t="s">
        <v>537</v>
      </c>
      <c r="DI508">
        <v>1</v>
      </c>
      <c r="DJ508">
        <v>120</v>
      </c>
      <c r="DK508">
        <v>100</v>
      </c>
      <c r="DL508" s="75">
        <f ca="1">INDIRECT(ADDRESS(11+(MATCH(RIGHT(Table14[[#This Row],[spawner_sku]],LEN(Table14[[#This Row],[spawner_sku]])-FIND("/",Table14[[#This Row],[spawner_sku]])),Table1[Entity Prefab],0)),10,1,1,"Entities"))</f>
        <v>75</v>
      </c>
      <c r="DM508" s="75">
        <f ca="1">ROUND((Table14[[#This Row],[XP]]*Table14[[#This Row],[entity_spawned (AVG)]])*(Table14[[#This Row],[activating_chance]]/100),0)</f>
        <v>75</v>
      </c>
      <c r="DN50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08" s="72">
        <v>1</v>
      </c>
      <c r="DP508" s="72">
        <v>1</v>
      </c>
      <c r="DQ508" s="72" t="b">
        <v>0</v>
      </c>
    </row>
    <row r="509" spans="2:121" x14ac:dyDescent="0.25">
      <c r="B509" s="73" t="s">
        <v>338</v>
      </c>
      <c r="C509">
        <v>1</v>
      </c>
      <c r="D509">
        <v>230</v>
      </c>
      <c r="E509">
        <v>60</v>
      </c>
      <c r="F509" s="75">
        <f ca="1">INDIRECT(ADDRESS(11+(MATCH(RIGHT(Table245[[#This Row],[spawner_sku]],LEN(Table245[[#This Row],[spawner_sku]])-FIND("/",Table245[[#This Row],[spawner_sku]])),Table1[Entity Prefab],0)),10,1,1,"Entities"))</f>
        <v>83</v>
      </c>
      <c r="G509" s="75">
        <f ca="1">ROUND((Table245[[#This Row],[XP]]*Table245[[#This Row],[entity_spawned (AVG)]])*(Table245[[#This Row],[activating_chance]]/100),0)</f>
        <v>50</v>
      </c>
      <c r="H50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09" s="72">
        <v>1</v>
      </c>
      <c r="J509" s="72">
        <v>1</v>
      </c>
      <c r="K509" s="72" t="b">
        <v>0</v>
      </c>
      <c r="DH509" t="s">
        <v>537</v>
      </c>
      <c r="DI509">
        <v>1</v>
      </c>
      <c r="DJ509">
        <v>135</v>
      </c>
      <c r="DK509">
        <v>100</v>
      </c>
      <c r="DL509" s="75">
        <f ca="1">INDIRECT(ADDRESS(11+(MATCH(RIGHT(Table14[[#This Row],[spawner_sku]],LEN(Table14[[#This Row],[spawner_sku]])-FIND("/",Table14[[#This Row],[spawner_sku]])),Table1[Entity Prefab],0)),10,1,1,"Entities"))</f>
        <v>75</v>
      </c>
      <c r="DM509" s="75">
        <f ca="1">ROUND((Table14[[#This Row],[XP]]*Table14[[#This Row],[entity_spawned (AVG)]])*(Table14[[#This Row],[activating_chance]]/100),0)</f>
        <v>75</v>
      </c>
      <c r="DN50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09" s="72">
        <v>1</v>
      </c>
      <c r="DP509" s="72">
        <v>1</v>
      </c>
      <c r="DQ509" s="72" t="b">
        <v>0</v>
      </c>
    </row>
    <row r="510" spans="2:121" x14ac:dyDescent="0.25">
      <c r="B510" s="73" t="s">
        <v>447</v>
      </c>
      <c r="C510">
        <v>1</v>
      </c>
      <c r="D510">
        <v>260</v>
      </c>
      <c r="E510">
        <v>100</v>
      </c>
      <c r="F510" s="75">
        <f ca="1">INDIRECT(ADDRESS(11+(MATCH(RIGHT(Table245[[#This Row],[spawner_sku]],LEN(Table245[[#This Row],[spawner_sku]])-FIND("/",Table245[[#This Row],[spawner_sku]])),Table1[Entity Prefab],0)),10,1,1,"Entities"))</f>
        <v>50</v>
      </c>
      <c r="G510" s="75">
        <f ca="1">ROUND((Table245[[#This Row],[XP]]*Table245[[#This Row],[entity_spawned (AVG)]])*(Table245[[#This Row],[activating_chance]]/100),0)</f>
        <v>50</v>
      </c>
      <c r="H51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10" s="72">
        <v>1</v>
      </c>
      <c r="J510" s="72">
        <v>1</v>
      </c>
      <c r="K510" s="72" t="b">
        <v>0</v>
      </c>
      <c r="DH510" t="s">
        <v>537</v>
      </c>
      <c r="DI510">
        <v>1</v>
      </c>
      <c r="DJ510">
        <v>140</v>
      </c>
      <c r="DK510">
        <v>100</v>
      </c>
      <c r="DL510" s="75">
        <f ca="1">INDIRECT(ADDRESS(11+(MATCH(RIGHT(Table14[[#This Row],[spawner_sku]],LEN(Table14[[#This Row],[spawner_sku]])-FIND("/",Table14[[#This Row],[spawner_sku]])),Table1[Entity Prefab],0)),10,1,1,"Entities"))</f>
        <v>75</v>
      </c>
      <c r="DM510" s="75">
        <f ca="1">ROUND((Table14[[#This Row],[XP]]*Table14[[#This Row],[entity_spawned (AVG)]])*(Table14[[#This Row],[activating_chance]]/100),0)</f>
        <v>75</v>
      </c>
      <c r="DN51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10" s="72">
        <v>1</v>
      </c>
      <c r="DP510" s="72">
        <v>1</v>
      </c>
      <c r="DQ510" s="72" t="b">
        <v>0</v>
      </c>
    </row>
    <row r="511" spans="2:121" x14ac:dyDescent="0.25">
      <c r="B511" s="73" t="s">
        <v>447</v>
      </c>
      <c r="C511">
        <v>1</v>
      </c>
      <c r="D511">
        <v>260</v>
      </c>
      <c r="E511">
        <v>100</v>
      </c>
      <c r="F511" s="75">
        <f ca="1">INDIRECT(ADDRESS(11+(MATCH(RIGHT(Table245[[#This Row],[spawner_sku]],LEN(Table245[[#This Row],[spawner_sku]])-FIND("/",Table245[[#This Row],[spawner_sku]])),Table1[Entity Prefab],0)),10,1,1,"Entities"))</f>
        <v>50</v>
      </c>
      <c r="G511" s="75">
        <f ca="1">ROUND((Table245[[#This Row],[XP]]*Table245[[#This Row],[entity_spawned (AVG)]])*(Table245[[#This Row],[activating_chance]]/100),0)</f>
        <v>50</v>
      </c>
      <c r="H51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11" s="72">
        <v>1</v>
      </c>
      <c r="J511" s="72">
        <v>1</v>
      </c>
      <c r="K511" s="72" t="b">
        <v>0</v>
      </c>
      <c r="DH511" t="s">
        <v>537</v>
      </c>
      <c r="DI511">
        <v>1</v>
      </c>
      <c r="DJ511">
        <v>150</v>
      </c>
      <c r="DK511">
        <v>100</v>
      </c>
      <c r="DL511" s="75">
        <f ca="1">INDIRECT(ADDRESS(11+(MATCH(RIGHT(Table14[[#This Row],[spawner_sku]],LEN(Table14[[#This Row],[spawner_sku]])-FIND("/",Table14[[#This Row],[spawner_sku]])),Table1[Entity Prefab],0)),10,1,1,"Entities"))</f>
        <v>75</v>
      </c>
      <c r="DM511" s="75">
        <f ca="1">ROUND((Table14[[#This Row],[XP]]*Table14[[#This Row],[entity_spawned (AVG)]])*(Table14[[#This Row],[activating_chance]]/100),0)</f>
        <v>75</v>
      </c>
      <c r="DN51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11" s="72">
        <v>1</v>
      </c>
      <c r="DP511" s="72">
        <v>1</v>
      </c>
      <c r="DQ511" s="72" t="b">
        <v>0</v>
      </c>
    </row>
    <row r="512" spans="2:121" x14ac:dyDescent="0.25">
      <c r="B512" s="73" t="s">
        <v>251</v>
      </c>
      <c r="C512">
        <v>1</v>
      </c>
      <c r="D512">
        <v>260</v>
      </c>
      <c r="E512">
        <v>100</v>
      </c>
      <c r="F512" s="75">
        <f ca="1">INDIRECT(ADDRESS(11+(MATCH(RIGHT(Table245[[#This Row],[spawner_sku]],LEN(Table245[[#This Row],[spawner_sku]])-FIND("/",Table245[[#This Row],[spawner_sku]])),Table1[Entity Prefab],0)),10,1,1,"Entities"))</f>
        <v>83</v>
      </c>
      <c r="G512" s="75">
        <f ca="1">ROUND((Table245[[#This Row],[XP]]*Table245[[#This Row],[entity_spawned (AVG)]])*(Table245[[#This Row],[activating_chance]]/100),0)</f>
        <v>83</v>
      </c>
      <c r="H51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12" s="72">
        <v>1</v>
      </c>
      <c r="J512" s="72">
        <v>1</v>
      </c>
      <c r="K512" s="72" t="b">
        <v>0</v>
      </c>
      <c r="DH512" t="s">
        <v>537</v>
      </c>
      <c r="DI512">
        <v>1</v>
      </c>
      <c r="DJ512">
        <v>135</v>
      </c>
      <c r="DK512">
        <v>100</v>
      </c>
      <c r="DL512" s="75">
        <f ca="1">INDIRECT(ADDRESS(11+(MATCH(RIGHT(Table14[[#This Row],[spawner_sku]],LEN(Table14[[#This Row],[spawner_sku]])-FIND("/",Table14[[#This Row],[spawner_sku]])),Table1[Entity Prefab],0)),10,1,1,"Entities"))</f>
        <v>75</v>
      </c>
      <c r="DM512" s="75">
        <f ca="1">ROUND((Table14[[#This Row],[XP]]*Table14[[#This Row],[entity_spawned (AVG)]])*(Table14[[#This Row],[activating_chance]]/100),0)</f>
        <v>75</v>
      </c>
      <c r="DN51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12" s="72">
        <v>1</v>
      </c>
      <c r="DP512" s="72">
        <v>1</v>
      </c>
      <c r="DQ512" s="72" t="b">
        <v>0</v>
      </c>
    </row>
    <row r="513" spans="2:121" x14ac:dyDescent="0.25">
      <c r="B513" s="73" t="s">
        <v>251</v>
      </c>
      <c r="C513">
        <v>1</v>
      </c>
      <c r="D513">
        <v>270</v>
      </c>
      <c r="E513">
        <v>40</v>
      </c>
      <c r="F513" s="75">
        <f ca="1">INDIRECT(ADDRESS(11+(MATCH(RIGHT(Table245[[#This Row],[spawner_sku]],LEN(Table245[[#This Row],[spawner_sku]])-FIND("/",Table245[[#This Row],[spawner_sku]])),Table1[Entity Prefab],0)),10,1,1,"Entities"))</f>
        <v>83</v>
      </c>
      <c r="G513" s="75">
        <f ca="1">ROUND((Table245[[#This Row],[XP]]*Table245[[#This Row],[entity_spawned (AVG)]])*(Table245[[#This Row],[activating_chance]]/100),0)</f>
        <v>33</v>
      </c>
      <c r="H51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13" s="72">
        <v>1</v>
      </c>
      <c r="J513" s="72">
        <v>1</v>
      </c>
      <c r="K513" s="72" t="b">
        <v>0</v>
      </c>
      <c r="DH513" t="s">
        <v>537</v>
      </c>
      <c r="DI513">
        <v>1</v>
      </c>
      <c r="DJ513">
        <v>130</v>
      </c>
      <c r="DK513">
        <v>70</v>
      </c>
      <c r="DL513" s="75">
        <f ca="1">INDIRECT(ADDRESS(11+(MATCH(RIGHT(Table14[[#This Row],[spawner_sku]],LEN(Table14[[#This Row],[spawner_sku]])-FIND("/",Table14[[#This Row],[spawner_sku]])),Table1[Entity Prefab],0)),10,1,1,"Entities"))</f>
        <v>75</v>
      </c>
      <c r="DM513" s="75">
        <f ca="1">ROUND((Table14[[#This Row],[XP]]*Table14[[#This Row],[entity_spawned (AVG)]])*(Table14[[#This Row],[activating_chance]]/100),0)</f>
        <v>53</v>
      </c>
      <c r="DN51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13" s="72">
        <v>1</v>
      </c>
      <c r="DP513" s="72">
        <v>1</v>
      </c>
      <c r="DQ513" s="72" t="b">
        <v>0</v>
      </c>
    </row>
    <row r="514" spans="2:121" x14ac:dyDescent="0.25">
      <c r="B514" s="73" t="s">
        <v>251</v>
      </c>
      <c r="C514">
        <v>1</v>
      </c>
      <c r="D514">
        <v>240</v>
      </c>
      <c r="E514">
        <v>70</v>
      </c>
      <c r="F514" s="75">
        <f ca="1">INDIRECT(ADDRESS(11+(MATCH(RIGHT(Table245[[#This Row],[spawner_sku]],LEN(Table245[[#This Row],[spawner_sku]])-FIND("/",Table245[[#This Row],[spawner_sku]])),Table1[Entity Prefab],0)),10,1,1,"Entities"))</f>
        <v>83</v>
      </c>
      <c r="G514" s="75">
        <f ca="1">ROUND((Table245[[#This Row],[XP]]*Table245[[#This Row],[entity_spawned (AVG)]])*(Table245[[#This Row],[activating_chance]]/100),0)</f>
        <v>58</v>
      </c>
      <c r="H51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14" s="72">
        <v>1</v>
      </c>
      <c r="J514" s="72">
        <v>1</v>
      </c>
      <c r="K514" s="72" t="b">
        <v>0</v>
      </c>
      <c r="DH514" t="s">
        <v>537</v>
      </c>
      <c r="DI514">
        <v>1</v>
      </c>
      <c r="DJ514">
        <v>150</v>
      </c>
      <c r="DK514">
        <v>100</v>
      </c>
      <c r="DL514" s="75">
        <f ca="1">INDIRECT(ADDRESS(11+(MATCH(RIGHT(Table14[[#This Row],[spawner_sku]],LEN(Table14[[#This Row],[spawner_sku]])-FIND("/",Table14[[#This Row],[spawner_sku]])),Table1[Entity Prefab],0)),10,1,1,"Entities"))</f>
        <v>75</v>
      </c>
      <c r="DM514" s="75">
        <f ca="1">ROUND((Table14[[#This Row],[XP]]*Table14[[#This Row],[entity_spawned (AVG)]])*(Table14[[#This Row],[activating_chance]]/100),0)</f>
        <v>75</v>
      </c>
      <c r="DN51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14" s="72">
        <v>1</v>
      </c>
      <c r="DP514" s="72">
        <v>1</v>
      </c>
      <c r="DQ514" s="72" t="b">
        <v>0</v>
      </c>
    </row>
    <row r="515" spans="2:121" x14ac:dyDescent="0.25">
      <c r="B515" s="73" t="s">
        <v>251</v>
      </c>
      <c r="C515">
        <v>1</v>
      </c>
      <c r="D515">
        <v>280</v>
      </c>
      <c r="E515">
        <v>20</v>
      </c>
      <c r="F515" s="75">
        <f ca="1">INDIRECT(ADDRESS(11+(MATCH(RIGHT(Table245[[#This Row],[spawner_sku]],LEN(Table245[[#This Row],[spawner_sku]])-FIND("/",Table245[[#This Row],[spawner_sku]])),Table1[Entity Prefab],0)),10,1,1,"Entities"))</f>
        <v>83</v>
      </c>
      <c r="G515" s="75">
        <f ca="1">ROUND((Table245[[#This Row],[XP]]*Table245[[#This Row],[entity_spawned (AVG)]])*(Table245[[#This Row],[activating_chance]]/100),0)</f>
        <v>17</v>
      </c>
      <c r="H51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15" s="72">
        <v>1</v>
      </c>
      <c r="J515" s="72">
        <v>1</v>
      </c>
      <c r="K515" s="72" t="b">
        <v>0</v>
      </c>
      <c r="DH515" t="s">
        <v>537</v>
      </c>
      <c r="DI515">
        <v>1</v>
      </c>
      <c r="DJ515">
        <v>175</v>
      </c>
      <c r="DK515">
        <v>80</v>
      </c>
      <c r="DL515" s="75">
        <f ca="1">INDIRECT(ADDRESS(11+(MATCH(RIGHT(Table14[[#This Row],[spawner_sku]],LEN(Table14[[#This Row],[spawner_sku]])-FIND("/",Table14[[#This Row],[spawner_sku]])),Table1[Entity Prefab],0)),10,1,1,"Entities"))</f>
        <v>75</v>
      </c>
      <c r="DM515" s="75">
        <f ca="1">ROUND((Table14[[#This Row],[XP]]*Table14[[#This Row],[entity_spawned (AVG)]])*(Table14[[#This Row],[activating_chance]]/100),0)</f>
        <v>60</v>
      </c>
      <c r="DN51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15" s="72">
        <v>1</v>
      </c>
      <c r="DP515" s="72">
        <v>1</v>
      </c>
      <c r="DQ515" s="72" t="b">
        <v>0</v>
      </c>
    </row>
    <row r="516" spans="2:121" x14ac:dyDescent="0.25">
      <c r="B516" s="73" t="s">
        <v>347</v>
      </c>
      <c r="C516">
        <v>1</v>
      </c>
      <c r="D516">
        <v>180</v>
      </c>
      <c r="E516">
        <v>100</v>
      </c>
      <c r="F516" s="75">
        <f ca="1">INDIRECT(ADDRESS(11+(MATCH(RIGHT(Table245[[#This Row],[spawner_sku]],LEN(Table245[[#This Row],[spawner_sku]])-FIND("/",Table245[[#This Row],[spawner_sku]])),Table1[Entity Prefab],0)),10,1,1,"Entities"))</f>
        <v>50</v>
      </c>
      <c r="G516" s="75">
        <f ca="1">ROUND((Table245[[#This Row],[XP]]*Table245[[#This Row],[entity_spawned (AVG)]])*(Table245[[#This Row],[activating_chance]]/100),0)</f>
        <v>50</v>
      </c>
      <c r="H51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16" s="72">
        <v>1</v>
      </c>
      <c r="J516" s="72">
        <v>1</v>
      </c>
      <c r="K516" s="72" t="b">
        <v>0</v>
      </c>
      <c r="DH516" t="s">
        <v>537</v>
      </c>
      <c r="DI516">
        <v>1</v>
      </c>
      <c r="DJ516">
        <v>100</v>
      </c>
      <c r="DK516">
        <v>100</v>
      </c>
      <c r="DL516" s="75">
        <f ca="1">INDIRECT(ADDRESS(11+(MATCH(RIGHT(Table14[[#This Row],[spawner_sku]],LEN(Table14[[#This Row],[spawner_sku]])-FIND("/",Table14[[#This Row],[spawner_sku]])),Table1[Entity Prefab],0)),10,1,1,"Entities"))</f>
        <v>75</v>
      </c>
      <c r="DM516" s="75">
        <f ca="1">ROUND((Table14[[#This Row],[XP]]*Table14[[#This Row],[entity_spawned (AVG)]])*(Table14[[#This Row],[activating_chance]]/100),0)</f>
        <v>75</v>
      </c>
      <c r="DN51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16" s="72">
        <v>1</v>
      </c>
      <c r="DP516" s="72">
        <v>1</v>
      </c>
      <c r="DQ516" s="72" t="b">
        <v>0</v>
      </c>
    </row>
    <row r="517" spans="2:121" x14ac:dyDescent="0.25">
      <c r="B517" s="73" t="s">
        <v>252</v>
      </c>
      <c r="C517">
        <v>1</v>
      </c>
      <c r="D517">
        <v>190</v>
      </c>
      <c r="E517">
        <v>60</v>
      </c>
      <c r="F517" s="75">
        <f ca="1">INDIRECT(ADDRESS(11+(MATCH(RIGHT(Table245[[#This Row],[spawner_sku]],LEN(Table245[[#This Row],[spawner_sku]])-FIND("/",Table245[[#This Row],[spawner_sku]])),Table1[Entity Prefab],0)),10,1,1,"Entities"))</f>
        <v>75</v>
      </c>
      <c r="G517" s="75">
        <f ca="1">ROUND((Table245[[#This Row],[XP]]*Table245[[#This Row],[entity_spawned (AVG)]])*(Table245[[#This Row],[activating_chance]]/100),0)</f>
        <v>45</v>
      </c>
      <c r="H51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17" s="72">
        <v>1</v>
      </c>
      <c r="J517" s="72">
        <v>1</v>
      </c>
      <c r="K517" s="72" t="b">
        <v>0</v>
      </c>
      <c r="DH517" t="s">
        <v>537</v>
      </c>
      <c r="DI517">
        <v>1</v>
      </c>
      <c r="DJ517">
        <v>100</v>
      </c>
      <c r="DK517">
        <v>100</v>
      </c>
      <c r="DL517" s="75">
        <f ca="1">INDIRECT(ADDRESS(11+(MATCH(RIGHT(Table14[[#This Row],[spawner_sku]],LEN(Table14[[#This Row],[spawner_sku]])-FIND("/",Table14[[#This Row],[spawner_sku]])),Table1[Entity Prefab],0)),10,1,1,"Entities"))</f>
        <v>75</v>
      </c>
      <c r="DM517" s="75">
        <f ca="1">ROUND((Table14[[#This Row],[XP]]*Table14[[#This Row],[entity_spawned (AVG)]])*(Table14[[#This Row],[activating_chance]]/100),0)</f>
        <v>75</v>
      </c>
      <c r="DN51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17" s="72">
        <v>1</v>
      </c>
      <c r="DP517" s="72">
        <v>1</v>
      </c>
      <c r="DQ517" s="72" t="b">
        <v>0</v>
      </c>
    </row>
    <row r="518" spans="2:121" x14ac:dyDescent="0.25">
      <c r="B518" s="73" t="s">
        <v>252</v>
      </c>
      <c r="C518">
        <v>1</v>
      </c>
      <c r="D518">
        <v>160</v>
      </c>
      <c r="E518">
        <v>100</v>
      </c>
      <c r="F518" s="75">
        <f ca="1">INDIRECT(ADDRESS(11+(MATCH(RIGHT(Table245[[#This Row],[spawner_sku]],LEN(Table245[[#This Row],[spawner_sku]])-FIND("/",Table245[[#This Row],[spawner_sku]])),Table1[Entity Prefab],0)),10,1,1,"Entities"))</f>
        <v>75</v>
      </c>
      <c r="G518" s="75">
        <f ca="1">ROUND((Table245[[#This Row],[XP]]*Table245[[#This Row],[entity_spawned (AVG)]])*(Table245[[#This Row],[activating_chance]]/100),0)</f>
        <v>75</v>
      </c>
      <c r="H51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18" s="72">
        <v>1</v>
      </c>
      <c r="J518" s="72">
        <v>1</v>
      </c>
      <c r="K518" s="72" t="b">
        <v>0</v>
      </c>
      <c r="DH518" t="s">
        <v>537</v>
      </c>
      <c r="DI518">
        <v>1</v>
      </c>
      <c r="DJ518">
        <v>150</v>
      </c>
      <c r="DK518">
        <v>100</v>
      </c>
      <c r="DL518" s="75">
        <f ca="1">INDIRECT(ADDRESS(11+(MATCH(RIGHT(Table14[[#This Row],[spawner_sku]],LEN(Table14[[#This Row],[spawner_sku]])-FIND("/",Table14[[#This Row],[spawner_sku]])),Table1[Entity Prefab],0)),10,1,1,"Entities"))</f>
        <v>75</v>
      </c>
      <c r="DM518" s="75">
        <f ca="1">ROUND((Table14[[#This Row],[XP]]*Table14[[#This Row],[entity_spawned (AVG)]])*(Table14[[#This Row],[activating_chance]]/100),0)</f>
        <v>75</v>
      </c>
      <c r="DN51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18" s="72">
        <v>1</v>
      </c>
      <c r="DP518" s="72">
        <v>1</v>
      </c>
      <c r="DQ518" s="72" t="b">
        <v>0</v>
      </c>
    </row>
    <row r="519" spans="2:121" x14ac:dyDescent="0.25">
      <c r="B519" s="73" t="s">
        <v>252</v>
      </c>
      <c r="C519">
        <v>1</v>
      </c>
      <c r="D519">
        <v>170</v>
      </c>
      <c r="E519">
        <v>100</v>
      </c>
      <c r="F519" s="75">
        <f ca="1">INDIRECT(ADDRESS(11+(MATCH(RIGHT(Table245[[#This Row],[spawner_sku]],LEN(Table245[[#This Row],[spawner_sku]])-FIND("/",Table245[[#This Row],[spawner_sku]])),Table1[Entity Prefab],0)),10,1,1,"Entities"))</f>
        <v>75</v>
      </c>
      <c r="G519" s="75">
        <f ca="1">ROUND((Table245[[#This Row],[XP]]*Table245[[#This Row],[entity_spawned (AVG)]])*(Table245[[#This Row],[activating_chance]]/100),0)</f>
        <v>75</v>
      </c>
      <c r="H51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19" s="72">
        <v>1</v>
      </c>
      <c r="J519" s="72">
        <v>1</v>
      </c>
      <c r="K519" s="72" t="b">
        <v>0</v>
      </c>
      <c r="DH519" t="s">
        <v>537</v>
      </c>
      <c r="DI519">
        <v>1</v>
      </c>
      <c r="DJ519">
        <v>150</v>
      </c>
      <c r="DK519">
        <v>100</v>
      </c>
      <c r="DL519" s="75">
        <f ca="1">INDIRECT(ADDRESS(11+(MATCH(RIGHT(Table14[[#This Row],[spawner_sku]],LEN(Table14[[#This Row],[spawner_sku]])-FIND("/",Table14[[#This Row],[spawner_sku]])),Table1[Entity Prefab],0)),10,1,1,"Entities"))</f>
        <v>75</v>
      </c>
      <c r="DM519" s="75">
        <f ca="1">ROUND((Table14[[#This Row],[XP]]*Table14[[#This Row],[entity_spawned (AVG)]])*(Table14[[#This Row],[activating_chance]]/100),0)</f>
        <v>75</v>
      </c>
      <c r="DN51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19" s="72">
        <v>1</v>
      </c>
      <c r="DP519" s="72">
        <v>1</v>
      </c>
      <c r="DQ519" s="72" t="b">
        <v>0</v>
      </c>
    </row>
    <row r="520" spans="2:121" x14ac:dyDescent="0.25">
      <c r="B520" s="73" t="s">
        <v>252</v>
      </c>
      <c r="C520">
        <v>1</v>
      </c>
      <c r="D520">
        <v>190</v>
      </c>
      <c r="E520">
        <v>100</v>
      </c>
      <c r="F520" s="75">
        <f ca="1">INDIRECT(ADDRESS(11+(MATCH(RIGHT(Table245[[#This Row],[spawner_sku]],LEN(Table245[[#This Row],[spawner_sku]])-FIND("/",Table245[[#This Row],[spawner_sku]])),Table1[Entity Prefab],0)),10,1,1,"Entities"))</f>
        <v>75</v>
      </c>
      <c r="G520" s="75">
        <f ca="1">ROUND((Table245[[#This Row],[XP]]*Table245[[#This Row],[entity_spawned (AVG)]])*(Table245[[#This Row],[activating_chance]]/100),0)</f>
        <v>75</v>
      </c>
      <c r="H52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20" s="72">
        <v>1</v>
      </c>
      <c r="J520" s="72">
        <v>1</v>
      </c>
      <c r="K520" s="72" t="b">
        <v>0</v>
      </c>
      <c r="DH520" t="s">
        <v>537</v>
      </c>
      <c r="DI520">
        <v>1</v>
      </c>
      <c r="DJ520">
        <v>200</v>
      </c>
      <c r="DK520">
        <v>100</v>
      </c>
      <c r="DL520" s="75">
        <f ca="1">INDIRECT(ADDRESS(11+(MATCH(RIGHT(Table14[[#This Row],[spawner_sku]],LEN(Table14[[#This Row],[spawner_sku]])-FIND("/",Table14[[#This Row],[spawner_sku]])),Table1[Entity Prefab],0)),10,1,1,"Entities"))</f>
        <v>75</v>
      </c>
      <c r="DM520" s="75">
        <f ca="1">ROUND((Table14[[#This Row],[XP]]*Table14[[#This Row],[entity_spawned (AVG)]])*(Table14[[#This Row],[activating_chance]]/100),0)</f>
        <v>75</v>
      </c>
      <c r="DN52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20" s="72">
        <v>1</v>
      </c>
      <c r="DP520" s="72">
        <v>1</v>
      </c>
      <c r="DQ520" s="72" t="b">
        <v>0</v>
      </c>
    </row>
    <row r="521" spans="2:121" x14ac:dyDescent="0.25">
      <c r="B521" s="73" t="s">
        <v>252</v>
      </c>
      <c r="C521">
        <v>1</v>
      </c>
      <c r="D521">
        <v>160</v>
      </c>
      <c r="E521">
        <v>100</v>
      </c>
      <c r="F521" s="75">
        <f ca="1">INDIRECT(ADDRESS(11+(MATCH(RIGHT(Table245[[#This Row],[spawner_sku]],LEN(Table245[[#This Row],[spawner_sku]])-FIND("/",Table245[[#This Row],[spawner_sku]])),Table1[Entity Prefab],0)),10,1,1,"Entities"))</f>
        <v>75</v>
      </c>
      <c r="G521" s="75">
        <f ca="1">ROUND((Table245[[#This Row],[XP]]*Table245[[#This Row],[entity_spawned (AVG)]])*(Table245[[#This Row],[activating_chance]]/100),0)</f>
        <v>75</v>
      </c>
      <c r="H52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21" s="72">
        <v>1</v>
      </c>
      <c r="J521" s="72">
        <v>1</v>
      </c>
      <c r="K521" s="72" t="b">
        <v>0</v>
      </c>
      <c r="DH521" t="s">
        <v>537</v>
      </c>
      <c r="DI521">
        <v>1</v>
      </c>
      <c r="DJ521">
        <v>110</v>
      </c>
      <c r="DK521">
        <v>100</v>
      </c>
      <c r="DL521" s="75">
        <f ca="1">INDIRECT(ADDRESS(11+(MATCH(RIGHT(Table14[[#This Row],[spawner_sku]],LEN(Table14[[#This Row],[spawner_sku]])-FIND("/",Table14[[#This Row],[spawner_sku]])),Table1[Entity Prefab],0)),10,1,1,"Entities"))</f>
        <v>75</v>
      </c>
      <c r="DM521" s="75">
        <f ca="1">ROUND((Table14[[#This Row],[XP]]*Table14[[#This Row],[entity_spawned (AVG)]])*(Table14[[#This Row],[activating_chance]]/100),0)</f>
        <v>75</v>
      </c>
      <c r="DN52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21" s="72">
        <v>1</v>
      </c>
      <c r="DP521" s="72">
        <v>1</v>
      </c>
      <c r="DQ521" s="72" t="b">
        <v>0</v>
      </c>
    </row>
    <row r="522" spans="2:121" x14ac:dyDescent="0.25">
      <c r="B522" s="73" t="s">
        <v>252</v>
      </c>
      <c r="C522">
        <v>1</v>
      </c>
      <c r="D522">
        <v>160</v>
      </c>
      <c r="E522">
        <v>100</v>
      </c>
      <c r="F522" s="75">
        <f ca="1">INDIRECT(ADDRESS(11+(MATCH(RIGHT(Table245[[#This Row],[spawner_sku]],LEN(Table245[[#This Row],[spawner_sku]])-FIND("/",Table245[[#This Row],[spawner_sku]])),Table1[Entity Prefab],0)),10,1,1,"Entities"))</f>
        <v>75</v>
      </c>
      <c r="G522" s="75">
        <f ca="1">ROUND((Table245[[#This Row],[XP]]*Table245[[#This Row],[entity_spawned (AVG)]])*(Table245[[#This Row],[activating_chance]]/100),0)</f>
        <v>75</v>
      </c>
      <c r="H52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22" s="72">
        <v>1</v>
      </c>
      <c r="J522" s="72">
        <v>1</v>
      </c>
      <c r="K522" s="72" t="b">
        <v>0</v>
      </c>
      <c r="DH522" t="s">
        <v>537</v>
      </c>
      <c r="DI522">
        <v>1</v>
      </c>
      <c r="DJ522">
        <v>100</v>
      </c>
      <c r="DK522">
        <v>100</v>
      </c>
      <c r="DL522" s="75">
        <f ca="1">INDIRECT(ADDRESS(11+(MATCH(RIGHT(Table14[[#This Row],[spawner_sku]],LEN(Table14[[#This Row],[spawner_sku]])-FIND("/",Table14[[#This Row],[spawner_sku]])),Table1[Entity Prefab],0)),10,1,1,"Entities"))</f>
        <v>75</v>
      </c>
      <c r="DM522" s="75">
        <f ca="1">ROUND((Table14[[#This Row],[XP]]*Table14[[#This Row],[entity_spawned (AVG)]])*(Table14[[#This Row],[activating_chance]]/100),0)</f>
        <v>75</v>
      </c>
      <c r="DN52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22" s="72">
        <v>1</v>
      </c>
      <c r="DP522" s="72">
        <v>1</v>
      </c>
      <c r="DQ522" s="72" t="b">
        <v>0</v>
      </c>
    </row>
    <row r="523" spans="2:121" x14ac:dyDescent="0.25">
      <c r="B523" s="73" t="s">
        <v>252</v>
      </c>
      <c r="C523">
        <v>1</v>
      </c>
      <c r="D523">
        <v>180</v>
      </c>
      <c r="E523">
        <v>60</v>
      </c>
      <c r="F523" s="75">
        <f ca="1">INDIRECT(ADDRESS(11+(MATCH(RIGHT(Table245[[#This Row],[spawner_sku]],LEN(Table245[[#This Row],[spawner_sku]])-FIND("/",Table245[[#This Row],[spawner_sku]])),Table1[Entity Prefab],0)),10,1,1,"Entities"))</f>
        <v>75</v>
      </c>
      <c r="G523" s="75">
        <f ca="1">ROUND((Table245[[#This Row],[XP]]*Table245[[#This Row],[entity_spawned (AVG)]])*(Table245[[#This Row],[activating_chance]]/100),0)</f>
        <v>45</v>
      </c>
      <c r="H52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23" s="72">
        <v>1</v>
      </c>
      <c r="J523" s="72">
        <v>1</v>
      </c>
      <c r="K523" s="72" t="b">
        <v>0</v>
      </c>
      <c r="DH523" t="s">
        <v>537</v>
      </c>
      <c r="DI523">
        <v>1</v>
      </c>
      <c r="DJ523">
        <v>120</v>
      </c>
      <c r="DK523">
        <v>100</v>
      </c>
      <c r="DL523" s="75">
        <f ca="1">INDIRECT(ADDRESS(11+(MATCH(RIGHT(Table14[[#This Row],[spawner_sku]],LEN(Table14[[#This Row],[spawner_sku]])-FIND("/",Table14[[#This Row],[spawner_sku]])),Table1[Entity Prefab],0)),10,1,1,"Entities"))</f>
        <v>75</v>
      </c>
      <c r="DM523" s="75">
        <f ca="1">ROUND((Table14[[#This Row],[XP]]*Table14[[#This Row],[entity_spawned (AVG)]])*(Table14[[#This Row],[activating_chance]]/100),0)</f>
        <v>75</v>
      </c>
      <c r="DN52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23" s="72">
        <v>1</v>
      </c>
      <c r="DP523" s="72">
        <v>1</v>
      </c>
      <c r="DQ523" s="72" t="b">
        <v>0</v>
      </c>
    </row>
    <row r="524" spans="2:121" x14ac:dyDescent="0.25">
      <c r="B524" s="73" t="s">
        <v>252</v>
      </c>
      <c r="C524">
        <v>1</v>
      </c>
      <c r="D524">
        <v>160</v>
      </c>
      <c r="E524">
        <v>100</v>
      </c>
      <c r="F524" s="75">
        <f ca="1">INDIRECT(ADDRESS(11+(MATCH(RIGHT(Table245[[#This Row],[spawner_sku]],LEN(Table245[[#This Row],[spawner_sku]])-FIND("/",Table245[[#This Row],[spawner_sku]])),Table1[Entity Prefab],0)),10,1,1,"Entities"))</f>
        <v>75</v>
      </c>
      <c r="G524" s="75">
        <f ca="1">ROUND((Table245[[#This Row],[XP]]*Table245[[#This Row],[entity_spawned (AVG)]])*(Table245[[#This Row],[activating_chance]]/100),0)</f>
        <v>75</v>
      </c>
      <c r="H52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24" s="72">
        <v>1</v>
      </c>
      <c r="J524" s="72">
        <v>1</v>
      </c>
      <c r="K524" s="72" t="b">
        <v>0</v>
      </c>
      <c r="DH524" t="s">
        <v>537</v>
      </c>
      <c r="DI524">
        <v>1</v>
      </c>
      <c r="DJ524">
        <v>150</v>
      </c>
      <c r="DK524">
        <v>100</v>
      </c>
      <c r="DL524" s="75">
        <f ca="1">INDIRECT(ADDRESS(11+(MATCH(RIGHT(Table14[[#This Row],[spawner_sku]],LEN(Table14[[#This Row],[spawner_sku]])-FIND("/",Table14[[#This Row],[spawner_sku]])),Table1[Entity Prefab],0)),10,1,1,"Entities"))</f>
        <v>75</v>
      </c>
      <c r="DM524" s="75">
        <f ca="1">ROUND((Table14[[#This Row],[XP]]*Table14[[#This Row],[entity_spawned (AVG)]])*(Table14[[#This Row],[activating_chance]]/100),0)</f>
        <v>75</v>
      </c>
      <c r="DN52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24" s="72">
        <v>1</v>
      </c>
      <c r="DP524" s="72">
        <v>1</v>
      </c>
      <c r="DQ524" s="72" t="b">
        <v>0</v>
      </c>
    </row>
    <row r="525" spans="2:121" x14ac:dyDescent="0.25">
      <c r="B525" s="73" t="s">
        <v>252</v>
      </c>
      <c r="C525">
        <v>1</v>
      </c>
      <c r="D525">
        <v>160</v>
      </c>
      <c r="E525">
        <v>100</v>
      </c>
      <c r="F525" s="75">
        <f ca="1">INDIRECT(ADDRESS(11+(MATCH(RIGHT(Table245[[#This Row],[spawner_sku]],LEN(Table245[[#This Row],[spawner_sku]])-FIND("/",Table245[[#This Row],[spawner_sku]])),Table1[Entity Prefab],0)),10,1,1,"Entities"))</f>
        <v>75</v>
      </c>
      <c r="G525" s="75">
        <f ca="1">ROUND((Table245[[#This Row],[XP]]*Table245[[#This Row],[entity_spawned (AVG)]])*(Table245[[#This Row],[activating_chance]]/100),0)</f>
        <v>75</v>
      </c>
      <c r="H52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25" s="72">
        <v>1</v>
      </c>
      <c r="J525" s="72">
        <v>1</v>
      </c>
      <c r="K525" s="72" t="b">
        <v>0</v>
      </c>
      <c r="DH525" t="s">
        <v>537</v>
      </c>
      <c r="DI525">
        <v>1</v>
      </c>
      <c r="DJ525">
        <v>140</v>
      </c>
      <c r="DK525">
        <v>100</v>
      </c>
      <c r="DL525" s="75">
        <f ca="1">INDIRECT(ADDRESS(11+(MATCH(RIGHT(Table14[[#This Row],[spawner_sku]],LEN(Table14[[#This Row],[spawner_sku]])-FIND("/",Table14[[#This Row],[spawner_sku]])),Table1[Entity Prefab],0)),10,1,1,"Entities"))</f>
        <v>75</v>
      </c>
      <c r="DM525" s="75">
        <f ca="1">ROUND((Table14[[#This Row],[XP]]*Table14[[#This Row],[entity_spawned (AVG)]])*(Table14[[#This Row],[activating_chance]]/100),0)</f>
        <v>75</v>
      </c>
      <c r="DN52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25" s="72">
        <v>1</v>
      </c>
      <c r="DP525" s="72">
        <v>1</v>
      </c>
      <c r="DQ525" s="72" t="b">
        <v>0</v>
      </c>
    </row>
    <row r="526" spans="2:121" x14ac:dyDescent="0.25">
      <c r="B526" s="73" t="s">
        <v>252</v>
      </c>
      <c r="C526">
        <v>1</v>
      </c>
      <c r="D526">
        <v>180</v>
      </c>
      <c r="E526">
        <v>100</v>
      </c>
      <c r="F526" s="75">
        <f ca="1">INDIRECT(ADDRESS(11+(MATCH(RIGHT(Table245[[#This Row],[spawner_sku]],LEN(Table245[[#This Row],[spawner_sku]])-FIND("/",Table245[[#This Row],[spawner_sku]])),Table1[Entity Prefab],0)),10,1,1,"Entities"))</f>
        <v>75</v>
      </c>
      <c r="G526" s="75">
        <f ca="1">ROUND((Table245[[#This Row],[XP]]*Table245[[#This Row],[entity_spawned (AVG)]])*(Table245[[#This Row],[activating_chance]]/100),0)</f>
        <v>75</v>
      </c>
      <c r="H52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26" s="72">
        <v>1</v>
      </c>
      <c r="J526" s="72">
        <v>1</v>
      </c>
      <c r="K526" s="72" t="b">
        <v>0</v>
      </c>
      <c r="DH526" t="s">
        <v>537</v>
      </c>
      <c r="DI526">
        <v>1</v>
      </c>
      <c r="DJ526">
        <v>130</v>
      </c>
      <c r="DK526">
        <v>100</v>
      </c>
      <c r="DL526" s="75">
        <f ca="1">INDIRECT(ADDRESS(11+(MATCH(RIGHT(Table14[[#This Row],[spawner_sku]],LEN(Table14[[#This Row],[spawner_sku]])-FIND("/",Table14[[#This Row],[spawner_sku]])),Table1[Entity Prefab],0)),10,1,1,"Entities"))</f>
        <v>75</v>
      </c>
      <c r="DM526" s="75">
        <f ca="1">ROUND((Table14[[#This Row],[XP]]*Table14[[#This Row],[entity_spawned (AVG)]])*(Table14[[#This Row],[activating_chance]]/100),0)</f>
        <v>75</v>
      </c>
      <c r="DN52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26" s="72">
        <v>1</v>
      </c>
      <c r="DP526" s="72">
        <v>1</v>
      </c>
      <c r="DQ526" s="72" t="b">
        <v>0</v>
      </c>
    </row>
    <row r="527" spans="2:121" x14ac:dyDescent="0.25">
      <c r="B527" s="73" t="s">
        <v>252</v>
      </c>
      <c r="C527">
        <v>1</v>
      </c>
      <c r="D527">
        <v>190</v>
      </c>
      <c r="E527">
        <v>100</v>
      </c>
      <c r="F527" s="75">
        <f ca="1">INDIRECT(ADDRESS(11+(MATCH(RIGHT(Table245[[#This Row],[spawner_sku]],LEN(Table245[[#This Row],[spawner_sku]])-FIND("/",Table245[[#This Row],[spawner_sku]])),Table1[Entity Prefab],0)),10,1,1,"Entities"))</f>
        <v>75</v>
      </c>
      <c r="G527" s="75">
        <f ca="1">ROUND((Table245[[#This Row],[XP]]*Table245[[#This Row],[entity_spawned (AVG)]])*(Table245[[#This Row],[activating_chance]]/100),0)</f>
        <v>75</v>
      </c>
      <c r="H52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27" s="72">
        <v>1</v>
      </c>
      <c r="J527" s="72">
        <v>1</v>
      </c>
      <c r="K527" s="72" t="b">
        <v>0</v>
      </c>
      <c r="DH527" t="s">
        <v>537</v>
      </c>
      <c r="DI527">
        <v>1</v>
      </c>
      <c r="DJ527">
        <v>150</v>
      </c>
      <c r="DK527">
        <v>100</v>
      </c>
      <c r="DL527" s="75">
        <f ca="1">INDIRECT(ADDRESS(11+(MATCH(RIGHT(Table14[[#This Row],[spawner_sku]],LEN(Table14[[#This Row],[spawner_sku]])-FIND("/",Table14[[#This Row],[spawner_sku]])),Table1[Entity Prefab],0)),10,1,1,"Entities"))</f>
        <v>75</v>
      </c>
      <c r="DM527" s="75">
        <f ca="1">ROUND((Table14[[#This Row],[XP]]*Table14[[#This Row],[entity_spawned (AVG)]])*(Table14[[#This Row],[activating_chance]]/100),0)</f>
        <v>75</v>
      </c>
      <c r="DN52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27" s="72">
        <v>1</v>
      </c>
      <c r="DP527" s="72">
        <v>1</v>
      </c>
      <c r="DQ527" s="72" t="b">
        <v>0</v>
      </c>
    </row>
    <row r="528" spans="2:121" x14ac:dyDescent="0.25">
      <c r="B528" s="73" t="s">
        <v>252</v>
      </c>
      <c r="C528">
        <v>1</v>
      </c>
      <c r="D528">
        <v>160</v>
      </c>
      <c r="E528">
        <v>100</v>
      </c>
      <c r="F528" s="75">
        <f ca="1">INDIRECT(ADDRESS(11+(MATCH(RIGHT(Table245[[#This Row],[spawner_sku]],LEN(Table245[[#This Row],[spawner_sku]])-FIND("/",Table245[[#This Row],[spawner_sku]])),Table1[Entity Prefab],0)),10,1,1,"Entities"))</f>
        <v>75</v>
      </c>
      <c r="G528" s="75">
        <f ca="1">ROUND((Table245[[#This Row],[XP]]*Table245[[#This Row],[entity_spawned (AVG)]])*(Table245[[#This Row],[activating_chance]]/100),0)</f>
        <v>75</v>
      </c>
      <c r="H52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28" s="72">
        <v>1</v>
      </c>
      <c r="J528" s="72">
        <v>1</v>
      </c>
      <c r="K528" s="72" t="b">
        <v>0</v>
      </c>
      <c r="DH528" t="s">
        <v>537</v>
      </c>
      <c r="DI528">
        <v>1</v>
      </c>
      <c r="DJ528">
        <v>145</v>
      </c>
      <c r="DK528">
        <v>100</v>
      </c>
      <c r="DL528" s="75">
        <f ca="1">INDIRECT(ADDRESS(11+(MATCH(RIGHT(Table14[[#This Row],[spawner_sku]],LEN(Table14[[#This Row],[spawner_sku]])-FIND("/",Table14[[#This Row],[spawner_sku]])),Table1[Entity Prefab],0)),10,1,1,"Entities"))</f>
        <v>75</v>
      </c>
      <c r="DM528" s="75">
        <f ca="1">ROUND((Table14[[#This Row],[XP]]*Table14[[#This Row],[entity_spawned (AVG)]])*(Table14[[#This Row],[activating_chance]]/100),0)</f>
        <v>75</v>
      </c>
      <c r="DN52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28" s="72">
        <v>1</v>
      </c>
      <c r="DP528" s="72">
        <v>1</v>
      </c>
      <c r="DQ528" s="72" t="b">
        <v>0</v>
      </c>
    </row>
    <row r="529" spans="2:121" x14ac:dyDescent="0.25">
      <c r="B529" s="73" t="s">
        <v>252</v>
      </c>
      <c r="C529">
        <v>1</v>
      </c>
      <c r="D529">
        <v>220</v>
      </c>
      <c r="E529">
        <v>40</v>
      </c>
      <c r="F529" s="75">
        <f ca="1">INDIRECT(ADDRESS(11+(MATCH(RIGHT(Table245[[#This Row],[spawner_sku]],LEN(Table245[[#This Row],[spawner_sku]])-FIND("/",Table245[[#This Row],[spawner_sku]])),Table1[Entity Prefab],0)),10,1,1,"Entities"))</f>
        <v>75</v>
      </c>
      <c r="G529" s="75">
        <f ca="1">ROUND((Table245[[#This Row],[XP]]*Table245[[#This Row],[entity_spawned (AVG)]])*(Table245[[#This Row],[activating_chance]]/100),0)</f>
        <v>30</v>
      </c>
      <c r="H52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29" s="72">
        <v>1</v>
      </c>
      <c r="J529" s="72">
        <v>1</v>
      </c>
      <c r="K529" s="72" t="b">
        <v>0</v>
      </c>
      <c r="DH529" t="s">
        <v>537</v>
      </c>
      <c r="DI529">
        <v>1</v>
      </c>
      <c r="DJ529">
        <v>140</v>
      </c>
      <c r="DK529">
        <v>100</v>
      </c>
      <c r="DL529" s="75">
        <f ca="1">INDIRECT(ADDRESS(11+(MATCH(RIGHT(Table14[[#This Row],[spawner_sku]],LEN(Table14[[#This Row],[spawner_sku]])-FIND("/",Table14[[#This Row],[spawner_sku]])),Table1[Entity Prefab],0)),10,1,1,"Entities"))</f>
        <v>75</v>
      </c>
      <c r="DM529" s="75">
        <f ca="1">ROUND((Table14[[#This Row],[XP]]*Table14[[#This Row],[entity_spawned (AVG)]])*(Table14[[#This Row],[activating_chance]]/100),0)</f>
        <v>75</v>
      </c>
      <c r="DN52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29" s="72">
        <v>1</v>
      </c>
      <c r="DP529" s="72">
        <v>1</v>
      </c>
      <c r="DQ529" s="72" t="b">
        <v>0</v>
      </c>
    </row>
    <row r="530" spans="2:121" x14ac:dyDescent="0.25">
      <c r="B530" s="73" t="s">
        <v>252</v>
      </c>
      <c r="C530">
        <v>1</v>
      </c>
      <c r="D530">
        <v>220</v>
      </c>
      <c r="E530">
        <v>40</v>
      </c>
      <c r="F530" s="75">
        <f ca="1">INDIRECT(ADDRESS(11+(MATCH(RIGHT(Table245[[#This Row],[spawner_sku]],LEN(Table245[[#This Row],[spawner_sku]])-FIND("/",Table245[[#This Row],[spawner_sku]])),Table1[Entity Prefab],0)),10,1,1,"Entities"))</f>
        <v>75</v>
      </c>
      <c r="G530" s="75">
        <f ca="1">ROUND((Table245[[#This Row],[XP]]*Table245[[#This Row],[entity_spawned (AVG)]])*(Table245[[#This Row],[activating_chance]]/100),0)</f>
        <v>30</v>
      </c>
      <c r="H53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30" s="72">
        <v>1</v>
      </c>
      <c r="J530" s="72">
        <v>1</v>
      </c>
      <c r="K530" s="72" t="b">
        <v>0</v>
      </c>
      <c r="DH530" t="s">
        <v>537</v>
      </c>
      <c r="DI530">
        <v>1</v>
      </c>
      <c r="DJ530">
        <v>150</v>
      </c>
      <c r="DK530">
        <v>100</v>
      </c>
      <c r="DL530" s="75">
        <f ca="1">INDIRECT(ADDRESS(11+(MATCH(RIGHT(Table14[[#This Row],[spawner_sku]],LEN(Table14[[#This Row],[spawner_sku]])-FIND("/",Table14[[#This Row],[spawner_sku]])),Table1[Entity Prefab],0)),10,1,1,"Entities"))</f>
        <v>75</v>
      </c>
      <c r="DM530" s="75">
        <f ca="1">ROUND((Table14[[#This Row],[XP]]*Table14[[#This Row],[entity_spawned (AVG)]])*(Table14[[#This Row],[activating_chance]]/100),0)</f>
        <v>75</v>
      </c>
      <c r="DN53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30" s="72">
        <v>1</v>
      </c>
      <c r="DP530" s="72">
        <v>1</v>
      </c>
      <c r="DQ530" s="72" t="b">
        <v>0</v>
      </c>
    </row>
    <row r="531" spans="2:121" x14ac:dyDescent="0.25">
      <c r="B531" s="73" t="s">
        <v>252</v>
      </c>
      <c r="C531">
        <v>1</v>
      </c>
      <c r="D531">
        <v>170</v>
      </c>
      <c r="E531">
        <v>100</v>
      </c>
      <c r="F531" s="75">
        <f ca="1">INDIRECT(ADDRESS(11+(MATCH(RIGHT(Table245[[#This Row],[spawner_sku]],LEN(Table245[[#This Row],[spawner_sku]])-FIND("/",Table245[[#This Row],[spawner_sku]])),Table1[Entity Prefab],0)),10,1,1,"Entities"))</f>
        <v>75</v>
      </c>
      <c r="G531" s="75">
        <f ca="1">ROUND((Table245[[#This Row],[XP]]*Table245[[#This Row],[entity_spawned (AVG)]])*(Table245[[#This Row],[activating_chance]]/100),0)</f>
        <v>75</v>
      </c>
      <c r="H53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31" s="72">
        <v>1</v>
      </c>
      <c r="J531" s="72">
        <v>1</v>
      </c>
      <c r="K531" s="72" t="b">
        <v>0</v>
      </c>
      <c r="DH531" t="s">
        <v>537</v>
      </c>
      <c r="DI531">
        <v>1</v>
      </c>
      <c r="DJ531">
        <v>100</v>
      </c>
      <c r="DK531">
        <v>100</v>
      </c>
      <c r="DL531" s="75">
        <f ca="1">INDIRECT(ADDRESS(11+(MATCH(RIGHT(Table14[[#This Row],[spawner_sku]],LEN(Table14[[#This Row],[spawner_sku]])-FIND("/",Table14[[#This Row],[spawner_sku]])),Table1[Entity Prefab],0)),10,1,1,"Entities"))</f>
        <v>75</v>
      </c>
      <c r="DM531" s="75">
        <f ca="1">ROUND((Table14[[#This Row],[XP]]*Table14[[#This Row],[entity_spawned (AVG)]])*(Table14[[#This Row],[activating_chance]]/100),0)</f>
        <v>75</v>
      </c>
      <c r="DN53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31" s="72">
        <v>1</v>
      </c>
      <c r="DP531" s="72">
        <v>1</v>
      </c>
      <c r="DQ531" s="72" t="b">
        <v>0</v>
      </c>
    </row>
    <row r="532" spans="2:121" x14ac:dyDescent="0.25">
      <c r="B532" s="73" t="s">
        <v>252</v>
      </c>
      <c r="C532">
        <v>1</v>
      </c>
      <c r="D532">
        <v>190</v>
      </c>
      <c r="E532">
        <v>100</v>
      </c>
      <c r="F532" s="75">
        <f ca="1">INDIRECT(ADDRESS(11+(MATCH(RIGHT(Table245[[#This Row],[spawner_sku]],LEN(Table245[[#This Row],[spawner_sku]])-FIND("/",Table245[[#This Row],[spawner_sku]])),Table1[Entity Prefab],0)),10,1,1,"Entities"))</f>
        <v>75</v>
      </c>
      <c r="G532" s="75">
        <f ca="1">ROUND((Table245[[#This Row],[XP]]*Table245[[#This Row],[entity_spawned (AVG)]])*(Table245[[#This Row],[activating_chance]]/100),0)</f>
        <v>75</v>
      </c>
      <c r="H53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32" s="72">
        <v>1</v>
      </c>
      <c r="J532" s="72">
        <v>1</v>
      </c>
      <c r="K532" s="72" t="b">
        <v>0</v>
      </c>
      <c r="DH532" t="s">
        <v>537</v>
      </c>
      <c r="DI532">
        <v>1</v>
      </c>
      <c r="DJ532">
        <v>150</v>
      </c>
      <c r="DK532">
        <v>100</v>
      </c>
      <c r="DL532" s="75">
        <f ca="1">INDIRECT(ADDRESS(11+(MATCH(RIGHT(Table14[[#This Row],[spawner_sku]],LEN(Table14[[#This Row],[spawner_sku]])-FIND("/",Table14[[#This Row],[spawner_sku]])),Table1[Entity Prefab],0)),10,1,1,"Entities"))</f>
        <v>75</v>
      </c>
      <c r="DM532" s="75">
        <f ca="1">ROUND((Table14[[#This Row],[XP]]*Table14[[#This Row],[entity_spawned (AVG)]])*(Table14[[#This Row],[activating_chance]]/100),0)</f>
        <v>75</v>
      </c>
      <c r="DN53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32" s="72">
        <v>1</v>
      </c>
      <c r="DP532" s="72">
        <v>1</v>
      </c>
      <c r="DQ532" s="72" t="b">
        <v>0</v>
      </c>
    </row>
    <row r="533" spans="2:121" x14ac:dyDescent="0.25">
      <c r="B533" s="73" t="s">
        <v>252</v>
      </c>
      <c r="C533">
        <v>1</v>
      </c>
      <c r="D533">
        <v>160</v>
      </c>
      <c r="E533">
        <v>60</v>
      </c>
      <c r="F533" s="75">
        <f ca="1">INDIRECT(ADDRESS(11+(MATCH(RIGHT(Table245[[#This Row],[spawner_sku]],LEN(Table245[[#This Row],[spawner_sku]])-FIND("/",Table245[[#This Row],[spawner_sku]])),Table1[Entity Prefab],0)),10,1,1,"Entities"))</f>
        <v>75</v>
      </c>
      <c r="G533" s="75">
        <f ca="1">ROUND((Table245[[#This Row],[XP]]*Table245[[#This Row],[entity_spawned (AVG)]])*(Table245[[#This Row],[activating_chance]]/100),0)</f>
        <v>45</v>
      </c>
      <c r="H53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33" s="72">
        <v>1</v>
      </c>
      <c r="J533" s="72">
        <v>1</v>
      </c>
      <c r="K533" s="72" t="b">
        <v>0</v>
      </c>
      <c r="DH533" t="s">
        <v>537</v>
      </c>
      <c r="DI533">
        <v>1</v>
      </c>
      <c r="DJ533">
        <v>110</v>
      </c>
      <c r="DK533">
        <v>100</v>
      </c>
      <c r="DL533" s="75">
        <f ca="1">INDIRECT(ADDRESS(11+(MATCH(RIGHT(Table14[[#This Row],[spawner_sku]],LEN(Table14[[#This Row],[spawner_sku]])-FIND("/",Table14[[#This Row],[spawner_sku]])),Table1[Entity Prefab],0)),10,1,1,"Entities"))</f>
        <v>75</v>
      </c>
      <c r="DM533" s="75">
        <f ca="1">ROUND((Table14[[#This Row],[XP]]*Table14[[#This Row],[entity_spawned (AVG)]])*(Table14[[#This Row],[activating_chance]]/100),0)</f>
        <v>75</v>
      </c>
      <c r="DN53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33" s="72">
        <v>1</v>
      </c>
      <c r="DP533" s="72">
        <v>1</v>
      </c>
      <c r="DQ533" s="72" t="b">
        <v>0</v>
      </c>
    </row>
    <row r="534" spans="2:121" x14ac:dyDescent="0.25">
      <c r="B534" s="73" t="s">
        <v>252</v>
      </c>
      <c r="C534">
        <v>1</v>
      </c>
      <c r="D534">
        <v>160</v>
      </c>
      <c r="E534">
        <v>30</v>
      </c>
      <c r="F534" s="75">
        <f ca="1">INDIRECT(ADDRESS(11+(MATCH(RIGHT(Table245[[#This Row],[spawner_sku]],LEN(Table245[[#This Row],[spawner_sku]])-FIND("/",Table245[[#This Row],[spawner_sku]])),Table1[Entity Prefab],0)),10,1,1,"Entities"))</f>
        <v>75</v>
      </c>
      <c r="G534" s="75">
        <f ca="1">ROUND((Table245[[#This Row],[XP]]*Table245[[#This Row],[entity_spawned (AVG)]])*(Table245[[#This Row],[activating_chance]]/100),0)</f>
        <v>23</v>
      </c>
      <c r="H53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34" s="72">
        <v>1</v>
      </c>
      <c r="J534" s="72">
        <v>1</v>
      </c>
      <c r="K534" s="72" t="b">
        <v>0</v>
      </c>
      <c r="DH534" t="s">
        <v>537</v>
      </c>
      <c r="DI534">
        <v>1</v>
      </c>
      <c r="DJ534">
        <v>100</v>
      </c>
      <c r="DK534">
        <v>100</v>
      </c>
      <c r="DL534" s="75">
        <f ca="1">INDIRECT(ADDRESS(11+(MATCH(RIGHT(Table14[[#This Row],[spawner_sku]],LEN(Table14[[#This Row],[spawner_sku]])-FIND("/",Table14[[#This Row],[spawner_sku]])),Table1[Entity Prefab],0)),10,1,1,"Entities"))</f>
        <v>75</v>
      </c>
      <c r="DM534" s="75">
        <f ca="1">ROUND((Table14[[#This Row],[XP]]*Table14[[#This Row],[entity_spawned (AVG)]])*(Table14[[#This Row],[activating_chance]]/100),0)</f>
        <v>75</v>
      </c>
      <c r="DN53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34" s="72">
        <v>1</v>
      </c>
      <c r="DP534" s="72">
        <v>1</v>
      </c>
      <c r="DQ534" s="72" t="b">
        <v>0</v>
      </c>
    </row>
    <row r="535" spans="2:121" x14ac:dyDescent="0.25">
      <c r="B535" s="73" t="s">
        <v>252</v>
      </c>
      <c r="C535">
        <v>1</v>
      </c>
      <c r="D535">
        <v>220</v>
      </c>
      <c r="E535">
        <v>75</v>
      </c>
      <c r="F535" s="75">
        <f ca="1">INDIRECT(ADDRESS(11+(MATCH(RIGHT(Table245[[#This Row],[spawner_sku]],LEN(Table245[[#This Row],[spawner_sku]])-FIND("/",Table245[[#This Row],[spawner_sku]])),Table1[Entity Prefab],0)),10,1,1,"Entities"))</f>
        <v>75</v>
      </c>
      <c r="G535" s="75">
        <f ca="1">ROUND((Table245[[#This Row],[XP]]*Table245[[#This Row],[entity_spawned (AVG)]])*(Table245[[#This Row],[activating_chance]]/100),0)</f>
        <v>56</v>
      </c>
      <c r="H53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35" s="72">
        <v>1</v>
      </c>
      <c r="J535" s="72">
        <v>1</v>
      </c>
      <c r="K535" s="72" t="b">
        <v>0</v>
      </c>
      <c r="DH535" t="s">
        <v>537</v>
      </c>
      <c r="DI535">
        <v>1</v>
      </c>
      <c r="DJ535">
        <v>140</v>
      </c>
      <c r="DK535">
        <v>100</v>
      </c>
      <c r="DL535" s="75">
        <f ca="1">INDIRECT(ADDRESS(11+(MATCH(RIGHT(Table14[[#This Row],[spawner_sku]],LEN(Table14[[#This Row],[spawner_sku]])-FIND("/",Table14[[#This Row],[spawner_sku]])),Table1[Entity Prefab],0)),10,1,1,"Entities"))</f>
        <v>75</v>
      </c>
      <c r="DM535" s="75">
        <f ca="1">ROUND((Table14[[#This Row],[XP]]*Table14[[#This Row],[entity_spawned (AVG)]])*(Table14[[#This Row],[activating_chance]]/100),0)</f>
        <v>75</v>
      </c>
      <c r="DN53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35" s="72">
        <v>1</v>
      </c>
      <c r="DP535" s="72">
        <v>1</v>
      </c>
      <c r="DQ535" s="72" t="b">
        <v>0</v>
      </c>
    </row>
    <row r="536" spans="2:121" x14ac:dyDescent="0.25">
      <c r="B536" s="73" t="s">
        <v>252</v>
      </c>
      <c r="C536">
        <v>1</v>
      </c>
      <c r="D536">
        <v>220</v>
      </c>
      <c r="E536">
        <v>75</v>
      </c>
      <c r="F536" s="75">
        <f ca="1">INDIRECT(ADDRESS(11+(MATCH(RIGHT(Table245[[#This Row],[spawner_sku]],LEN(Table245[[#This Row],[spawner_sku]])-FIND("/",Table245[[#This Row],[spawner_sku]])),Table1[Entity Prefab],0)),10,1,1,"Entities"))</f>
        <v>75</v>
      </c>
      <c r="G536" s="75">
        <f ca="1">ROUND((Table245[[#This Row],[XP]]*Table245[[#This Row],[entity_spawned (AVG)]])*(Table245[[#This Row],[activating_chance]]/100),0)</f>
        <v>56</v>
      </c>
      <c r="H53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36" s="72">
        <v>1</v>
      </c>
      <c r="J536" s="72">
        <v>1</v>
      </c>
      <c r="K536" s="72" t="b">
        <v>0</v>
      </c>
      <c r="DH536" t="s">
        <v>537</v>
      </c>
      <c r="DI536">
        <v>1</v>
      </c>
      <c r="DJ536">
        <v>140</v>
      </c>
      <c r="DK536">
        <v>80</v>
      </c>
      <c r="DL536" s="75">
        <f ca="1">INDIRECT(ADDRESS(11+(MATCH(RIGHT(Table14[[#This Row],[spawner_sku]],LEN(Table14[[#This Row],[spawner_sku]])-FIND("/",Table14[[#This Row],[spawner_sku]])),Table1[Entity Prefab],0)),10,1,1,"Entities"))</f>
        <v>75</v>
      </c>
      <c r="DM536" s="75">
        <f ca="1">ROUND((Table14[[#This Row],[XP]]*Table14[[#This Row],[entity_spawned (AVG)]])*(Table14[[#This Row],[activating_chance]]/100),0)</f>
        <v>60</v>
      </c>
      <c r="DN53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36" s="72">
        <v>1</v>
      </c>
      <c r="DP536" s="72">
        <v>1</v>
      </c>
      <c r="DQ536" s="72" t="b">
        <v>0</v>
      </c>
    </row>
    <row r="537" spans="2:121" x14ac:dyDescent="0.25">
      <c r="B537" s="73" t="s">
        <v>252</v>
      </c>
      <c r="C537">
        <v>1</v>
      </c>
      <c r="D537">
        <v>160</v>
      </c>
      <c r="E537">
        <v>80</v>
      </c>
      <c r="F537" s="75">
        <f ca="1">INDIRECT(ADDRESS(11+(MATCH(RIGHT(Table245[[#This Row],[spawner_sku]],LEN(Table245[[#This Row],[spawner_sku]])-FIND("/",Table245[[#This Row],[spawner_sku]])),Table1[Entity Prefab],0)),10,1,1,"Entities"))</f>
        <v>75</v>
      </c>
      <c r="G537" s="75">
        <f ca="1">ROUND((Table245[[#This Row],[XP]]*Table245[[#This Row],[entity_spawned (AVG)]])*(Table245[[#This Row],[activating_chance]]/100),0)</f>
        <v>60</v>
      </c>
      <c r="H53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37" s="72">
        <v>1</v>
      </c>
      <c r="J537" s="72">
        <v>1</v>
      </c>
      <c r="K537" s="72" t="b">
        <v>0</v>
      </c>
      <c r="DH537" t="s">
        <v>537</v>
      </c>
      <c r="DI537">
        <v>1</v>
      </c>
      <c r="DJ537">
        <v>135</v>
      </c>
      <c r="DK537">
        <v>100</v>
      </c>
      <c r="DL537" s="75">
        <f ca="1">INDIRECT(ADDRESS(11+(MATCH(RIGHT(Table14[[#This Row],[spawner_sku]],LEN(Table14[[#This Row],[spawner_sku]])-FIND("/",Table14[[#This Row],[spawner_sku]])),Table1[Entity Prefab],0)),10,1,1,"Entities"))</f>
        <v>75</v>
      </c>
      <c r="DM537" s="75">
        <f ca="1">ROUND((Table14[[#This Row],[XP]]*Table14[[#This Row],[entity_spawned (AVG)]])*(Table14[[#This Row],[activating_chance]]/100),0)</f>
        <v>75</v>
      </c>
      <c r="DN53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37" s="72">
        <v>1</v>
      </c>
      <c r="DP537" s="72">
        <v>1</v>
      </c>
      <c r="DQ537" s="72" t="b">
        <v>0</v>
      </c>
    </row>
    <row r="538" spans="2:121" x14ac:dyDescent="0.25">
      <c r="B538" s="73" t="s">
        <v>252</v>
      </c>
      <c r="C538">
        <v>1</v>
      </c>
      <c r="D538">
        <v>180</v>
      </c>
      <c r="E538">
        <v>100</v>
      </c>
      <c r="F538" s="75">
        <f ca="1">INDIRECT(ADDRESS(11+(MATCH(RIGHT(Table245[[#This Row],[spawner_sku]],LEN(Table245[[#This Row],[spawner_sku]])-FIND("/",Table245[[#This Row],[spawner_sku]])),Table1[Entity Prefab],0)),10,1,1,"Entities"))</f>
        <v>75</v>
      </c>
      <c r="G538" s="75">
        <f ca="1">ROUND((Table245[[#This Row],[XP]]*Table245[[#This Row],[entity_spawned (AVG)]])*(Table245[[#This Row],[activating_chance]]/100),0)</f>
        <v>75</v>
      </c>
      <c r="H53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38" s="72">
        <v>1</v>
      </c>
      <c r="J538" s="72">
        <v>1</v>
      </c>
      <c r="K538" s="72" t="b">
        <v>0</v>
      </c>
      <c r="DH538" t="s">
        <v>537</v>
      </c>
      <c r="DI538">
        <v>1</v>
      </c>
      <c r="DJ538">
        <v>120</v>
      </c>
      <c r="DK538">
        <v>100</v>
      </c>
      <c r="DL538" s="75">
        <f ca="1">INDIRECT(ADDRESS(11+(MATCH(RIGHT(Table14[[#This Row],[spawner_sku]],LEN(Table14[[#This Row],[spawner_sku]])-FIND("/",Table14[[#This Row],[spawner_sku]])),Table1[Entity Prefab],0)),10,1,1,"Entities"))</f>
        <v>75</v>
      </c>
      <c r="DM538" s="75">
        <f ca="1">ROUND((Table14[[#This Row],[XP]]*Table14[[#This Row],[entity_spawned (AVG)]])*(Table14[[#This Row],[activating_chance]]/100),0)</f>
        <v>75</v>
      </c>
      <c r="DN53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38" s="72">
        <v>1</v>
      </c>
      <c r="DP538" s="72">
        <v>1</v>
      </c>
      <c r="DQ538" s="72" t="b">
        <v>0</v>
      </c>
    </row>
    <row r="539" spans="2:121" x14ac:dyDescent="0.25">
      <c r="B539" s="73" t="s">
        <v>252</v>
      </c>
      <c r="C539">
        <v>1</v>
      </c>
      <c r="D539">
        <v>160</v>
      </c>
      <c r="E539">
        <v>100</v>
      </c>
      <c r="F539" s="75">
        <f ca="1">INDIRECT(ADDRESS(11+(MATCH(RIGHT(Table245[[#This Row],[spawner_sku]],LEN(Table245[[#This Row],[spawner_sku]])-FIND("/",Table245[[#This Row],[spawner_sku]])),Table1[Entity Prefab],0)),10,1,1,"Entities"))</f>
        <v>75</v>
      </c>
      <c r="G539" s="75">
        <f ca="1">ROUND((Table245[[#This Row],[XP]]*Table245[[#This Row],[entity_spawned (AVG)]])*(Table245[[#This Row],[activating_chance]]/100),0)</f>
        <v>75</v>
      </c>
      <c r="H53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39" s="72">
        <v>1</v>
      </c>
      <c r="J539" s="72">
        <v>1</v>
      </c>
      <c r="K539" s="72" t="b">
        <v>0</v>
      </c>
      <c r="DH539" t="s">
        <v>537</v>
      </c>
      <c r="DI539">
        <v>1</v>
      </c>
      <c r="DJ539">
        <v>140</v>
      </c>
      <c r="DK539">
        <v>100</v>
      </c>
      <c r="DL539" s="75">
        <f ca="1">INDIRECT(ADDRESS(11+(MATCH(RIGHT(Table14[[#This Row],[spawner_sku]],LEN(Table14[[#This Row],[spawner_sku]])-FIND("/",Table14[[#This Row],[spawner_sku]])),Table1[Entity Prefab],0)),10,1,1,"Entities"))</f>
        <v>75</v>
      </c>
      <c r="DM539" s="75">
        <f ca="1">ROUND((Table14[[#This Row],[XP]]*Table14[[#This Row],[entity_spawned (AVG)]])*(Table14[[#This Row],[activating_chance]]/100),0)</f>
        <v>75</v>
      </c>
      <c r="DN53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39" s="72">
        <v>1</v>
      </c>
      <c r="DP539" s="72">
        <v>1</v>
      </c>
      <c r="DQ539" s="72" t="b">
        <v>0</v>
      </c>
    </row>
    <row r="540" spans="2:121" x14ac:dyDescent="0.25">
      <c r="B540" s="73" t="s">
        <v>252</v>
      </c>
      <c r="C540">
        <v>1</v>
      </c>
      <c r="D540">
        <v>190</v>
      </c>
      <c r="E540">
        <v>80</v>
      </c>
      <c r="F540" s="75">
        <f ca="1">INDIRECT(ADDRESS(11+(MATCH(RIGHT(Table245[[#This Row],[spawner_sku]],LEN(Table245[[#This Row],[spawner_sku]])-FIND("/",Table245[[#This Row],[spawner_sku]])),Table1[Entity Prefab],0)),10,1,1,"Entities"))</f>
        <v>75</v>
      </c>
      <c r="G540" s="75">
        <f ca="1">ROUND((Table245[[#This Row],[XP]]*Table245[[#This Row],[entity_spawned (AVG)]])*(Table245[[#This Row],[activating_chance]]/100),0)</f>
        <v>60</v>
      </c>
      <c r="H54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40" s="72">
        <v>1</v>
      </c>
      <c r="J540" s="72">
        <v>1</v>
      </c>
      <c r="K540" s="72" t="b">
        <v>0</v>
      </c>
      <c r="DH540" t="s">
        <v>537</v>
      </c>
      <c r="DI540">
        <v>1</v>
      </c>
      <c r="DJ540">
        <v>100</v>
      </c>
      <c r="DK540">
        <v>100</v>
      </c>
      <c r="DL540" s="75">
        <f ca="1">INDIRECT(ADDRESS(11+(MATCH(RIGHT(Table14[[#This Row],[spawner_sku]],LEN(Table14[[#This Row],[spawner_sku]])-FIND("/",Table14[[#This Row],[spawner_sku]])),Table1[Entity Prefab],0)),10,1,1,"Entities"))</f>
        <v>75</v>
      </c>
      <c r="DM540" s="75">
        <f ca="1">ROUND((Table14[[#This Row],[XP]]*Table14[[#This Row],[entity_spawned (AVG)]])*(Table14[[#This Row],[activating_chance]]/100),0)</f>
        <v>75</v>
      </c>
      <c r="DN54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40" s="72">
        <v>1</v>
      </c>
      <c r="DP540" s="72">
        <v>1</v>
      </c>
      <c r="DQ540" s="72" t="b">
        <v>0</v>
      </c>
    </row>
    <row r="541" spans="2:121" x14ac:dyDescent="0.25">
      <c r="B541" s="73" t="s">
        <v>252</v>
      </c>
      <c r="C541">
        <v>1</v>
      </c>
      <c r="D541">
        <v>220</v>
      </c>
      <c r="E541">
        <v>100</v>
      </c>
      <c r="F541" s="75">
        <f ca="1">INDIRECT(ADDRESS(11+(MATCH(RIGHT(Table245[[#This Row],[spawner_sku]],LEN(Table245[[#This Row],[spawner_sku]])-FIND("/",Table245[[#This Row],[spawner_sku]])),Table1[Entity Prefab],0)),10,1,1,"Entities"))</f>
        <v>75</v>
      </c>
      <c r="G541" s="75">
        <f ca="1">ROUND((Table245[[#This Row],[XP]]*Table245[[#This Row],[entity_spawned (AVG)]])*(Table245[[#This Row],[activating_chance]]/100),0)</f>
        <v>75</v>
      </c>
      <c r="H54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41" s="72">
        <v>1</v>
      </c>
      <c r="J541" s="72">
        <v>1</v>
      </c>
      <c r="K541" s="72" t="b">
        <v>0</v>
      </c>
      <c r="DH541" t="s">
        <v>537</v>
      </c>
      <c r="DI541">
        <v>1</v>
      </c>
      <c r="DJ541">
        <v>140</v>
      </c>
      <c r="DK541">
        <v>100</v>
      </c>
      <c r="DL541" s="75">
        <f ca="1">INDIRECT(ADDRESS(11+(MATCH(RIGHT(Table14[[#This Row],[spawner_sku]],LEN(Table14[[#This Row],[spawner_sku]])-FIND("/",Table14[[#This Row],[spawner_sku]])),Table1[Entity Prefab],0)),10,1,1,"Entities"))</f>
        <v>75</v>
      </c>
      <c r="DM541" s="75">
        <f ca="1">ROUND((Table14[[#This Row],[XP]]*Table14[[#This Row],[entity_spawned (AVG)]])*(Table14[[#This Row],[activating_chance]]/100),0)</f>
        <v>75</v>
      </c>
      <c r="DN54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41" s="72">
        <v>1</v>
      </c>
      <c r="DP541" s="72">
        <v>1</v>
      </c>
      <c r="DQ541" s="72" t="b">
        <v>0</v>
      </c>
    </row>
    <row r="542" spans="2:121" x14ac:dyDescent="0.25">
      <c r="B542" s="73" t="s">
        <v>252</v>
      </c>
      <c r="C542">
        <v>1</v>
      </c>
      <c r="D542">
        <v>160</v>
      </c>
      <c r="E542">
        <v>60</v>
      </c>
      <c r="F542" s="75">
        <f ca="1">INDIRECT(ADDRESS(11+(MATCH(RIGHT(Table245[[#This Row],[spawner_sku]],LEN(Table245[[#This Row],[spawner_sku]])-FIND("/",Table245[[#This Row],[spawner_sku]])),Table1[Entity Prefab],0)),10,1,1,"Entities"))</f>
        <v>75</v>
      </c>
      <c r="G542" s="75">
        <f ca="1">ROUND((Table245[[#This Row],[XP]]*Table245[[#This Row],[entity_spawned (AVG)]])*(Table245[[#This Row],[activating_chance]]/100),0)</f>
        <v>45</v>
      </c>
      <c r="H54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42" s="72">
        <v>1</v>
      </c>
      <c r="J542" s="72">
        <v>1</v>
      </c>
      <c r="K542" s="72" t="b">
        <v>0</v>
      </c>
      <c r="DH542" t="s">
        <v>537</v>
      </c>
      <c r="DI542">
        <v>1</v>
      </c>
      <c r="DJ542">
        <v>140</v>
      </c>
      <c r="DK542">
        <v>100</v>
      </c>
      <c r="DL542" s="75">
        <f ca="1">INDIRECT(ADDRESS(11+(MATCH(RIGHT(Table14[[#This Row],[spawner_sku]],LEN(Table14[[#This Row],[spawner_sku]])-FIND("/",Table14[[#This Row],[spawner_sku]])),Table1[Entity Prefab],0)),10,1,1,"Entities"))</f>
        <v>75</v>
      </c>
      <c r="DM542" s="75">
        <f ca="1">ROUND((Table14[[#This Row],[XP]]*Table14[[#This Row],[entity_spawned (AVG)]])*(Table14[[#This Row],[activating_chance]]/100),0)</f>
        <v>75</v>
      </c>
      <c r="DN54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42" s="72">
        <v>1</v>
      </c>
      <c r="DP542" s="72">
        <v>1</v>
      </c>
      <c r="DQ542" s="72" t="b">
        <v>0</v>
      </c>
    </row>
    <row r="543" spans="2:121" x14ac:dyDescent="0.25">
      <c r="B543" s="73" t="s">
        <v>252</v>
      </c>
      <c r="C543">
        <v>1</v>
      </c>
      <c r="D543">
        <v>230</v>
      </c>
      <c r="E543">
        <v>100</v>
      </c>
      <c r="F543" s="75">
        <f ca="1">INDIRECT(ADDRESS(11+(MATCH(RIGHT(Table245[[#This Row],[spawner_sku]],LEN(Table245[[#This Row],[spawner_sku]])-FIND("/",Table245[[#This Row],[spawner_sku]])),Table1[Entity Prefab],0)),10,1,1,"Entities"))</f>
        <v>75</v>
      </c>
      <c r="G543" s="75">
        <f ca="1">ROUND((Table245[[#This Row],[XP]]*Table245[[#This Row],[entity_spawned (AVG)]])*(Table245[[#This Row],[activating_chance]]/100),0)</f>
        <v>75</v>
      </c>
      <c r="H54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43" s="72">
        <v>1</v>
      </c>
      <c r="J543" s="72">
        <v>1</v>
      </c>
      <c r="K543" s="72" t="b">
        <v>0</v>
      </c>
      <c r="DH543" t="s">
        <v>537</v>
      </c>
      <c r="DI543">
        <v>1</v>
      </c>
      <c r="DJ543">
        <v>140</v>
      </c>
      <c r="DK543">
        <v>100</v>
      </c>
      <c r="DL543" s="75">
        <f ca="1">INDIRECT(ADDRESS(11+(MATCH(RIGHT(Table14[[#This Row],[spawner_sku]],LEN(Table14[[#This Row],[spawner_sku]])-FIND("/",Table14[[#This Row],[spawner_sku]])),Table1[Entity Prefab],0)),10,1,1,"Entities"))</f>
        <v>75</v>
      </c>
      <c r="DM543" s="75">
        <f ca="1">ROUND((Table14[[#This Row],[XP]]*Table14[[#This Row],[entity_spawned (AVG)]])*(Table14[[#This Row],[activating_chance]]/100),0)</f>
        <v>75</v>
      </c>
      <c r="DN54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43" s="72">
        <v>1</v>
      </c>
      <c r="DP543" s="72">
        <v>1</v>
      </c>
      <c r="DQ543" s="72" t="b">
        <v>0</v>
      </c>
    </row>
    <row r="544" spans="2:121" x14ac:dyDescent="0.25">
      <c r="B544" s="73" t="s">
        <v>334</v>
      </c>
      <c r="C544">
        <v>1</v>
      </c>
      <c r="D544">
        <v>190</v>
      </c>
      <c r="E544">
        <v>100</v>
      </c>
      <c r="F544" s="75">
        <f ca="1">INDIRECT(ADDRESS(11+(MATCH(RIGHT(Table245[[#This Row],[spawner_sku]],LEN(Table245[[#This Row],[spawner_sku]])-FIND("/",Table245[[#This Row],[spawner_sku]])),Table1[Entity Prefab],0)),10,1,1,"Entities"))</f>
        <v>75</v>
      </c>
      <c r="G544" s="75">
        <f ca="1">ROUND((Table245[[#This Row],[XP]]*Table245[[#This Row],[entity_spawned (AVG)]])*(Table245[[#This Row],[activating_chance]]/100),0)</f>
        <v>75</v>
      </c>
      <c r="H54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44" s="72">
        <v>1</v>
      </c>
      <c r="J544" s="72">
        <v>1</v>
      </c>
      <c r="K544" s="72" t="b">
        <v>0</v>
      </c>
      <c r="DH544" t="s">
        <v>537</v>
      </c>
      <c r="DI544">
        <v>1</v>
      </c>
      <c r="DJ544">
        <v>150</v>
      </c>
      <c r="DK544">
        <v>100</v>
      </c>
      <c r="DL544" s="75">
        <f ca="1">INDIRECT(ADDRESS(11+(MATCH(RIGHT(Table14[[#This Row],[spawner_sku]],LEN(Table14[[#This Row],[spawner_sku]])-FIND("/",Table14[[#This Row],[spawner_sku]])),Table1[Entity Prefab],0)),10,1,1,"Entities"))</f>
        <v>75</v>
      </c>
      <c r="DM544" s="75">
        <f ca="1">ROUND((Table14[[#This Row],[XP]]*Table14[[#This Row],[entity_spawned (AVG)]])*(Table14[[#This Row],[activating_chance]]/100),0)</f>
        <v>75</v>
      </c>
      <c r="DN54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44" s="72">
        <v>1</v>
      </c>
      <c r="DP544" s="72">
        <v>1</v>
      </c>
      <c r="DQ544" s="72" t="b">
        <v>0</v>
      </c>
    </row>
    <row r="545" spans="2:121" x14ac:dyDescent="0.25">
      <c r="B545" s="73" t="s">
        <v>334</v>
      </c>
      <c r="C545">
        <v>1</v>
      </c>
      <c r="D545">
        <v>200</v>
      </c>
      <c r="E545">
        <v>100</v>
      </c>
      <c r="F545" s="75">
        <f ca="1">INDIRECT(ADDRESS(11+(MATCH(RIGHT(Table245[[#This Row],[spawner_sku]],LEN(Table245[[#This Row],[spawner_sku]])-FIND("/",Table245[[#This Row],[spawner_sku]])),Table1[Entity Prefab],0)),10,1,1,"Entities"))</f>
        <v>75</v>
      </c>
      <c r="G545" s="75">
        <f ca="1">ROUND((Table245[[#This Row],[XP]]*Table245[[#This Row],[entity_spawned (AVG)]])*(Table245[[#This Row],[activating_chance]]/100),0)</f>
        <v>75</v>
      </c>
      <c r="H54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45" s="72">
        <v>1</v>
      </c>
      <c r="J545" s="72">
        <v>1</v>
      </c>
      <c r="K545" s="72" t="b">
        <v>0</v>
      </c>
      <c r="DH545" t="s">
        <v>537</v>
      </c>
      <c r="DI545">
        <v>1</v>
      </c>
      <c r="DJ545">
        <v>140</v>
      </c>
      <c r="DK545">
        <v>80</v>
      </c>
      <c r="DL545" s="75">
        <f ca="1">INDIRECT(ADDRESS(11+(MATCH(RIGHT(Table14[[#This Row],[spawner_sku]],LEN(Table14[[#This Row],[spawner_sku]])-FIND("/",Table14[[#This Row],[spawner_sku]])),Table1[Entity Prefab],0)),10,1,1,"Entities"))</f>
        <v>75</v>
      </c>
      <c r="DM545" s="75">
        <f ca="1">ROUND((Table14[[#This Row],[XP]]*Table14[[#This Row],[entity_spawned (AVG)]])*(Table14[[#This Row],[activating_chance]]/100),0)</f>
        <v>60</v>
      </c>
      <c r="DN54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45" s="72">
        <v>1</v>
      </c>
      <c r="DP545" s="72">
        <v>1</v>
      </c>
      <c r="DQ545" s="72" t="b">
        <v>0</v>
      </c>
    </row>
    <row r="546" spans="2:121" x14ac:dyDescent="0.25">
      <c r="B546" s="73" t="s">
        <v>334</v>
      </c>
      <c r="C546">
        <v>1</v>
      </c>
      <c r="D546">
        <v>210</v>
      </c>
      <c r="E546">
        <v>100</v>
      </c>
      <c r="F546" s="75">
        <f ca="1">INDIRECT(ADDRESS(11+(MATCH(RIGHT(Table245[[#This Row],[spawner_sku]],LEN(Table245[[#This Row],[spawner_sku]])-FIND("/",Table245[[#This Row],[spawner_sku]])),Table1[Entity Prefab],0)),10,1,1,"Entities"))</f>
        <v>75</v>
      </c>
      <c r="G546" s="75">
        <f ca="1">ROUND((Table245[[#This Row],[XP]]*Table245[[#This Row],[entity_spawned (AVG)]])*(Table245[[#This Row],[activating_chance]]/100),0)</f>
        <v>75</v>
      </c>
      <c r="H54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46" s="72">
        <v>1</v>
      </c>
      <c r="J546" s="72">
        <v>1</v>
      </c>
      <c r="K546" s="72" t="b">
        <v>0</v>
      </c>
      <c r="DH546" t="s">
        <v>537</v>
      </c>
      <c r="DI546">
        <v>1</v>
      </c>
      <c r="DJ546">
        <v>150</v>
      </c>
      <c r="DK546">
        <v>100</v>
      </c>
      <c r="DL546" s="75">
        <f ca="1">INDIRECT(ADDRESS(11+(MATCH(RIGHT(Table14[[#This Row],[spawner_sku]],LEN(Table14[[#This Row],[spawner_sku]])-FIND("/",Table14[[#This Row],[spawner_sku]])),Table1[Entity Prefab],0)),10,1,1,"Entities"))</f>
        <v>75</v>
      </c>
      <c r="DM546" s="75">
        <f ca="1">ROUND((Table14[[#This Row],[XP]]*Table14[[#This Row],[entity_spawned (AVG)]])*(Table14[[#This Row],[activating_chance]]/100),0)</f>
        <v>75</v>
      </c>
      <c r="DN54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46" s="72">
        <v>1</v>
      </c>
      <c r="DP546" s="72">
        <v>1</v>
      </c>
      <c r="DQ546" s="72" t="b">
        <v>0</v>
      </c>
    </row>
    <row r="547" spans="2:121" x14ac:dyDescent="0.25">
      <c r="B547" s="73" t="s">
        <v>253</v>
      </c>
      <c r="C547">
        <v>1</v>
      </c>
      <c r="D547">
        <v>190</v>
      </c>
      <c r="E547">
        <v>100</v>
      </c>
      <c r="F547" s="75">
        <f ca="1">INDIRECT(ADDRESS(11+(MATCH(RIGHT(Table245[[#This Row],[spawner_sku]],LEN(Table245[[#This Row],[spawner_sku]])-FIND("/",Table245[[#This Row],[spawner_sku]])),Table1[Entity Prefab],0)),10,1,1,"Entities"))</f>
        <v>70</v>
      </c>
      <c r="G547" s="75">
        <f ca="1">ROUND((Table245[[#This Row],[XP]]*Table245[[#This Row],[entity_spawned (AVG)]])*(Table245[[#This Row],[activating_chance]]/100),0)</f>
        <v>70</v>
      </c>
      <c r="H54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47" s="72">
        <v>1</v>
      </c>
      <c r="J547" s="72">
        <v>1</v>
      </c>
      <c r="K547" s="72" t="b">
        <v>0</v>
      </c>
      <c r="DH547" t="s">
        <v>537</v>
      </c>
      <c r="DI547">
        <v>1</v>
      </c>
      <c r="DJ547">
        <v>180</v>
      </c>
      <c r="DK547">
        <v>100</v>
      </c>
      <c r="DL547" s="75">
        <f ca="1">INDIRECT(ADDRESS(11+(MATCH(RIGHT(Table14[[#This Row],[spawner_sku]],LEN(Table14[[#This Row],[spawner_sku]])-FIND("/",Table14[[#This Row],[spawner_sku]])),Table1[Entity Prefab],0)),10,1,1,"Entities"))</f>
        <v>75</v>
      </c>
      <c r="DM547" s="75">
        <f ca="1">ROUND((Table14[[#This Row],[XP]]*Table14[[#This Row],[entity_spawned (AVG)]])*(Table14[[#This Row],[activating_chance]]/100),0)</f>
        <v>75</v>
      </c>
      <c r="DN54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47" s="72">
        <v>1</v>
      </c>
      <c r="DP547" s="72">
        <v>1</v>
      </c>
      <c r="DQ547" s="72" t="b">
        <v>0</v>
      </c>
    </row>
    <row r="548" spans="2:121" x14ac:dyDescent="0.25">
      <c r="B548" s="73" t="s">
        <v>254</v>
      </c>
      <c r="C548">
        <v>1</v>
      </c>
      <c r="D548">
        <v>175</v>
      </c>
      <c r="E548">
        <v>100</v>
      </c>
      <c r="F548" s="75">
        <f ca="1">INDIRECT(ADDRESS(11+(MATCH(RIGHT(Table245[[#This Row],[spawner_sku]],LEN(Table245[[#This Row],[spawner_sku]])-FIND("/",Table245[[#This Row],[spawner_sku]])),Table1[Entity Prefab],0)),10,1,1,"Entities"))</f>
        <v>70</v>
      </c>
      <c r="G548" s="75">
        <f ca="1">ROUND((Table245[[#This Row],[XP]]*Table245[[#This Row],[entity_spawned (AVG)]])*(Table245[[#This Row],[activating_chance]]/100),0)</f>
        <v>70</v>
      </c>
      <c r="H54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48" s="72">
        <v>1</v>
      </c>
      <c r="J548" s="72">
        <v>1</v>
      </c>
      <c r="K548" s="72" t="b">
        <v>0</v>
      </c>
      <c r="DH548" t="s">
        <v>537</v>
      </c>
      <c r="DI548">
        <v>1</v>
      </c>
      <c r="DJ548">
        <v>100</v>
      </c>
      <c r="DK548">
        <v>100</v>
      </c>
      <c r="DL548" s="75">
        <f ca="1">INDIRECT(ADDRESS(11+(MATCH(RIGHT(Table14[[#This Row],[spawner_sku]],LEN(Table14[[#This Row],[spawner_sku]])-FIND("/",Table14[[#This Row],[spawner_sku]])),Table1[Entity Prefab],0)),10,1,1,"Entities"))</f>
        <v>75</v>
      </c>
      <c r="DM548" s="75">
        <f ca="1">ROUND((Table14[[#This Row],[XP]]*Table14[[#This Row],[entity_spawned (AVG)]])*(Table14[[#This Row],[activating_chance]]/100),0)</f>
        <v>75</v>
      </c>
      <c r="DN54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48" s="72">
        <v>1</v>
      </c>
      <c r="DP548" s="72">
        <v>1</v>
      </c>
      <c r="DQ548" s="72" t="b">
        <v>0</v>
      </c>
    </row>
    <row r="549" spans="2:121" x14ac:dyDescent="0.25">
      <c r="B549" s="73" t="s">
        <v>254</v>
      </c>
      <c r="C549">
        <v>1</v>
      </c>
      <c r="D549">
        <v>220</v>
      </c>
      <c r="E549">
        <v>100</v>
      </c>
      <c r="F549" s="75">
        <f ca="1">INDIRECT(ADDRESS(11+(MATCH(RIGHT(Table245[[#This Row],[spawner_sku]],LEN(Table245[[#This Row],[spawner_sku]])-FIND("/",Table245[[#This Row],[spawner_sku]])),Table1[Entity Prefab],0)),10,1,1,"Entities"))</f>
        <v>70</v>
      </c>
      <c r="G549" s="75">
        <f ca="1">ROUND((Table245[[#This Row],[XP]]*Table245[[#This Row],[entity_spawned (AVG)]])*(Table245[[#This Row],[activating_chance]]/100),0)</f>
        <v>70</v>
      </c>
      <c r="H54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49" s="72">
        <v>1</v>
      </c>
      <c r="J549" s="72">
        <v>1</v>
      </c>
      <c r="K549" s="72" t="b">
        <v>0</v>
      </c>
      <c r="DH549" t="s">
        <v>537</v>
      </c>
      <c r="DI549">
        <v>1</v>
      </c>
      <c r="DJ549">
        <v>120</v>
      </c>
      <c r="DK549">
        <v>100</v>
      </c>
      <c r="DL549" s="75">
        <f ca="1">INDIRECT(ADDRESS(11+(MATCH(RIGHT(Table14[[#This Row],[spawner_sku]],LEN(Table14[[#This Row],[spawner_sku]])-FIND("/",Table14[[#This Row],[spawner_sku]])),Table1[Entity Prefab],0)),10,1,1,"Entities"))</f>
        <v>75</v>
      </c>
      <c r="DM549" s="75">
        <f ca="1">ROUND((Table14[[#This Row],[XP]]*Table14[[#This Row],[entity_spawned (AVG)]])*(Table14[[#This Row],[activating_chance]]/100),0)</f>
        <v>75</v>
      </c>
      <c r="DN54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49" s="72">
        <v>1</v>
      </c>
      <c r="DP549" s="72">
        <v>1</v>
      </c>
      <c r="DQ549" s="72" t="b">
        <v>0</v>
      </c>
    </row>
    <row r="550" spans="2:121" x14ac:dyDescent="0.25">
      <c r="B550" s="73" t="s">
        <v>254</v>
      </c>
      <c r="C550">
        <v>1</v>
      </c>
      <c r="D550">
        <v>175</v>
      </c>
      <c r="E550">
        <v>100</v>
      </c>
      <c r="F550" s="75">
        <f ca="1">INDIRECT(ADDRESS(11+(MATCH(RIGHT(Table245[[#This Row],[spawner_sku]],LEN(Table245[[#This Row],[spawner_sku]])-FIND("/",Table245[[#This Row],[spawner_sku]])),Table1[Entity Prefab],0)),10,1,1,"Entities"))</f>
        <v>70</v>
      </c>
      <c r="G550" s="75">
        <f ca="1">ROUND((Table245[[#This Row],[XP]]*Table245[[#This Row],[entity_spawned (AVG)]])*(Table245[[#This Row],[activating_chance]]/100),0)</f>
        <v>70</v>
      </c>
      <c r="H55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50" s="72">
        <v>1</v>
      </c>
      <c r="J550" s="72">
        <v>1</v>
      </c>
      <c r="K550" s="72" t="b">
        <v>0</v>
      </c>
      <c r="DH550" t="s">
        <v>537</v>
      </c>
      <c r="DI550">
        <v>1</v>
      </c>
      <c r="DJ550">
        <v>150</v>
      </c>
      <c r="DK550">
        <v>100</v>
      </c>
      <c r="DL550" s="75">
        <f ca="1">INDIRECT(ADDRESS(11+(MATCH(RIGHT(Table14[[#This Row],[spawner_sku]],LEN(Table14[[#This Row],[spawner_sku]])-FIND("/",Table14[[#This Row],[spawner_sku]])),Table1[Entity Prefab],0)),10,1,1,"Entities"))</f>
        <v>75</v>
      </c>
      <c r="DM550" s="75">
        <f ca="1">ROUND((Table14[[#This Row],[XP]]*Table14[[#This Row],[entity_spawned (AVG)]])*(Table14[[#This Row],[activating_chance]]/100),0)</f>
        <v>75</v>
      </c>
      <c r="DN55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50" s="72">
        <v>1</v>
      </c>
      <c r="DP550" s="72">
        <v>1</v>
      </c>
      <c r="DQ550" s="72" t="b">
        <v>0</v>
      </c>
    </row>
    <row r="551" spans="2:121" x14ac:dyDescent="0.25">
      <c r="B551" s="73" t="s">
        <v>254</v>
      </c>
      <c r="C551">
        <v>1</v>
      </c>
      <c r="D551">
        <v>190</v>
      </c>
      <c r="E551">
        <v>100</v>
      </c>
      <c r="F551" s="75">
        <f ca="1">INDIRECT(ADDRESS(11+(MATCH(RIGHT(Table245[[#This Row],[spawner_sku]],LEN(Table245[[#This Row],[spawner_sku]])-FIND("/",Table245[[#This Row],[spawner_sku]])),Table1[Entity Prefab],0)),10,1,1,"Entities"))</f>
        <v>70</v>
      </c>
      <c r="G551" s="75">
        <f ca="1">ROUND((Table245[[#This Row],[XP]]*Table245[[#This Row],[entity_spawned (AVG)]])*(Table245[[#This Row],[activating_chance]]/100),0)</f>
        <v>70</v>
      </c>
      <c r="H55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51" s="72">
        <v>1</v>
      </c>
      <c r="J551" s="72">
        <v>1</v>
      </c>
      <c r="K551" s="72" t="b">
        <v>0</v>
      </c>
      <c r="DH551" t="s">
        <v>537</v>
      </c>
      <c r="DI551">
        <v>1</v>
      </c>
      <c r="DJ551">
        <v>145</v>
      </c>
      <c r="DK551">
        <v>100</v>
      </c>
      <c r="DL551" s="75">
        <f ca="1">INDIRECT(ADDRESS(11+(MATCH(RIGHT(Table14[[#This Row],[spawner_sku]],LEN(Table14[[#This Row],[spawner_sku]])-FIND("/",Table14[[#This Row],[spawner_sku]])),Table1[Entity Prefab],0)),10,1,1,"Entities"))</f>
        <v>75</v>
      </c>
      <c r="DM551" s="75">
        <f ca="1">ROUND((Table14[[#This Row],[XP]]*Table14[[#This Row],[entity_spawned (AVG)]])*(Table14[[#This Row],[activating_chance]]/100),0)</f>
        <v>75</v>
      </c>
      <c r="DN55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51" s="72">
        <v>1</v>
      </c>
      <c r="DP551" s="72">
        <v>1</v>
      </c>
      <c r="DQ551" s="72" t="b">
        <v>0</v>
      </c>
    </row>
    <row r="552" spans="2:121" x14ac:dyDescent="0.25">
      <c r="B552" s="73" t="s">
        <v>254</v>
      </c>
      <c r="C552">
        <v>1</v>
      </c>
      <c r="D552">
        <v>175</v>
      </c>
      <c r="E552">
        <v>100</v>
      </c>
      <c r="F552" s="75">
        <f ca="1">INDIRECT(ADDRESS(11+(MATCH(RIGHT(Table245[[#This Row],[spawner_sku]],LEN(Table245[[#This Row],[spawner_sku]])-FIND("/",Table245[[#This Row],[spawner_sku]])),Table1[Entity Prefab],0)),10,1,1,"Entities"))</f>
        <v>70</v>
      </c>
      <c r="G552" s="75">
        <f ca="1">ROUND((Table245[[#This Row],[XP]]*Table245[[#This Row],[entity_spawned (AVG)]])*(Table245[[#This Row],[activating_chance]]/100),0)</f>
        <v>70</v>
      </c>
      <c r="H55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52" s="72">
        <v>1</v>
      </c>
      <c r="J552" s="72">
        <v>1</v>
      </c>
      <c r="K552" s="72" t="b">
        <v>0</v>
      </c>
      <c r="DH552" t="s">
        <v>537</v>
      </c>
      <c r="DI552">
        <v>1</v>
      </c>
      <c r="DJ552">
        <v>150</v>
      </c>
      <c r="DK552">
        <v>100</v>
      </c>
      <c r="DL552" s="75">
        <f ca="1">INDIRECT(ADDRESS(11+(MATCH(RIGHT(Table14[[#This Row],[spawner_sku]],LEN(Table14[[#This Row],[spawner_sku]])-FIND("/",Table14[[#This Row],[spawner_sku]])),Table1[Entity Prefab],0)),10,1,1,"Entities"))</f>
        <v>75</v>
      </c>
      <c r="DM552" s="75">
        <f ca="1">ROUND((Table14[[#This Row],[XP]]*Table14[[#This Row],[entity_spawned (AVG)]])*(Table14[[#This Row],[activating_chance]]/100),0)</f>
        <v>75</v>
      </c>
      <c r="DN55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52" s="72">
        <v>1</v>
      </c>
      <c r="DP552" s="72">
        <v>1</v>
      </c>
      <c r="DQ552" s="72" t="b">
        <v>0</v>
      </c>
    </row>
    <row r="553" spans="2:121" x14ac:dyDescent="0.25">
      <c r="B553" s="73" t="s">
        <v>254</v>
      </c>
      <c r="C553">
        <v>1</v>
      </c>
      <c r="D553">
        <v>190</v>
      </c>
      <c r="E553">
        <v>100</v>
      </c>
      <c r="F553" s="75">
        <f ca="1">INDIRECT(ADDRESS(11+(MATCH(RIGHT(Table245[[#This Row],[spawner_sku]],LEN(Table245[[#This Row],[spawner_sku]])-FIND("/",Table245[[#This Row],[spawner_sku]])),Table1[Entity Prefab],0)),10,1,1,"Entities"))</f>
        <v>70</v>
      </c>
      <c r="G553" s="75">
        <f ca="1">ROUND((Table245[[#This Row],[XP]]*Table245[[#This Row],[entity_spawned (AVG)]])*(Table245[[#This Row],[activating_chance]]/100),0)</f>
        <v>70</v>
      </c>
      <c r="H55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53" s="72">
        <v>1</v>
      </c>
      <c r="J553" s="72">
        <v>1</v>
      </c>
      <c r="K553" s="72" t="b">
        <v>0</v>
      </c>
      <c r="DH553" t="s">
        <v>537</v>
      </c>
      <c r="DI553">
        <v>1</v>
      </c>
      <c r="DJ553">
        <v>130</v>
      </c>
      <c r="DK553">
        <v>70</v>
      </c>
      <c r="DL553" s="75">
        <f ca="1">INDIRECT(ADDRESS(11+(MATCH(RIGHT(Table14[[#This Row],[spawner_sku]],LEN(Table14[[#This Row],[spawner_sku]])-FIND("/",Table14[[#This Row],[spawner_sku]])),Table1[Entity Prefab],0)),10,1,1,"Entities"))</f>
        <v>75</v>
      </c>
      <c r="DM553" s="75">
        <f ca="1">ROUND((Table14[[#This Row],[XP]]*Table14[[#This Row],[entity_spawned (AVG)]])*(Table14[[#This Row],[activating_chance]]/100),0)</f>
        <v>53</v>
      </c>
      <c r="DN55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53" s="72">
        <v>1</v>
      </c>
      <c r="DP553" s="72">
        <v>1</v>
      </c>
      <c r="DQ553" s="72" t="b">
        <v>0</v>
      </c>
    </row>
    <row r="554" spans="2:121" x14ac:dyDescent="0.25">
      <c r="B554" s="73" t="s">
        <v>254</v>
      </c>
      <c r="C554">
        <v>1</v>
      </c>
      <c r="D554">
        <v>220</v>
      </c>
      <c r="E554">
        <v>100</v>
      </c>
      <c r="F554" s="75">
        <f ca="1">INDIRECT(ADDRESS(11+(MATCH(RIGHT(Table245[[#This Row],[spawner_sku]],LEN(Table245[[#This Row],[spawner_sku]])-FIND("/",Table245[[#This Row],[spawner_sku]])),Table1[Entity Prefab],0)),10,1,1,"Entities"))</f>
        <v>70</v>
      </c>
      <c r="G554" s="75">
        <f ca="1">ROUND((Table245[[#This Row],[XP]]*Table245[[#This Row],[entity_spawned (AVG)]])*(Table245[[#This Row],[activating_chance]]/100),0)</f>
        <v>70</v>
      </c>
      <c r="H55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54" s="72">
        <v>1</v>
      </c>
      <c r="J554" s="72">
        <v>1</v>
      </c>
      <c r="K554" s="72" t="b">
        <v>0</v>
      </c>
      <c r="DH554" t="s">
        <v>537</v>
      </c>
      <c r="DI554">
        <v>1</v>
      </c>
      <c r="DJ554">
        <v>110</v>
      </c>
      <c r="DK554">
        <v>100</v>
      </c>
      <c r="DL554" s="75">
        <f ca="1">INDIRECT(ADDRESS(11+(MATCH(RIGHT(Table14[[#This Row],[spawner_sku]],LEN(Table14[[#This Row],[spawner_sku]])-FIND("/",Table14[[#This Row],[spawner_sku]])),Table1[Entity Prefab],0)),10,1,1,"Entities"))</f>
        <v>75</v>
      </c>
      <c r="DM554" s="75">
        <f ca="1">ROUND((Table14[[#This Row],[XP]]*Table14[[#This Row],[entity_spawned (AVG)]])*(Table14[[#This Row],[activating_chance]]/100),0)</f>
        <v>75</v>
      </c>
      <c r="DN55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54" s="72">
        <v>1</v>
      </c>
      <c r="DP554" s="72">
        <v>1</v>
      </c>
      <c r="DQ554" s="72" t="b">
        <v>0</v>
      </c>
    </row>
    <row r="555" spans="2:121" x14ac:dyDescent="0.25">
      <c r="B555" s="73" t="s">
        <v>254</v>
      </c>
      <c r="C555">
        <v>1</v>
      </c>
      <c r="D555">
        <v>170</v>
      </c>
      <c r="E555">
        <v>100</v>
      </c>
      <c r="F555" s="75">
        <f ca="1">INDIRECT(ADDRESS(11+(MATCH(RIGHT(Table245[[#This Row],[spawner_sku]],LEN(Table245[[#This Row],[spawner_sku]])-FIND("/",Table245[[#This Row],[spawner_sku]])),Table1[Entity Prefab],0)),10,1,1,"Entities"))</f>
        <v>70</v>
      </c>
      <c r="G555" s="75">
        <f ca="1">ROUND((Table245[[#This Row],[XP]]*Table245[[#This Row],[entity_spawned (AVG)]])*(Table245[[#This Row],[activating_chance]]/100),0)</f>
        <v>70</v>
      </c>
      <c r="H55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55" s="72">
        <v>1</v>
      </c>
      <c r="J555" s="72">
        <v>1</v>
      </c>
      <c r="K555" s="72" t="b">
        <v>0</v>
      </c>
      <c r="DH555" t="s">
        <v>537</v>
      </c>
      <c r="DI555">
        <v>1</v>
      </c>
      <c r="DJ555">
        <v>120</v>
      </c>
      <c r="DK555">
        <v>100</v>
      </c>
      <c r="DL555" s="75">
        <f ca="1">INDIRECT(ADDRESS(11+(MATCH(RIGHT(Table14[[#This Row],[spawner_sku]],LEN(Table14[[#This Row],[spawner_sku]])-FIND("/",Table14[[#This Row],[spawner_sku]])),Table1[Entity Prefab],0)),10,1,1,"Entities"))</f>
        <v>75</v>
      </c>
      <c r="DM555" s="75">
        <f ca="1">ROUND((Table14[[#This Row],[XP]]*Table14[[#This Row],[entity_spawned (AVG)]])*(Table14[[#This Row],[activating_chance]]/100),0)</f>
        <v>75</v>
      </c>
      <c r="DN55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55" s="72">
        <v>1</v>
      </c>
      <c r="DP555" s="72">
        <v>1</v>
      </c>
      <c r="DQ555" s="72" t="b">
        <v>0</v>
      </c>
    </row>
    <row r="556" spans="2:121" x14ac:dyDescent="0.25">
      <c r="B556" s="73" t="s">
        <v>254</v>
      </c>
      <c r="C556">
        <v>1</v>
      </c>
      <c r="D556">
        <v>190</v>
      </c>
      <c r="E556">
        <v>80</v>
      </c>
      <c r="F556" s="75">
        <f ca="1">INDIRECT(ADDRESS(11+(MATCH(RIGHT(Table245[[#This Row],[spawner_sku]],LEN(Table245[[#This Row],[spawner_sku]])-FIND("/",Table245[[#This Row],[spawner_sku]])),Table1[Entity Prefab],0)),10,1,1,"Entities"))</f>
        <v>70</v>
      </c>
      <c r="G556" s="75">
        <f ca="1">ROUND((Table245[[#This Row],[XP]]*Table245[[#This Row],[entity_spawned (AVG)]])*(Table245[[#This Row],[activating_chance]]/100),0)</f>
        <v>56</v>
      </c>
      <c r="H55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56" s="72">
        <v>1</v>
      </c>
      <c r="J556" s="72">
        <v>1</v>
      </c>
      <c r="K556" s="72" t="b">
        <v>0</v>
      </c>
      <c r="DH556" t="s">
        <v>537</v>
      </c>
      <c r="DI556">
        <v>1</v>
      </c>
      <c r="DJ556">
        <v>140</v>
      </c>
      <c r="DK556">
        <v>100</v>
      </c>
      <c r="DL556" s="75">
        <f ca="1">INDIRECT(ADDRESS(11+(MATCH(RIGHT(Table14[[#This Row],[spawner_sku]],LEN(Table14[[#This Row],[spawner_sku]])-FIND("/",Table14[[#This Row],[spawner_sku]])),Table1[Entity Prefab],0)),10,1,1,"Entities"))</f>
        <v>75</v>
      </c>
      <c r="DM556" s="75">
        <f ca="1">ROUND((Table14[[#This Row],[XP]]*Table14[[#This Row],[entity_spawned (AVG)]])*(Table14[[#This Row],[activating_chance]]/100),0)</f>
        <v>75</v>
      </c>
      <c r="DN55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56" s="72">
        <v>1</v>
      </c>
      <c r="DP556" s="72">
        <v>1</v>
      </c>
      <c r="DQ556" s="72" t="b">
        <v>0</v>
      </c>
    </row>
    <row r="557" spans="2:121" x14ac:dyDescent="0.25">
      <c r="B557" s="73" t="s">
        <v>254</v>
      </c>
      <c r="C557">
        <v>1</v>
      </c>
      <c r="D557">
        <v>220</v>
      </c>
      <c r="E557">
        <v>100</v>
      </c>
      <c r="F557" s="75">
        <f ca="1">INDIRECT(ADDRESS(11+(MATCH(RIGHT(Table245[[#This Row],[spawner_sku]],LEN(Table245[[#This Row],[spawner_sku]])-FIND("/",Table245[[#This Row],[spawner_sku]])),Table1[Entity Prefab],0)),10,1,1,"Entities"))</f>
        <v>70</v>
      </c>
      <c r="G557" s="75">
        <f ca="1">ROUND((Table245[[#This Row],[XP]]*Table245[[#This Row],[entity_spawned (AVG)]])*(Table245[[#This Row],[activating_chance]]/100),0)</f>
        <v>70</v>
      </c>
      <c r="H55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57" s="72">
        <v>1</v>
      </c>
      <c r="J557" s="72">
        <v>1</v>
      </c>
      <c r="K557" s="72" t="b">
        <v>0</v>
      </c>
      <c r="DH557" t="s">
        <v>537</v>
      </c>
      <c r="DI557">
        <v>1</v>
      </c>
      <c r="DJ557">
        <v>145</v>
      </c>
      <c r="DK557">
        <v>100</v>
      </c>
      <c r="DL557" s="75">
        <f ca="1">INDIRECT(ADDRESS(11+(MATCH(RIGHT(Table14[[#This Row],[spawner_sku]],LEN(Table14[[#This Row],[spawner_sku]])-FIND("/",Table14[[#This Row],[spawner_sku]])),Table1[Entity Prefab],0)),10,1,1,"Entities"))</f>
        <v>75</v>
      </c>
      <c r="DM557" s="75">
        <f ca="1">ROUND((Table14[[#This Row],[XP]]*Table14[[#This Row],[entity_spawned (AVG)]])*(Table14[[#This Row],[activating_chance]]/100),0)</f>
        <v>75</v>
      </c>
      <c r="DN55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57" s="72">
        <v>1</v>
      </c>
      <c r="DP557" s="72">
        <v>1</v>
      </c>
      <c r="DQ557" s="72" t="b">
        <v>0</v>
      </c>
    </row>
    <row r="558" spans="2:121" x14ac:dyDescent="0.25">
      <c r="B558" s="73" t="s">
        <v>254</v>
      </c>
      <c r="C558">
        <v>1</v>
      </c>
      <c r="D558">
        <v>220</v>
      </c>
      <c r="E558">
        <v>100</v>
      </c>
      <c r="F558" s="75">
        <f ca="1">INDIRECT(ADDRESS(11+(MATCH(RIGHT(Table245[[#This Row],[spawner_sku]],LEN(Table245[[#This Row],[spawner_sku]])-FIND("/",Table245[[#This Row],[spawner_sku]])),Table1[Entity Prefab],0)),10,1,1,"Entities"))</f>
        <v>70</v>
      </c>
      <c r="G558" s="75">
        <f ca="1">ROUND((Table245[[#This Row],[XP]]*Table245[[#This Row],[entity_spawned (AVG)]])*(Table245[[#This Row],[activating_chance]]/100),0)</f>
        <v>70</v>
      </c>
      <c r="H55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58" s="72">
        <v>1</v>
      </c>
      <c r="J558" s="72">
        <v>1</v>
      </c>
      <c r="K558" s="72" t="b">
        <v>0</v>
      </c>
      <c r="DH558" t="s">
        <v>537</v>
      </c>
      <c r="DI558">
        <v>1</v>
      </c>
      <c r="DJ558">
        <v>150</v>
      </c>
      <c r="DK558">
        <v>100</v>
      </c>
      <c r="DL558" s="75">
        <f ca="1">INDIRECT(ADDRESS(11+(MATCH(RIGHT(Table14[[#This Row],[spawner_sku]],LEN(Table14[[#This Row],[spawner_sku]])-FIND("/",Table14[[#This Row],[spawner_sku]])),Table1[Entity Prefab],0)),10,1,1,"Entities"))</f>
        <v>75</v>
      </c>
      <c r="DM558" s="75">
        <f ca="1">ROUND((Table14[[#This Row],[XP]]*Table14[[#This Row],[entity_spawned (AVG)]])*(Table14[[#This Row],[activating_chance]]/100),0)</f>
        <v>75</v>
      </c>
      <c r="DN55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58" s="72">
        <v>1</v>
      </c>
      <c r="DP558" s="72">
        <v>1</v>
      </c>
      <c r="DQ558" s="72" t="b">
        <v>0</v>
      </c>
    </row>
    <row r="559" spans="2:121" x14ac:dyDescent="0.25">
      <c r="B559" s="73" t="s">
        <v>254</v>
      </c>
      <c r="C559">
        <v>1</v>
      </c>
      <c r="D559">
        <v>175</v>
      </c>
      <c r="E559">
        <v>100</v>
      </c>
      <c r="F559" s="75">
        <f ca="1">INDIRECT(ADDRESS(11+(MATCH(RIGHT(Table245[[#This Row],[spawner_sku]],LEN(Table245[[#This Row],[spawner_sku]])-FIND("/",Table245[[#This Row],[spawner_sku]])),Table1[Entity Prefab],0)),10,1,1,"Entities"))</f>
        <v>70</v>
      </c>
      <c r="G559" s="75">
        <f ca="1">ROUND((Table245[[#This Row],[XP]]*Table245[[#This Row],[entity_spawned (AVG)]])*(Table245[[#This Row],[activating_chance]]/100),0)</f>
        <v>70</v>
      </c>
      <c r="H55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59" s="72">
        <v>1</v>
      </c>
      <c r="J559" s="72">
        <v>1</v>
      </c>
      <c r="K559" s="72" t="b">
        <v>0</v>
      </c>
      <c r="DH559" t="s">
        <v>537</v>
      </c>
      <c r="DI559">
        <v>1</v>
      </c>
      <c r="DJ559">
        <v>100</v>
      </c>
      <c r="DK559">
        <v>100</v>
      </c>
      <c r="DL559" s="75">
        <f ca="1">INDIRECT(ADDRESS(11+(MATCH(RIGHT(Table14[[#This Row],[spawner_sku]],LEN(Table14[[#This Row],[spawner_sku]])-FIND("/",Table14[[#This Row],[spawner_sku]])),Table1[Entity Prefab],0)),10,1,1,"Entities"))</f>
        <v>75</v>
      </c>
      <c r="DM559" s="75">
        <f ca="1">ROUND((Table14[[#This Row],[XP]]*Table14[[#This Row],[entity_spawned (AVG)]])*(Table14[[#This Row],[activating_chance]]/100),0)</f>
        <v>75</v>
      </c>
      <c r="DN55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59" s="72">
        <v>1</v>
      </c>
      <c r="DP559" s="72">
        <v>1</v>
      </c>
      <c r="DQ559" s="72" t="b">
        <v>0</v>
      </c>
    </row>
    <row r="560" spans="2:121" x14ac:dyDescent="0.25">
      <c r="B560" s="73" t="s">
        <v>254</v>
      </c>
      <c r="C560">
        <v>1</v>
      </c>
      <c r="D560">
        <v>190</v>
      </c>
      <c r="E560">
        <v>90</v>
      </c>
      <c r="F560" s="75">
        <f ca="1">INDIRECT(ADDRESS(11+(MATCH(RIGHT(Table245[[#This Row],[spawner_sku]],LEN(Table245[[#This Row],[spawner_sku]])-FIND("/",Table245[[#This Row],[spawner_sku]])),Table1[Entity Prefab],0)),10,1,1,"Entities"))</f>
        <v>70</v>
      </c>
      <c r="G560" s="75">
        <f ca="1">ROUND((Table245[[#This Row],[XP]]*Table245[[#This Row],[entity_spawned (AVG)]])*(Table245[[#This Row],[activating_chance]]/100),0)</f>
        <v>63</v>
      </c>
      <c r="H56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60" s="72">
        <v>1</v>
      </c>
      <c r="J560" s="72">
        <v>1</v>
      </c>
      <c r="K560" s="72" t="b">
        <v>0</v>
      </c>
      <c r="DH560" t="s">
        <v>537</v>
      </c>
      <c r="DI560">
        <v>1</v>
      </c>
      <c r="DJ560">
        <v>150</v>
      </c>
      <c r="DK560">
        <v>30</v>
      </c>
      <c r="DL560" s="75">
        <f ca="1">INDIRECT(ADDRESS(11+(MATCH(RIGHT(Table14[[#This Row],[spawner_sku]],LEN(Table14[[#This Row],[spawner_sku]])-FIND("/",Table14[[#This Row],[spawner_sku]])),Table1[Entity Prefab],0)),10,1,1,"Entities"))</f>
        <v>75</v>
      </c>
      <c r="DM560" s="75">
        <f ca="1">ROUND((Table14[[#This Row],[XP]]*Table14[[#This Row],[entity_spawned (AVG)]])*(Table14[[#This Row],[activating_chance]]/100),0)</f>
        <v>23</v>
      </c>
      <c r="DN56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60" s="72">
        <v>1</v>
      </c>
      <c r="DP560" s="72">
        <v>1</v>
      </c>
      <c r="DQ560" s="72" t="b">
        <v>0</v>
      </c>
    </row>
    <row r="561" spans="2:121" x14ac:dyDescent="0.25">
      <c r="B561" s="73" t="s">
        <v>254</v>
      </c>
      <c r="C561">
        <v>1</v>
      </c>
      <c r="D561">
        <v>190</v>
      </c>
      <c r="E561">
        <v>100</v>
      </c>
      <c r="F561" s="75">
        <f ca="1">INDIRECT(ADDRESS(11+(MATCH(RIGHT(Table245[[#This Row],[spawner_sku]],LEN(Table245[[#This Row],[spawner_sku]])-FIND("/",Table245[[#This Row],[spawner_sku]])),Table1[Entity Prefab],0)),10,1,1,"Entities"))</f>
        <v>70</v>
      </c>
      <c r="G561" s="75">
        <f ca="1">ROUND((Table245[[#This Row],[XP]]*Table245[[#This Row],[entity_spawned (AVG)]])*(Table245[[#This Row],[activating_chance]]/100),0)</f>
        <v>70</v>
      </c>
      <c r="H56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61" s="72">
        <v>1</v>
      </c>
      <c r="J561" s="72">
        <v>1</v>
      </c>
      <c r="K561" s="72" t="b">
        <v>0</v>
      </c>
      <c r="DH561" t="s">
        <v>537</v>
      </c>
      <c r="DI561">
        <v>1</v>
      </c>
      <c r="DJ561">
        <v>150</v>
      </c>
      <c r="DK561">
        <v>100</v>
      </c>
      <c r="DL561" s="75">
        <f ca="1">INDIRECT(ADDRESS(11+(MATCH(RIGHT(Table14[[#This Row],[spawner_sku]],LEN(Table14[[#This Row],[spawner_sku]])-FIND("/",Table14[[#This Row],[spawner_sku]])),Table1[Entity Prefab],0)),10,1,1,"Entities"))</f>
        <v>75</v>
      </c>
      <c r="DM561" s="75">
        <f ca="1">ROUND((Table14[[#This Row],[XP]]*Table14[[#This Row],[entity_spawned (AVG)]])*(Table14[[#This Row],[activating_chance]]/100),0)</f>
        <v>75</v>
      </c>
      <c r="DN56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61" s="72">
        <v>1</v>
      </c>
      <c r="DP561" s="72">
        <v>1</v>
      </c>
      <c r="DQ561" s="72" t="b">
        <v>0</v>
      </c>
    </row>
    <row r="562" spans="2:121" x14ac:dyDescent="0.25">
      <c r="B562" s="73" t="s">
        <v>254</v>
      </c>
      <c r="C562">
        <v>1</v>
      </c>
      <c r="D562">
        <v>175</v>
      </c>
      <c r="E562">
        <v>100</v>
      </c>
      <c r="F562" s="75">
        <f ca="1">INDIRECT(ADDRESS(11+(MATCH(RIGHT(Table245[[#This Row],[spawner_sku]],LEN(Table245[[#This Row],[spawner_sku]])-FIND("/",Table245[[#This Row],[spawner_sku]])),Table1[Entity Prefab],0)),10,1,1,"Entities"))</f>
        <v>70</v>
      </c>
      <c r="G562" s="75">
        <f ca="1">ROUND((Table245[[#This Row],[XP]]*Table245[[#This Row],[entity_spawned (AVG)]])*(Table245[[#This Row],[activating_chance]]/100),0)</f>
        <v>70</v>
      </c>
      <c r="H56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62" s="72">
        <v>1</v>
      </c>
      <c r="J562" s="72">
        <v>1</v>
      </c>
      <c r="K562" s="72" t="b">
        <v>0</v>
      </c>
      <c r="DH562" t="s">
        <v>537</v>
      </c>
      <c r="DI562">
        <v>1</v>
      </c>
      <c r="DJ562">
        <v>180</v>
      </c>
      <c r="DK562">
        <v>100</v>
      </c>
      <c r="DL562" s="75">
        <f ca="1">INDIRECT(ADDRESS(11+(MATCH(RIGHT(Table14[[#This Row],[spawner_sku]],LEN(Table14[[#This Row],[spawner_sku]])-FIND("/",Table14[[#This Row],[spawner_sku]])),Table1[Entity Prefab],0)),10,1,1,"Entities"))</f>
        <v>75</v>
      </c>
      <c r="DM562" s="75">
        <f ca="1">ROUND((Table14[[#This Row],[XP]]*Table14[[#This Row],[entity_spawned (AVG)]])*(Table14[[#This Row],[activating_chance]]/100),0)</f>
        <v>75</v>
      </c>
      <c r="DN56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62" s="72">
        <v>1</v>
      </c>
      <c r="DP562" s="72">
        <v>1</v>
      </c>
      <c r="DQ562" s="72" t="b">
        <v>0</v>
      </c>
    </row>
    <row r="563" spans="2:121" x14ac:dyDescent="0.25">
      <c r="B563" s="73" t="s">
        <v>254</v>
      </c>
      <c r="C563">
        <v>1</v>
      </c>
      <c r="D563">
        <v>175</v>
      </c>
      <c r="E563">
        <v>100</v>
      </c>
      <c r="F563" s="75">
        <f ca="1">INDIRECT(ADDRESS(11+(MATCH(RIGHT(Table245[[#This Row],[spawner_sku]],LEN(Table245[[#This Row],[spawner_sku]])-FIND("/",Table245[[#This Row],[spawner_sku]])),Table1[Entity Prefab],0)),10,1,1,"Entities"))</f>
        <v>70</v>
      </c>
      <c r="G563" s="75">
        <f ca="1">ROUND((Table245[[#This Row],[XP]]*Table245[[#This Row],[entity_spawned (AVG)]])*(Table245[[#This Row],[activating_chance]]/100),0)</f>
        <v>70</v>
      </c>
      <c r="H56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63" s="72">
        <v>1</v>
      </c>
      <c r="J563" s="72">
        <v>1</v>
      </c>
      <c r="K563" s="72" t="b">
        <v>0</v>
      </c>
      <c r="DH563" t="s">
        <v>537</v>
      </c>
      <c r="DI563">
        <v>1</v>
      </c>
      <c r="DJ563">
        <v>135</v>
      </c>
      <c r="DK563">
        <v>100</v>
      </c>
      <c r="DL563" s="75">
        <f ca="1">INDIRECT(ADDRESS(11+(MATCH(RIGHT(Table14[[#This Row],[spawner_sku]],LEN(Table14[[#This Row],[spawner_sku]])-FIND("/",Table14[[#This Row],[spawner_sku]])),Table1[Entity Prefab],0)),10,1,1,"Entities"))</f>
        <v>75</v>
      </c>
      <c r="DM563" s="75">
        <f ca="1">ROUND((Table14[[#This Row],[XP]]*Table14[[#This Row],[entity_spawned (AVG)]])*(Table14[[#This Row],[activating_chance]]/100),0)</f>
        <v>75</v>
      </c>
      <c r="DN56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63" s="72">
        <v>1</v>
      </c>
      <c r="DP563" s="72">
        <v>1</v>
      </c>
      <c r="DQ563" s="72" t="b">
        <v>0</v>
      </c>
    </row>
    <row r="564" spans="2:121" x14ac:dyDescent="0.25">
      <c r="B564" s="73" t="s">
        <v>254</v>
      </c>
      <c r="C564">
        <v>1</v>
      </c>
      <c r="D564">
        <v>220</v>
      </c>
      <c r="E564">
        <v>100</v>
      </c>
      <c r="F564" s="75">
        <f ca="1">INDIRECT(ADDRESS(11+(MATCH(RIGHT(Table245[[#This Row],[spawner_sku]],LEN(Table245[[#This Row],[spawner_sku]])-FIND("/",Table245[[#This Row],[spawner_sku]])),Table1[Entity Prefab],0)),10,1,1,"Entities"))</f>
        <v>70</v>
      </c>
      <c r="G564" s="75">
        <f ca="1">ROUND((Table245[[#This Row],[XP]]*Table245[[#This Row],[entity_spawned (AVG)]])*(Table245[[#This Row],[activating_chance]]/100),0)</f>
        <v>70</v>
      </c>
      <c r="H56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64" s="72">
        <v>1</v>
      </c>
      <c r="J564" s="72">
        <v>1</v>
      </c>
      <c r="K564" s="72" t="b">
        <v>0</v>
      </c>
      <c r="DH564" t="s">
        <v>537</v>
      </c>
      <c r="DI564">
        <v>1</v>
      </c>
      <c r="DJ564">
        <v>150</v>
      </c>
      <c r="DK564">
        <v>80</v>
      </c>
      <c r="DL564" s="75">
        <f ca="1">INDIRECT(ADDRESS(11+(MATCH(RIGHT(Table14[[#This Row],[spawner_sku]],LEN(Table14[[#This Row],[spawner_sku]])-FIND("/",Table14[[#This Row],[spawner_sku]])),Table1[Entity Prefab],0)),10,1,1,"Entities"))</f>
        <v>75</v>
      </c>
      <c r="DM564" s="75">
        <f ca="1">ROUND((Table14[[#This Row],[XP]]*Table14[[#This Row],[entity_spawned (AVG)]])*(Table14[[#This Row],[activating_chance]]/100),0)</f>
        <v>60</v>
      </c>
      <c r="DN56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64" s="72">
        <v>1</v>
      </c>
      <c r="DP564" s="72">
        <v>1</v>
      </c>
      <c r="DQ564" s="72" t="b">
        <v>0</v>
      </c>
    </row>
    <row r="565" spans="2:121" x14ac:dyDescent="0.25">
      <c r="B565" s="73" t="s">
        <v>254</v>
      </c>
      <c r="C565">
        <v>1</v>
      </c>
      <c r="D565">
        <v>220</v>
      </c>
      <c r="E565">
        <v>100</v>
      </c>
      <c r="F565" s="75">
        <f ca="1">INDIRECT(ADDRESS(11+(MATCH(RIGHT(Table245[[#This Row],[spawner_sku]],LEN(Table245[[#This Row],[spawner_sku]])-FIND("/",Table245[[#This Row],[spawner_sku]])),Table1[Entity Prefab],0)),10,1,1,"Entities"))</f>
        <v>70</v>
      </c>
      <c r="G565" s="75">
        <f ca="1">ROUND((Table245[[#This Row],[XP]]*Table245[[#This Row],[entity_spawned (AVG)]])*(Table245[[#This Row],[activating_chance]]/100),0)</f>
        <v>70</v>
      </c>
      <c r="H56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65" s="72">
        <v>1</v>
      </c>
      <c r="J565" s="72">
        <v>1</v>
      </c>
      <c r="K565" s="72" t="b">
        <v>0</v>
      </c>
      <c r="DH565" t="s">
        <v>537</v>
      </c>
      <c r="DI565">
        <v>1.5</v>
      </c>
      <c r="DJ565">
        <v>130</v>
      </c>
      <c r="DK565">
        <v>100</v>
      </c>
      <c r="DL565" s="75">
        <f ca="1">INDIRECT(ADDRESS(11+(MATCH(RIGHT(Table14[[#This Row],[spawner_sku]],LEN(Table14[[#This Row],[spawner_sku]])-FIND("/",Table14[[#This Row],[spawner_sku]])),Table1[Entity Prefab],0)),10,1,1,"Entities"))</f>
        <v>75</v>
      </c>
      <c r="DM565" s="75">
        <f ca="1">ROUND((Table14[[#This Row],[XP]]*Table14[[#This Row],[entity_spawned (AVG)]])*(Table14[[#This Row],[activating_chance]]/100),0)</f>
        <v>113</v>
      </c>
      <c r="DN56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65" s="72">
        <v>1</v>
      </c>
      <c r="DP565" s="72">
        <v>2</v>
      </c>
      <c r="DQ565" s="72" t="b">
        <v>0</v>
      </c>
    </row>
    <row r="566" spans="2:121" x14ac:dyDescent="0.25">
      <c r="B566" s="73" t="s">
        <v>254</v>
      </c>
      <c r="C566">
        <v>1</v>
      </c>
      <c r="D566">
        <v>190</v>
      </c>
      <c r="E566">
        <v>100</v>
      </c>
      <c r="F566" s="75">
        <f ca="1">INDIRECT(ADDRESS(11+(MATCH(RIGHT(Table245[[#This Row],[spawner_sku]],LEN(Table245[[#This Row],[spawner_sku]])-FIND("/",Table245[[#This Row],[spawner_sku]])),Table1[Entity Prefab],0)),10,1,1,"Entities"))</f>
        <v>70</v>
      </c>
      <c r="G566" s="75">
        <f ca="1">ROUND((Table245[[#This Row],[XP]]*Table245[[#This Row],[entity_spawned (AVG)]])*(Table245[[#This Row],[activating_chance]]/100),0)</f>
        <v>70</v>
      </c>
      <c r="H56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66" s="72">
        <v>1</v>
      </c>
      <c r="J566" s="72">
        <v>1</v>
      </c>
      <c r="K566" s="72" t="b">
        <v>0</v>
      </c>
      <c r="DH566" t="s">
        <v>537</v>
      </c>
      <c r="DI566">
        <v>1</v>
      </c>
      <c r="DJ566">
        <v>150</v>
      </c>
      <c r="DK566">
        <v>100</v>
      </c>
      <c r="DL566" s="75">
        <f ca="1">INDIRECT(ADDRESS(11+(MATCH(RIGHT(Table14[[#This Row],[spawner_sku]],LEN(Table14[[#This Row],[spawner_sku]])-FIND("/",Table14[[#This Row],[spawner_sku]])),Table1[Entity Prefab],0)),10,1,1,"Entities"))</f>
        <v>75</v>
      </c>
      <c r="DM566" s="75">
        <f ca="1">ROUND((Table14[[#This Row],[XP]]*Table14[[#This Row],[entity_spawned (AVG)]])*(Table14[[#This Row],[activating_chance]]/100),0)</f>
        <v>75</v>
      </c>
      <c r="DN56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66" s="72">
        <v>1</v>
      </c>
      <c r="DP566" s="72">
        <v>1</v>
      </c>
      <c r="DQ566" s="72" t="b">
        <v>0</v>
      </c>
    </row>
    <row r="567" spans="2:121" x14ac:dyDescent="0.25">
      <c r="B567" s="73" t="s">
        <v>254</v>
      </c>
      <c r="C567">
        <v>1</v>
      </c>
      <c r="D567">
        <v>190</v>
      </c>
      <c r="E567">
        <v>100</v>
      </c>
      <c r="F567" s="75">
        <f ca="1">INDIRECT(ADDRESS(11+(MATCH(RIGHT(Table245[[#This Row],[spawner_sku]],LEN(Table245[[#This Row],[spawner_sku]])-FIND("/",Table245[[#This Row],[spawner_sku]])),Table1[Entity Prefab],0)),10,1,1,"Entities"))</f>
        <v>70</v>
      </c>
      <c r="G567" s="75">
        <f ca="1">ROUND((Table245[[#This Row],[XP]]*Table245[[#This Row],[entity_spawned (AVG)]])*(Table245[[#This Row],[activating_chance]]/100),0)</f>
        <v>70</v>
      </c>
      <c r="H56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67" s="72">
        <v>1</v>
      </c>
      <c r="J567" s="72">
        <v>1</v>
      </c>
      <c r="K567" s="72" t="b">
        <v>0</v>
      </c>
      <c r="DH567" t="s">
        <v>537</v>
      </c>
      <c r="DI567">
        <v>1</v>
      </c>
      <c r="DJ567">
        <v>135</v>
      </c>
      <c r="DK567">
        <v>100</v>
      </c>
      <c r="DL567" s="75">
        <f ca="1">INDIRECT(ADDRESS(11+(MATCH(RIGHT(Table14[[#This Row],[spawner_sku]],LEN(Table14[[#This Row],[spawner_sku]])-FIND("/",Table14[[#This Row],[spawner_sku]])),Table1[Entity Prefab],0)),10,1,1,"Entities"))</f>
        <v>75</v>
      </c>
      <c r="DM567" s="75">
        <f ca="1">ROUND((Table14[[#This Row],[XP]]*Table14[[#This Row],[entity_spawned (AVG)]])*(Table14[[#This Row],[activating_chance]]/100),0)</f>
        <v>75</v>
      </c>
      <c r="DN56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67" s="72">
        <v>1</v>
      </c>
      <c r="DP567" s="72">
        <v>1</v>
      </c>
      <c r="DQ567" s="72" t="b">
        <v>0</v>
      </c>
    </row>
    <row r="568" spans="2:121" x14ac:dyDescent="0.25">
      <c r="B568" s="73" t="s">
        <v>254</v>
      </c>
      <c r="C568">
        <v>1</v>
      </c>
      <c r="D568">
        <v>190</v>
      </c>
      <c r="E568">
        <v>40</v>
      </c>
      <c r="F568" s="75">
        <f ca="1">INDIRECT(ADDRESS(11+(MATCH(RIGHT(Table245[[#This Row],[spawner_sku]],LEN(Table245[[#This Row],[spawner_sku]])-FIND("/",Table245[[#This Row],[spawner_sku]])),Table1[Entity Prefab],0)),10,1,1,"Entities"))</f>
        <v>70</v>
      </c>
      <c r="G568" s="75">
        <f ca="1">ROUND((Table245[[#This Row],[XP]]*Table245[[#This Row],[entity_spawned (AVG)]])*(Table245[[#This Row],[activating_chance]]/100),0)</f>
        <v>28</v>
      </c>
      <c r="H56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68" s="72">
        <v>1</v>
      </c>
      <c r="J568" s="72">
        <v>1</v>
      </c>
      <c r="K568" s="72" t="b">
        <v>0</v>
      </c>
      <c r="DH568" t="s">
        <v>537</v>
      </c>
      <c r="DI568">
        <v>1</v>
      </c>
      <c r="DJ568">
        <v>150</v>
      </c>
      <c r="DK568">
        <v>100</v>
      </c>
      <c r="DL568" s="75">
        <f ca="1">INDIRECT(ADDRESS(11+(MATCH(RIGHT(Table14[[#This Row],[spawner_sku]],LEN(Table14[[#This Row],[spawner_sku]])-FIND("/",Table14[[#This Row],[spawner_sku]])),Table1[Entity Prefab],0)),10,1,1,"Entities"))</f>
        <v>75</v>
      </c>
      <c r="DM568" s="75">
        <f ca="1">ROUND((Table14[[#This Row],[XP]]*Table14[[#This Row],[entity_spawned (AVG)]])*(Table14[[#This Row],[activating_chance]]/100),0)</f>
        <v>75</v>
      </c>
      <c r="DN56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68" s="72">
        <v>1</v>
      </c>
      <c r="DP568" s="72">
        <v>1</v>
      </c>
      <c r="DQ568" s="72" t="b">
        <v>0</v>
      </c>
    </row>
    <row r="569" spans="2:121" x14ac:dyDescent="0.25">
      <c r="B569" s="73" t="s">
        <v>254</v>
      </c>
      <c r="C569">
        <v>1</v>
      </c>
      <c r="D569">
        <v>175</v>
      </c>
      <c r="E569">
        <v>100</v>
      </c>
      <c r="F569" s="75">
        <f ca="1">INDIRECT(ADDRESS(11+(MATCH(RIGHT(Table245[[#This Row],[spawner_sku]],LEN(Table245[[#This Row],[spawner_sku]])-FIND("/",Table245[[#This Row],[spawner_sku]])),Table1[Entity Prefab],0)),10,1,1,"Entities"))</f>
        <v>70</v>
      </c>
      <c r="G569" s="75">
        <f ca="1">ROUND((Table245[[#This Row],[XP]]*Table245[[#This Row],[entity_spawned (AVG)]])*(Table245[[#This Row],[activating_chance]]/100),0)</f>
        <v>70</v>
      </c>
      <c r="H56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69" s="72">
        <v>1</v>
      </c>
      <c r="J569" s="72">
        <v>1</v>
      </c>
      <c r="K569" s="72" t="b">
        <v>0</v>
      </c>
      <c r="DH569" t="s">
        <v>537</v>
      </c>
      <c r="DI569">
        <v>1</v>
      </c>
      <c r="DJ569">
        <v>100</v>
      </c>
      <c r="DK569">
        <v>100</v>
      </c>
      <c r="DL569" s="75">
        <f ca="1">INDIRECT(ADDRESS(11+(MATCH(RIGHT(Table14[[#This Row],[spawner_sku]],LEN(Table14[[#This Row],[spawner_sku]])-FIND("/",Table14[[#This Row],[spawner_sku]])),Table1[Entity Prefab],0)),10,1,1,"Entities"))</f>
        <v>75</v>
      </c>
      <c r="DM569" s="75">
        <f ca="1">ROUND((Table14[[#This Row],[XP]]*Table14[[#This Row],[entity_spawned (AVG)]])*(Table14[[#This Row],[activating_chance]]/100),0)</f>
        <v>75</v>
      </c>
      <c r="DN56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69" s="72">
        <v>1</v>
      </c>
      <c r="DP569" s="72">
        <v>1</v>
      </c>
      <c r="DQ569" s="72" t="b">
        <v>0</v>
      </c>
    </row>
    <row r="570" spans="2:121" x14ac:dyDescent="0.25">
      <c r="B570" s="73" t="s">
        <v>254</v>
      </c>
      <c r="C570">
        <v>1</v>
      </c>
      <c r="D570">
        <v>190</v>
      </c>
      <c r="E570">
        <v>100</v>
      </c>
      <c r="F570" s="75">
        <f ca="1">INDIRECT(ADDRESS(11+(MATCH(RIGHT(Table245[[#This Row],[spawner_sku]],LEN(Table245[[#This Row],[spawner_sku]])-FIND("/",Table245[[#This Row],[spawner_sku]])),Table1[Entity Prefab],0)),10,1,1,"Entities"))</f>
        <v>70</v>
      </c>
      <c r="G570" s="75">
        <f ca="1">ROUND((Table245[[#This Row],[XP]]*Table245[[#This Row],[entity_spawned (AVG)]])*(Table245[[#This Row],[activating_chance]]/100),0)</f>
        <v>70</v>
      </c>
      <c r="H57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70" s="72">
        <v>1</v>
      </c>
      <c r="J570" s="72">
        <v>1</v>
      </c>
      <c r="K570" s="72" t="b">
        <v>0</v>
      </c>
      <c r="DH570" t="s">
        <v>537</v>
      </c>
      <c r="DI570">
        <v>1</v>
      </c>
      <c r="DJ570">
        <v>140</v>
      </c>
      <c r="DK570">
        <v>100</v>
      </c>
      <c r="DL570" s="75">
        <f ca="1">INDIRECT(ADDRESS(11+(MATCH(RIGHT(Table14[[#This Row],[spawner_sku]],LEN(Table14[[#This Row],[spawner_sku]])-FIND("/",Table14[[#This Row],[spawner_sku]])),Table1[Entity Prefab],0)),10,1,1,"Entities"))</f>
        <v>75</v>
      </c>
      <c r="DM570" s="75">
        <f ca="1">ROUND((Table14[[#This Row],[XP]]*Table14[[#This Row],[entity_spawned (AVG)]])*(Table14[[#This Row],[activating_chance]]/100),0)</f>
        <v>75</v>
      </c>
      <c r="DN57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70" s="72">
        <v>1</v>
      </c>
      <c r="DP570" s="72">
        <v>1</v>
      </c>
      <c r="DQ570" s="72" t="b">
        <v>0</v>
      </c>
    </row>
    <row r="571" spans="2:121" x14ac:dyDescent="0.25">
      <c r="B571" s="73" t="s">
        <v>255</v>
      </c>
      <c r="C571">
        <v>1</v>
      </c>
      <c r="D571">
        <v>130</v>
      </c>
      <c r="E571">
        <v>100</v>
      </c>
      <c r="F571" s="75">
        <f ca="1">INDIRECT(ADDRESS(11+(MATCH(RIGHT(Table245[[#This Row],[spawner_sku]],LEN(Table245[[#This Row],[spawner_sku]])-FIND("/",Table245[[#This Row],[spawner_sku]])),Table1[Entity Prefab],0)),10,1,1,"Entities"))</f>
        <v>25</v>
      </c>
      <c r="G571" s="75">
        <f ca="1">ROUND((Table245[[#This Row],[XP]]*Table245[[#This Row],[entity_spawned (AVG)]])*(Table245[[#This Row],[activating_chance]]/100),0)</f>
        <v>25</v>
      </c>
      <c r="H57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1" s="72">
        <v>1</v>
      </c>
      <c r="J571" s="72">
        <v>1</v>
      </c>
      <c r="K571" s="72" t="b">
        <v>0</v>
      </c>
      <c r="DH571" t="s">
        <v>537</v>
      </c>
      <c r="DI571">
        <v>1</v>
      </c>
      <c r="DJ571">
        <v>130</v>
      </c>
      <c r="DK571">
        <v>100</v>
      </c>
      <c r="DL571" s="75">
        <f ca="1">INDIRECT(ADDRESS(11+(MATCH(RIGHT(Table14[[#This Row],[spawner_sku]],LEN(Table14[[#This Row],[spawner_sku]])-FIND("/",Table14[[#This Row],[spawner_sku]])),Table1[Entity Prefab],0)),10,1,1,"Entities"))</f>
        <v>75</v>
      </c>
      <c r="DM571" s="75">
        <f ca="1">ROUND((Table14[[#This Row],[XP]]*Table14[[#This Row],[entity_spawned (AVG)]])*(Table14[[#This Row],[activating_chance]]/100),0)</f>
        <v>75</v>
      </c>
      <c r="DN57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71" s="72">
        <v>1</v>
      </c>
      <c r="DP571" s="72">
        <v>1</v>
      </c>
      <c r="DQ571" s="72" t="b">
        <v>0</v>
      </c>
    </row>
    <row r="572" spans="2:121" x14ac:dyDescent="0.25">
      <c r="B572" s="73" t="s">
        <v>255</v>
      </c>
      <c r="C572">
        <v>1</v>
      </c>
      <c r="D572">
        <v>190</v>
      </c>
      <c r="E572">
        <v>80</v>
      </c>
      <c r="F572" s="75">
        <f ca="1">INDIRECT(ADDRESS(11+(MATCH(RIGHT(Table245[[#This Row],[spawner_sku]],LEN(Table245[[#This Row],[spawner_sku]])-FIND("/",Table245[[#This Row],[spawner_sku]])),Table1[Entity Prefab],0)),10,1,1,"Entities"))</f>
        <v>25</v>
      </c>
      <c r="G572" s="75">
        <f ca="1">ROUND((Table245[[#This Row],[XP]]*Table245[[#This Row],[entity_spawned (AVG)]])*(Table245[[#This Row],[activating_chance]]/100),0)</f>
        <v>20</v>
      </c>
      <c r="H57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2" s="72">
        <v>1</v>
      </c>
      <c r="J572" s="72">
        <v>1</v>
      </c>
      <c r="K572" s="72" t="b">
        <v>0</v>
      </c>
      <c r="DH572" t="s">
        <v>537</v>
      </c>
      <c r="DI572">
        <v>1</v>
      </c>
      <c r="DJ572">
        <v>145</v>
      </c>
      <c r="DK572">
        <v>70</v>
      </c>
      <c r="DL572" s="75">
        <f ca="1">INDIRECT(ADDRESS(11+(MATCH(RIGHT(Table14[[#This Row],[spawner_sku]],LEN(Table14[[#This Row],[spawner_sku]])-FIND("/",Table14[[#This Row],[spawner_sku]])),Table1[Entity Prefab],0)),10,1,1,"Entities"))</f>
        <v>75</v>
      </c>
      <c r="DM572" s="75">
        <f ca="1">ROUND((Table14[[#This Row],[XP]]*Table14[[#This Row],[entity_spawned (AVG)]])*(Table14[[#This Row],[activating_chance]]/100),0)</f>
        <v>53</v>
      </c>
      <c r="DN57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72" s="72">
        <v>1</v>
      </c>
      <c r="DP572" s="72">
        <v>1</v>
      </c>
      <c r="DQ572" s="72" t="b">
        <v>0</v>
      </c>
    </row>
    <row r="573" spans="2:121" x14ac:dyDescent="0.25">
      <c r="B573" s="73" t="s">
        <v>255</v>
      </c>
      <c r="C573">
        <v>1</v>
      </c>
      <c r="D573">
        <v>170</v>
      </c>
      <c r="E573">
        <v>100</v>
      </c>
      <c r="F573" s="75">
        <f ca="1">INDIRECT(ADDRESS(11+(MATCH(RIGHT(Table245[[#This Row],[spawner_sku]],LEN(Table245[[#This Row],[spawner_sku]])-FIND("/",Table245[[#This Row],[spawner_sku]])),Table1[Entity Prefab],0)),10,1,1,"Entities"))</f>
        <v>25</v>
      </c>
      <c r="G573" s="75">
        <f ca="1">ROUND((Table245[[#This Row],[XP]]*Table245[[#This Row],[entity_spawned (AVG)]])*(Table245[[#This Row],[activating_chance]]/100),0)</f>
        <v>25</v>
      </c>
      <c r="H57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3" s="72">
        <v>1</v>
      </c>
      <c r="J573" s="72">
        <v>1</v>
      </c>
      <c r="K573" s="72" t="b">
        <v>0</v>
      </c>
      <c r="DH573" t="s">
        <v>537</v>
      </c>
      <c r="DI573">
        <v>1</v>
      </c>
      <c r="DJ573">
        <v>100</v>
      </c>
      <c r="DK573">
        <v>100</v>
      </c>
      <c r="DL573" s="75">
        <f ca="1">INDIRECT(ADDRESS(11+(MATCH(RIGHT(Table14[[#This Row],[spawner_sku]],LEN(Table14[[#This Row],[spawner_sku]])-FIND("/",Table14[[#This Row],[spawner_sku]])),Table1[Entity Prefab],0)),10,1,1,"Entities"))</f>
        <v>75</v>
      </c>
      <c r="DM573" s="75">
        <f ca="1">ROUND((Table14[[#This Row],[XP]]*Table14[[#This Row],[entity_spawned (AVG)]])*(Table14[[#This Row],[activating_chance]]/100),0)</f>
        <v>75</v>
      </c>
      <c r="DN57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73" s="72">
        <v>1</v>
      </c>
      <c r="DP573" s="72">
        <v>1</v>
      </c>
      <c r="DQ573" s="72" t="b">
        <v>0</v>
      </c>
    </row>
    <row r="574" spans="2:121" x14ac:dyDescent="0.25">
      <c r="B574" s="73" t="s">
        <v>255</v>
      </c>
      <c r="C574">
        <v>1</v>
      </c>
      <c r="D574">
        <v>200</v>
      </c>
      <c r="E574">
        <v>100</v>
      </c>
      <c r="F574" s="75">
        <f ca="1">INDIRECT(ADDRESS(11+(MATCH(RIGHT(Table245[[#This Row],[spawner_sku]],LEN(Table245[[#This Row],[spawner_sku]])-FIND("/",Table245[[#This Row],[spawner_sku]])),Table1[Entity Prefab],0)),10,1,1,"Entities"))</f>
        <v>25</v>
      </c>
      <c r="G574" s="75">
        <f ca="1">ROUND((Table245[[#This Row],[XP]]*Table245[[#This Row],[entity_spawned (AVG)]])*(Table245[[#This Row],[activating_chance]]/100),0)</f>
        <v>25</v>
      </c>
      <c r="H57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4" s="72">
        <v>1</v>
      </c>
      <c r="J574" s="72">
        <v>1</v>
      </c>
      <c r="K574" s="72" t="b">
        <v>0</v>
      </c>
      <c r="DH574" t="s">
        <v>537</v>
      </c>
      <c r="DI574">
        <v>1</v>
      </c>
      <c r="DJ574">
        <v>140</v>
      </c>
      <c r="DK574">
        <v>100</v>
      </c>
      <c r="DL574" s="75">
        <f ca="1">INDIRECT(ADDRESS(11+(MATCH(RIGHT(Table14[[#This Row],[spawner_sku]],LEN(Table14[[#This Row],[spawner_sku]])-FIND("/",Table14[[#This Row],[spawner_sku]])),Table1[Entity Prefab],0)),10,1,1,"Entities"))</f>
        <v>75</v>
      </c>
      <c r="DM574" s="75">
        <f ca="1">ROUND((Table14[[#This Row],[XP]]*Table14[[#This Row],[entity_spawned (AVG)]])*(Table14[[#This Row],[activating_chance]]/100),0)</f>
        <v>75</v>
      </c>
      <c r="DN57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74" s="72">
        <v>1</v>
      </c>
      <c r="DP574" s="72">
        <v>1</v>
      </c>
      <c r="DQ574" s="72" t="b">
        <v>0</v>
      </c>
    </row>
    <row r="575" spans="2:121" x14ac:dyDescent="0.25">
      <c r="B575" s="73" t="s">
        <v>255</v>
      </c>
      <c r="C575">
        <v>1</v>
      </c>
      <c r="D575">
        <v>130</v>
      </c>
      <c r="E575">
        <v>100</v>
      </c>
      <c r="F575" s="75">
        <f ca="1">INDIRECT(ADDRESS(11+(MATCH(RIGHT(Table245[[#This Row],[spawner_sku]],LEN(Table245[[#This Row],[spawner_sku]])-FIND("/",Table245[[#This Row],[spawner_sku]])),Table1[Entity Prefab],0)),10,1,1,"Entities"))</f>
        <v>25</v>
      </c>
      <c r="G575" s="75">
        <f ca="1">ROUND((Table245[[#This Row],[XP]]*Table245[[#This Row],[entity_spawned (AVG)]])*(Table245[[#This Row],[activating_chance]]/100),0)</f>
        <v>25</v>
      </c>
      <c r="H57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5" s="72">
        <v>1</v>
      </c>
      <c r="J575" s="72">
        <v>1</v>
      </c>
      <c r="K575" s="72" t="b">
        <v>0</v>
      </c>
      <c r="DH575" t="s">
        <v>537</v>
      </c>
      <c r="DI575">
        <v>1</v>
      </c>
      <c r="DJ575">
        <v>100</v>
      </c>
      <c r="DK575">
        <v>100</v>
      </c>
      <c r="DL575" s="75">
        <f ca="1">INDIRECT(ADDRESS(11+(MATCH(RIGHT(Table14[[#This Row],[spawner_sku]],LEN(Table14[[#This Row],[spawner_sku]])-FIND("/",Table14[[#This Row],[spawner_sku]])),Table1[Entity Prefab],0)),10,1,1,"Entities"))</f>
        <v>75</v>
      </c>
      <c r="DM575" s="75">
        <f ca="1">ROUND((Table14[[#This Row],[XP]]*Table14[[#This Row],[entity_spawned (AVG)]])*(Table14[[#This Row],[activating_chance]]/100),0)</f>
        <v>75</v>
      </c>
      <c r="DN57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75" s="72">
        <v>1</v>
      </c>
      <c r="DP575" s="72">
        <v>1</v>
      </c>
      <c r="DQ575" s="72" t="b">
        <v>0</v>
      </c>
    </row>
    <row r="576" spans="2:121" x14ac:dyDescent="0.25">
      <c r="B576" s="73" t="s">
        <v>255</v>
      </c>
      <c r="C576">
        <v>1</v>
      </c>
      <c r="D576">
        <v>170</v>
      </c>
      <c r="E576">
        <v>60</v>
      </c>
      <c r="F576" s="75">
        <f ca="1">INDIRECT(ADDRESS(11+(MATCH(RIGHT(Table245[[#This Row],[spawner_sku]],LEN(Table245[[#This Row],[spawner_sku]])-FIND("/",Table245[[#This Row],[spawner_sku]])),Table1[Entity Prefab],0)),10,1,1,"Entities"))</f>
        <v>25</v>
      </c>
      <c r="G576" s="75">
        <f ca="1">ROUND((Table245[[#This Row],[XP]]*Table245[[#This Row],[entity_spawned (AVG)]])*(Table245[[#This Row],[activating_chance]]/100),0)</f>
        <v>15</v>
      </c>
      <c r="H57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6" s="72">
        <v>1</v>
      </c>
      <c r="J576" s="72">
        <v>1</v>
      </c>
      <c r="K576" s="72" t="b">
        <v>0</v>
      </c>
      <c r="DH576" t="s">
        <v>537</v>
      </c>
      <c r="DI576">
        <v>1</v>
      </c>
      <c r="DJ576">
        <v>140</v>
      </c>
      <c r="DK576">
        <v>100</v>
      </c>
      <c r="DL576" s="75">
        <f ca="1">INDIRECT(ADDRESS(11+(MATCH(RIGHT(Table14[[#This Row],[spawner_sku]],LEN(Table14[[#This Row],[spawner_sku]])-FIND("/",Table14[[#This Row],[spawner_sku]])),Table1[Entity Prefab],0)),10,1,1,"Entities"))</f>
        <v>75</v>
      </c>
      <c r="DM576" s="75">
        <f ca="1">ROUND((Table14[[#This Row],[XP]]*Table14[[#This Row],[entity_spawned (AVG)]])*(Table14[[#This Row],[activating_chance]]/100),0)</f>
        <v>75</v>
      </c>
      <c r="DN57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76" s="72">
        <v>1</v>
      </c>
      <c r="DP576" s="72">
        <v>1</v>
      </c>
      <c r="DQ576" s="72" t="b">
        <v>0</v>
      </c>
    </row>
    <row r="577" spans="2:121" x14ac:dyDescent="0.25">
      <c r="B577" s="73" t="s">
        <v>255</v>
      </c>
      <c r="C577">
        <v>1</v>
      </c>
      <c r="D577">
        <v>140</v>
      </c>
      <c r="E577">
        <v>100</v>
      </c>
      <c r="F577" s="75">
        <f ca="1">INDIRECT(ADDRESS(11+(MATCH(RIGHT(Table245[[#This Row],[spawner_sku]],LEN(Table245[[#This Row],[spawner_sku]])-FIND("/",Table245[[#This Row],[spawner_sku]])),Table1[Entity Prefab],0)),10,1,1,"Entities"))</f>
        <v>25</v>
      </c>
      <c r="G577" s="75">
        <f ca="1">ROUND((Table245[[#This Row],[XP]]*Table245[[#This Row],[entity_spawned (AVG)]])*(Table245[[#This Row],[activating_chance]]/100),0)</f>
        <v>25</v>
      </c>
      <c r="H57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7" s="72">
        <v>1</v>
      </c>
      <c r="J577" s="72">
        <v>1</v>
      </c>
      <c r="K577" s="72" t="b">
        <v>0</v>
      </c>
      <c r="DH577" t="s">
        <v>537</v>
      </c>
      <c r="DI577">
        <v>1</v>
      </c>
      <c r="DJ577">
        <v>140</v>
      </c>
      <c r="DK577">
        <v>100</v>
      </c>
      <c r="DL577" s="75">
        <f ca="1">INDIRECT(ADDRESS(11+(MATCH(RIGHT(Table14[[#This Row],[spawner_sku]],LEN(Table14[[#This Row],[spawner_sku]])-FIND("/",Table14[[#This Row],[spawner_sku]])),Table1[Entity Prefab],0)),10,1,1,"Entities"))</f>
        <v>75</v>
      </c>
      <c r="DM577" s="75">
        <f ca="1">ROUND((Table14[[#This Row],[XP]]*Table14[[#This Row],[entity_spawned (AVG)]])*(Table14[[#This Row],[activating_chance]]/100),0)</f>
        <v>75</v>
      </c>
      <c r="DN57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77" s="72">
        <v>1</v>
      </c>
      <c r="DP577" s="72">
        <v>1</v>
      </c>
      <c r="DQ577" s="72" t="b">
        <v>0</v>
      </c>
    </row>
    <row r="578" spans="2:121" x14ac:dyDescent="0.25">
      <c r="B578" s="73" t="s">
        <v>255</v>
      </c>
      <c r="C578">
        <v>1</v>
      </c>
      <c r="D578">
        <v>190</v>
      </c>
      <c r="E578">
        <v>100</v>
      </c>
      <c r="F578" s="75">
        <f ca="1">INDIRECT(ADDRESS(11+(MATCH(RIGHT(Table245[[#This Row],[spawner_sku]],LEN(Table245[[#This Row],[spawner_sku]])-FIND("/",Table245[[#This Row],[spawner_sku]])),Table1[Entity Prefab],0)),10,1,1,"Entities"))</f>
        <v>25</v>
      </c>
      <c r="G578" s="75">
        <f ca="1">ROUND((Table245[[#This Row],[XP]]*Table245[[#This Row],[entity_spawned (AVG)]])*(Table245[[#This Row],[activating_chance]]/100),0)</f>
        <v>25</v>
      </c>
      <c r="H57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8" s="72">
        <v>1</v>
      </c>
      <c r="J578" s="72">
        <v>1</v>
      </c>
      <c r="K578" s="72" t="b">
        <v>0</v>
      </c>
      <c r="DH578" t="s">
        <v>537</v>
      </c>
      <c r="DI578">
        <v>1</v>
      </c>
      <c r="DJ578">
        <v>135</v>
      </c>
      <c r="DK578">
        <v>100</v>
      </c>
      <c r="DL578" s="75">
        <f ca="1">INDIRECT(ADDRESS(11+(MATCH(RIGHT(Table14[[#This Row],[spawner_sku]],LEN(Table14[[#This Row],[spawner_sku]])-FIND("/",Table14[[#This Row],[spawner_sku]])),Table1[Entity Prefab],0)),10,1,1,"Entities"))</f>
        <v>75</v>
      </c>
      <c r="DM578" s="75">
        <f ca="1">ROUND((Table14[[#This Row],[XP]]*Table14[[#This Row],[entity_spawned (AVG)]])*(Table14[[#This Row],[activating_chance]]/100),0)</f>
        <v>75</v>
      </c>
      <c r="DN57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78" s="72">
        <v>1</v>
      </c>
      <c r="DP578" s="72">
        <v>1</v>
      </c>
      <c r="DQ578" s="72" t="b">
        <v>0</v>
      </c>
    </row>
    <row r="579" spans="2:121" x14ac:dyDescent="0.25">
      <c r="B579" s="73" t="s">
        <v>255</v>
      </c>
      <c r="C579">
        <v>1</v>
      </c>
      <c r="D579">
        <v>140</v>
      </c>
      <c r="E579">
        <v>85</v>
      </c>
      <c r="F579" s="75">
        <f ca="1">INDIRECT(ADDRESS(11+(MATCH(RIGHT(Table245[[#This Row],[spawner_sku]],LEN(Table245[[#This Row],[spawner_sku]])-FIND("/",Table245[[#This Row],[spawner_sku]])),Table1[Entity Prefab],0)),10,1,1,"Entities"))</f>
        <v>25</v>
      </c>
      <c r="G579" s="75">
        <f ca="1">ROUND((Table245[[#This Row],[XP]]*Table245[[#This Row],[entity_spawned (AVG)]])*(Table245[[#This Row],[activating_chance]]/100),0)</f>
        <v>21</v>
      </c>
      <c r="H57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9" s="72">
        <v>1</v>
      </c>
      <c r="J579" s="72">
        <v>1</v>
      </c>
      <c r="K579" s="72" t="b">
        <v>0</v>
      </c>
      <c r="DH579" t="s">
        <v>537</v>
      </c>
      <c r="DI579">
        <v>1</v>
      </c>
      <c r="DJ579">
        <v>150</v>
      </c>
      <c r="DK579">
        <v>30</v>
      </c>
      <c r="DL579" s="75">
        <f ca="1">INDIRECT(ADDRESS(11+(MATCH(RIGHT(Table14[[#This Row],[spawner_sku]],LEN(Table14[[#This Row],[spawner_sku]])-FIND("/",Table14[[#This Row],[spawner_sku]])),Table1[Entity Prefab],0)),10,1,1,"Entities"))</f>
        <v>75</v>
      </c>
      <c r="DM579" s="75">
        <f ca="1">ROUND((Table14[[#This Row],[XP]]*Table14[[#This Row],[entity_spawned (AVG)]])*(Table14[[#This Row],[activating_chance]]/100),0)</f>
        <v>23</v>
      </c>
      <c r="DN57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79" s="72">
        <v>1</v>
      </c>
      <c r="DP579" s="72">
        <v>1</v>
      </c>
      <c r="DQ579" s="72" t="b">
        <v>0</v>
      </c>
    </row>
    <row r="580" spans="2:121" x14ac:dyDescent="0.25">
      <c r="B580" s="73" t="s">
        <v>255</v>
      </c>
      <c r="C580">
        <v>1</v>
      </c>
      <c r="D580">
        <v>190</v>
      </c>
      <c r="E580">
        <v>100</v>
      </c>
      <c r="F580" s="75">
        <f ca="1">INDIRECT(ADDRESS(11+(MATCH(RIGHT(Table245[[#This Row],[spawner_sku]],LEN(Table245[[#This Row],[spawner_sku]])-FIND("/",Table245[[#This Row],[spawner_sku]])),Table1[Entity Prefab],0)),10,1,1,"Entities"))</f>
        <v>25</v>
      </c>
      <c r="G580" s="75">
        <f ca="1">ROUND((Table245[[#This Row],[XP]]*Table245[[#This Row],[entity_spawned (AVG)]])*(Table245[[#This Row],[activating_chance]]/100),0)</f>
        <v>25</v>
      </c>
      <c r="H58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0" s="72">
        <v>1</v>
      </c>
      <c r="J580" s="72">
        <v>1</v>
      </c>
      <c r="K580" s="72" t="b">
        <v>0</v>
      </c>
      <c r="DH580" t="s">
        <v>537</v>
      </c>
      <c r="DI580">
        <v>1</v>
      </c>
      <c r="DJ580">
        <v>150</v>
      </c>
      <c r="DK580">
        <v>100</v>
      </c>
      <c r="DL580" s="75">
        <f ca="1">INDIRECT(ADDRESS(11+(MATCH(RIGHT(Table14[[#This Row],[spawner_sku]],LEN(Table14[[#This Row],[spawner_sku]])-FIND("/",Table14[[#This Row],[spawner_sku]])),Table1[Entity Prefab],0)),10,1,1,"Entities"))</f>
        <v>75</v>
      </c>
      <c r="DM580" s="75">
        <f ca="1">ROUND((Table14[[#This Row],[XP]]*Table14[[#This Row],[entity_spawned (AVG)]])*(Table14[[#This Row],[activating_chance]]/100),0)</f>
        <v>75</v>
      </c>
      <c r="DN58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80" s="72">
        <v>1</v>
      </c>
      <c r="DP580" s="72">
        <v>1</v>
      </c>
      <c r="DQ580" s="72" t="b">
        <v>0</v>
      </c>
    </row>
    <row r="581" spans="2:121" x14ac:dyDescent="0.25">
      <c r="B581" s="73" t="s">
        <v>255</v>
      </c>
      <c r="C581">
        <v>1</v>
      </c>
      <c r="D581">
        <v>140</v>
      </c>
      <c r="E581">
        <v>100</v>
      </c>
      <c r="F581" s="75">
        <f ca="1">INDIRECT(ADDRESS(11+(MATCH(RIGHT(Table245[[#This Row],[spawner_sku]],LEN(Table245[[#This Row],[spawner_sku]])-FIND("/",Table245[[#This Row],[spawner_sku]])),Table1[Entity Prefab],0)),10,1,1,"Entities"))</f>
        <v>25</v>
      </c>
      <c r="G581" s="75">
        <f ca="1">ROUND((Table245[[#This Row],[XP]]*Table245[[#This Row],[entity_spawned (AVG)]])*(Table245[[#This Row],[activating_chance]]/100),0)</f>
        <v>25</v>
      </c>
      <c r="H58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1" s="72">
        <v>1</v>
      </c>
      <c r="J581" s="72">
        <v>1</v>
      </c>
      <c r="K581" s="72" t="b">
        <v>0</v>
      </c>
      <c r="DH581" t="s">
        <v>537</v>
      </c>
      <c r="DI581">
        <v>1</v>
      </c>
      <c r="DJ581">
        <v>100</v>
      </c>
      <c r="DK581">
        <v>100</v>
      </c>
      <c r="DL581" s="75">
        <f ca="1">INDIRECT(ADDRESS(11+(MATCH(RIGHT(Table14[[#This Row],[spawner_sku]],LEN(Table14[[#This Row],[spawner_sku]])-FIND("/",Table14[[#This Row],[spawner_sku]])),Table1[Entity Prefab],0)),10,1,1,"Entities"))</f>
        <v>75</v>
      </c>
      <c r="DM581" s="75">
        <f ca="1">ROUND((Table14[[#This Row],[XP]]*Table14[[#This Row],[entity_spawned (AVG)]])*(Table14[[#This Row],[activating_chance]]/100),0)</f>
        <v>75</v>
      </c>
      <c r="DN58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81" s="72">
        <v>1</v>
      </c>
      <c r="DP581" s="72">
        <v>1</v>
      </c>
      <c r="DQ581" s="72" t="b">
        <v>0</v>
      </c>
    </row>
    <row r="582" spans="2:121" x14ac:dyDescent="0.25">
      <c r="B582" s="73" t="s">
        <v>255</v>
      </c>
      <c r="C582">
        <v>1</v>
      </c>
      <c r="D582">
        <v>190</v>
      </c>
      <c r="E582">
        <v>90</v>
      </c>
      <c r="F582" s="75">
        <f ca="1">INDIRECT(ADDRESS(11+(MATCH(RIGHT(Table245[[#This Row],[spawner_sku]],LEN(Table245[[#This Row],[spawner_sku]])-FIND("/",Table245[[#This Row],[spawner_sku]])),Table1[Entity Prefab],0)),10,1,1,"Entities"))</f>
        <v>25</v>
      </c>
      <c r="G582" s="75">
        <f ca="1">ROUND((Table245[[#This Row],[XP]]*Table245[[#This Row],[entity_spawned (AVG)]])*(Table245[[#This Row],[activating_chance]]/100),0)</f>
        <v>23</v>
      </c>
      <c r="H58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2" s="72">
        <v>1</v>
      </c>
      <c r="J582" s="72">
        <v>1</v>
      </c>
      <c r="K582" s="72" t="b">
        <v>0</v>
      </c>
      <c r="DH582" t="s">
        <v>537</v>
      </c>
      <c r="DI582">
        <v>1</v>
      </c>
      <c r="DJ582">
        <v>150</v>
      </c>
      <c r="DK582">
        <v>100</v>
      </c>
      <c r="DL582" s="75">
        <f ca="1">INDIRECT(ADDRESS(11+(MATCH(RIGHT(Table14[[#This Row],[spawner_sku]],LEN(Table14[[#This Row],[spawner_sku]])-FIND("/",Table14[[#This Row],[spawner_sku]])),Table1[Entity Prefab],0)),10,1,1,"Entities"))</f>
        <v>75</v>
      </c>
      <c r="DM582" s="75">
        <f ca="1">ROUND((Table14[[#This Row],[XP]]*Table14[[#This Row],[entity_spawned (AVG)]])*(Table14[[#This Row],[activating_chance]]/100),0)</f>
        <v>75</v>
      </c>
      <c r="DN58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82" s="72">
        <v>1</v>
      </c>
      <c r="DP582" s="72">
        <v>1</v>
      </c>
      <c r="DQ582" s="72" t="b">
        <v>0</v>
      </c>
    </row>
    <row r="583" spans="2:121" x14ac:dyDescent="0.25">
      <c r="B583" s="73" t="s">
        <v>255</v>
      </c>
      <c r="C583">
        <v>1</v>
      </c>
      <c r="D583">
        <v>200</v>
      </c>
      <c r="E583">
        <v>70</v>
      </c>
      <c r="F583" s="75">
        <f ca="1">INDIRECT(ADDRESS(11+(MATCH(RIGHT(Table245[[#This Row],[spawner_sku]],LEN(Table245[[#This Row],[spawner_sku]])-FIND("/",Table245[[#This Row],[spawner_sku]])),Table1[Entity Prefab],0)),10,1,1,"Entities"))</f>
        <v>25</v>
      </c>
      <c r="G583" s="75">
        <f ca="1">ROUND((Table245[[#This Row],[XP]]*Table245[[#This Row],[entity_spawned (AVG)]])*(Table245[[#This Row],[activating_chance]]/100),0)</f>
        <v>18</v>
      </c>
      <c r="H58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3" s="72">
        <v>1</v>
      </c>
      <c r="J583" s="72">
        <v>1</v>
      </c>
      <c r="K583" s="72" t="b">
        <v>0</v>
      </c>
      <c r="DH583" t="s">
        <v>537</v>
      </c>
      <c r="DI583">
        <v>1</v>
      </c>
      <c r="DJ583">
        <v>100</v>
      </c>
      <c r="DK583">
        <v>100</v>
      </c>
      <c r="DL583" s="75">
        <f ca="1">INDIRECT(ADDRESS(11+(MATCH(RIGHT(Table14[[#This Row],[spawner_sku]],LEN(Table14[[#This Row],[spawner_sku]])-FIND("/",Table14[[#This Row],[spawner_sku]])),Table1[Entity Prefab],0)),10,1,1,"Entities"))</f>
        <v>75</v>
      </c>
      <c r="DM583" s="75">
        <f ca="1">ROUND((Table14[[#This Row],[XP]]*Table14[[#This Row],[entity_spawned (AVG)]])*(Table14[[#This Row],[activating_chance]]/100),0)</f>
        <v>75</v>
      </c>
      <c r="DN58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83" s="72">
        <v>1</v>
      </c>
      <c r="DP583" s="72">
        <v>1</v>
      </c>
      <c r="DQ583" s="72" t="b">
        <v>0</v>
      </c>
    </row>
    <row r="584" spans="2:121" x14ac:dyDescent="0.25">
      <c r="B584" s="73" t="s">
        <v>255</v>
      </c>
      <c r="C584">
        <v>1</v>
      </c>
      <c r="D584">
        <v>170</v>
      </c>
      <c r="E584">
        <v>100</v>
      </c>
      <c r="F584" s="75">
        <f ca="1">INDIRECT(ADDRESS(11+(MATCH(RIGHT(Table245[[#This Row],[spawner_sku]],LEN(Table245[[#This Row],[spawner_sku]])-FIND("/",Table245[[#This Row],[spawner_sku]])),Table1[Entity Prefab],0)),10,1,1,"Entities"))</f>
        <v>25</v>
      </c>
      <c r="G584" s="75">
        <f ca="1">ROUND((Table245[[#This Row],[XP]]*Table245[[#This Row],[entity_spawned (AVG)]])*(Table245[[#This Row],[activating_chance]]/100),0)</f>
        <v>25</v>
      </c>
      <c r="H58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4" s="72">
        <v>1</v>
      </c>
      <c r="J584" s="72">
        <v>1</v>
      </c>
      <c r="K584" s="72" t="b">
        <v>0</v>
      </c>
      <c r="DH584" t="s">
        <v>537</v>
      </c>
      <c r="DI584">
        <v>1</v>
      </c>
      <c r="DJ584">
        <v>150</v>
      </c>
      <c r="DK584">
        <v>100</v>
      </c>
      <c r="DL584" s="75">
        <f ca="1">INDIRECT(ADDRESS(11+(MATCH(RIGHT(Table14[[#This Row],[spawner_sku]],LEN(Table14[[#This Row],[spawner_sku]])-FIND("/",Table14[[#This Row],[spawner_sku]])),Table1[Entity Prefab],0)),10,1,1,"Entities"))</f>
        <v>75</v>
      </c>
      <c r="DM584" s="75">
        <f ca="1">ROUND((Table14[[#This Row],[XP]]*Table14[[#This Row],[entity_spawned (AVG)]])*(Table14[[#This Row],[activating_chance]]/100),0)</f>
        <v>75</v>
      </c>
      <c r="DN58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84" s="72">
        <v>1</v>
      </c>
      <c r="DP584" s="72">
        <v>1</v>
      </c>
      <c r="DQ584" s="72" t="b">
        <v>0</v>
      </c>
    </row>
    <row r="585" spans="2:121" x14ac:dyDescent="0.25">
      <c r="B585" s="73" t="s">
        <v>255</v>
      </c>
      <c r="C585">
        <v>1</v>
      </c>
      <c r="D585">
        <v>140</v>
      </c>
      <c r="E585">
        <v>100</v>
      </c>
      <c r="F585" s="75">
        <f ca="1">INDIRECT(ADDRESS(11+(MATCH(RIGHT(Table245[[#This Row],[spawner_sku]],LEN(Table245[[#This Row],[spawner_sku]])-FIND("/",Table245[[#This Row],[spawner_sku]])),Table1[Entity Prefab],0)),10,1,1,"Entities"))</f>
        <v>25</v>
      </c>
      <c r="G585" s="75">
        <f ca="1">ROUND((Table245[[#This Row],[XP]]*Table245[[#This Row],[entity_spawned (AVG)]])*(Table245[[#This Row],[activating_chance]]/100),0)</f>
        <v>25</v>
      </c>
      <c r="H58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5" s="72">
        <v>1</v>
      </c>
      <c r="J585" s="72">
        <v>1</v>
      </c>
      <c r="K585" s="72" t="b">
        <v>0</v>
      </c>
      <c r="DH585" t="s">
        <v>537</v>
      </c>
      <c r="DI585">
        <v>1</v>
      </c>
      <c r="DJ585">
        <v>150</v>
      </c>
      <c r="DK585">
        <v>100</v>
      </c>
      <c r="DL585" s="75">
        <f ca="1">INDIRECT(ADDRESS(11+(MATCH(RIGHT(Table14[[#This Row],[spawner_sku]],LEN(Table14[[#This Row],[spawner_sku]])-FIND("/",Table14[[#This Row],[spawner_sku]])),Table1[Entity Prefab],0)),10,1,1,"Entities"))</f>
        <v>75</v>
      </c>
      <c r="DM585" s="75">
        <f ca="1">ROUND((Table14[[#This Row],[XP]]*Table14[[#This Row],[entity_spawned (AVG)]])*(Table14[[#This Row],[activating_chance]]/100),0)</f>
        <v>75</v>
      </c>
      <c r="DN58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85" s="72">
        <v>1</v>
      </c>
      <c r="DP585" s="72">
        <v>1</v>
      </c>
      <c r="DQ585" s="72" t="b">
        <v>0</v>
      </c>
    </row>
    <row r="586" spans="2:121" x14ac:dyDescent="0.25">
      <c r="B586" s="73" t="s">
        <v>255</v>
      </c>
      <c r="C586">
        <v>1</v>
      </c>
      <c r="D586">
        <v>140</v>
      </c>
      <c r="E586">
        <v>100</v>
      </c>
      <c r="F586" s="75">
        <f ca="1">INDIRECT(ADDRESS(11+(MATCH(RIGHT(Table245[[#This Row],[spawner_sku]],LEN(Table245[[#This Row],[spawner_sku]])-FIND("/",Table245[[#This Row],[spawner_sku]])),Table1[Entity Prefab],0)),10,1,1,"Entities"))</f>
        <v>25</v>
      </c>
      <c r="G586" s="75">
        <f ca="1">ROUND((Table245[[#This Row],[XP]]*Table245[[#This Row],[entity_spawned (AVG)]])*(Table245[[#This Row],[activating_chance]]/100),0)</f>
        <v>25</v>
      </c>
      <c r="H58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6" s="72">
        <v>1</v>
      </c>
      <c r="J586" s="72">
        <v>1</v>
      </c>
      <c r="K586" s="72" t="b">
        <v>0</v>
      </c>
      <c r="DH586" t="s">
        <v>537</v>
      </c>
      <c r="DI586">
        <v>1</v>
      </c>
      <c r="DJ586">
        <v>150</v>
      </c>
      <c r="DK586">
        <v>100</v>
      </c>
      <c r="DL586" s="75">
        <f ca="1">INDIRECT(ADDRESS(11+(MATCH(RIGHT(Table14[[#This Row],[spawner_sku]],LEN(Table14[[#This Row],[spawner_sku]])-FIND("/",Table14[[#This Row],[spawner_sku]])),Table1[Entity Prefab],0)),10,1,1,"Entities"))</f>
        <v>75</v>
      </c>
      <c r="DM586" s="75">
        <f ca="1">ROUND((Table14[[#This Row],[XP]]*Table14[[#This Row],[entity_spawned (AVG)]])*(Table14[[#This Row],[activating_chance]]/100),0)</f>
        <v>75</v>
      </c>
      <c r="DN58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86" s="72">
        <v>1</v>
      </c>
      <c r="DP586" s="72">
        <v>1</v>
      </c>
      <c r="DQ586" s="72" t="b">
        <v>0</v>
      </c>
    </row>
    <row r="587" spans="2:121" x14ac:dyDescent="0.25">
      <c r="B587" s="73" t="s">
        <v>255</v>
      </c>
      <c r="C587">
        <v>1</v>
      </c>
      <c r="D587">
        <v>170</v>
      </c>
      <c r="E587">
        <v>60</v>
      </c>
      <c r="F587" s="75">
        <f ca="1">INDIRECT(ADDRESS(11+(MATCH(RIGHT(Table245[[#This Row],[spawner_sku]],LEN(Table245[[#This Row],[spawner_sku]])-FIND("/",Table245[[#This Row],[spawner_sku]])),Table1[Entity Prefab],0)),10,1,1,"Entities"))</f>
        <v>25</v>
      </c>
      <c r="G587" s="75">
        <f ca="1">ROUND((Table245[[#This Row],[XP]]*Table245[[#This Row],[entity_spawned (AVG)]])*(Table245[[#This Row],[activating_chance]]/100),0)</f>
        <v>15</v>
      </c>
      <c r="H58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7" s="72">
        <v>1</v>
      </c>
      <c r="J587" s="72">
        <v>1</v>
      </c>
      <c r="K587" s="72" t="b">
        <v>0</v>
      </c>
      <c r="DH587" t="s">
        <v>537</v>
      </c>
      <c r="DI587">
        <v>1</v>
      </c>
      <c r="DJ587">
        <v>100</v>
      </c>
      <c r="DK587">
        <v>70</v>
      </c>
      <c r="DL587" s="75">
        <f ca="1">INDIRECT(ADDRESS(11+(MATCH(RIGHT(Table14[[#This Row],[spawner_sku]],LEN(Table14[[#This Row],[spawner_sku]])-FIND("/",Table14[[#This Row],[spawner_sku]])),Table1[Entity Prefab],0)),10,1,1,"Entities"))</f>
        <v>75</v>
      </c>
      <c r="DM587" s="75">
        <f ca="1">ROUND((Table14[[#This Row],[XP]]*Table14[[#This Row],[entity_spawned (AVG)]])*(Table14[[#This Row],[activating_chance]]/100),0)</f>
        <v>53</v>
      </c>
      <c r="DN58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87" s="72">
        <v>1</v>
      </c>
      <c r="DP587" s="72">
        <v>1</v>
      </c>
      <c r="DQ587" s="72" t="b">
        <v>0</v>
      </c>
    </row>
    <row r="588" spans="2:121" x14ac:dyDescent="0.25">
      <c r="B588" s="73" t="s">
        <v>255</v>
      </c>
      <c r="C588">
        <v>1</v>
      </c>
      <c r="D588">
        <v>170</v>
      </c>
      <c r="E588">
        <v>100</v>
      </c>
      <c r="F588" s="75">
        <f ca="1">INDIRECT(ADDRESS(11+(MATCH(RIGHT(Table245[[#This Row],[spawner_sku]],LEN(Table245[[#This Row],[spawner_sku]])-FIND("/",Table245[[#This Row],[spawner_sku]])),Table1[Entity Prefab],0)),10,1,1,"Entities"))</f>
        <v>25</v>
      </c>
      <c r="G588" s="75">
        <f ca="1">ROUND((Table245[[#This Row],[XP]]*Table245[[#This Row],[entity_spawned (AVG)]])*(Table245[[#This Row],[activating_chance]]/100),0)</f>
        <v>25</v>
      </c>
      <c r="H58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8" s="72">
        <v>1</v>
      </c>
      <c r="J588" s="72">
        <v>1</v>
      </c>
      <c r="K588" s="72" t="b">
        <v>0</v>
      </c>
      <c r="DH588" t="s">
        <v>537</v>
      </c>
      <c r="DI588">
        <v>1</v>
      </c>
      <c r="DJ588">
        <v>130</v>
      </c>
      <c r="DK588">
        <v>100</v>
      </c>
      <c r="DL588" s="75">
        <f ca="1">INDIRECT(ADDRESS(11+(MATCH(RIGHT(Table14[[#This Row],[spawner_sku]],LEN(Table14[[#This Row],[spawner_sku]])-FIND("/",Table14[[#This Row],[spawner_sku]])),Table1[Entity Prefab],0)),10,1,1,"Entities"))</f>
        <v>75</v>
      </c>
      <c r="DM588" s="75">
        <f ca="1">ROUND((Table14[[#This Row],[XP]]*Table14[[#This Row],[entity_spawned (AVG)]])*(Table14[[#This Row],[activating_chance]]/100),0)</f>
        <v>75</v>
      </c>
      <c r="DN58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88" s="72">
        <v>1</v>
      </c>
      <c r="DP588" s="72">
        <v>1</v>
      </c>
      <c r="DQ588" s="72" t="b">
        <v>0</v>
      </c>
    </row>
    <row r="589" spans="2:121" x14ac:dyDescent="0.25">
      <c r="B589" s="73" t="s">
        <v>255</v>
      </c>
      <c r="C589">
        <v>1</v>
      </c>
      <c r="D589">
        <v>160</v>
      </c>
      <c r="E589">
        <v>100</v>
      </c>
      <c r="F589" s="75">
        <f ca="1">INDIRECT(ADDRESS(11+(MATCH(RIGHT(Table245[[#This Row],[spawner_sku]],LEN(Table245[[#This Row],[spawner_sku]])-FIND("/",Table245[[#This Row],[spawner_sku]])),Table1[Entity Prefab],0)),10,1,1,"Entities"))</f>
        <v>25</v>
      </c>
      <c r="G589" s="75">
        <f ca="1">ROUND((Table245[[#This Row],[XP]]*Table245[[#This Row],[entity_spawned (AVG)]])*(Table245[[#This Row],[activating_chance]]/100),0)</f>
        <v>25</v>
      </c>
      <c r="H58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9" s="72">
        <v>1</v>
      </c>
      <c r="J589" s="72">
        <v>1</v>
      </c>
      <c r="K589" s="72" t="b">
        <v>0</v>
      </c>
      <c r="DH589" t="s">
        <v>537</v>
      </c>
      <c r="DI589">
        <v>1</v>
      </c>
      <c r="DJ589">
        <v>150</v>
      </c>
      <c r="DK589">
        <v>100</v>
      </c>
      <c r="DL589" s="75">
        <f ca="1">INDIRECT(ADDRESS(11+(MATCH(RIGHT(Table14[[#This Row],[spawner_sku]],LEN(Table14[[#This Row],[spawner_sku]])-FIND("/",Table14[[#This Row],[spawner_sku]])),Table1[Entity Prefab],0)),10,1,1,"Entities"))</f>
        <v>75</v>
      </c>
      <c r="DM589" s="75">
        <f ca="1">ROUND((Table14[[#This Row],[XP]]*Table14[[#This Row],[entity_spawned (AVG)]])*(Table14[[#This Row],[activating_chance]]/100),0)</f>
        <v>75</v>
      </c>
      <c r="DN58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89" s="72">
        <v>1</v>
      </c>
      <c r="DP589" s="72">
        <v>1</v>
      </c>
      <c r="DQ589" s="72" t="b">
        <v>0</v>
      </c>
    </row>
    <row r="590" spans="2:121" x14ac:dyDescent="0.25">
      <c r="B590" s="73" t="s">
        <v>255</v>
      </c>
      <c r="C590">
        <v>1</v>
      </c>
      <c r="D590">
        <v>170</v>
      </c>
      <c r="E590">
        <v>100</v>
      </c>
      <c r="F590" s="75">
        <f ca="1">INDIRECT(ADDRESS(11+(MATCH(RIGHT(Table245[[#This Row],[spawner_sku]],LEN(Table245[[#This Row],[spawner_sku]])-FIND("/",Table245[[#This Row],[spawner_sku]])),Table1[Entity Prefab],0)),10,1,1,"Entities"))</f>
        <v>25</v>
      </c>
      <c r="G590" s="75">
        <f ca="1">ROUND((Table245[[#This Row],[XP]]*Table245[[#This Row],[entity_spawned (AVG)]])*(Table245[[#This Row],[activating_chance]]/100),0)</f>
        <v>25</v>
      </c>
      <c r="H59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0" s="72">
        <v>1</v>
      </c>
      <c r="J590" s="72">
        <v>1</v>
      </c>
      <c r="K590" s="72" t="b">
        <v>0</v>
      </c>
      <c r="DH590" t="s">
        <v>537</v>
      </c>
      <c r="DI590">
        <v>1</v>
      </c>
      <c r="DJ590">
        <v>160</v>
      </c>
      <c r="DK590">
        <v>100</v>
      </c>
      <c r="DL590" s="75">
        <f ca="1">INDIRECT(ADDRESS(11+(MATCH(RIGHT(Table14[[#This Row],[spawner_sku]],LEN(Table14[[#This Row],[spawner_sku]])-FIND("/",Table14[[#This Row],[spawner_sku]])),Table1[Entity Prefab],0)),10,1,1,"Entities"))</f>
        <v>75</v>
      </c>
      <c r="DM590" s="75">
        <f ca="1">ROUND((Table14[[#This Row],[XP]]*Table14[[#This Row],[entity_spawned (AVG)]])*(Table14[[#This Row],[activating_chance]]/100),0)</f>
        <v>75</v>
      </c>
      <c r="DN59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90" s="72">
        <v>1</v>
      </c>
      <c r="DP590" s="72">
        <v>1</v>
      </c>
      <c r="DQ590" s="72" t="b">
        <v>0</v>
      </c>
    </row>
    <row r="591" spans="2:121" x14ac:dyDescent="0.25">
      <c r="B591" s="73" t="s">
        <v>255</v>
      </c>
      <c r="C591">
        <v>1</v>
      </c>
      <c r="D591">
        <v>140</v>
      </c>
      <c r="E591">
        <v>80</v>
      </c>
      <c r="F591" s="75">
        <f ca="1">INDIRECT(ADDRESS(11+(MATCH(RIGHT(Table245[[#This Row],[spawner_sku]],LEN(Table245[[#This Row],[spawner_sku]])-FIND("/",Table245[[#This Row],[spawner_sku]])),Table1[Entity Prefab],0)),10,1,1,"Entities"))</f>
        <v>25</v>
      </c>
      <c r="G591" s="75">
        <f ca="1">ROUND((Table245[[#This Row],[XP]]*Table245[[#This Row],[entity_spawned (AVG)]])*(Table245[[#This Row],[activating_chance]]/100),0)</f>
        <v>20</v>
      </c>
      <c r="H59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1" s="72">
        <v>1</v>
      </c>
      <c r="J591" s="72">
        <v>1</v>
      </c>
      <c r="K591" s="72" t="b">
        <v>0</v>
      </c>
      <c r="DH591" t="s">
        <v>537</v>
      </c>
      <c r="DI591">
        <v>1</v>
      </c>
      <c r="DJ591">
        <v>135</v>
      </c>
      <c r="DK591">
        <v>100</v>
      </c>
      <c r="DL591" s="75">
        <f ca="1">INDIRECT(ADDRESS(11+(MATCH(RIGHT(Table14[[#This Row],[spawner_sku]],LEN(Table14[[#This Row],[spawner_sku]])-FIND("/",Table14[[#This Row],[spawner_sku]])),Table1[Entity Prefab],0)),10,1,1,"Entities"))</f>
        <v>75</v>
      </c>
      <c r="DM591" s="75">
        <f ca="1">ROUND((Table14[[#This Row],[XP]]*Table14[[#This Row],[entity_spawned (AVG)]])*(Table14[[#This Row],[activating_chance]]/100),0)</f>
        <v>75</v>
      </c>
      <c r="DN59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91" s="72">
        <v>1</v>
      </c>
      <c r="DP591" s="72">
        <v>1</v>
      </c>
      <c r="DQ591" s="72" t="b">
        <v>0</v>
      </c>
    </row>
    <row r="592" spans="2:121" x14ac:dyDescent="0.25">
      <c r="B592" s="73" t="s">
        <v>255</v>
      </c>
      <c r="C592">
        <v>1</v>
      </c>
      <c r="D592">
        <v>200</v>
      </c>
      <c r="E592">
        <v>100</v>
      </c>
      <c r="F592" s="75">
        <f ca="1">INDIRECT(ADDRESS(11+(MATCH(RIGHT(Table245[[#This Row],[spawner_sku]],LEN(Table245[[#This Row],[spawner_sku]])-FIND("/",Table245[[#This Row],[spawner_sku]])),Table1[Entity Prefab],0)),10,1,1,"Entities"))</f>
        <v>25</v>
      </c>
      <c r="G592" s="75">
        <f ca="1">ROUND((Table245[[#This Row],[XP]]*Table245[[#This Row],[entity_spawned (AVG)]])*(Table245[[#This Row],[activating_chance]]/100),0)</f>
        <v>25</v>
      </c>
      <c r="H59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2" s="72">
        <v>1</v>
      </c>
      <c r="J592" s="72">
        <v>1</v>
      </c>
      <c r="K592" s="72" t="b">
        <v>0</v>
      </c>
      <c r="DH592" t="s">
        <v>537</v>
      </c>
      <c r="DI592">
        <v>1</v>
      </c>
      <c r="DJ592">
        <v>135</v>
      </c>
      <c r="DK592">
        <v>100</v>
      </c>
      <c r="DL592" s="75">
        <f ca="1">INDIRECT(ADDRESS(11+(MATCH(RIGHT(Table14[[#This Row],[spawner_sku]],LEN(Table14[[#This Row],[spawner_sku]])-FIND("/",Table14[[#This Row],[spawner_sku]])),Table1[Entity Prefab],0)),10,1,1,"Entities"))</f>
        <v>75</v>
      </c>
      <c r="DM592" s="75">
        <f ca="1">ROUND((Table14[[#This Row],[XP]]*Table14[[#This Row],[entity_spawned (AVG)]])*(Table14[[#This Row],[activating_chance]]/100),0)</f>
        <v>75</v>
      </c>
      <c r="DN59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92" s="72">
        <v>1</v>
      </c>
      <c r="DP592" s="72">
        <v>1</v>
      </c>
      <c r="DQ592" s="72" t="b">
        <v>0</v>
      </c>
    </row>
    <row r="593" spans="2:121" x14ac:dyDescent="0.25">
      <c r="B593" s="73" t="s">
        <v>255</v>
      </c>
      <c r="C593">
        <v>1</v>
      </c>
      <c r="D593">
        <v>190</v>
      </c>
      <c r="E593">
        <v>100</v>
      </c>
      <c r="F593" s="75">
        <f ca="1">INDIRECT(ADDRESS(11+(MATCH(RIGHT(Table245[[#This Row],[spawner_sku]],LEN(Table245[[#This Row],[spawner_sku]])-FIND("/",Table245[[#This Row],[spawner_sku]])),Table1[Entity Prefab],0)),10,1,1,"Entities"))</f>
        <v>25</v>
      </c>
      <c r="G593" s="75">
        <f ca="1">ROUND((Table245[[#This Row],[XP]]*Table245[[#This Row],[entity_spawned (AVG)]])*(Table245[[#This Row],[activating_chance]]/100),0)</f>
        <v>25</v>
      </c>
      <c r="H59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3" s="72">
        <v>1</v>
      </c>
      <c r="J593" s="72">
        <v>1</v>
      </c>
      <c r="K593" s="72" t="b">
        <v>0</v>
      </c>
      <c r="DH593" t="s">
        <v>537</v>
      </c>
      <c r="DI593">
        <v>1</v>
      </c>
      <c r="DJ593">
        <v>100</v>
      </c>
      <c r="DK593">
        <v>100</v>
      </c>
      <c r="DL593" s="75">
        <f ca="1">INDIRECT(ADDRESS(11+(MATCH(RIGHT(Table14[[#This Row],[spawner_sku]],LEN(Table14[[#This Row],[spawner_sku]])-FIND("/",Table14[[#This Row],[spawner_sku]])),Table1[Entity Prefab],0)),10,1,1,"Entities"))</f>
        <v>75</v>
      </c>
      <c r="DM593" s="75">
        <f ca="1">ROUND((Table14[[#This Row],[XP]]*Table14[[#This Row],[entity_spawned (AVG)]])*(Table14[[#This Row],[activating_chance]]/100),0)</f>
        <v>75</v>
      </c>
      <c r="DN59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93" s="72">
        <v>1</v>
      </c>
      <c r="DP593" s="72">
        <v>1</v>
      </c>
      <c r="DQ593" s="72" t="b">
        <v>0</v>
      </c>
    </row>
    <row r="594" spans="2:121" x14ac:dyDescent="0.25">
      <c r="B594" s="73" t="s">
        <v>255</v>
      </c>
      <c r="C594">
        <v>1</v>
      </c>
      <c r="D594">
        <v>140</v>
      </c>
      <c r="E594">
        <v>100</v>
      </c>
      <c r="F594" s="75">
        <f ca="1">INDIRECT(ADDRESS(11+(MATCH(RIGHT(Table245[[#This Row],[spawner_sku]],LEN(Table245[[#This Row],[spawner_sku]])-FIND("/",Table245[[#This Row],[spawner_sku]])),Table1[Entity Prefab],0)),10,1,1,"Entities"))</f>
        <v>25</v>
      </c>
      <c r="G594" s="75">
        <f ca="1">ROUND((Table245[[#This Row],[XP]]*Table245[[#This Row],[entity_spawned (AVG)]])*(Table245[[#This Row],[activating_chance]]/100),0)</f>
        <v>25</v>
      </c>
      <c r="H59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4" s="72">
        <v>1</v>
      </c>
      <c r="J594" s="72">
        <v>1</v>
      </c>
      <c r="K594" s="72" t="b">
        <v>0</v>
      </c>
      <c r="DH594" t="s">
        <v>537</v>
      </c>
      <c r="DI594">
        <v>1</v>
      </c>
      <c r="DJ594">
        <v>150</v>
      </c>
      <c r="DK594">
        <v>100</v>
      </c>
      <c r="DL594" s="75">
        <f ca="1">INDIRECT(ADDRESS(11+(MATCH(RIGHT(Table14[[#This Row],[spawner_sku]],LEN(Table14[[#This Row],[spawner_sku]])-FIND("/",Table14[[#This Row],[spawner_sku]])),Table1[Entity Prefab],0)),10,1,1,"Entities"))</f>
        <v>75</v>
      </c>
      <c r="DM594" s="75">
        <f ca="1">ROUND((Table14[[#This Row],[XP]]*Table14[[#This Row],[entity_spawned (AVG)]])*(Table14[[#This Row],[activating_chance]]/100),0)</f>
        <v>75</v>
      </c>
      <c r="DN59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94" s="72">
        <v>1</v>
      </c>
      <c r="DP594" s="72">
        <v>1</v>
      </c>
      <c r="DQ594" s="72" t="b">
        <v>0</v>
      </c>
    </row>
    <row r="595" spans="2:121" x14ac:dyDescent="0.25">
      <c r="B595" s="73" t="s">
        <v>255</v>
      </c>
      <c r="C595">
        <v>1</v>
      </c>
      <c r="D595">
        <v>140</v>
      </c>
      <c r="E595">
        <v>60</v>
      </c>
      <c r="F595" s="75">
        <f ca="1">INDIRECT(ADDRESS(11+(MATCH(RIGHT(Table245[[#This Row],[spawner_sku]],LEN(Table245[[#This Row],[spawner_sku]])-FIND("/",Table245[[#This Row],[spawner_sku]])),Table1[Entity Prefab],0)),10,1,1,"Entities"))</f>
        <v>25</v>
      </c>
      <c r="G595" s="75">
        <f ca="1">ROUND((Table245[[#This Row],[XP]]*Table245[[#This Row],[entity_spawned (AVG)]])*(Table245[[#This Row],[activating_chance]]/100),0)</f>
        <v>15</v>
      </c>
      <c r="H59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5" s="72">
        <v>1</v>
      </c>
      <c r="J595" s="72">
        <v>1</v>
      </c>
      <c r="K595" s="72" t="b">
        <v>0</v>
      </c>
      <c r="DH595" t="s">
        <v>537</v>
      </c>
      <c r="DI595">
        <v>1</v>
      </c>
      <c r="DJ595">
        <v>130</v>
      </c>
      <c r="DK595">
        <v>100</v>
      </c>
      <c r="DL595" s="75">
        <f ca="1">INDIRECT(ADDRESS(11+(MATCH(RIGHT(Table14[[#This Row],[spawner_sku]],LEN(Table14[[#This Row],[spawner_sku]])-FIND("/",Table14[[#This Row],[spawner_sku]])),Table1[Entity Prefab],0)),10,1,1,"Entities"))</f>
        <v>75</v>
      </c>
      <c r="DM595" s="75">
        <f ca="1">ROUND((Table14[[#This Row],[XP]]*Table14[[#This Row],[entity_spawned (AVG)]])*(Table14[[#This Row],[activating_chance]]/100),0)</f>
        <v>75</v>
      </c>
      <c r="DN59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95" s="72">
        <v>1</v>
      </c>
      <c r="DP595" s="72">
        <v>1</v>
      </c>
      <c r="DQ595" s="72" t="b">
        <v>0</v>
      </c>
    </row>
    <row r="596" spans="2:121" x14ac:dyDescent="0.25">
      <c r="B596" s="73" t="s">
        <v>255</v>
      </c>
      <c r="C596">
        <v>1</v>
      </c>
      <c r="D596">
        <v>150</v>
      </c>
      <c r="E596">
        <v>100</v>
      </c>
      <c r="F596" s="75">
        <f ca="1">INDIRECT(ADDRESS(11+(MATCH(RIGHT(Table245[[#This Row],[spawner_sku]],LEN(Table245[[#This Row],[spawner_sku]])-FIND("/",Table245[[#This Row],[spawner_sku]])),Table1[Entity Prefab],0)),10,1,1,"Entities"))</f>
        <v>25</v>
      </c>
      <c r="G596" s="75">
        <f ca="1">ROUND((Table245[[#This Row],[XP]]*Table245[[#This Row],[entity_spawned (AVG)]])*(Table245[[#This Row],[activating_chance]]/100),0)</f>
        <v>25</v>
      </c>
      <c r="H59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6" s="72">
        <v>1</v>
      </c>
      <c r="J596" s="72">
        <v>1</v>
      </c>
      <c r="K596" s="72" t="b">
        <v>0</v>
      </c>
      <c r="DH596" t="s">
        <v>537</v>
      </c>
      <c r="DI596">
        <v>1</v>
      </c>
      <c r="DJ596">
        <v>140</v>
      </c>
      <c r="DK596">
        <v>100</v>
      </c>
      <c r="DL596" s="75">
        <f ca="1">INDIRECT(ADDRESS(11+(MATCH(RIGHT(Table14[[#This Row],[spawner_sku]],LEN(Table14[[#This Row],[spawner_sku]])-FIND("/",Table14[[#This Row],[spawner_sku]])),Table1[Entity Prefab],0)),10,1,1,"Entities"))</f>
        <v>75</v>
      </c>
      <c r="DM596" s="75">
        <f ca="1">ROUND((Table14[[#This Row],[XP]]*Table14[[#This Row],[entity_spawned (AVG)]])*(Table14[[#This Row],[activating_chance]]/100),0)</f>
        <v>75</v>
      </c>
      <c r="DN59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96" s="72">
        <v>1</v>
      </c>
      <c r="DP596" s="72">
        <v>1</v>
      </c>
      <c r="DQ596" s="72" t="b">
        <v>0</v>
      </c>
    </row>
    <row r="597" spans="2:121" x14ac:dyDescent="0.25">
      <c r="B597" s="73" t="s">
        <v>255</v>
      </c>
      <c r="C597">
        <v>1</v>
      </c>
      <c r="D597">
        <v>150</v>
      </c>
      <c r="E597">
        <v>100</v>
      </c>
      <c r="F597" s="75">
        <f ca="1">INDIRECT(ADDRESS(11+(MATCH(RIGHT(Table245[[#This Row],[spawner_sku]],LEN(Table245[[#This Row],[spawner_sku]])-FIND("/",Table245[[#This Row],[spawner_sku]])),Table1[Entity Prefab],0)),10,1,1,"Entities"))</f>
        <v>25</v>
      </c>
      <c r="G597" s="75">
        <f ca="1">ROUND((Table245[[#This Row],[XP]]*Table245[[#This Row],[entity_spawned (AVG)]])*(Table245[[#This Row],[activating_chance]]/100),0)</f>
        <v>25</v>
      </c>
      <c r="H59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7" s="72">
        <v>1</v>
      </c>
      <c r="J597" s="72">
        <v>1</v>
      </c>
      <c r="K597" s="72" t="b">
        <v>0</v>
      </c>
      <c r="DH597" t="s">
        <v>537</v>
      </c>
      <c r="DI597">
        <v>1</v>
      </c>
      <c r="DJ597">
        <v>175</v>
      </c>
      <c r="DK597">
        <v>80</v>
      </c>
      <c r="DL597" s="75">
        <f ca="1">INDIRECT(ADDRESS(11+(MATCH(RIGHT(Table14[[#This Row],[spawner_sku]],LEN(Table14[[#This Row],[spawner_sku]])-FIND("/",Table14[[#This Row],[spawner_sku]])),Table1[Entity Prefab],0)),10,1,1,"Entities"))</f>
        <v>75</v>
      </c>
      <c r="DM597" s="75">
        <f ca="1">ROUND((Table14[[#This Row],[XP]]*Table14[[#This Row],[entity_spawned (AVG)]])*(Table14[[#This Row],[activating_chance]]/100),0)</f>
        <v>60</v>
      </c>
      <c r="DN59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97" s="72">
        <v>1</v>
      </c>
      <c r="DP597" s="72">
        <v>1</v>
      </c>
      <c r="DQ597" s="72" t="b">
        <v>0</v>
      </c>
    </row>
    <row r="598" spans="2:121" x14ac:dyDescent="0.25">
      <c r="B598" s="73" t="s">
        <v>255</v>
      </c>
      <c r="C598">
        <v>1</v>
      </c>
      <c r="D598">
        <v>140</v>
      </c>
      <c r="E598">
        <v>100</v>
      </c>
      <c r="F598" s="75">
        <f ca="1">INDIRECT(ADDRESS(11+(MATCH(RIGHT(Table245[[#This Row],[spawner_sku]],LEN(Table245[[#This Row],[spawner_sku]])-FIND("/",Table245[[#This Row],[spawner_sku]])),Table1[Entity Prefab],0)),10,1,1,"Entities"))</f>
        <v>25</v>
      </c>
      <c r="G598" s="75">
        <f ca="1">ROUND((Table245[[#This Row],[XP]]*Table245[[#This Row],[entity_spawned (AVG)]])*(Table245[[#This Row],[activating_chance]]/100),0)</f>
        <v>25</v>
      </c>
      <c r="H59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8" s="72">
        <v>1</v>
      </c>
      <c r="J598" s="72">
        <v>1</v>
      </c>
      <c r="K598" s="72" t="b">
        <v>0</v>
      </c>
      <c r="DH598" t="s">
        <v>537</v>
      </c>
      <c r="DI598">
        <v>1</v>
      </c>
      <c r="DJ598">
        <v>145</v>
      </c>
      <c r="DK598">
        <v>80</v>
      </c>
      <c r="DL598" s="75">
        <f ca="1">INDIRECT(ADDRESS(11+(MATCH(RIGHT(Table14[[#This Row],[spawner_sku]],LEN(Table14[[#This Row],[spawner_sku]])-FIND("/",Table14[[#This Row],[spawner_sku]])),Table1[Entity Prefab],0)),10,1,1,"Entities"))</f>
        <v>75</v>
      </c>
      <c r="DM598" s="75">
        <f ca="1">ROUND((Table14[[#This Row],[XP]]*Table14[[#This Row],[entity_spawned (AVG)]])*(Table14[[#This Row],[activating_chance]]/100),0)</f>
        <v>60</v>
      </c>
      <c r="DN59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98" s="72">
        <v>1</v>
      </c>
      <c r="DP598" s="72">
        <v>1</v>
      </c>
      <c r="DQ598" s="72" t="b">
        <v>0</v>
      </c>
    </row>
    <row r="599" spans="2:121" x14ac:dyDescent="0.25">
      <c r="B599" s="73" t="s">
        <v>255</v>
      </c>
      <c r="C599">
        <v>1</v>
      </c>
      <c r="D599">
        <v>160</v>
      </c>
      <c r="E599">
        <v>40</v>
      </c>
      <c r="F599" s="75">
        <f ca="1">INDIRECT(ADDRESS(11+(MATCH(RIGHT(Table245[[#This Row],[spawner_sku]],LEN(Table245[[#This Row],[spawner_sku]])-FIND("/",Table245[[#This Row],[spawner_sku]])),Table1[Entity Prefab],0)),10,1,1,"Entities"))</f>
        <v>25</v>
      </c>
      <c r="G599" s="75">
        <f ca="1">ROUND((Table245[[#This Row],[XP]]*Table245[[#This Row],[entity_spawned (AVG)]])*(Table245[[#This Row],[activating_chance]]/100),0)</f>
        <v>10</v>
      </c>
      <c r="H59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9" s="72">
        <v>1</v>
      </c>
      <c r="J599" s="72">
        <v>1</v>
      </c>
      <c r="K599" s="72" t="b">
        <v>0</v>
      </c>
      <c r="DH599" t="s">
        <v>537</v>
      </c>
      <c r="DI599">
        <v>1</v>
      </c>
      <c r="DJ599">
        <v>145</v>
      </c>
      <c r="DK599">
        <v>100</v>
      </c>
      <c r="DL599" s="75">
        <f ca="1">INDIRECT(ADDRESS(11+(MATCH(RIGHT(Table14[[#This Row],[spawner_sku]],LEN(Table14[[#This Row],[spawner_sku]])-FIND("/",Table14[[#This Row],[spawner_sku]])),Table1[Entity Prefab],0)),10,1,1,"Entities"))</f>
        <v>75</v>
      </c>
      <c r="DM599" s="75">
        <f ca="1">ROUND((Table14[[#This Row],[XP]]*Table14[[#This Row],[entity_spawned (AVG)]])*(Table14[[#This Row],[activating_chance]]/100),0)</f>
        <v>75</v>
      </c>
      <c r="DN59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99" s="72">
        <v>1</v>
      </c>
      <c r="DP599" s="72">
        <v>1</v>
      </c>
      <c r="DQ599" s="72" t="b">
        <v>0</v>
      </c>
    </row>
    <row r="600" spans="2:121" x14ac:dyDescent="0.25">
      <c r="B600" s="73" t="s">
        <v>255</v>
      </c>
      <c r="C600">
        <v>1</v>
      </c>
      <c r="D600">
        <v>170</v>
      </c>
      <c r="E600">
        <v>100</v>
      </c>
      <c r="F600" s="75">
        <f ca="1">INDIRECT(ADDRESS(11+(MATCH(RIGHT(Table245[[#This Row],[spawner_sku]],LEN(Table245[[#This Row],[spawner_sku]])-FIND("/",Table245[[#This Row],[spawner_sku]])),Table1[Entity Prefab],0)),10,1,1,"Entities"))</f>
        <v>25</v>
      </c>
      <c r="G600" s="75">
        <f ca="1">ROUND((Table245[[#This Row],[XP]]*Table245[[#This Row],[entity_spawned (AVG)]])*(Table245[[#This Row],[activating_chance]]/100),0)</f>
        <v>25</v>
      </c>
      <c r="H60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0" s="72">
        <v>1</v>
      </c>
      <c r="J600" s="72">
        <v>1</v>
      </c>
      <c r="K600" s="72" t="b">
        <v>0</v>
      </c>
      <c r="DH600" t="s">
        <v>537</v>
      </c>
      <c r="DI600">
        <v>1</v>
      </c>
      <c r="DJ600">
        <v>150</v>
      </c>
      <c r="DK600">
        <v>70</v>
      </c>
      <c r="DL600" s="75">
        <f ca="1">INDIRECT(ADDRESS(11+(MATCH(RIGHT(Table14[[#This Row],[spawner_sku]],LEN(Table14[[#This Row],[spawner_sku]])-FIND("/",Table14[[#This Row],[spawner_sku]])),Table1[Entity Prefab],0)),10,1,1,"Entities"))</f>
        <v>75</v>
      </c>
      <c r="DM600" s="75">
        <f ca="1">ROUND((Table14[[#This Row],[XP]]*Table14[[#This Row],[entity_spawned (AVG)]])*(Table14[[#This Row],[activating_chance]]/100),0)</f>
        <v>53</v>
      </c>
      <c r="DN60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600" s="72">
        <v>1</v>
      </c>
      <c r="DP600" s="72">
        <v>1</v>
      </c>
      <c r="DQ600" s="72" t="b">
        <v>0</v>
      </c>
    </row>
    <row r="601" spans="2:121" x14ac:dyDescent="0.25">
      <c r="B601" s="73" t="s">
        <v>255</v>
      </c>
      <c r="C601">
        <v>1</v>
      </c>
      <c r="D601">
        <v>140</v>
      </c>
      <c r="E601">
        <v>100</v>
      </c>
      <c r="F601" s="75">
        <f ca="1">INDIRECT(ADDRESS(11+(MATCH(RIGHT(Table245[[#This Row],[spawner_sku]],LEN(Table245[[#This Row],[spawner_sku]])-FIND("/",Table245[[#This Row],[spawner_sku]])),Table1[Entity Prefab],0)),10,1,1,"Entities"))</f>
        <v>25</v>
      </c>
      <c r="G601" s="75">
        <f ca="1">ROUND((Table245[[#This Row],[XP]]*Table245[[#This Row],[entity_spawned (AVG)]])*(Table245[[#This Row],[activating_chance]]/100),0)</f>
        <v>25</v>
      </c>
      <c r="H60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1" s="72">
        <v>1</v>
      </c>
      <c r="J601" s="72">
        <v>1</v>
      </c>
      <c r="K601" s="72" t="b">
        <v>0</v>
      </c>
      <c r="DH601" t="s">
        <v>537</v>
      </c>
      <c r="DI601">
        <v>1</v>
      </c>
      <c r="DJ601">
        <v>140</v>
      </c>
      <c r="DK601">
        <v>100</v>
      </c>
      <c r="DL601" s="75">
        <f ca="1">INDIRECT(ADDRESS(11+(MATCH(RIGHT(Table14[[#This Row],[spawner_sku]],LEN(Table14[[#This Row],[spawner_sku]])-FIND("/",Table14[[#This Row],[spawner_sku]])),Table1[Entity Prefab],0)),10,1,1,"Entities"))</f>
        <v>75</v>
      </c>
      <c r="DM601" s="75">
        <f ca="1">ROUND((Table14[[#This Row],[XP]]*Table14[[#This Row],[entity_spawned (AVG)]])*(Table14[[#This Row],[activating_chance]]/100),0)</f>
        <v>75</v>
      </c>
      <c r="DN60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601" s="72">
        <v>1</v>
      </c>
      <c r="DP601" s="72">
        <v>1</v>
      </c>
      <c r="DQ601" s="72" t="b">
        <v>0</v>
      </c>
    </row>
    <row r="602" spans="2:121" x14ac:dyDescent="0.25">
      <c r="B602" s="73" t="s">
        <v>255</v>
      </c>
      <c r="C602">
        <v>1</v>
      </c>
      <c r="D602">
        <v>170</v>
      </c>
      <c r="E602">
        <v>100</v>
      </c>
      <c r="F602" s="75">
        <f ca="1">INDIRECT(ADDRESS(11+(MATCH(RIGHT(Table245[[#This Row],[spawner_sku]],LEN(Table245[[#This Row],[spawner_sku]])-FIND("/",Table245[[#This Row],[spawner_sku]])),Table1[Entity Prefab],0)),10,1,1,"Entities"))</f>
        <v>25</v>
      </c>
      <c r="G602" s="75">
        <f ca="1">ROUND((Table245[[#This Row],[XP]]*Table245[[#This Row],[entity_spawned (AVG)]])*(Table245[[#This Row],[activating_chance]]/100),0)</f>
        <v>25</v>
      </c>
      <c r="H60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2" s="72">
        <v>1</v>
      </c>
      <c r="J602" s="72">
        <v>1</v>
      </c>
      <c r="K602" s="72" t="b">
        <v>0</v>
      </c>
      <c r="DH602" t="s">
        <v>537</v>
      </c>
      <c r="DI602">
        <v>1</v>
      </c>
      <c r="DJ602">
        <v>120</v>
      </c>
      <c r="DK602">
        <v>100</v>
      </c>
      <c r="DL602" s="75">
        <f ca="1">INDIRECT(ADDRESS(11+(MATCH(RIGHT(Table14[[#This Row],[spawner_sku]],LEN(Table14[[#This Row],[spawner_sku]])-FIND("/",Table14[[#This Row],[spawner_sku]])),Table1[Entity Prefab],0)),10,1,1,"Entities"))</f>
        <v>75</v>
      </c>
      <c r="DM602" s="75">
        <f ca="1">ROUND((Table14[[#This Row],[XP]]*Table14[[#This Row],[entity_spawned (AVG)]])*(Table14[[#This Row],[activating_chance]]/100),0)</f>
        <v>75</v>
      </c>
      <c r="DN60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602" s="72">
        <v>1</v>
      </c>
      <c r="DP602" s="72">
        <v>1</v>
      </c>
      <c r="DQ602" s="72" t="b">
        <v>0</v>
      </c>
    </row>
    <row r="603" spans="2:121" x14ac:dyDescent="0.25">
      <c r="B603" s="73" t="s">
        <v>255</v>
      </c>
      <c r="C603">
        <v>1</v>
      </c>
      <c r="D603">
        <v>170</v>
      </c>
      <c r="E603">
        <v>60</v>
      </c>
      <c r="F603" s="75">
        <f ca="1">INDIRECT(ADDRESS(11+(MATCH(RIGHT(Table245[[#This Row],[spawner_sku]],LEN(Table245[[#This Row],[spawner_sku]])-FIND("/",Table245[[#This Row],[spawner_sku]])),Table1[Entity Prefab],0)),10,1,1,"Entities"))</f>
        <v>25</v>
      </c>
      <c r="G603" s="75">
        <f ca="1">ROUND((Table245[[#This Row],[XP]]*Table245[[#This Row],[entity_spawned (AVG)]])*(Table245[[#This Row],[activating_chance]]/100),0)</f>
        <v>15</v>
      </c>
      <c r="H60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3" s="72">
        <v>1</v>
      </c>
      <c r="J603" s="72">
        <v>1</v>
      </c>
      <c r="K603" s="72" t="b">
        <v>0</v>
      </c>
      <c r="DH603" t="s">
        <v>537</v>
      </c>
      <c r="DI603">
        <v>1</v>
      </c>
      <c r="DJ603">
        <v>150</v>
      </c>
      <c r="DK603">
        <v>100</v>
      </c>
      <c r="DL603" s="75">
        <f ca="1">INDIRECT(ADDRESS(11+(MATCH(RIGHT(Table14[[#This Row],[spawner_sku]],LEN(Table14[[#This Row],[spawner_sku]])-FIND("/",Table14[[#This Row],[spawner_sku]])),Table1[Entity Prefab],0)),10,1,1,"Entities"))</f>
        <v>75</v>
      </c>
      <c r="DM603" s="75">
        <f ca="1">ROUND((Table14[[#This Row],[XP]]*Table14[[#This Row],[entity_spawned (AVG)]])*(Table14[[#This Row],[activating_chance]]/100),0)</f>
        <v>75</v>
      </c>
      <c r="DN60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603" s="72">
        <v>1</v>
      </c>
      <c r="DP603" s="72">
        <v>1</v>
      </c>
      <c r="DQ603" s="72" t="b">
        <v>0</v>
      </c>
    </row>
    <row r="604" spans="2:121" x14ac:dyDescent="0.25">
      <c r="B604" s="73" t="s">
        <v>255</v>
      </c>
      <c r="C604">
        <v>1</v>
      </c>
      <c r="D604">
        <v>140</v>
      </c>
      <c r="E604">
        <v>100</v>
      </c>
      <c r="F604" s="75">
        <f ca="1">INDIRECT(ADDRESS(11+(MATCH(RIGHT(Table245[[#This Row],[spawner_sku]],LEN(Table245[[#This Row],[spawner_sku]])-FIND("/",Table245[[#This Row],[spawner_sku]])),Table1[Entity Prefab],0)),10,1,1,"Entities"))</f>
        <v>25</v>
      </c>
      <c r="G604" s="75">
        <f ca="1">ROUND((Table245[[#This Row],[XP]]*Table245[[#This Row],[entity_spawned (AVG)]])*(Table245[[#This Row],[activating_chance]]/100),0)</f>
        <v>25</v>
      </c>
      <c r="H60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4" s="72">
        <v>1</v>
      </c>
      <c r="J604" s="72">
        <v>1</v>
      </c>
      <c r="K604" s="72" t="b">
        <v>0</v>
      </c>
      <c r="DH604" t="s">
        <v>456</v>
      </c>
      <c r="DI604">
        <v>1</v>
      </c>
      <c r="DJ604">
        <v>140</v>
      </c>
      <c r="DK604">
        <v>100</v>
      </c>
      <c r="DL604" s="75">
        <f ca="1">INDIRECT(ADDRESS(11+(MATCH(RIGHT(Table14[[#This Row],[spawner_sku]],LEN(Table14[[#This Row],[spawner_sku]])-FIND("/",Table14[[#This Row],[spawner_sku]])),Table1[Entity Prefab],0)),10,1,1,"Entities"))</f>
        <v>75</v>
      </c>
      <c r="DM604" s="75">
        <f ca="1">ROUND((Table14[[#This Row],[XP]]*Table14[[#This Row],[entity_spawned (AVG)]])*(Table14[[#This Row],[activating_chance]]/100),0)</f>
        <v>75</v>
      </c>
      <c r="DN60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604" s="72">
        <v>1</v>
      </c>
      <c r="DP604" s="72">
        <v>1</v>
      </c>
      <c r="DQ604" s="72" t="b">
        <v>0</v>
      </c>
    </row>
    <row r="605" spans="2:121" x14ac:dyDescent="0.25">
      <c r="B605" s="73" t="s">
        <v>255</v>
      </c>
      <c r="C605">
        <v>1</v>
      </c>
      <c r="D605">
        <v>160</v>
      </c>
      <c r="E605">
        <v>100</v>
      </c>
      <c r="F605" s="75">
        <f ca="1">INDIRECT(ADDRESS(11+(MATCH(RIGHT(Table245[[#This Row],[spawner_sku]],LEN(Table245[[#This Row],[spawner_sku]])-FIND("/",Table245[[#This Row],[spawner_sku]])),Table1[Entity Prefab],0)),10,1,1,"Entities"))</f>
        <v>25</v>
      </c>
      <c r="G605" s="75">
        <f ca="1">ROUND((Table245[[#This Row],[XP]]*Table245[[#This Row],[entity_spawned (AVG)]])*(Table245[[#This Row],[activating_chance]]/100),0)</f>
        <v>25</v>
      </c>
      <c r="H60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5" s="72">
        <v>1</v>
      </c>
      <c r="J605" s="72">
        <v>1</v>
      </c>
      <c r="K605" s="72" t="b">
        <v>0</v>
      </c>
      <c r="DH605" t="s">
        <v>456</v>
      </c>
      <c r="DI605">
        <v>1</v>
      </c>
      <c r="DJ605">
        <v>100</v>
      </c>
      <c r="DK605">
        <v>100</v>
      </c>
      <c r="DL605" s="75">
        <f ca="1">INDIRECT(ADDRESS(11+(MATCH(RIGHT(Table14[[#This Row],[spawner_sku]],LEN(Table14[[#This Row],[spawner_sku]])-FIND("/",Table14[[#This Row],[spawner_sku]])),Table1[Entity Prefab],0)),10,1,1,"Entities"))</f>
        <v>75</v>
      </c>
      <c r="DM605" s="75">
        <f ca="1">ROUND((Table14[[#This Row],[XP]]*Table14[[#This Row],[entity_spawned (AVG)]])*(Table14[[#This Row],[activating_chance]]/100),0)</f>
        <v>75</v>
      </c>
      <c r="DN60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605" s="72">
        <v>1</v>
      </c>
      <c r="DP605" s="72">
        <v>1</v>
      </c>
      <c r="DQ605" s="72" t="b">
        <v>0</v>
      </c>
    </row>
    <row r="606" spans="2:121" x14ac:dyDescent="0.25">
      <c r="B606" s="73" t="s">
        <v>255</v>
      </c>
      <c r="C606">
        <v>1</v>
      </c>
      <c r="D606">
        <v>170</v>
      </c>
      <c r="E606">
        <v>100</v>
      </c>
      <c r="F606" s="75">
        <f ca="1">INDIRECT(ADDRESS(11+(MATCH(RIGHT(Table245[[#This Row],[spawner_sku]],LEN(Table245[[#This Row],[spawner_sku]])-FIND("/",Table245[[#This Row],[spawner_sku]])),Table1[Entity Prefab],0)),10,1,1,"Entities"))</f>
        <v>25</v>
      </c>
      <c r="G606" s="75">
        <f ca="1">ROUND((Table245[[#This Row],[XP]]*Table245[[#This Row],[entity_spawned (AVG)]])*(Table245[[#This Row],[activating_chance]]/100),0)</f>
        <v>25</v>
      </c>
      <c r="H60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6" s="72">
        <v>1</v>
      </c>
      <c r="J606" s="72">
        <v>1</v>
      </c>
      <c r="K606" s="72" t="b">
        <v>0</v>
      </c>
      <c r="DH606" t="s">
        <v>456</v>
      </c>
      <c r="DI606">
        <v>1</v>
      </c>
      <c r="DJ606">
        <v>120</v>
      </c>
      <c r="DK606">
        <v>100</v>
      </c>
      <c r="DL606" s="75">
        <f ca="1">INDIRECT(ADDRESS(11+(MATCH(RIGHT(Table14[[#This Row],[spawner_sku]],LEN(Table14[[#This Row],[spawner_sku]])-FIND("/",Table14[[#This Row],[spawner_sku]])),Table1[Entity Prefab],0)),10,1,1,"Entities"))</f>
        <v>75</v>
      </c>
      <c r="DM606" s="75">
        <f ca="1">ROUND((Table14[[#This Row],[XP]]*Table14[[#This Row],[entity_spawned (AVG)]])*(Table14[[#This Row],[activating_chance]]/100),0)</f>
        <v>75</v>
      </c>
      <c r="DN60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606" s="72">
        <v>1</v>
      </c>
      <c r="DP606" s="72">
        <v>1</v>
      </c>
      <c r="DQ606" s="72" t="b">
        <v>0</v>
      </c>
    </row>
    <row r="607" spans="2:121" x14ac:dyDescent="0.25">
      <c r="B607" s="73" t="s">
        <v>255</v>
      </c>
      <c r="C607">
        <v>1</v>
      </c>
      <c r="D607">
        <v>150</v>
      </c>
      <c r="E607">
        <v>80</v>
      </c>
      <c r="F607" s="75">
        <f ca="1">INDIRECT(ADDRESS(11+(MATCH(RIGHT(Table245[[#This Row],[spawner_sku]],LEN(Table245[[#This Row],[spawner_sku]])-FIND("/",Table245[[#This Row],[spawner_sku]])),Table1[Entity Prefab],0)),10,1,1,"Entities"))</f>
        <v>25</v>
      </c>
      <c r="G607" s="75">
        <f ca="1">ROUND((Table245[[#This Row],[XP]]*Table245[[#This Row],[entity_spawned (AVG)]])*(Table245[[#This Row],[activating_chance]]/100),0)</f>
        <v>20</v>
      </c>
      <c r="H60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7" s="72">
        <v>1</v>
      </c>
      <c r="J607" s="72">
        <v>1</v>
      </c>
      <c r="K607" s="72" t="b">
        <v>0</v>
      </c>
      <c r="DH607" t="s">
        <v>456</v>
      </c>
      <c r="DI607">
        <v>1</v>
      </c>
      <c r="DJ607">
        <v>150</v>
      </c>
      <c r="DK607">
        <v>100</v>
      </c>
      <c r="DL607" s="75">
        <f ca="1">INDIRECT(ADDRESS(11+(MATCH(RIGHT(Table14[[#This Row],[spawner_sku]],LEN(Table14[[#This Row],[spawner_sku]])-FIND("/",Table14[[#This Row],[spawner_sku]])),Table1[Entity Prefab],0)),10,1,1,"Entities"))</f>
        <v>75</v>
      </c>
      <c r="DM607" s="75">
        <f ca="1">ROUND((Table14[[#This Row],[XP]]*Table14[[#This Row],[entity_spawned (AVG)]])*(Table14[[#This Row],[activating_chance]]/100),0)</f>
        <v>75</v>
      </c>
      <c r="DN60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607" s="72">
        <v>1</v>
      </c>
      <c r="DP607" s="72">
        <v>1</v>
      </c>
      <c r="DQ607" s="72" t="b">
        <v>0</v>
      </c>
    </row>
    <row r="608" spans="2:121" x14ac:dyDescent="0.25">
      <c r="B608" s="73" t="s">
        <v>255</v>
      </c>
      <c r="C608">
        <v>1</v>
      </c>
      <c r="D608">
        <v>140</v>
      </c>
      <c r="E608">
        <v>60</v>
      </c>
      <c r="F608" s="75">
        <f ca="1">INDIRECT(ADDRESS(11+(MATCH(RIGHT(Table245[[#This Row],[spawner_sku]],LEN(Table245[[#This Row],[spawner_sku]])-FIND("/",Table245[[#This Row],[spawner_sku]])),Table1[Entity Prefab],0)),10,1,1,"Entities"))</f>
        <v>25</v>
      </c>
      <c r="G608" s="75">
        <f ca="1">ROUND((Table245[[#This Row],[XP]]*Table245[[#This Row],[entity_spawned (AVG)]])*(Table245[[#This Row],[activating_chance]]/100),0)</f>
        <v>15</v>
      </c>
      <c r="H60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8" s="72">
        <v>1</v>
      </c>
      <c r="J608" s="72">
        <v>1</v>
      </c>
      <c r="K608" s="72" t="b">
        <v>0</v>
      </c>
      <c r="DH608" t="s">
        <v>456</v>
      </c>
      <c r="DI608">
        <v>1</v>
      </c>
      <c r="DJ608">
        <v>150</v>
      </c>
      <c r="DK608">
        <v>100</v>
      </c>
      <c r="DL608" s="75">
        <f ca="1">INDIRECT(ADDRESS(11+(MATCH(RIGHT(Table14[[#This Row],[spawner_sku]],LEN(Table14[[#This Row],[spawner_sku]])-FIND("/",Table14[[#This Row],[spawner_sku]])),Table1[Entity Prefab],0)),10,1,1,"Entities"))</f>
        <v>75</v>
      </c>
      <c r="DM608" s="75">
        <f ca="1">ROUND((Table14[[#This Row],[XP]]*Table14[[#This Row],[entity_spawned (AVG)]])*(Table14[[#This Row],[activating_chance]]/100),0)</f>
        <v>75</v>
      </c>
      <c r="DN60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608" s="72">
        <v>1</v>
      </c>
      <c r="DP608" s="72">
        <v>1</v>
      </c>
      <c r="DQ608" s="72" t="b">
        <v>0</v>
      </c>
    </row>
    <row r="609" spans="2:121" x14ac:dyDescent="0.25">
      <c r="B609" s="73" t="s">
        <v>255</v>
      </c>
      <c r="C609">
        <v>1</v>
      </c>
      <c r="D609">
        <v>190</v>
      </c>
      <c r="E609">
        <v>80</v>
      </c>
      <c r="F609" s="75">
        <f ca="1">INDIRECT(ADDRESS(11+(MATCH(RIGHT(Table245[[#This Row],[spawner_sku]],LEN(Table245[[#This Row],[spawner_sku]])-FIND("/",Table245[[#This Row],[spawner_sku]])),Table1[Entity Prefab],0)),10,1,1,"Entities"))</f>
        <v>25</v>
      </c>
      <c r="G609" s="75">
        <f ca="1">ROUND((Table245[[#This Row],[XP]]*Table245[[#This Row],[entity_spawned (AVG)]])*(Table245[[#This Row],[activating_chance]]/100),0)</f>
        <v>20</v>
      </c>
      <c r="H60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9" s="72">
        <v>1</v>
      </c>
      <c r="J609" s="72">
        <v>1</v>
      </c>
      <c r="K609" s="72" t="b">
        <v>0</v>
      </c>
      <c r="DH609" t="s">
        <v>456</v>
      </c>
      <c r="DI609">
        <v>1</v>
      </c>
      <c r="DJ609">
        <v>100</v>
      </c>
      <c r="DK609">
        <v>100</v>
      </c>
      <c r="DL609" s="75">
        <f ca="1">INDIRECT(ADDRESS(11+(MATCH(RIGHT(Table14[[#This Row],[spawner_sku]],LEN(Table14[[#This Row],[spawner_sku]])-FIND("/",Table14[[#This Row],[spawner_sku]])),Table1[Entity Prefab],0)),10,1,1,"Entities"))</f>
        <v>75</v>
      </c>
      <c r="DM609" s="75">
        <f ca="1">ROUND((Table14[[#This Row],[XP]]*Table14[[#This Row],[entity_spawned (AVG)]])*(Table14[[#This Row],[activating_chance]]/100),0)</f>
        <v>75</v>
      </c>
      <c r="DN60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609" s="72">
        <v>1</v>
      </c>
      <c r="DP609" s="72">
        <v>1</v>
      </c>
      <c r="DQ609" s="72" t="b">
        <v>0</v>
      </c>
    </row>
    <row r="610" spans="2:121" x14ac:dyDescent="0.25">
      <c r="B610" s="73" t="s">
        <v>255</v>
      </c>
      <c r="C610">
        <v>1</v>
      </c>
      <c r="D610">
        <v>190</v>
      </c>
      <c r="E610">
        <v>100</v>
      </c>
      <c r="F610" s="75">
        <f ca="1">INDIRECT(ADDRESS(11+(MATCH(RIGHT(Table245[[#This Row],[spawner_sku]],LEN(Table245[[#This Row],[spawner_sku]])-FIND("/",Table245[[#This Row],[spawner_sku]])),Table1[Entity Prefab],0)),10,1,1,"Entities"))</f>
        <v>25</v>
      </c>
      <c r="G610" s="75">
        <f ca="1">ROUND((Table245[[#This Row],[XP]]*Table245[[#This Row],[entity_spawned (AVG)]])*(Table245[[#This Row],[activating_chance]]/100),0)</f>
        <v>25</v>
      </c>
      <c r="H61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0" s="72">
        <v>1</v>
      </c>
      <c r="J610" s="72">
        <v>1</v>
      </c>
      <c r="K610" s="72" t="b">
        <v>0</v>
      </c>
      <c r="DH610" t="s">
        <v>456</v>
      </c>
      <c r="DI610">
        <v>1</v>
      </c>
      <c r="DJ610">
        <v>100</v>
      </c>
      <c r="DK610">
        <v>100</v>
      </c>
      <c r="DL610" s="75">
        <f ca="1">INDIRECT(ADDRESS(11+(MATCH(RIGHT(Table14[[#This Row],[spawner_sku]],LEN(Table14[[#This Row],[spawner_sku]])-FIND("/",Table14[[#This Row],[spawner_sku]])),Table1[Entity Prefab],0)),10,1,1,"Entities"))</f>
        <v>75</v>
      </c>
      <c r="DM610" s="75">
        <f ca="1">ROUND((Table14[[#This Row],[XP]]*Table14[[#This Row],[entity_spawned (AVG)]])*(Table14[[#This Row],[activating_chance]]/100),0)</f>
        <v>75</v>
      </c>
      <c r="DN61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610" s="72">
        <v>1</v>
      </c>
      <c r="DP610" s="72">
        <v>1</v>
      </c>
      <c r="DQ610" s="72" t="b">
        <v>0</v>
      </c>
    </row>
    <row r="611" spans="2:121" x14ac:dyDescent="0.25">
      <c r="B611" s="73" t="s">
        <v>255</v>
      </c>
      <c r="C611">
        <v>1</v>
      </c>
      <c r="D611">
        <v>170</v>
      </c>
      <c r="E611">
        <v>80</v>
      </c>
      <c r="F611" s="75">
        <f ca="1">INDIRECT(ADDRESS(11+(MATCH(RIGHT(Table245[[#This Row],[spawner_sku]],LEN(Table245[[#This Row],[spawner_sku]])-FIND("/",Table245[[#This Row],[spawner_sku]])),Table1[Entity Prefab],0)),10,1,1,"Entities"))</f>
        <v>25</v>
      </c>
      <c r="G611" s="75">
        <f ca="1">ROUND((Table245[[#This Row],[XP]]*Table245[[#This Row],[entity_spawned (AVG)]])*(Table245[[#This Row],[activating_chance]]/100),0)</f>
        <v>20</v>
      </c>
      <c r="H61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1" s="72">
        <v>1</v>
      </c>
      <c r="J611" s="72">
        <v>1</v>
      </c>
      <c r="K611" s="72" t="b">
        <v>0</v>
      </c>
      <c r="DH611" t="s">
        <v>456</v>
      </c>
      <c r="DI611">
        <v>1</v>
      </c>
      <c r="DJ611">
        <v>135</v>
      </c>
      <c r="DK611">
        <v>100</v>
      </c>
      <c r="DL611" s="75">
        <f ca="1">INDIRECT(ADDRESS(11+(MATCH(RIGHT(Table14[[#This Row],[spawner_sku]],LEN(Table14[[#This Row],[spawner_sku]])-FIND("/",Table14[[#This Row],[spawner_sku]])),Table1[Entity Prefab],0)),10,1,1,"Entities"))</f>
        <v>75</v>
      </c>
      <c r="DM611" s="75">
        <f ca="1">ROUND((Table14[[#This Row],[XP]]*Table14[[#This Row],[entity_spawned (AVG)]])*(Table14[[#This Row],[activating_chance]]/100),0)</f>
        <v>75</v>
      </c>
      <c r="DN61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611" s="72">
        <v>1</v>
      </c>
      <c r="DP611" s="72">
        <v>1</v>
      </c>
      <c r="DQ611" s="72" t="b">
        <v>0</v>
      </c>
    </row>
    <row r="612" spans="2:121" x14ac:dyDescent="0.25">
      <c r="B612" s="73" t="s">
        <v>255</v>
      </c>
      <c r="C612">
        <v>1</v>
      </c>
      <c r="D612">
        <v>140</v>
      </c>
      <c r="E612">
        <v>100</v>
      </c>
      <c r="F612" s="75">
        <f ca="1">INDIRECT(ADDRESS(11+(MATCH(RIGHT(Table245[[#This Row],[spawner_sku]],LEN(Table245[[#This Row],[spawner_sku]])-FIND("/",Table245[[#This Row],[spawner_sku]])),Table1[Entity Prefab],0)),10,1,1,"Entities"))</f>
        <v>25</v>
      </c>
      <c r="G612" s="75">
        <f ca="1">ROUND((Table245[[#This Row],[XP]]*Table245[[#This Row],[entity_spawned (AVG)]])*(Table245[[#This Row],[activating_chance]]/100),0)</f>
        <v>25</v>
      </c>
      <c r="H61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2" s="72">
        <v>1</v>
      </c>
      <c r="J612" s="72">
        <v>1</v>
      </c>
      <c r="K612" s="72" t="b">
        <v>0</v>
      </c>
      <c r="DH612" t="s">
        <v>456</v>
      </c>
      <c r="DI612">
        <v>1</v>
      </c>
      <c r="DJ612">
        <v>120</v>
      </c>
      <c r="DK612">
        <v>100</v>
      </c>
      <c r="DL612" s="75">
        <f ca="1">INDIRECT(ADDRESS(11+(MATCH(RIGHT(Table14[[#This Row],[spawner_sku]],LEN(Table14[[#This Row],[spawner_sku]])-FIND("/",Table14[[#This Row],[spawner_sku]])),Table1[Entity Prefab],0)),10,1,1,"Entities"))</f>
        <v>75</v>
      </c>
      <c r="DM612" s="75">
        <f ca="1">ROUND((Table14[[#This Row],[XP]]*Table14[[#This Row],[entity_spawned (AVG)]])*(Table14[[#This Row],[activating_chance]]/100),0)</f>
        <v>75</v>
      </c>
      <c r="DN61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612" s="72">
        <v>1</v>
      </c>
      <c r="DP612" s="72">
        <v>1</v>
      </c>
      <c r="DQ612" s="72" t="b">
        <v>0</v>
      </c>
    </row>
    <row r="613" spans="2:121" x14ac:dyDescent="0.25">
      <c r="B613" s="73" t="s">
        <v>255</v>
      </c>
      <c r="C613">
        <v>1</v>
      </c>
      <c r="D613">
        <v>160</v>
      </c>
      <c r="E613">
        <v>100</v>
      </c>
      <c r="F613" s="75">
        <f ca="1">INDIRECT(ADDRESS(11+(MATCH(RIGHT(Table245[[#This Row],[spawner_sku]],LEN(Table245[[#This Row],[spawner_sku]])-FIND("/",Table245[[#This Row],[spawner_sku]])),Table1[Entity Prefab],0)),10,1,1,"Entities"))</f>
        <v>25</v>
      </c>
      <c r="G613" s="75">
        <f ca="1">ROUND((Table245[[#This Row],[XP]]*Table245[[#This Row],[entity_spawned (AVG)]])*(Table245[[#This Row],[activating_chance]]/100),0)</f>
        <v>25</v>
      </c>
      <c r="H61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3" s="72">
        <v>1</v>
      </c>
      <c r="J613" s="72">
        <v>1</v>
      </c>
      <c r="K613" s="72" t="b">
        <v>0</v>
      </c>
      <c r="DH613" t="s">
        <v>456</v>
      </c>
      <c r="DI613">
        <v>1</v>
      </c>
      <c r="DJ613">
        <v>100</v>
      </c>
      <c r="DK613">
        <v>100</v>
      </c>
      <c r="DL613" s="75">
        <f ca="1">INDIRECT(ADDRESS(11+(MATCH(RIGHT(Table14[[#This Row],[spawner_sku]],LEN(Table14[[#This Row],[spawner_sku]])-FIND("/",Table14[[#This Row],[spawner_sku]])),Table1[Entity Prefab],0)),10,1,1,"Entities"))</f>
        <v>75</v>
      </c>
      <c r="DM613" s="75">
        <f ca="1">ROUND((Table14[[#This Row],[XP]]*Table14[[#This Row],[entity_spawned (AVG)]])*(Table14[[#This Row],[activating_chance]]/100),0)</f>
        <v>75</v>
      </c>
      <c r="DN61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613" s="72">
        <v>1</v>
      </c>
      <c r="DP613" s="72">
        <v>1</v>
      </c>
      <c r="DQ613" s="72" t="b">
        <v>0</v>
      </c>
    </row>
    <row r="614" spans="2:121" x14ac:dyDescent="0.25">
      <c r="B614" s="73" t="s">
        <v>255</v>
      </c>
      <c r="C614">
        <v>1</v>
      </c>
      <c r="D614">
        <v>170</v>
      </c>
      <c r="E614">
        <v>100</v>
      </c>
      <c r="F614" s="75">
        <f ca="1">INDIRECT(ADDRESS(11+(MATCH(RIGHT(Table245[[#This Row],[spawner_sku]],LEN(Table245[[#This Row],[spawner_sku]])-FIND("/",Table245[[#This Row],[spawner_sku]])),Table1[Entity Prefab],0)),10,1,1,"Entities"))</f>
        <v>25</v>
      </c>
      <c r="G614" s="75">
        <f ca="1">ROUND((Table245[[#This Row],[XP]]*Table245[[#This Row],[entity_spawned (AVG)]])*(Table245[[#This Row],[activating_chance]]/100),0)</f>
        <v>25</v>
      </c>
      <c r="H61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4" s="72">
        <v>1</v>
      </c>
      <c r="J614" s="72">
        <v>1</v>
      </c>
      <c r="K614" s="72" t="b">
        <v>0</v>
      </c>
      <c r="DH614" t="s">
        <v>456</v>
      </c>
      <c r="DI614">
        <v>1</v>
      </c>
      <c r="DJ614">
        <v>140</v>
      </c>
      <c r="DK614">
        <v>100</v>
      </c>
      <c r="DL614" s="75">
        <f ca="1">INDIRECT(ADDRESS(11+(MATCH(RIGHT(Table14[[#This Row],[spawner_sku]],LEN(Table14[[#This Row],[spawner_sku]])-FIND("/",Table14[[#This Row],[spawner_sku]])),Table1[Entity Prefab],0)),10,1,1,"Entities"))</f>
        <v>75</v>
      </c>
      <c r="DM614" s="75">
        <f ca="1">ROUND((Table14[[#This Row],[XP]]*Table14[[#This Row],[entity_spawned (AVG)]])*(Table14[[#This Row],[activating_chance]]/100),0)</f>
        <v>75</v>
      </c>
      <c r="DN61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614" s="72">
        <v>1</v>
      </c>
      <c r="DP614" s="72">
        <v>1</v>
      </c>
      <c r="DQ614" s="72" t="b">
        <v>0</v>
      </c>
    </row>
    <row r="615" spans="2:121" x14ac:dyDescent="0.25">
      <c r="B615" s="73" t="s">
        <v>255</v>
      </c>
      <c r="C615">
        <v>1</v>
      </c>
      <c r="D615">
        <v>190</v>
      </c>
      <c r="E615">
        <v>100</v>
      </c>
      <c r="F615" s="75">
        <f ca="1">INDIRECT(ADDRESS(11+(MATCH(RIGHT(Table245[[#This Row],[spawner_sku]],LEN(Table245[[#This Row],[spawner_sku]])-FIND("/",Table245[[#This Row],[spawner_sku]])),Table1[Entity Prefab],0)),10,1,1,"Entities"))</f>
        <v>25</v>
      </c>
      <c r="G615" s="75">
        <f ca="1">ROUND((Table245[[#This Row],[XP]]*Table245[[#This Row],[entity_spawned (AVG)]])*(Table245[[#This Row],[activating_chance]]/100),0)</f>
        <v>25</v>
      </c>
      <c r="H61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5" s="72">
        <v>1</v>
      </c>
      <c r="J615" s="72">
        <v>1</v>
      </c>
      <c r="K615" s="72" t="b">
        <v>0</v>
      </c>
      <c r="DH615" t="s">
        <v>456</v>
      </c>
      <c r="DI615">
        <v>1</v>
      </c>
      <c r="DJ615">
        <v>150</v>
      </c>
      <c r="DK615">
        <v>100</v>
      </c>
      <c r="DL615" s="75">
        <f ca="1">INDIRECT(ADDRESS(11+(MATCH(RIGHT(Table14[[#This Row],[spawner_sku]],LEN(Table14[[#This Row],[spawner_sku]])-FIND("/",Table14[[#This Row],[spawner_sku]])),Table1[Entity Prefab],0)),10,1,1,"Entities"))</f>
        <v>75</v>
      </c>
      <c r="DM615" s="75">
        <f ca="1">ROUND((Table14[[#This Row],[XP]]*Table14[[#This Row],[entity_spawned (AVG)]])*(Table14[[#This Row],[activating_chance]]/100),0)</f>
        <v>75</v>
      </c>
      <c r="DN61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615" s="72">
        <v>1</v>
      </c>
      <c r="DP615" s="72">
        <v>1</v>
      </c>
      <c r="DQ615" s="72" t="b">
        <v>0</v>
      </c>
    </row>
    <row r="616" spans="2:121" x14ac:dyDescent="0.25">
      <c r="B616" s="73" t="s">
        <v>255</v>
      </c>
      <c r="C616">
        <v>1</v>
      </c>
      <c r="D616">
        <v>150</v>
      </c>
      <c r="E616">
        <v>100</v>
      </c>
      <c r="F616" s="75">
        <f ca="1">INDIRECT(ADDRESS(11+(MATCH(RIGHT(Table245[[#This Row],[spawner_sku]],LEN(Table245[[#This Row],[spawner_sku]])-FIND("/",Table245[[#This Row],[spawner_sku]])),Table1[Entity Prefab],0)),10,1,1,"Entities"))</f>
        <v>25</v>
      </c>
      <c r="G616" s="75">
        <f ca="1">ROUND((Table245[[#This Row],[XP]]*Table245[[#This Row],[entity_spawned (AVG)]])*(Table245[[#This Row],[activating_chance]]/100),0)</f>
        <v>25</v>
      </c>
      <c r="H61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6" s="72">
        <v>1</v>
      </c>
      <c r="J616" s="72">
        <v>1</v>
      </c>
      <c r="K616" s="72" t="b">
        <v>0</v>
      </c>
      <c r="DH616" t="s">
        <v>456</v>
      </c>
      <c r="DI616">
        <v>1</v>
      </c>
      <c r="DJ616">
        <v>145</v>
      </c>
      <c r="DK616">
        <v>100</v>
      </c>
      <c r="DL616" s="75">
        <f ca="1">INDIRECT(ADDRESS(11+(MATCH(RIGHT(Table14[[#This Row],[spawner_sku]],LEN(Table14[[#This Row],[spawner_sku]])-FIND("/",Table14[[#This Row],[spawner_sku]])),Table1[Entity Prefab],0)),10,1,1,"Entities"))</f>
        <v>75</v>
      </c>
      <c r="DM616" s="75">
        <f ca="1">ROUND((Table14[[#This Row],[XP]]*Table14[[#This Row],[entity_spawned (AVG)]])*(Table14[[#This Row],[activating_chance]]/100),0)</f>
        <v>75</v>
      </c>
      <c r="DN61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616" s="72">
        <v>1</v>
      </c>
      <c r="DP616" s="72">
        <v>1</v>
      </c>
      <c r="DQ616" s="72" t="b">
        <v>0</v>
      </c>
    </row>
    <row r="617" spans="2:121" x14ac:dyDescent="0.25">
      <c r="B617" s="73" t="s">
        <v>255</v>
      </c>
      <c r="C617">
        <v>1</v>
      </c>
      <c r="D617">
        <v>140</v>
      </c>
      <c r="E617">
        <v>100</v>
      </c>
      <c r="F617" s="75">
        <f ca="1">INDIRECT(ADDRESS(11+(MATCH(RIGHT(Table245[[#This Row],[spawner_sku]],LEN(Table245[[#This Row],[spawner_sku]])-FIND("/",Table245[[#This Row],[spawner_sku]])),Table1[Entity Prefab],0)),10,1,1,"Entities"))</f>
        <v>25</v>
      </c>
      <c r="G617" s="75">
        <f ca="1">ROUND((Table245[[#This Row],[XP]]*Table245[[#This Row],[entity_spawned (AVG)]])*(Table245[[#This Row],[activating_chance]]/100),0)</f>
        <v>25</v>
      </c>
      <c r="H61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7" s="72">
        <v>1</v>
      </c>
      <c r="J617" s="72">
        <v>1</v>
      </c>
      <c r="K617" s="72" t="b">
        <v>0</v>
      </c>
      <c r="DH617" t="s">
        <v>456</v>
      </c>
      <c r="DI617">
        <v>1</v>
      </c>
      <c r="DJ617">
        <v>150</v>
      </c>
      <c r="DK617">
        <v>30</v>
      </c>
      <c r="DL617" s="75">
        <f ca="1">INDIRECT(ADDRESS(11+(MATCH(RIGHT(Table14[[#This Row],[spawner_sku]],LEN(Table14[[#This Row],[spawner_sku]])-FIND("/",Table14[[#This Row],[spawner_sku]])),Table1[Entity Prefab],0)),10,1,1,"Entities"))</f>
        <v>75</v>
      </c>
      <c r="DM617" s="75">
        <f ca="1">ROUND((Table14[[#This Row],[XP]]*Table14[[#This Row],[entity_spawned (AVG)]])*(Table14[[#This Row],[activating_chance]]/100),0)</f>
        <v>23</v>
      </c>
      <c r="DN61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617" s="72">
        <v>1</v>
      </c>
      <c r="DP617" s="72">
        <v>1</v>
      </c>
      <c r="DQ617" s="72" t="b">
        <v>0</v>
      </c>
    </row>
    <row r="618" spans="2:121" x14ac:dyDescent="0.25">
      <c r="B618" s="73" t="s">
        <v>255</v>
      </c>
      <c r="C618">
        <v>1</v>
      </c>
      <c r="D618">
        <v>170</v>
      </c>
      <c r="E618">
        <v>80</v>
      </c>
      <c r="F618" s="75">
        <f ca="1">INDIRECT(ADDRESS(11+(MATCH(RIGHT(Table245[[#This Row],[spawner_sku]],LEN(Table245[[#This Row],[spawner_sku]])-FIND("/",Table245[[#This Row],[spawner_sku]])),Table1[Entity Prefab],0)),10,1,1,"Entities"))</f>
        <v>25</v>
      </c>
      <c r="G618" s="75">
        <f ca="1">ROUND((Table245[[#This Row],[XP]]*Table245[[#This Row],[entity_spawned (AVG)]])*(Table245[[#This Row],[activating_chance]]/100),0)</f>
        <v>20</v>
      </c>
      <c r="H61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8" s="72">
        <v>1</v>
      </c>
      <c r="J618" s="72">
        <v>1</v>
      </c>
      <c r="K618" s="72" t="b">
        <v>0</v>
      </c>
      <c r="DH618" t="s">
        <v>456</v>
      </c>
      <c r="DI618">
        <v>1</v>
      </c>
      <c r="DJ618">
        <v>150</v>
      </c>
      <c r="DK618">
        <v>100</v>
      </c>
      <c r="DL618" s="75">
        <f ca="1">INDIRECT(ADDRESS(11+(MATCH(RIGHT(Table14[[#This Row],[spawner_sku]],LEN(Table14[[#This Row],[spawner_sku]])-FIND("/",Table14[[#This Row],[spawner_sku]])),Table1[Entity Prefab],0)),10,1,1,"Entities"))</f>
        <v>75</v>
      </c>
      <c r="DM618" s="75">
        <f ca="1">ROUND((Table14[[#This Row],[XP]]*Table14[[#This Row],[entity_spawned (AVG)]])*(Table14[[#This Row],[activating_chance]]/100),0)</f>
        <v>75</v>
      </c>
      <c r="DN61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618" s="72">
        <v>1</v>
      </c>
      <c r="DP618" s="72">
        <v>1</v>
      </c>
      <c r="DQ618" s="72" t="b">
        <v>0</v>
      </c>
    </row>
    <row r="619" spans="2:121" x14ac:dyDescent="0.25">
      <c r="B619" s="73" t="s">
        <v>255</v>
      </c>
      <c r="C619">
        <v>1</v>
      </c>
      <c r="D619">
        <v>130</v>
      </c>
      <c r="E619">
        <v>100</v>
      </c>
      <c r="F619" s="75">
        <f ca="1">INDIRECT(ADDRESS(11+(MATCH(RIGHT(Table245[[#This Row],[spawner_sku]],LEN(Table245[[#This Row],[spawner_sku]])-FIND("/",Table245[[#This Row],[spawner_sku]])),Table1[Entity Prefab],0)),10,1,1,"Entities"))</f>
        <v>25</v>
      </c>
      <c r="G619" s="75">
        <f ca="1">ROUND((Table245[[#This Row],[XP]]*Table245[[#This Row],[entity_spawned (AVG)]])*(Table245[[#This Row],[activating_chance]]/100),0)</f>
        <v>25</v>
      </c>
      <c r="H61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9" s="72">
        <v>1</v>
      </c>
      <c r="J619" s="72">
        <v>1</v>
      </c>
      <c r="K619" s="72" t="b">
        <v>0</v>
      </c>
      <c r="DH619" t="s">
        <v>456</v>
      </c>
      <c r="DI619">
        <v>1</v>
      </c>
      <c r="DJ619">
        <v>150</v>
      </c>
      <c r="DK619">
        <v>100</v>
      </c>
      <c r="DL619" s="75">
        <f ca="1">INDIRECT(ADDRESS(11+(MATCH(RIGHT(Table14[[#This Row],[spawner_sku]],LEN(Table14[[#This Row],[spawner_sku]])-FIND("/",Table14[[#This Row],[spawner_sku]])),Table1[Entity Prefab],0)),10,1,1,"Entities"))</f>
        <v>75</v>
      </c>
      <c r="DM619" s="75">
        <f ca="1">ROUND((Table14[[#This Row],[XP]]*Table14[[#This Row],[entity_spawned (AVG)]])*(Table14[[#This Row],[activating_chance]]/100),0)</f>
        <v>75</v>
      </c>
      <c r="DN61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619" s="72">
        <v>1</v>
      </c>
      <c r="DP619" s="72">
        <v>1</v>
      </c>
      <c r="DQ619" s="72" t="b">
        <v>0</v>
      </c>
    </row>
    <row r="620" spans="2:121" x14ac:dyDescent="0.25">
      <c r="B620" s="73" t="s">
        <v>255</v>
      </c>
      <c r="C620">
        <v>1</v>
      </c>
      <c r="D620">
        <v>190</v>
      </c>
      <c r="E620">
        <v>100</v>
      </c>
      <c r="F620" s="75">
        <f ca="1">INDIRECT(ADDRESS(11+(MATCH(RIGHT(Table245[[#This Row],[spawner_sku]],LEN(Table245[[#This Row],[spawner_sku]])-FIND("/",Table245[[#This Row],[spawner_sku]])),Table1[Entity Prefab],0)),10,1,1,"Entities"))</f>
        <v>25</v>
      </c>
      <c r="G620" s="75">
        <f ca="1">ROUND((Table245[[#This Row],[XP]]*Table245[[#This Row],[entity_spawned (AVG)]])*(Table245[[#This Row],[activating_chance]]/100),0)</f>
        <v>25</v>
      </c>
      <c r="H62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0" s="72">
        <v>1</v>
      </c>
      <c r="J620" s="72">
        <v>1</v>
      </c>
      <c r="K620" s="72" t="b">
        <v>0</v>
      </c>
      <c r="DH620" t="s">
        <v>445</v>
      </c>
      <c r="DI620">
        <v>1.5</v>
      </c>
      <c r="DJ620">
        <v>200</v>
      </c>
      <c r="DK620">
        <v>100</v>
      </c>
      <c r="DL620" s="75">
        <f ca="1">INDIRECT(ADDRESS(11+(MATCH(RIGHT(Table14[[#This Row],[spawner_sku]],LEN(Table14[[#This Row],[spawner_sku]])-FIND("/",Table14[[#This Row],[spawner_sku]])),Table1[Entity Prefab],0)),10,1,1,"Entities"))</f>
        <v>0</v>
      </c>
      <c r="DM620" s="75">
        <f ca="1">ROUND((Table14[[#This Row],[XP]]*Table14[[#This Row],[entity_spawned (AVG)]])*(Table14[[#This Row],[activating_chance]]/100),0)</f>
        <v>0</v>
      </c>
      <c r="DN62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20" s="72">
        <v>1</v>
      </c>
      <c r="DP620" s="72">
        <v>2</v>
      </c>
      <c r="DQ620" s="72" t="b">
        <v>0</v>
      </c>
    </row>
    <row r="621" spans="2:121" x14ac:dyDescent="0.25">
      <c r="B621" s="73" t="s">
        <v>255</v>
      </c>
      <c r="C621">
        <v>1</v>
      </c>
      <c r="D621">
        <v>140</v>
      </c>
      <c r="E621">
        <v>90</v>
      </c>
      <c r="F621" s="75">
        <f ca="1">INDIRECT(ADDRESS(11+(MATCH(RIGHT(Table245[[#This Row],[spawner_sku]],LEN(Table245[[#This Row],[spawner_sku]])-FIND("/",Table245[[#This Row],[spawner_sku]])),Table1[Entity Prefab],0)),10,1,1,"Entities"))</f>
        <v>25</v>
      </c>
      <c r="G621" s="75">
        <f ca="1">ROUND((Table245[[#This Row],[XP]]*Table245[[#This Row],[entity_spawned (AVG)]])*(Table245[[#This Row],[activating_chance]]/100),0)</f>
        <v>23</v>
      </c>
      <c r="H62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1" s="72">
        <v>1</v>
      </c>
      <c r="J621" s="72">
        <v>1</v>
      </c>
      <c r="K621" s="72" t="b">
        <v>0</v>
      </c>
      <c r="DH621" t="s">
        <v>445</v>
      </c>
      <c r="DI621">
        <v>1</v>
      </c>
      <c r="DJ621">
        <v>200</v>
      </c>
      <c r="DK621">
        <v>100</v>
      </c>
      <c r="DL621" s="75">
        <f ca="1">INDIRECT(ADDRESS(11+(MATCH(RIGHT(Table14[[#This Row],[spawner_sku]],LEN(Table14[[#This Row],[spawner_sku]])-FIND("/",Table14[[#This Row],[spawner_sku]])),Table1[Entity Prefab],0)),10,1,1,"Entities"))</f>
        <v>0</v>
      </c>
      <c r="DM621" s="75">
        <f ca="1">ROUND((Table14[[#This Row],[XP]]*Table14[[#This Row],[entity_spawned (AVG)]])*(Table14[[#This Row],[activating_chance]]/100),0)</f>
        <v>0</v>
      </c>
      <c r="DN62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21" s="72">
        <v>1</v>
      </c>
      <c r="DP621" s="72">
        <v>1</v>
      </c>
      <c r="DQ621" s="72" t="b">
        <v>0</v>
      </c>
    </row>
    <row r="622" spans="2:121" x14ac:dyDescent="0.25">
      <c r="B622" s="73" t="s">
        <v>255</v>
      </c>
      <c r="C622">
        <v>1</v>
      </c>
      <c r="D622">
        <v>170</v>
      </c>
      <c r="E622">
        <v>100</v>
      </c>
      <c r="F622" s="75">
        <f ca="1">INDIRECT(ADDRESS(11+(MATCH(RIGHT(Table245[[#This Row],[spawner_sku]],LEN(Table245[[#This Row],[spawner_sku]])-FIND("/",Table245[[#This Row],[spawner_sku]])),Table1[Entity Prefab],0)),10,1,1,"Entities"))</f>
        <v>25</v>
      </c>
      <c r="G622" s="75">
        <f ca="1">ROUND((Table245[[#This Row],[XP]]*Table245[[#This Row],[entity_spawned (AVG)]])*(Table245[[#This Row],[activating_chance]]/100),0)</f>
        <v>25</v>
      </c>
      <c r="H62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2" s="72">
        <v>1</v>
      </c>
      <c r="J622" s="72">
        <v>1</v>
      </c>
      <c r="K622" s="72" t="b">
        <v>0</v>
      </c>
      <c r="DH622" t="s">
        <v>445</v>
      </c>
      <c r="DI622">
        <v>2</v>
      </c>
      <c r="DJ622">
        <v>200</v>
      </c>
      <c r="DK622">
        <v>100</v>
      </c>
      <c r="DL622" s="75">
        <f ca="1">INDIRECT(ADDRESS(11+(MATCH(RIGHT(Table14[[#This Row],[spawner_sku]],LEN(Table14[[#This Row],[spawner_sku]])-FIND("/",Table14[[#This Row],[spawner_sku]])),Table1[Entity Prefab],0)),10,1,1,"Entities"))</f>
        <v>0</v>
      </c>
      <c r="DM622" s="75">
        <f ca="1">ROUND((Table14[[#This Row],[XP]]*Table14[[#This Row],[entity_spawned (AVG)]])*(Table14[[#This Row],[activating_chance]]/100),0)</f>
        <v>0</v>
      </c>
      <c r="DN62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22" s="72">
        <v>1</v>
      </c>
      <c r="DP622" s="72">
        <v>3</v>
      </c>
      <c r="DQ622" s="72" t="b">
        <v>0</v>
      </c>
    </row>
    <row r="623" spans="2:121" x14ac:dyDescent="0.25">
      <c r="B623" s="73" t="s">
        <v>255</v>
      </c>
      <c r="C623">
        <v>1</v>
      </c>
      <c r="D623">
        <v>140</v>
      </c>
      <c r="E623">
        <v>100</v>
      </c>
      <c r="F623" s="75">
        <f ca="1">INDIRECT(ADDRESS(11+(MATCH(RIGHT(Table245[[#This Row],[spawner_sku]],LEN(Table245[[#This Row],[spawner_sku]])-FIND("/",Table245[[#This Row],[spawner_sku]])),Table1[Entity Prefab],0)),10,1,1,"Entities"))</f>
        <v>25</v>
      </c>
      <c r="G623" s="75">
        <f ca="1">ROUND((Table245[[#This Row],[XP]]*Table245[[#This Row],[entity_spawned (AVG)]])*(Table245[[#This Row],[activating_chance]]/100),0)</f>
        <v>25</v>
      </c>
      <c r="H62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3" s="72">
        <v>1</v>
      </c>
      <c r="J623" s="72">
        <v>1</v>
      </c>
      <c r="K623" s="72" t="b">
        <v>0</v>
      </c>
      <c r="DH623" t="s">
        <v>445</v>
      </c>
      <c r="DI623">
        <v>1</v>
      </c>
      <c r="DJ623">
        <v>200</v>
      </c>
      <c r="DK623">
        <v>15</v>
      </c>
      <c r="DL623" s="75">
        <f ca="1">INDIRECT(ADDRESS(11+(MATCH(RIGHT(Table14[[#This Row],[spawner_sku]],LEN(Table14[[#This Row],[spawner_sku]])-FIND("/",Table14[[#This Row],[spawner_sku]])),Table1[Entity Prefab],0)),10,1,1,"Entities"))</f>
        <v>0</v>
      </c>
      <c r="DM623" s="75">
        <f ca="1">ROUND((Table14[[#This Row],[XP]]*Table14[[#This Row],[entity_spawned (AVG)]])*(Table14[[#This Row],[activating_chance]]/100),0)</f>
        <v>0</v>
      </c>
      <c r="DN62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23" s="72">
        <v>1</v>
      </c>
      <c r="DP623" s="72">
        <v>1</v>
      </c>
      <c r="DQ623" s="72" t="b">
        <v>0</v>
      </c>
    </row>
    <row r="624" spans="2:121" x14ac:dyDescent="0.25">
      <c r="B624" s="73" t="s">
        <v>255</v>
      </c>
      <c r="C624">
        <v>1</v>
      </c>
      <c r="D624">
        <v>170</v>
      </c>
      <c r="E624">
        <v>100</v>
      </c>
      <c r="F624" s="75">
        <f ca="1">INDIRECT(ADDRESS(11+(MATCH(RIGHT(Table245[[#This Row],[spawner_sku]],LEN(Table245[[#This Row],[spawner_sku]])-FIND("/",Table245[[#This Row],[spawner_sku]])),Table1[Entity Prefab],0)),10,1,1,"Entities"))</f>
        <v>25</v>
      </c>
      <c r="G624" s="75">
        <f ca="1">ROUND((Table245[[#This Row],[XP]]*Table245[[#This Row],[entity_spawned (AVG)]])*(Table245[[#This Row],[activating_chance]]/100),0)</f>
        <v>25</v>
      </c>
      <c r="H62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4" s="72">
        <v>1</v>
      </c>
      <c r="J624" s="72">
        <v>1</v>
      </c>
      <c r="K624" s="72" t="b">
        <v>0</v>
      </c>
      <c r="DH624" t="s">
        <v>445</v>
      </c>
      <c r="DI624">
        <v>1</v>
      </c>
      <c r="DJ624">
        <v>200</v>
      </c>
      <c r="DK624">
        <v>80</v>
      </c>
      <c r="DL624" s="75">
        <f ca="1">INDIRECT(ADDRESS(11+(MATCH(RIGHT(Table14[[#This Row],[spawner_sku]],LEN(Table14[[#This Row],[spawner_sku]])-FIND("/",Table14[[#This Row],[spawner_sku]])),Table1[Entity Prefab],0)),10,1,1,"Entities"))</f>
        <v>0</v>
      </c>
      <c r="DM624" s="75">
        <f ca="1">ROUND((Table14[[#This Row],[XP]]*Table14[[#This Row],[entity_spawned (AVG)]])*(Table14[[#This Row],[activating_chance]]/100),0)</f>
        <v>0</v>
      </c>
      <c r="DN62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24" s="72">
        <v>1</v>
      </c>
      <c r="DP624" s="72">
        <v>1</v>
      </c>
      <c r="DQ624" s="72" t="b">
        <v>0</v>
      </c>
    </row>
    <row r="625" spans="2:121" x14ac:dyDescent="0.25">
      <c r="B625" s="73" t="s">
        <v>255</v>
      </c>
      <c r="C625">
        <v>1</v>
      </c>
      <c r="D625">
        <v>190</v>
      </c>
      <c r="E625">
        <v>80</v>
      </c>
      <c r="F625" s="75">
        <f ca="1">INDIRECT(ADDRESS(11+(MATCH(RIGHT(Table245[[#This Row],[spawner_sku]],LEN(Table245[[#This Row],[spawner_sku]])-FIND("/",Table245[[#This Row],[spawner_sku]])),Table1[Entity Prefab],0)),10,1,1,"Entities"))</f>
        <v>25</v>
      </c>
      <c r="G625" s="75">
        <f ca="1">ROUND((Table245[[#This Row],[XP]]*Table245[[#This Row],[entity_spawned (AVG)]])*(Table245[[#This Row],[activating_chance]]/100),0)</f>
        <v>20</v>
      </c>
      <c r="H62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5" s="72">
        <v>1</v>
      </c>
      <c r="J625" s="72">
        <v>1</v>
      </c>
      <c r="K625" s="72" t="b">
        <v>0</v>
      </c>
      <c r="DH625" t="s">
        <v>445</v>
      </c>
      <c r="DI625">
        <v>1</v>
      </c>
      <c r="DJ625">
        <v>200</v>
      </c>
      <c r="DK625">
        <v>100</v>
      </c>
      <c r="DL625" s="75">
        <f ca="1">INDIRECT(ADDRESS(11+(MATCH(RIGHT(Table14[[#This Row],[spawner_sku]],LEN(Table14[[#This Row],[spawner_sku]])-FIND("/",Table14[[#This Row],[spawner_sku]])),Table1[Entity Prefab],0)),10,1,1,"Entities"))</f>
        <v>0</v>
      </c>
      <c r="DM625" s="75">
        <f ca="1">ROUND((Table14[[#This Row],[XP]]*Table14[[#This Row],[entity_spawned (AVG)]])*(Table14[[#This Row],[activating_chance]]/100),0)</f>
        <v>0</v>
      </c>
      <c r="DN62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25" s="72">
        <v>1</v>
      </c>
      <c r="DP625" s="72">
        <v>1</v>
      </c>
      <c r="DQ625" s="72" t="b">
        <v>0</v>
      </c>
    </row>
    <row r="626" spans="2:121" x14ac:dyDescent="0.25">
      <c r="B626" s="73" t="s">
        <v>255</v>
      </c>
      <c r="C626">
        <v>1</v>
      </c>
      <c r="D626">
        <v>190</v>
      </c>
      <c r="E626">
        <v>30</v>
      </c>
      <c r="F626" s="75">
        <f ca="1">INDIRECT(ADDRESS(11+(MATCH(RIGHT(Table245[[#This Row],[spawner_sku]],LEN(Table245[[#This Row],[spawner_sku]])-FIND("/",Table245[[#This Row],[spawner_sku]])),Table1[Entity Prefab],0)),10,1,1,"Entities"))</f>
        <v>25</v>
      </c>
      <c r="G626" s="75">
        <f ca="1">ROUND((Table245[[#This Row],[XP]]*Table245[[#This Row],[entity_spawned (AVG)]])*(Table245[[#This Row],[activating_chance]]/100),0)</f>
        <v>8</v>
      </c>
      <c r="H62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6" s="72">
        <v>1</v>
      </c>
      <c r="J626" s="72">
        <v>1</v>
      </c>
      <c r="K626" s="72" t="b">
        <v>0</v>
      </c>
      <c r="DH626" t="s">
        <v>445</v>
      </c>
      <c r="DI626">
        <v>1.5</v>
      </c>
      <c r="DJ626">
        <v>200</v>
      </c>
      <c r="DK626">
        <v>20</v>
      </c>
      <c r="DL626" s="75">
        <f ca="1">INDIRECT(ADDRESS(11+(MATCH(RIGHT(Table14[[#This Row],[spawner_sku]],LEN(Table14[[#This Row],[spawner_sku]])-FIND("/",Table14[[#This Row],[spawner_sku]])),Table1[Entity Prefab],0)),10,1,1,"Entities"))</f>
        <v>0</v>
      </c>
      <c r="DM626" s="75">
        <f ca="1">ROUND((Table14[[#This Row],[XP]]*Table14[[#This Row],[entity_spawned (AVG)]])*(Table14[[#This Row],[activating_chance]]/100),0)</f>
        <v>0</v>
      </c>
      <c r="DN62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26" s="72">
        <v>1</v>
      </c>
      <c r="DP626" s="72">
        <v>2</v>
      </c>
      <c r="DQ626" s="72" t="b">
        <v>0</v>
      </c>
    </row>
    <row r="627" spans="2:121" x14ac:dyDescent="0.25">
      <c r="B627" s="73" t="s">
        <v>255</v>
      </c>
      <c r="C627">
        <v>1</v>
      </c>
      <c r="D627">
        <v>170</v>
      </c>
      <c r="E627">
        <v>60</v>
      </c>
      <c r="F627" s="75">
        <f ca="1">INDIRECT(ADDRESS(11+(MATCH(RIGHT(Table245[[#This Row],[spawner_sku]],LEN(Table245[[#This Row],[spawner_sku]])-FIND("/",Table245[[#This Row],[spawner_sku]])),Table1[Entity Prefab],0)),10,1,1,"Entities"))</f>
        <v>25</v>
      </c>
      <c r="G627" s="75">
        <f ca="1">ROUND((Table245[[#This Row],[XP]]*Table245[[#This Row],[entity_spawned (AVG)]])*(Table245[[#This Row],[activating_chance]]/100),0)</f>
        <v>15</v>
      </c>
      <c r="H62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7" s="72">
        <v>1</v>
      </c>
      <c r="J627" s="72">
        <v>1</v>
      </c>
      <c r="K627" s="72" t="b">
        <v>0</v>
      </c>
      <c r="DH627" t="s">
        <v>445</v>
      </c>
      <c r="DI627">
        <v>1</v>
      </c>
      <c r="DJ627">
        <v>200</v>
      </c>
      <c r="DK627">
        <v>100</v>
      </c>
      <c r="DL627" s="75">
        <f ca="1">INDIRECT(ADDRESS(11+(MATCH(RIGHT(Table14[[#This Row],[spawner_sku]],LEN(Table14[[#This Row],[spawner_sku]])-FIND("/",Table14[[#This Row],[spawner_sku]])),Table1[Entity Prefab],0)),10,1,1,"Entities"))</f>
        <v>0</v>
      </c>
      <c r="DM627" s="75">
        <f ca="1">ROUND((Table14[[#This Row],[XP]]*Table14[[#This Row],[entity_spawned (AVG)]])*(Table14[[#This Row],[activating_chance]]/100),0)</f>
        <v>0</v>
      </c>
      <c r="DN62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27" s="72">
        <v>1</v>
      </c>
      <c r="DP627" s="72">
        <v>1</v>
      </c>
      <c r="DQ627" s="72" t="b">
        <v>0</v>
      </c>
    </row>
    <row r="628" spans="2:121" x14ac:dyDescent="0.25">
      <c r="B628" s="73" t="s">
        <v>255</v>
      </c>
      <c r="C628">
        <v>1</v>
      </c>
      <c r="D628">
        <v>170</v>
      </c>
      <c r="E628">
        <v>55</v>
      </c>
      <c r="F628" s="75">
        <f ca="1">INDIRECT(ADDRESS(11+(MATCH(RIGHT(Table245[[#This Row],[spawner_sku]],LEN(Table245[[#This Row],[spawner_sku]])-FIND("/",Table245[[#This Row],[spawner_sku]])),Table1[Entity Prefab],0)),10,1,1,"Entities"))</f>
        <v>25</v>
      </c>
      <c r="G628" s="75">
        <f ca="1">ROUND((Table245[[#This Row],[XP]]*Table245[[#This Row],[entity_spawned (AVG)]])*(Table245[[#This Row],[activating_chance]]/100),0)</f>
        <v>14</v>
      </c>
      <c r="H62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8" s="72">
        <v>1</v>
      </c>
      <c r="J628" s="72">
        <v>1</v>
      </c>
      <c r="K628" s="72" t="b">
        <v>0</v>
      </c>
      <c r="DH628" t="s">
        <v>445</v>
      </c>
      <c r="DI628">
        <v>1.5</v>
      </c>
      <c r="DJ628">
        <v>200</v>
      </c>
      <c r="DK628">
        <v>50</v>
      </c>
      <c r="DL628" s="75">
        <f ca="1">INDIRECT(ADDRESS(11+(MATCH(RIGHT(Table14[[#This Row],[spawner_sku]],LEN(Table14[[#This Row],[spawner_sku]])-FIND("/",Table14[[#This Row],[spawner_sku]])),Table1[Entity Prefab],0)),10,1,1,"Entities"))</f>
        <v>0</v>
      </c>
      <c r="DM628" s="75">
        <f ca="1">ROUND((Table14[[#This Row],[XP]]*Table14[[#This Row],[entity_spawned (AVG)]])*(Table14[[#This Row],[activating_chance]]/100),0)</f>
        <v>0</v>
      </c>
      <c r="DN62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28" s="72">
        <v>1</v>
      </c>
      <c r="DP628" s="72">
        <v>2</v>
      </c>
      <c r="DQ628" s="72" t="b">
        <v>0</v>
      </c>
    </row>
    <row r="629" spans="2:121" x14ac:dyDescent="0.25">
      <c r="B629" s="73" t="s">
        <v>255</v>
      </c>
      <c r="C629">
        <v>1</v>
      </c>
      <c r="D629">
        <v>170</v>
      </c>
      <c r="E629">
        <v>100</v>
      </c>
      <c r="F629" s="75">
        <f ca="1">INDIRECT(ADDRESS(11+(MATCH(RIGHT(Table245[[#This Row],[spawner_sku]],LEN(Table245[[#This Row],[spawner_sku]])-FIND("/",Table245[[#This Row],[spawner_sku]])),Table1[Entity Prefab],0)),10,1,1,"Entities"))</f>
        <v>25</v>
      </c>
      <c r="G629" s="75">
        <f ca="1">ROUND((Table245[[#This Row],[XP]]*Table245[[#This Row],[entity_spawned (AVG)]])*(Table245[[#This Row],[activating_chance]]/100),0)</f>
        <v>25</v>
      </c>
      <c r="H62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9" s="72">
        <v>1</v>
      </c>
      <c r="J629" s="72">
        <v>1</v>
      </c>
      <c r="K629" s="72" t="b">
        <v>0</v>
      </c>
      <c r="DH629" t="s">
        <v>445</v>
      </c>
      <c r="DI629">
        <v>1</v>
      </c>
      <c r="DJ629">
        <v>200</v>
      </c>
      <c r="DK629">
        <v>100</v>
      </c>
      <c r="DL629" s="75">
        <f ca="1">INDIRECT(ADDRESS(11+(MATCH(RIGHT(Table14[[#This Row],[spawner_sku]],LEN(Table14[[#This Row],[spawner_sku]])-FIND("/",Table14[[#This Row],[spawner_sku]])),Table1[Entity Prefab],0)),10,1,1,"Entities"))</f>
        <v>0</v>
      </c>
      <c r="DM629" s="75">
        <f ca="1">ROUND((Table14[[#This Row],[XP]]*Table14[[#This Row],[entity_spawned (AVG)]])*(Table14[[#This Row],[activating_chance]]/100),0)</f>
        <v>0</v>
      </c>
      <c r="DN62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29" s="72">
        <v>1</v>
      </c>
      <c r="DP629" s="72">
        <v>1</v>
      </c>
      <c r="DQ629" s="72" t="b">
        <v>0</v>
      </c>
    </row>
    <row r="630" spans="2:121" x14ac:dyDescent="0.25">
      <c r="B630" s="73" t="s">
        <v>255</v>
      </c>
      <c r="C630">
        <v>1</v>
      </c>
      <c r="D630">
        <v>190</v>
      </c>
      <c r="E630">
        <v>100</v>
      </c>
      <c r="F630" s="75">
        <f ca="1">INDIRECT(ADDRESS(11+(MATCH(RIGHT(Table245[[#This Row],[spawner_sku]],LEN(Table245[[#This Row],[spawner_sku]])-FIND("/",Table245[[#This Row],[spawner_sku]])),Table1[Entity Prefab],0)),10,1,1,"Entities"))</f>
        <v>25</v>
      </c>
      <c r="G630" s="75">
        <f ca="1">ROUND((Table245[[#This Row],[XP]]*Table245[[#This Row],[entity_spawned (AVG)]])*(Table245[[#This Row],[activating_chance]]/100),0)</f>
        <v>25</v>
      </c>
      <c r="H63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0" s="72">
        <v>1</v>
      </c>
      <c r="J630" s="72">
        <v>1</v>
      </c>
      <c r="K630" s="72" t="b">
        <v>0</v>
      </c>
      <c r="DH630" t="s">
        <v>445</v>
      </c>
      <c r="DI630">
        <v>1.5</v>
      </c>
      <c r="DJ630">
        <v>200</v>
      </c>
      <c r="DK630">
        <v>80</v>
      </c>
      <c r="DL630" s="75">
        <f ca="1">INDIRECT(ADDRESS(11+(MATCH(RIGHT(Table14[[#This Row],[spawner_sku]],LEN(Table14[[#This Row],[spawner_sku]])-FIND("/",Table14[[#This Row],[spawner_sku]])),Table1[Entity Prefab],0)),10,1,1,"Entities"))</f>
        <v>0</v>
      </c>
      <c r="DM630" s="75">
        <f ca="1">ROUND((Table14[[#This Row],[XP]]*Table14[[#This Row],[entity_spawned (AVG)]])*(Table14[[#This Row],[activating_chance]]/100),0)</f>
        <v>0</v>
      </c>
      <c r="DN63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30" s="72">
        <v>1</v>
      </c>
      <c r="DP630" s="72">
        <v>2</v>
      </c>
      <c r="DQ630" s="72" t="b">
        <v>0</v>
      </c>
    </row>
    <row r="631" spans="2:121" x14ac:dyDescent="0.25">
      <c r="B631" s="73" t="s">
        <v>255</v>
      </c>
      <c r="C631">
        <v>1</v>
      </c>
      <c r="D631">
        <v>140</v>
      </c>
      <c r="E631">
        <v>90</v>
      </c>
      <c r="F631" s="75">
        <f ca="1">INDIRECT(ADDRESS(11+(MATCH(RIGHT(Table245[[#This Row],[spawner_sku]],LEN(Table245[[#This Row],[spawner_sku]])-FIND("/",Table245[[#This Row],[spawner_sku]])),Table1[Entity Prefab],0)),10,1,1,"Entities"))</f>
        <v>25</v>
      </c>
      <c r="G631" s="75">
        <f ca="1">ROUND((Table245[[#This Row],[XP]]*Table245[[#This Row],[entity_spawned (AVG)]])*(Table245[[#This Row],[activating_chance]]/100),0)</f>
        <v>23</v>
      </c>
      <c r="H63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1" s="72">
        <v>1</v>
      </c>
      <c r="J631" s="72">
        <v>1</v>
      </c>
      <c r="K631" s="72" t="b">
        <v>0</v>
      </c>
      <c r="DH631" t="s">
        <v>445</v>
      </c>
      <c r="DI631">
        <v>1</v>
      </c>
      <c r="DJ631">
        <v>200</v>
      </c>
      <c r="DK631">
        <v>100</v>
      </c>
      <c r="DL631" s="75">
        <f ca="1">INDIRECT(ADDRESS(11+(MATCH(RIGHT(Table14[[#This Row],[spawner_sku]],LEN(Table14[[#This Row],[spawner_sku]])-FIND("/",Table14[[#This Row],[spawner_sku]])),Table1[Entity Prefab],0)),10,1,1,"Entities"))</f>
        <v>0</v>
      </c>
      <c r="DM631" s="75">
        <f ca="1">ROUND((Table14[[#This Row],[XP]]*Table14[[#This Row],[entity_spawned (AVG)]])*(Table14[[#This Row],[activating_chance]]/100),0)</f>
        <v>0</v>
      </c>
      <c r="DN63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31" s="72">
        <v>1</v>
      </c>
      <c r="DP631" s="72">
        <v>1</v>
      </c>
      <c r="DQ631" s="72" t="b">
        <v>0</v>
      </c>
    </row>
    <row r="632" spans="2:121" x14ac:dyDescent="0.25">
      <c r="B632" s="73" t="s">
        <v>255</v>
      </c>
      <c r="C632">
        <v>1</v>
      </c>
      <c r="D632">
        <v>170</v>
      </c>
      <c r="E632">
        <v>65</v>
      </c>
      <c r="F632" s="75">
        <f ca="1">INDIRECT(ADDRESS(11+(MATCH(RIGHT(Table245[[#This Row],[spawner_sku]],LEN(Table245[[#This Row],[spawner_sku]])-FIND("/",Table245[[#This Row],[spawner_sku]])),Table1[Entity Prefab],0)),10,1,1,"Entities"))</f>
        <v>25</v>
      </c>
      <c r="G632" s="75">
        <f ca="1">ROUND((Table245[[#This Row],[XP]]*Table245[[#This Row],[entity_spawned (AVG)]])*(Table245[[#This Row],[activating_chance]]/100),0)</f>
        <v>16</v>
      </c>
      <c r="H63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2" s="72">
        <v>1</v>
      </c>
      <c r="J632" s="72">
        <v>1</v>
      </c>
      <c r="K632" s="72" t="b">
        <v>0</v>
      </c>
      <c r="DH632" t="s">
        <v>445</v>
      </c>
      <c r="DI632">
        <v>1</v>
      </c>
      <c r="DJ632">
        <v>200</v>
      </c>
      <c r="DK632">
        <v>50</v>
      </c>
      <c r="DL632" s="75">
        <f ca="1">INDIRECT(ADDRESS(11+(MATCH(RIGHT(Table14[[#This Row],[spawner_sku]],LEN(Table14[[#This Row],[spawner_sku]])-FIND("/",Table14[[#This Row],[spawner_sku]])),Table1[Entity Prefab],0)),10,1,1,"Entities"))</f>
        <v>0</v>
      </c>
      <c r="DM632" s="75">
        <f ca="1">ROUND((Table14[[#This Row],[XP]]*Table14[[#This Row],[entity_spawned (AVG)]])*(Table14[[#This Row],[activating_chance]]/100),0)</f>
        <v>0</v>
      </c>
      <c r="DN63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32" s="72">
        <v>1</v>
      </c>
      <c r="DP632" s="72">
        <v>1</v>
      </c>
      <c r="DQ632" s="72" t="b">
        <v>0</v>
      </c>
    </row>
    <row r="633" spans="2:121" x14ac:dyDescent="0.25">
      <c r="B633" s="73" t="s">
        <v>255</v>
      </c>
      <c r="C633">
        <v>1</v>
      </c>
      <c r="D633">
        <v>160</v>
      </c>
      <c r="E633">
        <v>100</v>
      </c>
      <c r="F633" s="75">
        <f ca="1">INDIRECT(ADDRESS(11+(MATCH(RIGHT(Table245[[#This Row],[spawner_sku]],LEN(Table245[[#This Row],[spawner_sku]])-FIND("/",Table245[[#This Row],[spawner_sku]])),Table1[Entity Prefab],0)),10,1,1,"Entities"))</f>
        <v>25</v>
      </c>
      <c r="G633" s="75">
        <f ca="1">ROUND((Table245[[#This Row],[XP]]*Table245[[#This Row],[entity_spawned (AVG)]])*(Table245[[#This Row],[activating_chance]]/100),0)</f>
        <v>25</v>
      </c>
      <c r="H63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3" s="72">
        <v>1</v>
      </c>
      <c r="J633" s="72">
        <v>1</v>
      </c>
      <c r="K633" s="72" t="b">
        <v>0</v>
      </c>
      <c r="DH633" t="s">
        <v>445</v>
      </c>
      <c r="DI633">
        <v>1</v>
      </c>
      <c r="DJ633">
        <v>200</v>
      </c>
      <c r="DK633">
        <v>100</v>
      </c>
      <c r="DL633" s="75">
        <f ca="1">INDIRECT(ADDRESS(11+(MATCH(RIGHT(Table14[[#This Row],[spawner_sku]],LEN(Table14[[#This Row],[spawner_sku]])-FIND("/",Table14[[#This Row],[spawner_sku]])),Table1[Entity Prefab],0)),10,1,1,"Entities"))</f>
        <v>0</v>
      </c>
      <c r="DM633" s="75">
        <f ca="1">ROUND((Table14[[#This Row],[XP]]*Table14[[#This Row],[entity_spawned (AVG)]])*(Table14[[#This Row],[activating_chance]]/100),0)</f>
        <v>0</v>
      </c>
      <c r="DN63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33" s="72">
        <v>1</v>
      </c>
      <c r="DP633" s="72">
        <v>1</v>
      </c>
      <c r="DQ633" s="72" t="b">
        <v>0</v>
      </c>
    </row>
    <row r="634" spans="2:121" x14ac:dyDescent="0.25">
      <c r="B634" s="73" t="s">
        <v>255</v>
      </c>
      <c r="C634">
        <v>1</v>
      </c>
      <c r="D634">
        <v>170</v>
      </c>
      <c r="E634">
        <v>100</v>
      </c>
      <c r="F634" s="75">
        <f ca="1">INDIRECT(ADDRESS(11+(MATCH(RIGHT(Table245[[#This Row],[spawner_sku]],LEN(Table245[[#This Row],[spawner_sku]])-FIND("/",Table245[[#This Row],[spawner_sku]])),Table1[Entity Prefab],0)),10,1,1,"Entities"))</f>
        <v>25</v>
      </c>
      <c r="G634" s="75">
        <f ca="1">ROUND((Table245[[#This Row],[XP]]*Table245[[#This Row],[entity_spawned (AVG)]])*(Table245[[#This Row],[activating_chance]]/100),0)</f>
        <v>25</v>
      </c>
      <c r="H63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4" s="72">
        <v>1</v>
      </c>
      <c r="J634" s="72">
        <v>1</v>
      </c>
      <c r="K634" s="72" t="b">
        <v>0</v>
      </c>
      <c r="DH634" t="s">
        <v>445</v>
      </c>
      <c r="DI634">
        <v>1.5</v>
      </c>
      <c r="DJ634">
        <v>200</v>
      </c>
      <c r="DK634">
        <v>100</v>
      </c>
      <c r="DL634" s="75">
        <f ca="1">INDIRECT(ADDRESS(11+(MATCH(RIGHT(Table14[[#This Row],[spawner_sku]],LEN(Table14[[#This Row],[spawner_sku]])-FIND("/",Table14[[#This Row],[spawner_sku]])),Table1[Entity Prefab],0)),10,1,1,"Entities"))</f>
        <v>0</v>
      </c>
      <c r="DM634" s="75">
        <f ca="1">ROUND((Table14[[#This Row],[XP]]*Table14[[#This Row],[entity_spawned (AVG)]])*(Table14[[#This Row],[activating_chance]]/100),0)</f>
        <v>0</v>
      </c>
      <c r="DN63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34" s="72">
        <v>1</v>
      </c>
      <c r="DP634" s="72">
        <v>2</v>
      </c>
      <c r="DQ634" s="72" t="b">
        <v>0</v>
      </c>
    </row>
    <row r="635" spans="2:121" x14ac:dyDescent="0.25">
      <c r="B635" s="73" t="s">
        <v>255</v>
      </c>
      <c r="C635">
        <v>1</v>
      </c>
      <c r="D635">
        <v>170</v>
      </c>
      <c r="E635">
        <v>80</v>
      </c>
      <c r="F635" s="75">
        <f ca="1">INDIRECT(ADDRESS(11+(MATCH(RIGHT(Table245[[#This Row],[spawner_sku]],LEN(Table245[[#This Row],[spawner_sku]])-FIND("/",Table245[[#This Row],[spawner_sku]])),Table1[Entity Prefab],0)),10,1,1,"Entities"))</f>
        <v>25</v>
      </c>
      <c r="G635" s="75">
        <f ca="1">ROUND((Table245[[#This Row],[XP]]*Table245[[#This Row],[entity_spawned (AVG)]])*(Table245[[#This Row],[activating_chance]]/100),0)</f>
        <v>20</v>
      </c>
      <c r="H63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5" s="72">
        <v>1</v>
      </c>
      <c r="J635" s="72">
        <v>1</v>
      </c>
      <c r="K635" s="72" t="b">
        <v>0</v>
      </c>
      <c r="DH635" t="s">
        <v>445</v>
      </c>
      <c r="DI635">
        <v>1</v>
      </c>
      <c r="DJ635">
        <v>200</v>
      </c>
      <c r="DK635">
        <v>100</v>
      </c>
      <c r="DL635" s="75">
        <f ca="1">INDIRECT(ADDRESS(11+(MATCH(RIGHT(Table14[[#This Row],[spawner_sku]],LEN(Table14[[#This Row],[spawner_sku]])-FIND("/",Table14[[#This Row],[spawner_sku]])),Table1[Entity Prefab],0)),10,1,1,"Entities"))</f>
        <v>0</v>
      </c>
      <c r="DM635" s="75">
        <f ca="1">ROUND((Table14[[#This Row],[XP]]*Table14[[#This Row],[entity_spawned (AVG)]])*(Table14[[#This Row],[activating_chance]]/100),0)</f>
        <v>0</v>
      </c>
      <c r="DN63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35" s="72">
        <v>1</v>
      </c>
      <c r="DP635" s="72">
        <v>1</v>
      </c>
      <c r="DQ635" s="72" t="b">
        <v>0</v>
      </c>
    </row>
    <row r="636" spans="2:121" x14ac:dyDescent="0.25">
      <c r="B636" s="73" t="s">
        <v>255</v>
      </c>
      <c r="C636">
        <v>1</v>
      </c>
      <c r="D636">
        <v>170</v>
      </c>
      <c r="E636">
        <v>85</v>
      </c>
      <c r="F636" s="75">
        <f ca="1">INDIRECT(ADDRESS(11+(MATCH(RIGHT(Table245[[#This Row],[spawner_sku]],LEN(Table245[[#This Row],[spawner_sku]])-FIND("/",Table245[[#This Row],[spawner_sku]])),Table1[Entity Prefab],0)),10,1,1,"Entities"))</f>
        <v>25</v>
      </c>
      <c r="G636" s="75">
        <f ca="1">ROUND((Table245[[#This Row],[XP]]*Table245[[#This Row],[entity_spawned (AVG)]])*(Table245[[#This Row],[activating_chance]]/100),0)</f>
        <v>21</v>
      </c>
      <c r="H63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6" s="72">
        <v>1</v>
      </c>
      <c r="J636" s="72">
        <v>1</v>
      </c>
      <c r="K636" s="72" t="b">
        <v>0</v>
      </c>
      <c r="DH636" t="s">
        <v>445</v>
      </c>
      <c r="DI636">
        <v>1</v>
      </c>
      <c r="DJ636">
        <v>200</v>
      </c>
      <c r="DK636">
        <v>25</v>
      </c>
      <c r="DL636" s="75">
        <f ca="1">INDIRECT(ADDRESS(11+(MATCH(RIGHT(Table14[[#This Row],[spawner_sku]],LEN(Table14[[#This Row],[spawner_sku]])-FIND("/",Table14[[#This Row],[spawner_sku]])),Table1[Entity Prefab],0)),10,1,1,"Entities"))</f>
        <v>0</v>
      </c>
      <c r="DM636" s="75">
        <f ca="1">ROUND((Table14[[#This Row],[XP]]*Table14[[#This Row],[entity_spawned (AVG)]])*(Table14[[#This Row],[activating_chance]]/100),0)</f>
        <v>0</v>
      </c>
      <c r="DN63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36" s="72">
        <v>1</v>
      </c>
      <c r="DP636" s="72">
        <v>1</v>
      </c>
      <c r="DQ636" s="72" t="b">
        <v>0</v>
      </c>
    </row>
    <row r="637" spans="2:121" x14ac:dyDescent="0.25">
      <c r="B637" s="73" t="s">
        <v>255</v>
      </c>
      <c r="C637">
        <v>1</v>
      </c>
      <c r="D637">
        <v>190</v>
      </c>
      <c r="E637">
        <v>100</v>
      </c>
      <c r="F637" s="75">
        <f ca="1">INDIRECT(ADDRESS(11+(MATCH(RIGHT(Table245[[#This Row],[spawner_sku]],LEN(Table245[[#This Row],[spawner_sku]])-FIND("/",Table245[[#This Row],[spawner_sku]])),Table1[Entity Prefab],0)),10,1,1,"Entities"))</f>
        <v>25</v>
      </c>
      <c r="G637" s="75">
        <f ca="1">ROUND((Table245[[#This Row],[XP]]*Table245[[#This Row],[entity_spawned (AVG)]])*(Table245[[#This Row],[activating_chance]]/100),0)</f>
        <v>25</v>
      </c>
      <c r="H63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7" s="72">
        <v>1</v>
      </c>
      <c r="J637" s="72">
        <v>1</v>
      </c>
      <c r="K637" s="72" t="b">
        <v>0</v>
      </c>
      <c r="DH637" t="s">
        <v>445</v>
      </c>
      <c r="DI637">
        <v>1</v>
      </c>
      <c r="DJ637">
        <v>200</v>
      </c>
      <c r="DK637">
        <v>50</v>
      </c>
      <c r="DL637" s="75">
        <f ca="1">INDIRECT(ADDRESS(11+(MATCH(RIGHT(Table14[[#This Row],[spawner_sku]],LEN(Table14[[#This Row],[spawner_sku]])-FIND("/",Table14[[#This Row],[spawner_sku]])),Table1[Entity Prefab],0)),10,1,1,"Entities"))</f>
        <v>0</v>
      </c>
      <c r="DM637" s="75">
        <f ca="1">ROUND((Table14[[#This Row],[XP]]*Table14[[#This Row],[entity_spawned (AVG)]])*(Table14[[#This Row],[activating_chance]]/100),0)</f>
        <v>0</v>
      </c>
      <c r="DN63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37" s="72">
        <v>1</v>
      </c>
      <c r="DP637" s="72">
        <v>1</v>
      </c>
      <c r="DQ637" s="72" t="b">
        <v>0</v>
      </c>
    </row>
    <row r="638" spans="2:121" x14ac:dyDescent="0.25">
      <c r="B638" s="73" t="s">
        <v>255</v>
      </c>
      <c r="C638">
        <v>1</v>
      </c>
      <c r="D638">
        <v>205</v>
      </c>
      <c r="E638">
        <v>100</v>
      </c>
      <c r="F638" s="75">
        <f ca="1">INDIRECT(ADDRESS(11+(MATCH(RIGHT(Table245[[#This Row],[spawner_sku]],LEN(Table245[[#This Row],[spawner_sku]])-FIND("/",Table245[[#This Row],[spawner_sku]])),Table1[Entity Prefab],0)),10,1,1,"Entities"))</f>
        <v>25</v>
      </c>
      <c r="G638" s="75">
        <f ca="1">ROUND((Table245[[#This Row],[XP]]*Table245[[#This Row],[entity_spawned (AVG)]])*(Table245[[#This Row],[activating_chance]]/100),0)</f>
        <v>25</v>
      </c>
      <c r="H63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8" s="72">
        <v>1</v>
      </c>
      <c r="J638" s="72">
        <v>1</v>
      </c>
      <c r="K638" s="72" t="b">
        <v>0</v>
      </c>
      <c r="DH638" t="s">
        <v>445</v>
      </c>
      <c r="DI638">
        <v>1</v>
      </c>
      <c r="DJ638">
        <v>200</v>
      </c>
      <c r="DK638">
        <v>30</v>
      </c>
      <c r="DL638" s="75">
        <f ca="1">INDIRECT(ADDRESS(11+(MATCH(RIGHT(Table14[[#This Row],[spawner_sku]],LEN(Table14[[#This Row],[spawner_sku]])-FIND("/",Table14[[#This Row],[spawner_sku]])),Table1[Entity Prefab],0)),10,1,1,"Entities"))</f>
        <v>0</v>
      </c>
      <c r="DM638" s="75">
        <f ca="1">ROUND((Table14[[#This Row],[XP]]*Table14[[#This Row],[entity_spawned (AVG)]])*(Table14[[#This Row],[activating_chance]]/100),0)</f>
        <v>0</v>
      </c>
      <c r="DN63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38" s="72">
        <v>1</v>
      </c>
      <c r="DP638" s="72">
        <v>1</v>
      </c>
      <c r="DQ638" s="72" t="b">
        <v>0</v>
      </c>
    </row>
    <row r="639" spans="2:121" x14ac:dyDescent="0.25">
      <c r="B639" s="73" t="s">
        <v>255</v>
      </c>
      <c r="C639">
        <v>1</v>
      </c>
      <c r="D639">
        <v>170</v>
      </c>
      <c r="E639">
        <v>100</v>
      </c>
      <c r="F639" s="75">
        <f ca="1">INDIRECT(ADDRESS(11+(MATCH(RIGHT(Table245[[#This Row],[spawner_sku]],LEN(Table245[[#This Row],[spawner_sku]])-FIND("/",Table245[[#This Row],[spawner_sku]])),Table1[Entity Prefab],0)),10,1,1,"Entities"))</f>
        <v>25</v>
      </c>
      <c r="G639" s="75">
        <f ca="1">ROUND((Table245[[#This Row],[XP]]*Table245[[#This Row],[entity_spawned (AVG)]])*(Table245[[#This Row],[activating_chance]]/100),0)</f>
        <v>25</v>
      </c>
      <c r="H63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9" s="72">
        <v>1</v>
      </c>
      <c r="J639" s="72">
        <v>1</v>
      </c>
      <c r="K639" s="72" t="b">
        <v>0</v>
      </c>
      <c r="DH639" t="s">
        <v>445</v>
      </c>
      <c r="DI639">
        <v>1.5</v>
      </c>
      <c r="DJ639">
        <v>200</v>
      </c>
      <c r="DK639">
        <v>100</v>
      </c>
      <c r="DL639" s="75">
        <f ca="1">INDIRECT(ADDRESS(11+(MATCH(RIGHT(Table14[[#This Row],[spawner_sku]],LEN(Table14[[#This Row],[spawner_sku]])-FIND("/",Table14[[#This Row],[spawner_sku]])),Table1[Entity Prefab],0)),10,1,1,"Entities"))</f>
        <v>0</v>
      </c>
      <c r="DM639" s="75">
        <f ca="1">ROUND((Table14[[#This Row],[XP]]*Table14[[#This Row],[entity_spawned (AVG)]])*(Table14[[#This Row],[activating_chance]]/100),0)</f>
        <v>0</v>
      </c>
      <c r="DN63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39" s="72">
        <v>1</v>
      </c>
      <c r="DP639" s="72">
        <v>2</v>
      </c>
      <c r="DQ639" s="72" t="b">
        <v>0</v>
      </c>
    </row>
    <row r="640" spans="2:121" x14ac:dyDescent="0.25">
      <c r="B640" s="73" t="s">
        <v>255</v>
      </c>
      <c r="C640">
        <v>1</v>
      </c>
      <c r="D640">
        <v>170</v>
      </c>
      <c r="E640">
        <v>100</v>
      </c>
      <c r="F640" s="75">
        <f ca="1">INDIRECT(ADDRESS(11+(MATCH(RIGHT(Table245[[#This Row],[spawner_sku]],LEN(Table245[[#This Row],[spawner_sku]])-FIND("/",Table245[[#This Row],[spawner_sku]])),Table1[Entity Prefab],0)),10,1,1,"Entities"))</f>
        <v>25</v>
      </c>
      <c r="G640" s="75">
        <f ca="1">ROUND((Table245[[#This Row],[XP]]*Table245[[#This Row],[entity_spawned (AVG)]])*(Table245[[#This Row],[activating_chance]]/100),0)</f>
        <v>25</v>
      </c>
      <c r="H64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40" s="72">
        <v>1</v>
      </c>
      <c r="J640" s="72">
        <v>1</v>
      </c>
      <c r="K640" s="72" t="b">
        <v>0</v>
      </c>
      <c r="DH640" t="s">
        <v>445</v>
      </c>
      <c r="DI640">
        <v>1</v>
      </c>
      <c r="DJ640">
        <v>200</v>
      </c>
      <c r="DK640">
        <v>100</v>
      </c>
      <c r="DL640" s="75">
        <f ca="1">INDIRECT(ADDRESS(11+(MATCH(RIGHT(Table14[[#This Row],[spawner_sku]],LEN(Table14[[#This Row],[spawner_sku]])-FIND("/",Table14[[#This Row],[spawner_sku]])),Table1[Entity Prefab],0)),10,1,1,"Entities"))</f>
        <v>0</v>
      </c>
      <c r="DM640" s="75">
        <f ca="1">ROUND((Table14[[#This Row],[XP]]*Table14[[#This Row],[entity_spawned (AVG)]])*(Table14[[#This Row],[activating_chance]]/100),0)</f>
        <v>0</v>
      </c>
      <c r="DN64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40" s="72">
        <v>1</v>
      </c>
      <c r="DP640" s="72">
        <v>1</v>
      </c>
      <c r="DQ640" s="72" t="b">
        <v>0</v>
      </c>
    </row>
    <row r="641" spans="2:121" x14ac:dyDescent="0.25">
      <c r="B641" s="73" t="s">
        <v>255</v>
      </c>
      <c r="C641">
        <v>1</v>
      </c>
      <c r="D641">
        <v>170</v>
      </c>
      <c r="E641">
        <v>40</v>
      </c>
      <c r="F641" s="75">
        <f ca="1">INDIRECT(ADDRESS(11+(MATCH(RIGHT(Table245[[#This Row],[spawner_sku]],LEN(Table245[[#This Row],[spawner_sku]])-FIND("/",Table245[[#This Row],[spawner_sku]])),Table1[Entity Prefab],0)),10,1,1,"Entities"))</f>
        <v>25</v>
      </c>
      <c r="G641" s="75">
        <f ca="1">ROUND((Table245[[#This Row],[XP]]*Table245[[#This Row],[entity_spawned (AVG)]])*(Table245[[#This Row],[activating_chance]]/100),0)</f>
        <v>10</v>
      </c>
      <c r="H64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41" s="72">
        <v>1</v>
      </c>
      <c r="J641" s="72">
        <v>1</v>
      </c>
      <c r="K641" s="72" t="b">
        <v>0</v>
      </c>
      <c r="DH641" t="s">
        <v>445</v>
      </c>
      <c r="DI641">
        <v>1.5</v>
      </c>
      <c r="DJ641">
        <v>200</v>
      </c>
      <c r="DK641">
        <v>100</v>
      </c>
      <c r="DL641" s="75">
        <f ca="1">INDIRECT(ADDRESS(11+(MATCH(RIGHT(Table14[[#This Row],[spawner_sku]],LEN(Table14[[#This Row],[spawner_sku]])-FIND("/",Table14[[#This Row],[spawner_sku]])),Table1[Entity Prefab],0)),10,1,1,"Entities"))</f>
        <v>0</v>
      </c>
      <c r="DM641" s="75">
        <f ca="1">ROUND((Table14[[#This Row],[XP]]*Table14[[#This Row],[entity_spawned (AVG)]])*(Table14[[#This Row],[activating_chance]]/100),0)</f>
        <v>0</v>
      </c>
      <c r="DN64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41" s="72">
        <v>1</v>
      </c>
      <c r="DP641" s="72">
        <v>2</v>
      </c>
      <c r="DQ641" s="72" t="b">
        <v>0</v>
      </c>
    </row>
    <row r="642" spans="2:121" x14ac:dyDescent="0.25">
      <c r="B642" s="73" t="s">
        <v>255</v>
      </c>
      <c r="C642">
        <v>1</v>
      </c>
      <c r="D642">
        <v>170</v>
      </c>
      <c r="E642">
        <v>100</v>
      </c>
      <c r="F642" s="75">
        <f ca="1">INDIRECT(ADDRESS(11+(MATCH(RIGHT(Table245[[#This Row],[spawner_sku]],LEN(Table245[[#This Row],[spawner_sku]])-FIND("/",Table245[[#This Row],[spawner_sku]])),Table1[Entity Prefab],0)),10,1,1,"Entities"))</f>
        <v>25</v>
      </c>
      <c r="G642" s="75">
        <f ca="1">ROUND((Table245[[#This Row],[XP]]*Table245[[#This Row],[entity_spawned (AVG)]])*(Table245[[#This Row],[activating_chance]]/100),0)</f>
        <v>25</v>
      </c>
      <c r="H64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42" s="72">
        <v>1</v>
      </c>
      <c r="J642" s="72">
        <v>1</v>
      </c>
      <c r="K642" s="72" t="b">
        <v>0</v>
      </c>
      <c r="DH642" t="s">
        <v>445</v>
      </c>
      <c r="DI642">
        <v>1</v>
      </c>
      <c r="DJ642">
        <v>200</v>
      </c>
      <c r="DK642">
        <v>50</v>
      </c>
      <c r="DL642" s="75">
        <f ca="1">INDIRECT(ADDRESS(11+(MATCH(RIGHT(Table14[[#This Row],[spawner_sku]],LEN(Table14[[#This Row],[spawner_sku]])-FIND("/",Table14[[#This Row],[spawner_sku]])),Table1[Entity Prefab],0)),10,1,1,"Entities"))</f>
        <v>0</v>
      </c>
      <c r="DM642" s="75">
        <f ca="1">ROUND((Table14[[#This Row],[XP]]*Table14[[#This Row],[entity_spawned (AVG)]])*(Table14[[#This Row],[activating_chance]]/100),0)</f>
        <v>0</v>
      </c>
      <c r="DN64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42" s="72">
        <v>1</v>
      </c>
      <c r="DP642" s="72">
        <v>1</v>
      </c>
      <c r="DQ642" s="72" t="b">
        <v>0</v>
      </c>
    </row>
    <row r="643" spans="2:121" x14ac:dyDescent="0.25">
      <c r="B643" s="73" t="s">
        <v>255</v>
      </c>
      <c r="C643">
        <v>1</v>
      </c>
      <c r="D643">
        <v>190</v>
      </c>
      <c r="E643">
        <v>80</v>
      </c>
      <c r="F643" s="75">
        <f ca="1">INDIRECT(ADDRESS(11+(MATCH(RIGHT(Table245[[#This Row],[spawner_sku]],LEN(Table245[[#This Row],[spawner_sku]])-FIND("/",Table245[[#This Row],[spawner_sku]])),Table1[Entity Prefab],0)),10,1,1,"Entities"))</f>
        <v>25</v>
      </c>
      <c r="G643" s="75">
        <f ca="1">ROUND((Table245[[#This Row],[XP]]*Table245[[#This Row],[entity_spawned (AVG)]])*(Table245[[#This Row],[activating_chance]]/100),0)</f>
        <v>20</v>
      </c>
      <c r="H64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43" s="72">
        <v>1</v>
      </c>
      <c r="J643" s="72">
        <v>1</v>
      </c>
      <c r="K643" s="72" t="b">
        <v>0</v>
      </c>
      <c r="DH643" t="s">
        <v>445</v>
      </c>
      <c r="DI643">
        <v>1.5</v>
      </c>
      <c r="DJ643">
        <v>200</v>
      </c>
      <c r="DK643">
        <v>100</v>
      </c>
      <c r="DL643" s="75">
        <f ca="1">INDIRECT(ADDRESS(11+(MATCH(RIGHT(Table14[[#This Row],[spawner_sku]],LEN(Table14[[#This Row],[spawner_sku]])-FIND("/",Table14[[#This Row],[spawner_sku]])),Table1[Entity Prefab],0)),10,1,1,"Entities"))</f>
        <v>0</v>
      </c>
      <c r="DM643" s="75">
        <f ca="1">ROUND((Table14[[#This Row],[XP]]*Table14[[#This Row],[entity_spawned (AVG)]])*(Table14[[#This Row],[activating_chance]]/100),0)</f>
        <v>0</v>
      </c>
      <c r="DN64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43" s="72">
        <v>1</v>
      </c>
      <c r="DP643" s="72">
        <v>2</v>
      </c>
      <c r="DQ643" s="72" t="b">
        <v>0</v>
      </c>
    </row>
    <row r="644" spans="2:121" x14ac:dyDescent="0.25">
      <c r="B644" s="73" t="s">
        <v>255</v>
      </c>
      <c r="C644">
        <v>1</v>
      </c>
      <c r="D644">
        <v>190</v>
      </c>
      <c r="E644">
        <v>100</v>
      </c>
      <c r="F644" s="75">
        <f ca="1">INDIRECT(ADDRESS(11+(MATCH(RIGHT(Table245[[#This Row],[spawner_sku]],LEN(Table245[[#This Row],[spawner_sku]])-FIND("/",Table245[[#This Row],[spawner_sku]])),Table1[Entity Prefab],0)),10,1,1,"Entities"))</f>
        <v>25</v>
      </c>
      <c r="G644" s="75">
        <f ca="1">ROUND((Table245[[#This Row],[XP]]*Table245[[#This Row],[entity_spawned (AVG)]])*(Table245[[#This Row],[activating_chance]]/100),0)</f>
        <v>25</v>
      </c>
      <c r="H64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44" s="72">
        <v>1</v>
      </c>
      <c r="J644" s="72">
        <v>1</v>
      </c>
      <c r="K644" s="72" t="b">
        <v>0</v>
      </c>
      <c r="DH644" t="s">
        <v>445</v>
      </c>
      <c r="DI644">
        <v>1</v>
      </c>
      <c r="DJ644">
        <v>200</v>
      </c>
      <c r="DK644">
        <v>100</v>
      </c>
      <c r="DL644" s="75">
        <f ca="1">INDIRECT(ADDRESS(11+(MATCH(RIGHT(Table14[[#This Row],[spawner_sku]],LEN(Table14[[#This Row],[spawner_sku]])-FIND("/",Table14[[#This Row],[spawner_sku]])),Table1[Entity Prefab],0)),10,1,1,"Entities"))</f>
        <v>0</v>
      </c>
      <c r="DM644" s="75">
        <f ca="1">ROUND((Table14[[#This Row],[XP]]*Table14[[#This Row],[entity_spawned (AVG)]])*(Table14[[#This Row],[activating_chance]]/100),0)</f>
        <v>0</v>
      </c>
      <c r="DN64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44" s="72">
        <v>1</v>
      </c>
      <c r="DP644" s="72">
        <v>1</v>
      </c>
      <c r="DQ644" s="72" t="b">
        <v>0</v>
      </c>
    </row>
    <row r="645" spans="2:121" x14ac:dyDescent="0.25">
      <c r="B645" s="73" t="s">
        <v>255</v>
      </c>
      <c r="C645">
        <v>1</v>
      </c>
      <c r="D645">
        <v>190</v>
      </c>
      <c r="E645">
        <v>30</v>
      </c>
      <c r="F645" s="75">
        <f ca="1">INDIRECT(ADDRESS(11+(MATCH(RIGHT(Table245[[#This Row],[spawner_sku]],LEN(Table245[[#This Row],[spawner_sku]])-FIND("/",Table245[[#This Row],[spawner_sku]])),Table1[Entity Prefab],0)),10,1,1,"Entities"))</f>
        <v>25</v>
      </c>
      <c r="G645" s="75">
        <f ca="1">ROUND((Table245[[#This Row],[XP]]*Table245[[#This Row],[entity_spawned (AVG)]])*(Table245[[#This Row],[activating_chance]]/100),0)</f>
        <v>8</v>
      </c>
      <c r="H64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45" s="72">
        <v>1</v>
      </c>
      <c r="J645" s="72">
        <v>1</v>
      </c>
      <c r="K645" s="72" t="b">
        <v>0</v>
      </c>
      <c r="DH645" t="s">
        <v>445</v>
      </c>
      <c r="DI645">
        <v>1</v>
      </c>
      <c r="DJ645">
        <v>200</v>
      </c>
      <c r="DK645">
        <v>100</v>
      </c>
      <c r="DL645" s="75">
        <f ca="1">INDIRECT(ADDRESS(11+(MATCH(RIGHT(Table14[[#This Row],[spawner_sku]],LEN(Table14[[#This Row],[spawner_sku]])-FIND("/",Table14[[#This Row],[spawner_sku]])),Table1[Entity Prefab],0)),10,1,1,"Entities"))</f>
        <v>0</v>
      </c>
      <c r="DM645" s="75">
        <f ca="1">ROUND((Table14[[#This Row],[XP]]*Table14[[#This Row],[entity_spawned (AVG)]])*(Table14[[#This Row],[activating_chance]]/100),0)</f>
        <v>0</v>
      </c>
      <c r="DN64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45" s="72">
        <v>1</v>
      </c>
      <c r="DP645" s="72">
        <v>1</v>
      </c>
      <c r="DQ645" s="72" t="b">
        <v>0</v>
      </c>
    </row>
    <row r="646" spans="2:121" x14ac:dyDescent="0.25">
      <c r="B646" s="73" t="s">
        <v>255</v>
      </c>
      <c r="C646">
        <v>1</v>
      </c>
      <c r="D646">
        <v>190</v>
      </c>
      <c r="E646">
        <v>100</v>
      </c>
      <c r="F646" s="75">
        <f ca="1">INDIRECT(ADDRESS(11+(MATCH(RIGHT(Table245[[#This Row],[spawner_sku]],LEN(Table245[[#This Row],[spawner_sku]])-FIND("/",Table245[[#This Row],[spawner_sku]])),Table1[Entity Prefab],0)),10,1,1,"Entities"))</f>
        <v>25</v>
      </c>
      <c r="G646" s="75">
        <f ca="1">ROUND((Table245[[#This Row],[XP]]*Table245[[#This Row],[entity_spawned (AVG)]])*(Table245[[#This Row],[activating_chance]]/100),0)</f>
        <v>25</v>
      </c>
      <c r="H64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46" s="72">
        <v>1</v>
      </c>
      <c r="J646" s="72">
        <v>1</v>
      </c>
      <c r="K646" s="72" t="b">
        <v>0</v>
      </c>
      <c r="DH646" t="s">
        <v>445</v>
      </c>
      <c r="DI646">
        <v>1</v>
      </c>
      <c r="DJ646">
        <v>200</v>
      </c>
      <c r="DK646">
        <v>100</v>
      </c>
      <c r="DL646" s="75">
        <f ca="1">INDIRECT(ADDRESS(11+(MATCH(RIGHT(Table14[[#This Row],[spawner_sku]],LEN(Table14[[#This Row],[spawner_sku]])-FIND("/",Table14[[#This Row],[spawner_sku]])),Table1[Entity Prefab],0)),10,1,1,"Entities"))</f>
        <v>0</v>
      </c>
      <c r="DM646" s="75">
        <f ca="1">ROUND((Table14[[#This Row],[XP]]*Table14[[#This Row],[entity_spawned (AVG)]])*(Table14[[#This Row],[activating_chance]]/100),0)</f>
        <v>0</v>
      </c>
      <c r="DN64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46" s="72">
        <v>1</v>
      </c>
      <c r="DP646" s="72">
        <v>1</v>
      </c>
      <c r="DQ646" s="72" t="b">
        <v>0</v>
      </c>
    </row>
    <row r="647" spans="2:121" x14ac:dyDescent="0.25">
      <c r="B647" s="73" t="s">
        <v>255</v>
      </c>
      <c r="C647">
        <v>1</v>
      </c>
      <c r="D647">
        <v>140</v>
      </c>
      <c r="E647">
        <v>100</v>
      </c>
      <c r="F647" s="75">
        <f ca="1">INDIRECT(ADDRESS(11+(MATCH(RIGHT(Table245[[#This Row],[spawner_sku]],LEN(Table245[[#This Row],[spawner_sku]])-FIND("/",Table245[[#This Row],[spawner_sku]])),Table1[Entity Prefab],0)),10,1,1,"Entities"))</f>
        <v>25</v>
      </c>
      <c r="G647" s="75">
        <f ca="1">ROUND((Table245[[#This Row],[XP]]*Table245[[#This Row],[entity_spawned (AVG)]])*(Table245[[#This Row],[activating_chance]]/100),0)</f>
        <v>25</v>
      </c>
      <c r="H64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47" s="72">
        <v>1</v>
      </c>
      <c r="J647" s="72">
        <v>1</v>
      </c>
      <c r="K647" s="72" t="b">
        <v>0</v>
      </c>
      <c r="DH647" t="s">
        <v>445</v>
      </c>
      <c r="DI647">
        <v>1</v>
      </c>
      <c r="DJ647">
        <v>200</v>
      </c>
      <c r="DK647">
        <v>50</v>
      </c>
      <c r="DL647" s="75">
        <f ca="1">INDIRECT(ADDRESS(11+(MATCH(RIGHT(Table14[[#This Row],[spawner_sku]],LEN(Table14[[#This Row],[spawner_sku]])-FIND("/",Table14[[#This Row],[spawner_sku]])),Table1[Entity Prefab],0)),10,1,1,"Entities"))</f>
        <v>0</v>
      </c>
      <c r="DM647" s="75">
        <f ca="1">ROUND((Table14[[#This Row],[XP]]*Table14[[#This Row],[entity_spawned (AVG)]])*(Table14[[#This Row],[activating_chance]]/100),0)</f>
        <v>0</v>
      </c>
      <c r="DN64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47" s="72">
        <v>1</v>
      </c>
      <c r="DP647" s="72">
        <v>1</v>
      </c>
      <c r="DQ647" s="72" t="b">
        <v>0</v>
      </c>
    </row>
    <row r="648" spans="2:121" x14ac:dyDescent="0.25">
      <c r="B648" s="73" t="s">
        <v>255</v>
      </c>
      <c r="C648">
        <v>1</v>
      </c>
      <c r="D648">
        <v>170</v>
      </c>
      <c r="E648">
        <v>60</v>
      </c>
      <c r="F648" s="75">
        <f ca="1">INDIRECT(ADDRESS(11+(MATCH(RIGHT(Table245[[#This Row],[spawner_sku]],LEN(Table245[[#This Row],[spawner_sku]])-FIND("/",Table245[[#This Row],[spawner_sku]])),Table1[Entity Prefab],0)),10,1,1,"Entities"))</f>
        <v>25</v>
      </c>
      <c r="G648" s="75">
        <f ca="1">ROUND((Table245[[#This Row],[XP]]*Table245[[#This Row],[entity_spawned (AVG)]])*(Table245[[#This Row],[activating_chance]]/100),0)</f>
        <v>15</v>
      </c>
      <c r="H64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48" s="72">
        <v>1</v>
      </c>
      <c r="J648" s="72">
        <v>1</v>
      </c>
      <c r="K648" s="72" t="b">
        <v>0</v>
      </c>
      <c r="DH648" t="s">
        <v>445</v>
      </c>
      <c r="DI648">
        <v>1.5</v>
      </c>
      <c r="DJ648">
        <v>200</v>
      </c>
      <c r="DK648">
        <v>100</v>
      </c>
      <c r="DL648" s="75">
        <f ca="1">INDIRECT(ADDRESS(11+(MATCH(RIGHT(Table14[[#This Row],[spawner_sku]],LEN(Table14[[#This Row],[spawner_sku]])-FIND("/",Table14[[#This Row],[spawner_sku]])),Table1[Entity Prefab],0)),10,1,1,"Entities"))</f>
        <v>0</v>
      </c>
      <c r="DM648" s="75">
        <f ca="1">ROUND((Table14[[#This Row],[XP]]*Table14[[#This Row],[entity_spawned (AVG)]])*(Table14[[#This Row],[activating_chance]]/100),0)</f>
        <v>0</v>
      </c>
      <c r="DN64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48" s="72">
        <v>1</v>
      </c>
      <c r="DP648" s="72">
        <v>2</v>
      </c>
      <c r="DQ648" s="72" t="b">
        <v>0</v>
      </c>
    </row>
    <row r="649" spans="2:121" x14ac:dyDescent="0.25">
      <c r="B649" s="73" t="s">
        <v>255</v>
      </c>
      <c r="C649">
        <v>1</v>
      </c>
      <c r="D649">
        <v>170</v>
      </c>
      <c r="E649">
        <v>60</v>
      </c>
      <c r="F649" s="75">
        <f ca="1">INDIRECT(ADDRESS(11+(MATCH(RIGHT(Table245[[#This Row],[spawner_sku]],LEN(Table245[[#This Row],[spawner_sku]])-FIND("/",Table245[[#This Row],[spawner_sku]])),Table1[Entity Prefab],0)),10,1,1,"Entities"))</f>
        <v>25</v>
      </c>
      <c r="G649" s="75">
        <f ca="1">ROUND((Table245[[#This Row],[XP]]*Table245[[#This Row],[entity_spawned (AVG)]])*(Table245[[#This Row],[activating_chance]]/100),0)</f>
        <v>15</v>
      </c>
      <c r="H64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49" s="72">
        <v>1</v>
      </c>
      <c r="J649" s="72">
        <v>1</v>
      </c>
      <c r="K649" s="72" t="b">
        <v>0</v>
      </c>
      <c r="DH649" t="s">
        <v>445</v>
      </c>
      <c r="DI649">
        <v>1.5</v>
      </c>
      <c r="DJ649">
        <v>200</v>
      </c>
      <c r="DK649">
        <v>100</v>
      </c>
      <c r="DL649" s="75">
        <f ca="1">INDIRECT(ADDRESS(11+(MATCH(RIGHT(Table14[[#This Row],[spawner_sku]],LEN(Table14[[#This Row],[spawner_sku]])-FIND("/",Table14[[#This Row],[spawner_sku]])),Table1[Entity Prefab],0)),10,1,1,"Entities"))</f>
        <v>0</v>
      </c>
      <c r="DM649" s="75">
        <f ca="1">ROUND((Table14[[#This Row],[XP]]*Table14[[#This Row],[entity_spawned (AVG)]])*(Table14[[#This Row],[activating_chance]]/100),0)</f>
        <v>0</v>
      </c>
      <c r="DN64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49" s="72">
        <v>1</v>
      </c>
      <c r="DP649" s="72">
        <v>2</v>
      </c>
      <c r="DQ649" s="72" t="b">
        <v>0</v>
      </c>
    </row>
    <row r="650" spans="2:121" x14ac:dyDescent="0.25">
      <c r="B650" s="73" t="s">
        <v>255</v>
      </c>
      <c r="C650">
        <v>1</v>
      </c>
      <c r="D650">
        <v>130</v>
      </c>
      <c r="E650">
        <v>85</v>
      </c>
      <c r="F650" s="75">
        <f ca="1">INDIRECT(ADDRESS(11+(MATCH(RIGHT(Table245[[#This Row],[spawner_sku]],LEN(Table245[[#This Row],[spawner_sku]])-FIND("/",Table245[[#This Row],[spawner_sku]])),Table1[Entity Prefab],0)),10,1,1,"Entities"))</f>
        <v>25</v>
      </c>
      <c r="G650" s="75">
        <f ca="1">ROUND((Table245[[#This Row],[XP]]*Table245[[#This Row],[entity_spawned (AVG)]])*(Table245[[#This Row],[activating_chance]]/100),0)</f>
        <v>21</v>
      </c>
      <c r="H65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50" s="72">
        <v>1</v>
      </c>
      <c r="J650" s="72">
        <v>1</v>
      </c>
      <c r="K650" s="72" t="b">
        <v>0</v>
      </c>
      <c r="DH650" t="s">
        <v>445</v>
      </c>
      <c r="DI650">
        <v>1</v>
      </c>
      <c r="DJ650">
        <v>200</v>
      </c>
      <c r="DK650">
        <v>100</v>
      </c>
      <c r="DL650" s="75">
        <f ca="1">INDIRECT(ADDRESS(11+(MATCH(RIGHT(Table14[[#This Row],[spawner_sku]],LEN(Table14[[#This Row],[spawner_sku]])-FIND("/",Table14[[#This Row],[spawner_sku]])),Table1[Entity Prefab],0)),10,1,1,"Entities"))</f>
        <v>0</v>
      </c>
      <c r="DM650" s="75">
        <f ca="1">ROUND((Table14[[#This Row],[XP]]*Table14[[#This Row],[entity_spawned (AVG)]])*(Table14[[#This Row],[activating_chance]]/100),0)</f>
        <v>0</v>
      </c>
      <c r="DN65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50" s="72">
        <v>1</v>
      </c>
      <c r="DP650" s="72">
        <v>1</v>
      </c>
      <c r="DQ650" s="72" t="b">
        <v>0</v>
      </c>
    </row>
    <row r="651" spans="2:121" x14ac:dyDescent="0.25">
      <c r="B651" s="73" t="s">
        <v>255</v>
      </c>
      <c r="C651">
        <v>1</v>
      </c>
      <c r="D651">
        <v>190</v>
      </c>
      <c r="E651">
        <v>80</v>
      </c>
      <c r="F651" s="75">
        <f ca="1">INDIRECT(ADDRESS(11+(MATCH(RIGHT(Table245[[#This Row],[spawner_sku]],LEN(Table245[[#This Row],[spawner_sku]])-FIND("/",Table245[[#This Row],[spawner_sku]])),Table1[Entity Prefab],0)),10,1,1,"Entities"))</f>
        <v>25</v>
      </c>
      <c r="G651" s="75">
        <f ca="1">ROUND((Table245[[#This Row],[XP]]*Table245[[#This Row],[entity_spawned (AVG)]])*(Table245[[#This Row],[activating_chance]]/100),0)</f>
        <v>20</v>
      </c>
      <c r="H65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51" s="72">
        <v>1</v>
      </c>
      <c r="J651" s="72">
        <v>1</v>
      </c>
      <c r="K651" s="72" t="b">
        <v>0</v>
      </c>
      <c r="DH651" t="s">
        <v>445</v>
      </c>
      <c r="DI651">
        <v>1.5</v>
      </c>
      <c r="DJ651">
        <v>200</v>
      </c>
      <c r="DK651">
        <v>80</v>
      </c>
      <c r="DL651" s="75">
        <f ca="1">INDIRECT(ADDRESS(11+(MATCH(RIGHT(Table14[[#This Row],[spawner_sku]],LEN(Table14[[#This Row],[spawner_sku]])-FIND("/",Table14[[#This Row],[spawner_sku]])),Table1[Entity Prefab],0)),10,1,1,"Entities"))</f>
        <v>0</v>
      </c>
      <c r="DM651" s="75">
        <f ca="1">ROUND((Table14[[#This Row],[XP]]*Table14[[#This Row],[entity_spawned (AVG)]])*(Table14[[#This Row],[activating_chance]]/100),0)</f>
        <v>0</v>
      </c>
      <c r="DN65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51" s="72">
        <v>1</v>
      </c>
      <c r="DP651" s="72">
        <v>2</v>
      </c>
      <c r="DQ651" s="72" t="b">
        <v>0</v>
      </c>
    </row>
    <row r="652" spans="2:121" x14ac:dyDescent="0.25">
      <c r="B652" s="73" t="s">
        <v>255</v>
      </c>
      <c r="C652">
        <v>1</v>
      </c>
      <c r="D652">
        <v>170</v>
      </c>
      <c r="E652">
        <v>100</v>
      </c>
      <c r="F652" s="75">
        <f ca="1">INDIRECT(ADDRESS(11+(MATCH(RIGHT(Table245[[#This Row],[spawner_sku]],LEN(Table245[[#This Row],[spawner_sku]])-FIND("/",Table245[[#This Row],[spawner_sku]])),Table1[Entity Prefab],0)),10,1,1,"Entities"))</f>
        <v>25</v>
      </c>
      <c r="G652" s="75">
        <f ca="1">ROUND((Table245[[#This Row],[XP]]*Table245[[#This Row],[entity_spawned (AVG)]])*(Table245[[#This Row],[activating_chance]]/100),0)</f>
        <v>25</v>
      </c>
      <c r="H65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52" s="72">
        <v>1</v>
      </c>
      <c r="J652" s="72">
        <v>1</v>
      </c>
      <c r="K652" s="72" t="b">
        <v>0</v>
      </c>
      <c r="DH652" t="s">
        <v>445</v>
      </c>
      <c r="DI652">
        <v>1.5</v>
      </c>
      <c r="DJ652">
        <v>200</v>
      </c>
      <c r="DK652">
        <v>100</v>
      </c>
      <c r="DL652" s="75">
        <f ca="1">INDIRECT(ADDRESS(11+(MATCH(RIGHT(Table14[[#This Row],[spawner_sku]],LEN(Table14[[#This Row],[spawner_sku]])-FIND("/",Table14[[#This Row],[spawner_sku]])),Table1[Entity Prefab],0)),10,1,1,"Entities"))</f>
        <v>0</v>
      </c>
      <c r="DM652" s="75">
        <f ca="1">ROUND((Table14[[#This Row],[XP]]*Table14[[#This Row],[entity_spawned (AVG)]])*(Table14[[#This Row],[activating_chance]]/100),0)</f>
        <v>0</v>
      </c>
      <c r="DN65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52" s="72">
        <v>1</v>
      </c>
      <c r="DP652" s="72">
        <v>2</v>
      </c>
      <c r="DQ652" s="72" t="b">
        <v>0</v>
      </c>
    </row>
    <row r="653" spans="2:121" x14ac:dyDescent="0.25">
      <c r="B653" s="73" t="s">
        <v>255</v>
      </c>
      <c r="C653">
        <v>1</v>
      </c>
      <c r="D653">
        <v>150</v>
      </c>
      <c r="E653">
        <v>40</v>
      </c>
      <c r="F653" s="75">
        <f ca="1">INDIRECT(ADDRESS(11+(MATCH(RIGHT(Table245[[#This Row],[spawner_sku]],LEN(Table245[[#This Row],[spawner_sku]])-FIND("/",Table245[[#This Row],[spawner_sku]])),Table1[Entity Prefab],0)),10,1,1,"Entities"))</f>
        <v>25</v>
      </c>
      <c r="G653" s="75">
        <f ca="1">ROUND((Table245[[#This Row],[XP]]*Table245[[#This Row],[entity_spawned (AVG)]])*(Table245[[#This Row],[activating_chance]]/100),0)</f>
        <v>10</v>
      </c>
      <c r="H65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53" s="72">
        <v>1</v>
      </c>
      <c r="J653" s="72">
        <v>1</v>
      </c>
      <c r="K653" s="72" t="b">
        <v>0</v>
      </c>
      <c r="DH653" t="s">
        <v>445</v>
      </c>
      <c r="DI653">
        <v>1</v>
      </c>
      <c r="DJ653">
        <v>200</v>
      </c>
      <c r="DK653">
        <v>50</v>
      </c>
      <c r="DL653" s="75">
        <f ca="1">INDIRECT(ADDRESS(11+(MATCH(RIGHT(Table14[[#This Row],[spawner_sku]],LEN(Table14[[#This Row],[spawner_sku]])-FIND("/",Table14[[#This Row],[spawner_sku]])),Table1[Entity Prefab],0)),10,1,1,"Entities"))</f>
        <v>0</v>
      </c>
      <c r="DM653" s="75">
        <f ca="1">ROUND((Table14[[#This Row],[XP]]*Table14[[#This Row],[entity_spawned (AVG)]])*(Table14[[#This Row],[activating_chance]]/100),0)</f>
        <v>0</v>
      </c>
      <c r="DN65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53" s="72">
        <v>1</v>
      </c>
      <c r="DP653" s="72">
        <v>1</v>
      </c>
      <c r="DQ653" s="72" t="b">
        <v>0</v>
      </c>
    </row>
    <row r="654" spans="2:121" x14ac:dyDescent="0.25">
      <c r="B654" s="73" t="s">
        <v>255</v>
      </c>
      <c r="C654">
        <v>1</v>
      </c>
      <c r="D654">
        <v>140</v>
      </c>
      <c r="E654">
        <v>100</v>
      </c>
      <c r="F654" s="75">
        <f ca="1">INDIRECT(ADDRESS(11+(MATCH(RIGHT(Table245[[#This Row],[spawner_sku]],LEN(Table245[[#This Row],[spawner_sku]])-FIND("/",Table245[[#This Row],[spawner_sku]])),Table1[Entity Prefab],0)),10,1,1,"Entities"))</f>
        <v>25</v>
      </c>
      <c r="G654" s="75">
        <f ca="1">ROUND((Table245[[#This Row],[XP]]*Table245[[#This Row],[entity_spawned (AVG)]])*(Table245[[#This Row],[activating_chance]]/100),0)</f>
        <v>25</v>
      </c>
      <c r="H65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54" s="72">
        <v>1</v>
      </c>
      <c r="J654" s="72">
        <v>1</v>
      </c>
      <c r="K654" s="72" t="b">
        <v>0</v>
      </c>
      <c r="DH654" t="s">
        <v>445</v>
      </c>
      <c r="DI654">
        <v>1.5</v>
      </c>
      <c r="DJ654">
        <v>200</v>
      </c>
      <c r="DK654">
        <v>30</v>
      </c>
      <c r="DL654" s="75">
        <f ca="1">INDIRECT(ADDRESS(11+(MATCH(RIGHT(Table14[[#This Row],[spawner_sku]],LEN(Table14[[#This Row],[spawner_sku]])-FIND("/",Table14[[#This Row],[spawner_sku]])),Table1[Entity Prefab],0)),10,1,1,"Entities"))</f>
        <v>0</v>
      </c>
      <c r="DM654" s="75">
        <f ca="1">ROUND((Table14[[#This Row],[XP]]*Table14[[#This Row],[entity_spawned (AVG)]])*(Table14[[#This Row],[activating_chance]]/100),0)</f>
        <v>0</v>
      </c>
      <c r="DN65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54" s="72">
        <v>1</v>
      </c>
      <c r="DP654" s="72">
        <v>2</v>
      </c>
      <c r="DQ654" s="72" t="b">
        <v>0</v>
      </c>
    </row>
    <row r="655" spans="2:121" x14ac:dyDescent="0.25">
      <c r="B655" s="73" t="s">
        <v>255</v>
      </c>
      <c r="C655">
        <v>1</v>
      </c>
      <c r="D655">
        <v>140</v>
      </c>
      <c r="E655">
        <v>100</v>
      </c>
      <c r="F655" s="75">
        <f ca="1">INDIRECT(ADDRESS(11+(MATCH(RIGHT(Table245[[#This Row],[spawner_sku]],LEN(Table245[[#This Row],[spawner_sku]])-FIND("/",Table245[[#This Row],[spawner_sku]])),Table1[Entity Prefab],0)),10,1,1,"Entities"))</f>
        <v>25</v>
      </c>
      <c r="G655" s="75">
        <f ca="1">ROUND((Table245[[#This Row],[XP]]*Table245[[#This Row],[entity_spawned (AVG)]])*(Table245[[#This Row],[activating_chance]]/100),0)</f>
        <v>25</v>
      </c>
      <c r="H65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55" s="72">
        <v>1</v>
      </c>
      <c r="J655" s="72">
        <v>1</v>
      </c>
      <c r="K655" s="72" t="b">
        <v>0</v>
      </c>
      <c r="DH655" t="s">
        <v>445</v>
      </c>
      <c r="DI655">
        <v>1</v>
      </c>
      <c r="DJ655">
        <v>200</v>
      </c>
      <c r="DK655">
        <v>30</v>
      </c>
      <c r="DL655" s="75">
        <f ca="1">INDIRECT(ADDRESS(11+(MATCH(RIGHT(Table14[[#This Row],[spawner_sku]],LEN(Table14[[#This Row],[spawner_sku]])-FIND("/",Table14[[#This Row],[spawner_sku]])),Table1[Entity Prefab],0)),10,1,1,"Entities"))</f>
        <v>0</v>
      </c>
      <c r="DM655" s="75">
        <f ca="1">ROUND((Table14[[#This Row],[XP]]*Table14[[#This Row],[entity_spawned (AVG)]])*(Table14[[#This Row],[activating_chance]]/100),0)</f>
        <v>0</v>
      </c>
      <c r="DN65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55" s="72">
        <v>1</v>
      </c>
      <c r="DP655" s="72">
        <v>1</v>
      </c>
      <c r="DQ655" s="72" t="b">
        <v>0</v>
      </c>
    </row>
    <row r="656" spans="2:121" x14ac:dyDescent="0.25">
      <c r="B656" s="73" t="s">
        <v>255</v>
      </c>
      <c r="C656">
        <v>1</v>
      </c>
      <c r="D656">
        <v>190</v>
      </c>
      <c r="E656">
        <v>30</v>
      </c>
      <c r="F656" s="75">
        <f ca="1">INDIRECT(ADDRESS(11+(MATCH(RIGHT(Table245[[#This Row],[spawner_sku]],LEN(Table245[[#This Row],[spawner_sku]])-FIND("/",Table245[[#This Row],[spawner_sku]])),Table1[Entity Prefab],0)),10,1,1,"Entities"))</f>
        <v>25</v>
      </c>
      <c r="G656" s="75">
        <f ca="1">ROUND((Table245[[#This Row],[XP]]*Table245[[#This Row],[entity_spawned (AVG)]])*(Table245[[#This Row],[activating_chance]]/100),0)</f>
        <v>8</v>
      </c>
      <c r="H65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56" s="72">
        <v>1</v>
      </c>
      <c r="J656" s="72">
        <v>1</v>
      </c>
      <c r="K656" s="72" t="b">
        <v>0</v>
      </c>
      <c r="DH656" t="s">
        <v>445</v>
      </c>
      <c r="DI656">
        <v>1.5</v>
      </c>
      <c r="DJ656">
        <v>200</v>
      </c>
      <c r="DK656">
        <v>100</v>
      </c>
      <c r="DL656" s="75">
        <f ca="1">INDIRECT(ADDRESS(11+(MATCH(RIGHT(Table14[[#This Row],[spawner_sku]],LEN(Table14[[#This Row],[spawner_sku]])-FIND("/",Table14[[#This Row],[spawner_sku]])),Table1[Entity Prefab],0)),10,1,1,"Entities"))</f>
        <v>0</v>
      </c>
      <c r="DM656" s="75">
        <f ca="1">ROUND((Table14[[#This Row],[XP]]*Table14[[#This Row],[entity_spawned (AVG)]])*(Table14[[#This Row],[activating_chance]]/100),0)</f>
        <v>0</v>
      </c>
      <c r="DN65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56" s="72">
        <v>1</v>
      </c>
      <c r="DP656" s="72">
        <v>2</v>
      </c>
      <c r="DQ656" s="72" t="b">
        <v>0</v>
      </c>
    </row>
    <row r="657" spans="2:121" x14ac:dyDescent="0.25">
      <c r="B657" s="73" t="s">
        <v>255</v>
      </c>
      <c r="C657">
        <v>1</v>
      </c>
      <c r="D657">
        <v>140</v>
      </c>
      <c r="E657">
        <v>100</v>
      </c>
      <c r="F657" s="75">
        <f ca="1">INDIRECT(ADDRESS(11+(MATCH(RIGHT(Table245[[#This Row],[spawner_sku]],LEN(Table245[[#This Row],[spawner_sku]])-FIND("/",Table245[[#This Row],[spawner_sku]])),Table1[Entity Prefab],0)),10,1,1,"Entities"))</f>
        <v>25</v>
      </c>
      <c r="G657" s="75">
        <f ca="1">ROUND((Table245[[#This Row],[XP]]*Table245[[#This Row],[entity_spawned (AVG)]])*(Table245[[#This Row],[activating_chance]]/100),0)</f>
        <v>25</v>
      </c>
      <c r="H65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57" s="72">
        <v>1</v>
      </c>
      <c r="J657" s="72">
        <v>1</v>
      </c>
      <c r="K657" s="72" t="b">
        <v>0</v>
      </c>
      <c r="DH657" t="s">
        <v>445</v>
      </c>
      <c r="DI657">
        <v>1.5</v>
      </c>
      <c r="DJ657">
        <v>200</v>
      </c>
      <c r="DK657">
        <v>100</v>
      </c>
      <c r="DL657" s="75">
        <f ca="1">INDIRECT(ADDRESS(11+(MATCH(RIGHT(Table14[[#This Row],[spawner_sku]],LEN(Table14[[#This Row],[spawner_sku]])-FIND("/",Table14[[#This Row],[spawner_sku]])),Table1[Entity Prefab],0)),10,1,1,"Entities"))</f>
        <v>0</v>
      </c>
      <c r="DM657" s="75">
        <f ca="1">ROUND((Table14[[#This Row],[XP]]*Table14[[#This Row],[entity_spawned (AVG)]])*(Table14[[#This Row],[activating_chance]]/100),0)</f>
        <v>0</v>
      </c>
      <c r="DN65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57" s="72">
        <v>1</v>
      </c>
      <c r="DP657" s="72">
        <v>2</v>
      </c>
      <c r="DQ657" s="72" t="b">
        <v>0</v>
      </c>
    </row>
    <row r="658" spans="2:121" x14ac:dyDescent="0.25">
      <c r="B658" s="73" t="s">
        <v>255</v>
      </c>
      <c r="C658">
        <v>1</v>
      </c>
      <c r="D658">
        <v>170</v>
      </c>
      <c r="E658">
        <v>80</v>
      </c>
      <c r="F658" s="75">
        <f ca="1">INDIRECT(ADDRESS(11+(MATCH(RIGHT(Table245[[#This Row],[spawner_sku]],LEN(Table245[[#This Row],[spawner_sku]])-FIND("/",Table245[[#This Row],[spawner_sku]])),Table1[Entity Prefab],0)),10,1,1,"Entities"))</f>
        <v>25</v>
      </c>
      <c r="G658" s="75">
        <f ca="1">ROUND((Table245[[#This Row],[XP]]*Table245[[#This Row],[entity_spawned (AVG)]])*(Table245[[#This Row],[activating_chance]]/100),0)</f>
        <v>20</v>
      </c>
      <c r="H65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58" s="72">
        <v>1</v>
      </c>
      <c r="J658" s="72">
        <v>1</v>
      </c>
      <c r="K658" s="72" t="b">
        <v>0</v>
      </c>
      <c r="DH658" t="s">
        <v>445</v>
      </c>
      <c r="DI658">
        <v>1</v>
      </c>
      <c r="DJ658">
        <v>200</v>
      </c>
      <c r="DK658">
        <v>100</v>
      </c>
      <c r="DL658" s="75">
        <f ca="1">INDIRECT(ADDRESS(11+(MATCH(RIGHT(Table14[[#This Row],[spawner_sku]],LEN(Table14[[#This Row],[spawner_sku]])-FIND("/",Table14[[#This Row],[spawner_sku]])),Table1[Entity Prefab],0)),10,1,1,"Entities"))</f>
        <v>0</v>
      </c>
      <c r="DM658" s="75">
        <f ca="1">ROUND((Table14[[#This Row],[XP]]*Table14[[#This Row],[entity_spawned (AVG)]])*(Table14[[#This Row],[activating_chance]]/100),0)</f>
        <v>0</v>
      </c>
      <c r="DN65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58" s="72">
        <v>1</v>
      </c>
      <c r="DP658" s="72">
        <v>1</v>
      </c>
      <c r="DQ658" s="72" t="b">
        <v>0</v>
      </c>
    </row>
    <row r="659" spans="2:121" x14ac:dyDescent="0.25">
      <c r="B659" s="73" t="s">
        <v>255</v>
      </c>
      <c r="C659">
        <v>1</v>
      </c>
      <c r="D659">
        <v>140</v>
      </c>
      <c r="E659">
        <v>100</v>
      </c>
      <c r="F659" s="75">
        <f ca="1">INDIRECT(ADDRESS(11+(MATCH(RIGHT(Table245[[#This Row],[spawner_sku]],LEN(Table245[[#This Row],[spawner_sku]])-FIND("/",Table245[[#This Row],[spawner_sku]])),Table1[Entity Prefab],0)),10,1,1,"Entities"))</f>
        <v>25</v>
      </c>
      <c r="G659" s="75">
        <f ca="1">ROUND((Table245[[#This Row],[XP]]*Table245[[#This Row],[entity_spawned (AVG)]])*(Table245[[#This Row],[activating_chance]]/100),0)</f>
        <v>25</v>
      </c>
      <c r="H65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59" s="72">
        <v>1</v>
      </c>
      <c r="J659" s="72">
        <v>1</v>
      </c>
      <c r="K659" s="72" t="b">
        <v>0</v>
      </c>
      <c r="DH659" t="s">
        <v>445</v>
      </c>
      <c r="DI659">
        <v>1</v>
      </c>
      <c r="DJ659">
        <v>200</v>
      </c>
      <c r="DK659">
        <v>100</v>
      </c>
      <c r="DL659" s="75">
        <f ca="1">INDIRECT(ADDRESS(11+(MATCH(RIGHT(Table14[[#This Row],[spawner_sku]],LEN(Table14[[#This Row],[spawner_sku]])-FIND("/",Table14[[#This Row],[spawner_sku]])),Table1[Entity Prefab],0)),10,1,1,"Entities"))</f>
        <v>0</v>
      </c>
      <c r="DM659" s="75">
        <f ca="1">ROUND((Table14[[#This Row],[XP]]*Table14[[#This Row],[entity_spawned (AVG)]])*(Table14[[#This Row],[activating_chance]]/100),0)</f>
        <v>0</v>
      </c>
      <c r="DN65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59" s="72">
        <v>1</v>
      </c>
      <c r="DP659" s="72">
        <v>1</v>
      </c>
      <c r="DQ659" s="72" t="b">
        <v>0</v>
      </c>
    </row>
    <row r="660" spans="2:121" x14ac:dyDescent="0.25">
      <c r="B660" s="73" t="s">
        <v>256</v>
      </c>
      <c r="C660">
        <v>1</v>
      </c>
      <c r="D660">
        <v>160</v>
      </c>
      <c r="E660">
        <v>100</v>
      </c>
      <c r="F660" s="75">
        <f ca="1">INDIRECT(ADDRESS(11+(MATCH(RIGHT(Table245[[#This Row],[spawner_sku]],LEN(Table245[[#This Row],[spawner_sku]])-FIND("/",Table245[[#This Row],[spawner_sku]])),Table1[Entity Prefab],0)),10,1,1,"Entities"))</f>
        <v>25</v>
      </c>
      <c r="G660" s="75">
        <f ca="1">ROUND((Table245[[#This Row],[XP]]*Table245[[#This Row],[entity_spawned (AVG)]])*(Table245[[#This Row],[activating_chance]]/100),0)</f>
        <v>25</v>
      </c>
      <c r="H66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60" s="72">
        <v>1</v>
      </c>
      <c r="J660" s="72">
        <v>1</v>
      </c>
      <c r="K660" s="72" t="b">
        <v>0</v>
      </c>
      <c r="DH660" t="s">
        <v>445</v>
      </c>
      <c r="DI660">
        <v>2</v>
      </c>
      <c r="DJ660">
        <v>200</v>
      </c>
      <c r="DK660">
        <v>100</v>
      </c>
      <c r="DL660" s="75">
        <f ca="1">INDIRECT(ADDRESS(11+(MATCH(RIGHT(Table14[[#This Row],[spawner_sku]],LEN(Table14[[#This Row],[spawner_sku]])-FIND("/",Table14[[#This Row],[spawner_sku]])),Table1[Entity Prefab],0)),10,1,1,"Entities"))</f>
        <v>0</v>
      </c>
      <c r="DM660" s="75">
        <f ca="1">ROUND((Table14[[#This Row],[XP]]*Table14[[#This Row],[entity_spawned (AVG)]])*(Table14[[#This Row],[activating_chance]]/100),0)</f>
        <v>0</v>
      </c>
      <c r="DN66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60" s="72">
        <v>1</v>
      </c>
      <c r="DP660" s="72">
        <v>3</v>
      </c>
      <c r="DQ660" s="72" t="b">
        <v>0</v>
      </c>
    </row>
    <row r="661" spans="2:121" x14ac:dyDescent="0.25">
      <c r="B661" s="73" t="s">
        <v>256</v>
      </c>
      <c r="C661">
        <v>1</v>
      </c>
      <c r="D661">
        <v>170</v>
      </c>
      <c r="E661">
        <v>100</v>
      </c>
      <c r="F661" s="75">
        <f ca="1">INDIRECT(ADDRESS(11+(MATCH(RIGHT(Table245[[#This Row],[spawner_sku]],LEN(Table245[[#This Row],[spawner_sku]])-FIND("/",Table245[[#This Row],[spawner_sku]])),Table1[Entity Prefab],0)),10,1,1,"Entities"))</f>
        <v>25</v>
      </c>
      <c r="G661" s="75">
        <f ca="1">ROUND((Table245[[#This Row],[XP]]*Table245[[#This Row],[entity_spawned (AVG)]])*(Table245[[#This Row],[activating_chance]]/100),0)</f>
        <v>25</v>
      </c>
      <c r="H66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61" s="72">
        <v>1</v>
      </c>
      <c r="J661" s="72">
        <v>1</v>
      </c>
      <c r="K661" s="72" t="b">
        <v>0</v>
      </c>
      <c r="DH661" t="s">
        <v>445</v>
      </c>
      <c r="DI661">
        <v>1</v>
      </c>
      <c r="DJ661">
        <v>200</v>
      </c>
      <c r="DK661">
        <v>30</v>
      </c>
      <c r="DL661" s="75">
        <f ca="1">INDIRECT(ADDRESS(11+(MATCH(RIGHT(Table14[[#This Row],[spawner_sku]],LEN(Table14[[#This Row],[spawner_sku]])-FIND("/",Table14[[#This Row],[spawner_sku]])),Table1[Entity Prefab],0)),10,1,1,"Entities"))</f>
        <v>0</v>
      </c>
      <c r="DM661" s="75">
        <f ca="1">ROUND((Table14[[#This Row],[XP]]*Table14[[#This Row],[entity_spawned (AVG)]])*(Table14[[#This Row],[activating_chance]]/100),0)</f>
        <v>0</v>
      </c>
      <c r="DN66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61" s="72">
        <v>1</v>
      </c>
      <c r="DP661" s="72">
        <v>1</v>
      </c>
      <c r="DQ661" s="72" t="b">
        <v>0</v>
      </c>
    </row>
    <row r="662" spans="2:121" x14ac:dyDescent="0.25">
      <c r="B662" s="73" t="s">
        <v>257</v>
      </c>
      <c r="C662">
        <v>1</v>
      </c>
      <c r="D662">
        <v>270</v>
      </c>
      <c r="E662">
        <v>90</v>
      </c>
      <c r="F662" s="75">
        <f ca="1">INDIRECT(ADDRESS(11+(MATCH(RIGHT(Table245[[#This Row],[spawner_sku]],LEN(Table245[[#This Row],[spawner_sku]])-FIND("/",Table245[[#This Row],[spawner_sku]])),Table1[Entity Prefab],0)),10,1,1,"Entities"))</f>
        <v>50</v>
      </c>
      <c r="G662" s="75">
        <f ca="1">ROUND((Table245[[#This Row],[XP]]*Table245[[#This Row],[entity_spawned (AVG)]])*(Table245[[#This Row],[activating_chance]]/100),0)</f>
        <v>45</v>
      </c>
      <c r="H66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62" s="72">
        <v>1</v>
      </c>
      <c r="J662" s="72">
        <v>1</v>
      </c>
      <c r="K662" s="72" t="b">
        <v>0</v>
      </c>
      <c r="DH662" t="s">
        <v>445</v>
      </c>
      <c r="DI662">
        <v>1</v>
      </c>
      <c r="DJ662">
        <v>200</v>
      </c>
      <c r="DK662">
        <v>100</v>
      </c>
      <c r="DL662" s="75">
        <f ca="1">INDIRECT(ADDRESS(11+(MATCH(RIGHT(Table14[[#This Row],[spawner_sku]],LEN(Table14[[#This Row],[spawner_sku]])-FIND("/",Table14[[#This Row],[spawner_sku]])),Table1[Entity Prefab],0)),10,1,1,"Entities"))</f>
        <v>0</v>
      </c>
      <c r="DM662" s="75">
        <f ca="1">ROUND((Table14[[#This Row],[XP]]*Table14[[#This Row],[entity_spawned (AVG)]])*(Table14[[#This Row],[activating_chance]]/100),0)</f>
        <v>0</v>
      </c>
      <c r="DN66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62" s="72">
        <v>1</v>
      </c>
      <c r="DP662" s="72">
        <v>1</v>
      </c>
      <c r="DQ662" s="72" t="b">
        <v>0</v>
      </c>
    </row>
    <row r="663" spans="2:121" x14ac:dyDescent="0.25">
      <c r="B663" s="73" t="s">
        <v>257</v>
      </c>
      <c r="C663">
        <v>1</v>
      </c>
      <c r="D663">
        <v>250</v>
      </c>
      <c r="E663">
        <v>60</v>
      </c>
      <c r="F663" s="75">
        <f ca="1">INDIRECT(ADDRESS(11+(MATCH(RIGHT(Table245[[#This Row],[spawner_sku]],LEN(Table245[[#This Row],[spawner_sku]])-FIND("/",Table245[[#This Row],[spawner_sku]])),Table1[Entity Prefab],0)),10,1,1,"Entities"))</f>
        <v>50</v>
      </c>
      <c r="G663" s="75">
        <f ca="1">ROUND((Table245[[#This Row],[XP]]*Table245[[#This Row],[entity_spawned (AVG)]])*(Table245[[#This Row],[activating_chance]]/100),0)</f>
        <v>30</v>
      </c>
      <c r="H66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63" s="72">
        <v>1</v>
      </c>
      <c r="J663" s="72">
        <v>1</v>
      </c>
      <c r="K663" s="72" t="b">
        <v>0</v>
      </c>
      <c r="DH663" t="s">
        <v>445</v>
      </c>
      <c r="DI663">
        <v>1</v>
      </c>
      <c r="DJ663">
        <v>200</v>
      </c>
      <c r="DK663">
        <v>100</v>
      </c>
      <c r="DL663" s="75">
        <f ca="1">INDIRECT(ADDRESS(11+(MATCH(RIGHT(Table14[[#This Row],[spawner_sku]],LEN(Table14[[#This Row],[spawner_sku]])-FIND("/",Table14[[#This Row],[spawner_sku]])),Table1[Entity Prefab],0)),10,1,1,"Entities"))</f>
        <v>0</v>
      </c>
      <c r="DM663" s="75">
        <f ca="1">ROUND((Table14[[#This Row],[XP]]*Table14[[#This Row],[entity_spawned (AVG)]])*(Table14[[#This Row],[activating_chance]]/100),0)</f>
        <v>0</v>
      </c>
      <c r="DN66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63" s="72">
        <v>1</v>
      </c>
      <c r="DP663" s="72">
        <v>1</v>
      </c>
      <c r="DQ663" s="72" t="b">
        <v>0</v>
      </c>
    </row>
    <row r="664" spans="2:121" x14ac:dyDescent="0.25">
      <c r="B664" s="73" t="s">
        <v>257</v>
      </c>
      <c r="C664">
        <v>1</v>
      </c>
      <c r="D664">
        <v>250</v>
      </c>
      <c r="E664">
        <v>30</v>
      </c>
      <c r="F664" s="75">
        <f ca="1">INDIRECT(ADDRESS(11+(MATCH(RIGHT(Table245[[#This Row],[spawner_sku]],LEN(Table245[[#This Row],[spawner_sku]])-FIND("/",Table245[[#This Row],[spawner_sku]])),Table1[Entity Prefab],0)),10,1,1,"Entities"))</f>
        <v>50</v>
      </c>
      <c r="G664" s="75">
        <f ca="1">ROUND((Table245[[#This Row],[XP]]*Table245[[#This Row],[entity_spawned (AVG)]])*(Table245[[#This Row],[activating_chance]]/100),0)</f>
        <v>15</v>
      </c>
      <c r="H66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64" s="72">
        <v>1</v>
      </c>
      <c r="J664" s="72">
        <v>1</v>
      </c>
      <c r="K664" s="72" t="b">
        <v>0</v>
      </c>
      <c r="DH664" t="s">
        <v>445</v>
      </c>
      <c r="DI664">
        <v>1.5</v>
      </c>
      <c r="DJ664">
        <v>200</v>
      </c>
      <c r="DK664">
        <v>50</v>
      </c>
      <c r="DL664" s="75">
        <f ca="1">INDIRECT(ADDRESS(11+(MATCH(RIGHT(Table14[[#This Row],[spawner_sku]],LEN(Table14[[#This Row],[spawner_sku]])-FIND("/",Table14[[#This Row],[spawner_sku]])),Table1[Entity Prefab],0)),10,1,1,"Entities"))</f>
        <v>0</v>
      </c>
      <c r="DM664" s="75">
        <f ca="1">ROUND((Table14[[#This Row],[XP]]*Table14[[#This Row],[entity_spawned (AVG)]])*(Table14[[#This Row],[activating_chance]]/100),0)</f>
        <v>0</v>
      </c>
      <c r="DN66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64" s="72">
        <v>1</v>
      </c>
      <c r="DP664" s="72">
        <v>2</v>
      </c>
      <c r="DQ664" s="72" t="b">
        <v>0</v>
      </c>
    </row>
    <row r="665" spans="2:121" x14ac:dyDescent="0.25">
      <c r="B665" s="73" t="s">
        <v>257</v>
      </c>
      <c r="C665">
        <v>1</v>
      </c>
      <c r="D665">
        <v>240</v>
      </c>
      <c r="E665">
        <v>100</v>
      </c>
      <c r="F665" s="75">
        <f ca="1">INDIRECT(ADDRESS(11+(MATCH(RIGHT(Table245[[#This Row],[spawner_sku]],LEN(Table245[[#This Row],[spawner_sku]])-FIND("/",Table245[[#This Row],[spawner_sku]])),Table1[Entity Prefab],0)),10,1,1,"Entities"))</f>
        <v>50</v>
      </c>
      <c r="G665" s="75">
        <f ca="1">ROUND((Table245[[#This Row],[XP]]*Table245[[#This Row],[entity_spawned (AVG)]])*(Table245[[#This Row],[activating_chance]]/100),0)</f>
        <v>50</v>
      </c>
      <c r="H66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65" s="72">
        <v>1</v>
      </c>
      <c r="J665" s="72">
        <v>1</v>
      </c>
      <c r="K665" s="72" t="b">
        <v>0</v>
      </c>
      <c r="DH665" t="s">
        <v>445</v>
      </c>
      <c r="DI665">
        <v>1</v>
      </c>
      <c r="DJ665">
        <v>200</v>
      </c>
      <c r="DK665">
        <v>50</v>
      </c>
      <c r="DL665" s="75">
        <f ca="1">INDIRECT(ADDRESS(11+(MATCH(RIGHT(Table14[[#This Row],[spawner_sku]],LEN(Table14[[#This Row],[spawner_sku]])-FIND("/",Table14[[#This Row],[spawner_sku]])),Table1[Entity Prefab],0)),10,1,1,"Entities"))</f>
        <v>0</v>
      </c>
      <c r="DM665" s="75">
        <f ca="1">ROUND((Table14[[#This Row],[XP]]*Table14[[#This Row],[entity_spawned (AVG)]])*(Table14[[#This Row],[activating_chance]]/100),0)</f>
        <v>0</v>
      </c>
      <c r="DN66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65" s="72">
        <v>1</v>
      </c>
      <c r="DP665" s="72">
        <v>1</v>
      </c>
      <c r="DQ665" s="72" t="b">
        <v>0</v>
      </c>
    </row>
    <row r="666" spans="2:121" x14ac:dyDescent="0.25">
      <c r="B666" s="73" t="s">
        <v>257</v>
      </c>
      <c r="C666">
        <v>1</v>
      </c>
      <c r="D666">
        <v>240</v>
      </c>
      <c r="E666">
        <v>30</v>
      </c>
      <c r="F666" s="75">
        <f ca="1">INDIRECT(ADDRESS(11+(MATCH(RIGHT(Table245[[#This Row],[spawner_sku]],LEN(Table245[[#This Row],[spawner_sku]])-FIND("/",Table245[[#This Row],[spawner_sku]])),Table1[Entity Prefab],0)),10,1,1,"Entities"))</f>
        <v>50</v>
      </c>
      <c r="G666" s="75">
        <f ca="1">ROUND((Table245[[#This Row],[XP]]*Table245[[#This Row],[entity_spawned (AVG)]])*(Table245[[#This Row],[activating_chance]]/100),0)</f>
        <v>15</v>
      </c>
      <c r="H66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66" s="72">
        <v>1</v>
      </c>
      <c r="J666" s="72">
        <v>1</v>
      </c>
      <c r="K666" s="72" t="b">
        <v>0</v>
      </c>
      <c r="DH666" t="s">
        <v>445</v>
      </c>
      <c r="DI666">
        <v>1.5</v>
      </c>
      <c r="DJ666">
        <v>200</v>
      </c>
      <c r="DK666">
        <v>80</v>
      </c>
      <c r="DL666" s="75">
        <f ca="1">INDIRECT(ADDRESS(11+(MATCH(RIGHT(Table14[[#This Row],[spawner_sku]],LEN(Table14[[#This Row],[spawner_sku]])-FIND("/",Table14[[#This Row],[spawner_sku]])),Table1[Entity Prefab],0)),10,1,1,"Entities"))</f>
        <v>0</v>
      </c>
      <c r="DM666" s="75">
        <f ca="1">ROUND((Table14[[#This Row],[XP]]*Table14[[#This Row],[entity_spawned (AVG)]])*(Table14[[#This Row],[activating_chance]]/100),0)</f>
        <v>0</v>
      </c>
      <c r="DN66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66" s="72">
        <v>1</v>
      </c>
      <c r="DP666" s="72">
        <v>2</v>
      </c>
      <c r="DQ666" s="72" t="b">
        <v>0</v>
      </c>
    </row>
    <row r="667" spans="2:121" x14ac:dyDescent="0.25">
      <c r="B667" s="73" t="s">
        <v>257</v>
      </c>
      <c r="C667">
        <v>1</v>
      </c>
      <c r="D667">
        <v>260</v>
      </c>
      <c r="E667">
        <v>80</v>
      </c>
      <c r="F667" s="75">
        <f ca="1">INDIRECT(ADDRESS(11+(MATCH(RIGHT(Table245[[#This Row],[spawner_sku]],LEN(Table245[[#This Row],[spawner_sku]])-FIND("/",Table245[[#This Row],[spawner_sku]])),Table1[Entity Prefab],0)),10,1,1,"Entities"))</f>
        <v>50</v>
      </c>
      <c r="G667" s="75">
        <f ca="1">ROUND((Table245[[#This Row],[XP]]*Table245[[#This Row],[entity_spawned (AVG)]])*(Table245[[#This Row],[activating_chance]]/100),0)</f>
        <v>40</v>
      </c>
      <c r="H66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67" s="72">
        <v>1</v>
      </c>
      <c r="J667" s="72">
        <v>1</v>
      </c>
      <c r="K667" s="72" t="b">
        <v>0</v>
      </c>
      <c r="DH667" t="s">
        <v>445</v>
      </c>
      <c r="DI667">
        <v>1</v>
      </c>
      <c r="DJ667">
        <v>200</v>
      </c>
      <c r="DK667">
        <v>100</v>
      </c>
      <c r="DL667" s="75">
        <f ca="1">INDIRECT(ADDRESS(11+(MATCH(RIGHT(Table14[[#This Row],[spawner_sku]],LEN(Table14[[#This Row],[spawner_sku]])-FIND("/",Table14[[#This Row],[spawner_sku]])),Table1[Entity Prefab],0)),10,1,1,"Entities"))</f>
        <v>0</v>
      </c>
      <c r="DM667" s="75">
        <f ca="1">ROUND((Table14[[#This Row],[XP]]*Table14[[#This Row],[entity_spawned (AVG)]])*(Table14[[#This Row],[activating_chance]]/100),0)</f>
        <v>0</v>
      </c>
      <c r="DN66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67" s="72">
        <v>1</v>
      </c>
      <c r="DP667" s="72">
        <v>1</v>
      </c>
      <c r="DQ667" s="72" t="b">
        <v>0</v>
      </c>
    </row>
    <row r="668" spans="2:121" x14ac:dyDescent="0.25">
      <c r="B668" s="73" t="s">
        <v>257</v>
      </c>
      <c r="C668">
        <v>1</v>
      </c>
      <c r="D668">
        <v>240</v>
      </c>
      <c r="E668">
        <v>100</v>
      </c>
      <c r="F668" s="75">
        <f ca="1">INDIRECT(ADDRESS(11+(MATCH(RIGHT(Table245[[#This Row],[spawner_sku]],LEN(Table245[[#This Row],[spawner_sku]])-FIND("/",Table245[[#This Row],[spawner_sku]])),Table1[Entity Prefab],0)),10,1,1,"Entities"))</f>
        <v>50</v>
      </c>
      <c r="G668" s="75">
        <f ca="1">ROUND((Table245[[#This Row],[XP]]*Table245[[#This Row],[entity_spawned (AVG)]])*(Table245[[#This Row],[activating_chance]]/100),0)</f>
        <v>50</v>
      </c>
      <c r="H66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68" s="72">
        <v>1</v>
      </c>
      <c r="J668" s="72">
        <v>1</v>
      </c>
      <c r="K668" s="72" t="b">
        <v>0</v>
      </c>
      <c r="DH668" t="s">
        <v>445</v>
      </c>
      <c r="DI668">
        <v>2</v>
      </c>
      <c r="DJ668">
        <v>200</v>
      </c>
      <c r="DK668">
        <v>30</v>
      </c>
      <c r="DL668" s="75">
        <f ca="1">INDIRECT(ADDRESS(11+(MATCH(RIGHT(Table14[[#This Row],[spawner_sku]],LEN(Table14[[#This Row],[spawner_sku]])-FIND("/",Table14[[#This Row],[spawner_sku]])),Table1[Entity Prefab],0)),10,1,1,"Entities"))</f>
        <v>0</v>
      </c>
      <c r="DM668" s="75">
        <f ca="1">ROUND((Table14[[#This Row],[XP]]*Table14[[#This Row],[entity_spawned (AVG)]])*(Table14[[#This Row],[activating_chance]]/100),0)</f>
        <v>0</v>
      </c>
      <c r="DN66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68" s="72">
        <v>1</v>
      </c>
      <c r="DP668" s="72">
        <v>3</v>
      </c>
      <c r="DQ668" s="72" t="b">
        <v>0</v>
      </c>
    </row>
    <row r="669" spans="2:121" x14ac:dyDescent="0.25">
      <c r="B669" s="73" t="s">
        <v>257</v>
      </c>
      <c r="C669">
        <v>1</v>
      </c>
      <c r="D669">
        <v>250</v>
      </c>
      <c r="E669">
        <v>100</v>
      </c>
      <c r="F669" s="75">
        <f ca="1">INDIRECT(ADDRESS(11+(MATCH(RIGHT(Table245[[#This Row],[spawner_sku]],LEN(Table245[[#This Row],[spawner_sku]])-FIND("/",Table245[[#This Row],[spawner_sku]])),Table1[Entity Prefab],0)),10,1,1,"Entities"))</f>
        <v>50</v>
      </c>
      <c r="G669" s="75">
        <f ca="1">ROUND((Table245[[#This Row],[XP]]*Table245[[#This Row],[entity_spawned (AVG)]])*(Table245[[#This Row],[activating_chance]]/100),0)</f>
        <v>50</v>
      </c>
      <c r="H66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69" s="72">
        <v>1</v>
      </c>
      <c r="J669" s="72">
        <v>1</v>
      </c>
      <c r="K669" s="72" t="b">
        <v>0</v>
      </c>
      <c r="DH669" t="s">
        <v>445</v>
      </c>
      <c r="DI669">
        <v>1</v>
      </c>
      <c r="DJ669">
        <v>200</v>
      </c>
      <c r="DK669">
        <v>100</v>
      </c>
      <c r="DL669" s="75">
        <f ca="1">INDIRECT(ADDRESS(11+(MATCH(RIGHT(Table14[[#This Row],[spawner_sku]],LEN(Table14[[#This Row],[spawner_sku]])-FIND("/",Table14[[#This Row],[spawner_sku]])),Table1[Entity Prefab],0)),10,1,1,"Entities"))</f>
        <v>0</v>
      </c>
      <c r="DM669" s="75">
        <f ca="1">ROUND((Table14[[#This Row],[XP]]*Table14[[#This Row],[entity_spawned (AVG)]])*(Table14[[#This Row],[activating_chance]]/100),0)</f>
        <v>0</v>
      </c>
      <c r="DN66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69" s="72">
        <v>1</v>
      </c>
      <c r="DP669" s="72">
        <v>1</v>
      </c>
      <c r="DQ669" s="72" t="b">
        <v>0</v>
      </c>
    </row>
    <row r="670" spans="2:121" x14ac:dyDescent="0.25">
      <c r="B670" s="73" t="s">
        <v>257</v>
      </c>
      <c r="C670">
        <v>1</v>
      </c>
      <c r="D670">
        <v>240</v>
      </c>
      <c r="E670">
        <v>100</v>
      </c>
      <c r="F670" s="75">
        <f ca="1">INDIRECT(ADDRESS(11+(MATCH(RIGHT(Table245[[#This Row],[spawner_sku]],LEN(Table245[[#This Row],[spawner_sku]])-FIND("/",Table245[[#This Row],[spawner_sku]])),Table1[Entity Prefab],0)),10,1,1,"Entities"))</f>
        <v>50</v>
      </c>
      <c r="G670" s="75">
        <f ca="1">ROUND((Table245[[#This Row],[XP]]*Table245[[#This Row],[entity_spawned (AVG)]])*(Table245[[#This Row],[activating_chance]]/100),0)</f>
        <v>50</v>
      </c>
      <c r="H67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70" s="72">
        <v>1</v>
      </c>
      <c r="J670" s="72">
        <v>1</v>
      </c>
      <c r="K670" s="72" t="b">
        <v>0</v>
      </c>
      <c r="DH670" t="s">
        <v>445</v>
      </c>
      <c r="DI670">
        <v>1</v>
      </c>
      <c r="DJ670">
        <v>200</v>
      </c>
      <c r="DK670">
        <v>100</v>
      </c>
      <c r="DL670" s="75">
        <f ca="1">INDIRECT(ADDRESS(11+(MATCH(RIGHT(Table14[[#This Row],[spawner_sku]],LEN(Table14[[#This Row],[spawner_sku]])-FIND("/",Table14[[#This Row],[spawner_sku]])),Table1[Entity Prefab],0)),10,1,1,"Entities"))</f>
        <v>0</v>
      </c>
      <c r="DM670" s="75">
        <f ca="1">ROUND((Table14[[#This Row],[XP]]*Table14[[#This Row],[entity_spawned (AVG)]])*(Table14[[#This Row],[activating_chance]]/100),0)</f>
        <v>0</v>
      </c>
      <c r="DN67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70" s="72">
        <v>1</v>
      </c>
      <c r="DP670" s="72">
        <v>1</v>
      </c>
      <c r="DQ670" s="72" t="b">
        <v>0</v>
      </c>
    </row>
    <row r="671" spans="2:121" x14ac:dyDescent="0.25">
      <c r="B671" s="73" t="s">
        <v>257</v>
      </c>
      <c r="C671">
        <v>1</v>
      </c>
      <c r="D671">
        <v>240</v>
      </c>
      <c r="E671">
        <v>100</v>
      </c>
      <c r="F671" s="75">
        <f ca="1">INDIRECT(ADDRESS(11+(MATCH(RIGHT(Table245[[#This Row],[spawner_sku]],LEN(Table245[[#This Row],[spawner_sku]])-FIND("/",Table245[[#This Row],[spawner_sku]])),Table1[Entity Prefab],0)),10,1,1,"Entities"))</f>
        <v>50</v>
      </c>
      <c r="G671" s="75">
        <f ca="1">ROUND((Table245[[#This Row],[XP]]*Table245[[#This Row],[entity_spawned (AVG)]])*(Table245[[#This Row],[activating_chance]]/100),0)</f>
        <v>50</v>
      </c>
      <c r="H67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71" s="72">
        <v>1</v>
      </c>
      <c r="J671" s="72">
        <v>1</v>
      </c>
      <c r="K671" s="72" t="b">
        <v>0</v>
      </c>
      <c r="DH671" t="s">
        <v>445</v>
      </c>
      <c r="DI671">
        <v>1.5</v>
      </c>
      <c r="DJ671">
        <v>200</v>
      </c>
      <c r="DK671">
        <v>40</v>
      </c>
      <c r="DL671" s="75">
        <f ca="1">INDIRECT(ADDRESS(11+(MATCH(RIGHT(Table14[[#This Row],[spawner_sku]],LEN(Table14[[#This Row],[spawner_sku]])-FIND("/",Table14[[#This Row],[spawner_sku]])),Table1[Entity Prefab],0)),10,1,1,"Entities"))</f>
        <v>0</v>
      </c>
      <c r="DM671" s="75">
        <f ca="1">ROUND((Table14[[#This Row],[XP]]*Table14[[#This Row],[entity_spawned (AVG)]])*(Table14[[#This Row],[activating_chance]]/100),0)</f>
        <v>0</v>
      </c>
      <c r="DN67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71" s="72">
        <v>1</v>
      </c>
      <c r="DP671" s="72">
        <v>2</v>
      </c>
      <c r="DQ671" s="72" t="b">
        <v>0</v>
      </c>
    </row>
    <row r="672" spans="2:121" x14ac:dyDescent="0.25">
      <c r="B672" s="73" t="s">
        <v>257</v>
      </c>
      <c r="C672">
        <v>1</v>
      </c>
      <c r="D672">
        <v>230</v>
      </c>
      <c r="E672">
        <v>100</v>
      </c>
      <c r="F672" s="75">
        <f ca="1">INDIRECT(ADDRESS(11+(MATCH(RIGHT(Table245[[#This Row],[spawner_sku]],LEN(Table245[[#This Row],[spawner_sku]])-FIND("/",Table245[[#This Row],[spawner_sku]])),Table1[Entity Prefab],0)),10,1,1,"Entities"))</f>
        <v>50</v>
      </c>
      <c r="G672" s="75">
        <f ca="1">ROUND((Table245[[#This Row],[XP]]*Table245[[#This Row],[entity_spawned (AVG)]])*(Table245[[#This Row],[activating_chance]]/100),0)</f>
        <v>50</v>
      </c>
      <c r="H67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72" s="72">
        <v>1</v>
      </c>
      <c r="J672" s="72">
        <v>1</v>
      </c>
      <c r="K672" s="72" t="b">
        <v>0</v>
      </c>
      <c r="DH672" t="s">
        <v>445</v>
      </c>
      <c r="DI672">
        <v>1</v>
      </c>
      <c r="DJ672">
        <v>200</v>
      </c>
      <c r="DK672">
        <v>100</v>
      </c>
      <c r="DL672" s="75">
        <f ca="1">INDIRECT(ADDRESS(11+(MATCH(RIGHT(Table14[[#This Row],[spawner_sku]],LEN(Table14[[#This Row],[spawner_sku]])-FIND("/",Table14[[#This Row],[spawner_sku]])),Table1[Entity Prefab],0)),10,1,1,"Entities"))</f>
        <v>0</v>
      </c>
      <c r="DM672" s="75">
        <f ca="1">ROUND((Table14[[#This Row],[XP]]*Table14[[#This Row],[entity_spawned (AVG)]])*(Table14[[#This Row],[activating_chance]]/100),0)</f>
        <v>0</v>
      </c>
      <c r="DN67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72" s="72">
        <v>1</v>
      </c>
      <c r="DP672" s="72">
        <v>1</v>
      </c>
      <c r="DQ672" s="72" t="b">
        <v>0</v>
      </c>
    </row>
    <row r="673" spans="2:121" x14ac:dyDescent="0.25">
      <c r="B673" s="73" t="s">
        <v>257</v>
      </c>
      <c r="C673">
        <v>1</v>
      </c>
      <c r="D673">
        <v>240</v>
      </c>
      <c r="E673">
        <v>10</v>
      </c>
      <c r="F673" s="75">
        <f ca="1">INDIRECT(ADDRESS(11+(MATCH(RIGHT(Table245[[#This Row],[spawner_sku]],LEN(Table245[[#This Row],[spawner_sku]])-FIND("/",Table245[[#This Row],[spawner_sku]])),Table1[Entity Prefab],0)),10,1,1,"Entities"))</f>
        <v>50</v>
      </c>
      <c r="G673" s="75">
        <f ca="1">ROUND((Table245[[#This Row],[XP]]*Table245[[#This Row],[entity_spawned (AVG)]])*(Table245[[#This Row],[activating_chance]]/100),0)</f>
        <v>5</v>
      </c>
      <c r="H67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73" s="72">
        <v>1</v>
      </c>
      <c r="J673" s="72">
        <v>1</v>
      </c>
      <c r="K673" s="72" t="b">
        <v>0</v>
      </c>
      <c r="DH673" t="s">
        <v>445</v>
      </c>
      <c r="DI673">
        <v>1.5</v>
      </c>
      <c r="DJ673">
        <v>200</v>
      </c>
      <c r="DK673">
        <v>50</v>
      </c>
      <c r="DL673" s="75">
        <f ca="1">INDIRECT(ADDRESS(11+(MATCH(RIGHT(Table14[[#This Row],[spawner_sku]],LEN(Table14[[#This Row],[spawner_sku]])-FIND("/",Table14[[#This Row],[spawner_sku]])),Table1[Entity Prefab],0)),10,1,1,"Entities"))</f>
        <v>0</v>
      </c>
      <c r="DM673" s="75">
        <f ca="1">ROUND((Table14[[#This Row],[XP]]*Table14[[#This Row],[entity_spawned (AVG)]])*(Table14[[#This Row],[activating_chance]]/100),0)</f>
        <v>0</v>
      </c>
      <c r="DN67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73" s="72">
        <v>1</v>
      </c>
      <c r="DP673" s="72">
        <v>2</v>
      </c>
      <c r="DQ673" s="72" t="b">
        <v>0</v>
      </c>
    </row>
    <row r="674" spans="2:121" x14ac:dyDescent="0.25">
      <c r="B674" s="73" t="s">
        <v>394</v>
      </c>
      <c r="C674">
        <v>1</v>
      </c>
      <c r="D674">
        <v>240</v>
      </c>
      <c r="E674">
        <v>100</v>
      </c>
      <c r="F674" s="75">
        <f ca="1">INDIRECT(ADDRESS(11+(MATCH(RIGHT(Table245[[#This Row],[spawner_sku]],LEN(Table245[[#This Row],[spawner_sku]])-FIND("/",Table245[[#This Row],[spawner_sku]])),Table1[Entity Prefab],0)),10,1,1,"Entities"))</f>
        <v>50</v>
      </c>
      <c r="G674" s="75">
        <f ca="1">ROUND((Table245[[#This Row],[XP]]*Table245[[#This Row],[entity_spawned (AVG)]])*(Table245[[#This Row],[activating_chance]]/100),0)</f>
        <v>50</v>
      </c>
      <c r="H67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74" s="72">
        <v>1</v>
      </c>
      <c r="J674" s="72">
        <v>1</v>
      </c>
      <c r="K674" s="72" t="b">
        <v>0</v>
      </c>
      <c r="DH674" t="s">
        <v>445</v>
      </c>
      <c r="DI674">
        <v>1</v>
      </c>
      <c r="DJ674">
        <v>200</v>
      </c>
      <c r="DK674">
        <v>25</v>
      </c>
      <c r="DL674" s="75">
        <f ca="1">INDIRECT(ADDRESS(11+(MATCH(RIGHT(Table14[[#This Row],[spawner_sku]],LEN(Table14[[#This Row],[spawner_sku]])-FIND("/",Table14[[#This Row],[spawner_sku]])),Table1[Entity Prefab],0)),10,1,1,"Entities"))</f>
        <v>0</v>
      </c>
      <c r="DM674" s="75">
        <f ca="1">ROUND((Table14[[#This Row],[XP]]*Table14[[#This Row],[entity_spawned (AVG)]])*(Table14[[#This Row],[activating_chance]]/100),0)</f>
        <v>0</v>
      </c>
      <c r="DN67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74" s="72">
        <v>1</v>
      </c>
      <c r="DP674" s="72">
        <v>1</v>
      </c>
      <c r="DQ674" s="72" t="b">
        <v>0</v>
      </c>
    </row>
    <row r="675" spans="2:121" x14ac:dyDescent="0.25">
      <c r="B675" s="73" t="s">
        <v>337</v>
      </c>
      <c r="C675">
        <v>1</v>
      </c>
      <c r="D675">
        <v>250</v>
      </c>
      <c r="E675">
        <v>100</v>
      </c>
      <c r="F675" s="75">
        <f ca="1">INDIRECT(ADDRESS(11+(MATCH(RIGHT(Table245[[#This Row],[spawner_sku]],LEN(Table245[[#This Row],[spawner_sku]])-FIND("/",Table245[[#This Row],[spawner_sku]])),Table1[Entity Prefab],0)),10,1,1,"Entities"))</f>
        <v>50</v>
      </c>
      <c r="G675" s="75">
        <f ca="1">ROUND((Table245[[#This Row],[XP]]*Table245[[#This Row],[entity_spawned (AVG)]])*(Table245[[#This Row],[activating_chance]]/100),0)</f>
        <v>50</v>
      </c>
      <c r="H67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75" s="72">
        <v>1</v>
      </c>
      <c r="J675" s="72">
        <v>1</v>
      </c>
      <c r="K675" s="72" t="b">
        <v>0</v>
      </c>
      <c r="DH675" t="s">
        <v>445</v>
      </c>
      <c r="DI675">
        <v>1</v>
      </c>
      <c r="DJ675">
        <v>200</v>
      </c>
      <c r="DK675">
        <v>100</v>
      </c>
      <c r="DL675" s="75">
        <f ca="1">INDIRECT(ADDRESS(11+(MATCH(RIGHT(Table14[[#This Row],[spawner_sku]],LEN(Table14[[#This Row],[spawner_sku]])-FIND("/",Table14[[#This Row],[spawner_sku]])),Table1[Entity Prefab],0)),10,1,1,"Entities"))</f>
        <v>0</v>
      </c>
      <c r="DM675" s="75">
        <f ca="1">ROUND((Table14[[#This Row],[XP]]*Table14[[#This Row],[entity_spawned (AVG)]])*(Table14[[#This Row],[activating_chance]]/100),0)</f>
        <v>0</v>
      </c>
      <c r="DN67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75" s="72">
        <v>1</v>
      </c>
      <c r="DP675" s="72">
        <v>1</v>
      </c>
      <c r="DQ675" s="72" t="b">
        <v>0</v>
      </c>
    </row>
    <row r="676" spans="2:121" x14ac:dyDescent="0.25">
      <c r="B676" s="73" t="s">
        <v>337</v>
      </c>
      <c r="C676">
        <v>1</v>
      </c>
      <c r="D676">
        <v>240</v>
      </c>
      <c r="E676">
        <v>100</v>
      </c>
      <c r="F676" s="75">
        <f ca="1">INDIRECT(ADDRESS(11+(MATCH(RIGHT(Table245[[#This Row],[spawner_sku]],LEN(Table245[[#This Row],[spawner_sku]])-FIND("/",Table245[[#This Row],[spawner_sku]])),Table1[Entity Prefab],0)),10,1,1,"Entities"))</f>
        <v>50</v>
      </c>
      <c r="G676" s="75">
        <f ca="1">ROUND((Table245[[#This Row],[XP]]*Table245[[#This Row],[entity_spawned (AVG)]])*(Table245[[#This Row],[activating_chance]]/100),0)</f>
        <v>50</v>
      </c>
      <c r="H67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76" s="72">
        <v>1</v>
      </c>
      <c r="J676" s="72">
        <v>1</v>
      </c>
      <c r="K676" s="72" t="b">
        <v>0</v>
      </c>
      <c r="DH676" t="s">
        <v>445</v>
      </c>
      <c r="DI676">
        <v>1</v>
      </c>
      <c r="DJ676">
        <v>200</v>
      </c>
      <c r="DK676">
        <v>30</v>
      </c>
      <c r="DL676" s="75">
        <f ca="1">INDIRECT(ADDRESS(11+(MATCH(RIGHT(Table14[[#This Row],[spawner_sku]],LEN(Table14[[#This Row],[spawner_sku]])-FIND("/",Table14[[#This Row],[spawner_sku]])),Table1[Entity Prefab],0)),10,1,1,"Entities"))</f>
        <v>0</v>
      </c>
      <c r="DM676" s="75">
        <f ca="1">ROUND((Table14[[#This Row],[XP]]*Table14[[#This Row],[entity_spawned (AVG)]])*(Table14[[#This Row],[activating_chance]]/100),0)</f>
        <v>0</v>
      </c>
      <c r="DN67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76" s="72">
        <v>1</v>
      </c>
      <c r="DP676" s="72">
        <v>1</v>
      </c>
      <c r="DQ676" s="72" t="b">
        <v>0</v>
      </c>
    </row>
    <row r="677" spans="2:121" x14ac:dyDescent="0.25">
      <c r="B677" s="73" t="s">
        <v>454</v>
      </c>
      <c r="C677">
        <v>1</v>
      </c>
      <c r="D677">
        <v>180</v>
      </c>
      <c r="E677">
        <v>100</v>
      </c>
      <c r="F677" s="75">
        <f ca="1">INDIRECT(ADDRESS(11+(MATCH(RIGHT(Table245[[#This Row],[spawner_sku]],LEN(Table245[[#This Row],[spawner_sku]])-FIND("/",Table245[[#This Row],[spawner_sku]])),Table1[Entity Prefab],0)),10,1,1,"Entities"))</f>
        <v>50</v>
      </c>
      <c r="G677" s="75">
        <f ca="1">ROUND((Table245[[#This Row],[XP]]*Table245[[#This Row],[entity_spawned (AVG)]])*(Table245[[#This Row],[activating_chance]]/100),0)</f>
        <v>50</v>
      </c>
      <c r="H67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77" s="72">
        <v>1</v>
      </c>
      <c r="J677" s="72">
        <v>1</v>
      </c>
      <c r="K677" s="72" t="b">
        <v>0</v>
      </c>
      <c r="DH677" t="s">
        <v>445</v>
      </c>
      <c r="DI677">
        <v>1</v>
      </c>
      <c r="DJ677">
        <v>200</v>
      </c>
      <c r="DK677">
        <v>80</v>
      </c>
      <c r="DL677" s="75">
        <f ca="1">INDIRECT(ADDRESS(11+(MATCH(RIGHT(Table14[[#This Row],[spawner_sku]],LEN(Table14[[#This Row],[spawner_sku]])-FIND("/",Table14[[#This Row],[spawner_sku]])),Table1[Entity Prefab],0)),10,1,1,"Entities"))</f>
        <v>0</v>
      </c>
      <c r="DM677" s="75">
        <f ca="1">ROUND((Table14[[#This Row],[XP]]*Table14[[#This Row],[entity_spawned (AVG)]])*(Table14[[#This Row],[activating_chance]]/100),0)</f>
        <v>0</v>
      </c>
      <c r="DN67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77" s="72">
        <v>1</v>
      </c>
      <c r="DP677" s="72">
        <v>1</v>
      </c>
      <c r="DQ677" s="72" t="b">
        <v>0</v>
      </c>
    </row>
    <row r="678" spans="2:121" x14ac:dyDescent="0.25">
      <c r="B678" s="73" t="s">
        <v>511</v>
      </c>
      <c r="C678">
        <v>1</v>
      </c>
      <c r="D678">
        <v>220</v>
      </c>
      <c r="E678">
        <v>100</v>
      </c>
      <c r="F678" s="75">
        <f ca="1">INDIRECT(ADDRESS(11+(MATCH(RIGHT(Table245[[#This Row],[spawner_sku]],LEN(Table245[[#This Row],[spawner_sku]])-FIND("/",Table245[[#This Row],[spawner_sku]])),Table1[Entity Prefab],0)),10,1,1,"Entities"))</f>
        <v>50</v>
      </c>
      <c r="G678" s="75">
        <f ca="1">ROUND((Table245[[#This Row],[XP]]*Table245[[#This Row],[entity_spawned (AVG)]])*(Table245[[#This Row],[activating_chance]]/100),0)</f>
        <v>50</v>
      </c>
      <c r="H67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78" s="72">
        <v>1</v>
      </c>
      <c r="J678" s="72">
        <v>1</v>
      </c>
      <c r="K678" s="72" t="b">
        <v>0</v>
      </c>
      <c r="DH678" t="s">
        <v>445</v>
      </c>
      <c r="DI678">
        <v>1</v>
      </c>
      <c r="DJ678">
        <v>200</v>
      </c>
      <c r="DK678">
        <v>100</v>
      </c>
      <c r="DL678" s="75">
        <f ca="1">INDIRECT(ADDRESS(11+(MATCH(RIGHT(Table14[[#This Row],[spawner_sku]],LEN(Table14[[#This Row],[spawner_sku]])-FIND("/",Table14[[#This Row],[spawner_sku]])),Table1[Entity Prefab],0)),10,1,1,"Entities"))</f>
        <v>0</v>
      </c>
      <c r="DM678" s="75">
        <f ca="1">ROUND((Table14[[#This Row],[XP]]*Table14[[#This Row],[entity_spawned (AVG)]])*(Table14[[#This Row],[activating_chance]]/100),0)</f>
        <v>0</v>
      </c>
      <c r="DN67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78" s="72">
        <v>1</v>
      </c>
      <c r="DP678" s="72">
        <v>1</v>
      </c>
      <c r="DQ678" s="72" t="b">
        <v>0</v>
      </c>
    </row>
    <row r="679" spans="2:121" x14ac:dyDescent="0.25">
      <c r="B679" s="73" t="s">
        <v>511</v>
      </c>
      <c r="C679">
        <v>1</v>
      </c>
      <c r="D679">
        <v>220</v>
      </c>
      <c r="E679">
        <v>100</v>
      </c>
      <c r="F679" s="75">
        <f ca="1">INDIRECT(ADDRESS(11+(MATCH(RIGHT(Table245[[#This Row],[spawner_sku]],LEN(Table245[[#This Row],[spawner_sku]])-FIND("/",Table245[[#This Row],[spawner_sku]])),Table1[Entity Prefab],0)),10,1,1,"Entities"))</f>
        <v>50</v>
      </c>
      <c r="G679" s="75">
        <f ca="1">ROUND((Table245[[#This Row],[XP]]*Table245[[#This Row],[entity_spawned (AVG)]])*(Table245[[#This Row],[activating_chance]]/100),0)</f>
        <v>50</v>
      </c>
      <c r="H67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79" s="72">
        <v>1</v>
      </c>
      <c r="J679" s="72">
        <v>1</v>
      </c>
      <c r="K679" s="72" t="b">
        <v>0</v>
      </c>
      <c r="DH679" t="s">
        <v>445</v>
      </c>
      <c r="DI679">
        <v>1.5</v>
      </c>
      <c r="DJ679">
        <v>200</v>
      </c>
      <c r="DK679">
        <v>25</v>
      </c>
      <c r="DL679" s="75">
        <f ca="1">INDIRECT(ADDRESS(11+(MATCH(RIGHT(Table14[[#This Row],[spawner_sku]],LEN(Table14[[#This Row],[spawner_sku]])-FIND("/",Table14[[#This Row],[spawner_sku]])),Table1[Entity Prefab],0)),10,1,1,"Entities"))</f>
        <v>0</v>
      </c>
      <c r="DM679" s="75">
        <f ca="1">ROUND((Table14[[#This Row],[XP]]*Table14[[#This Row],[entity_spawned (AVG)]])*(Table14[[#This Row],[activating_chance]]/100),0)</f>
        <v>0</v>
      </c>
      <c r="DN67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79" s="72">
        <v>1</v>
      </c>
      <c r="DP679" s="72">
        <v>2</v>
      </c>
      <c r="DQ679" s="72" t="b">
        <v>0</v>
      </c>
    </row>
    <row r="680" spans="2:121" x14ac:dyDescent="0.25">
      <c r="DH680" t="s">
        <v>445</v>
      </c>
      <c r="DI680">
        <v>1</v>
      </c>
      <c r="DJ680">
        <v>200</v>
      </c>
      <c r="DK680">
        <v>100</v>
      </c>
      <c r="DL680" s="75">
        <f ca="1">INDIRECT(ADDRESS(11+(MATCH(RIGHT(Table14[[#This Row],[spawner_sku]],LEN(Table14[[#This Row],[spawner_sku]])-FIND("/",Table14[[#This Row],[spawner_sku]])),Table1[Entity Prefab],0)),10,1,1,"Entities"))</f>
        <v>0</v>
      </c>
      <c r="DM680" s="75">
        <f ca="1">ROUND((Table14[[#This Row],[XP]]*Table14[[#This Row],[entity_spawned (AVG)]])*(Table14[[#This Row],[activating_chance]]/100),0)</f>
        <v>0</v>
      </c>
      <c r="DN68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80" s="72">
        <v>1</v>
      </c>
      <c r="DP680" s="72">
        <v>1</v>
      </c>
      <c r="DQ680" s="72" t="b">
        <v>0</v>
      </c>
    </row>
    <row r="681" spans="2:121" x14ac:dyDescent="0.25">
      <c r="DH681" t="s">
        <v>445</v>
      </c>
      <c r="DI681">
        <v>1.5</v>
      </c>
      <c r="DJ681">
        <v>200</v>
      </c>
      <c r="DK681">
        <v>100</v>
      </c>
      <c r="DL681" s="75">
        <f ca="1">INDIRECT(ADDRESS(11+(MATCH(RIGHT(Table14[[#This Row],[spawner_sku]],LEN(Table14[[#This Row],[spawner_sku]])-FIND("/",Table14[[#This Row],[spawner_sku]])),Table1[Entity Prefab],0)),10,1,1,"Entities"))</f>
        <v>0</v>
      </c>
      <c r="DM681" s="75">
        <f ca="1">ROUND((Table14[[#This Row],[XP]]*Table14[[#This Row],[entity_spawned (AVG)]])*(Table14[[#This Row],[activating_chance]]/100),0)</f>
        <v>0</v>
      </c>
      <c r="DN68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81" s="72">
        <v>1</v>
      </c>
      <c r="DP681" s="72">
        <v>2</v>
      </c>
      <c r="DQ681" s="72" t="b">
        <v>0</v>
      </c>
    </row>
    <row r="682" spans="2:121" x14ac:dyDescent="0.25">
      <c r="DH682" t="s">
        <v>445</v>
      </c>
      <c r="DI682">
        <v>1</v>
      </c>
      <c r="DJ682">
        <v>200</v>
      </c>
      <c r="DK682">
        <v>100</v>
      </c>
      <c r="DL682" s="75">
        <f ca="1">INDIRECT(ADDRESS(11+(MATCH(RIGHT(Table14[[#This Row],[spawner_sku]],LEN(Table14[[#This Row],[spawner_sku]])-FIND("/",Table14[[#This Row],[spawner_sku]])),Table1[Entity Prefab],0)),10,1,1,"Entities"))</f>
        <v>0</v>
      </c>
      <c r="DM682" s="75">
        <f ca="1">ROUND((Table14[[#This Row],[XP]]*Table14[[#This Row],[entity_spawned (AVG)]])*(Table14[[#This Row],[activating_chance]]/100),0)</f>
        <v>0</v>
      </c>
      <c r="DN68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82" s="72">
        <v>1</v>
      </c>
      <c r="DP682" s="72">
        <v>1</v>
      </c>
      <c r="DQ682" s="72" t="b">
        <v>0</v>
      </c>
    </row>
    <row r="683" spans="2:121" x14ac:dyDescent="0.25">
      <c r="DH683" t="s">
        <v>445</v>
      </c>
      <c r="DI683">
        <v>1</v>
      </c>
      <c r="DJ683">
        <v>200</v>
      </c>
      <c r="DK683">
        <v>30</v>
      </c>
      <c r="DL683" s="75">
        <f ca="1">INDIRECT(ADDRESS(11+(MATCH(RIGHT(Table14[[#This Row],[spawner_sku]],LEN(Table14[[#This Row],[spawner_sku]])-FIND("/",Table14[[#This Row],[spawner_sku]])),Table1[Entity Prefab],0)),10,1,1,"Entities"))</f>
        <v>0</v>
      </c>
      <c r="DM683" s="75">
        <f ca="1">ROUND((Table14[[#This Row],[XP]]*Table14[[#This Row],[entity_spawned (AVG)]])*(Table14[[#This Row],[activating_chance]]/100),0)</f>
        <v>0</v>
      </c>
      <c r="DN68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83" s="72">
        <v>1</v>
      </c>
      <c r="DP683" s="72">
        <v>1</v>
      </c>
      <c r="DQ683" s="72" t="b">
        <v>0</v>
      </c>
    </row>
    <row r="684" spans="2:121" x14ac:dyDescent="0.25">
      <c r="DH684" t="s">
        <v>445</v>
      </c>
      <c r="DI684">
        <v>1</v>
      </c>
      <c r="DJ684">
        <v>200</v>
      </c>
      <c r="DK684">
        <v>100</v>
      </c>
      <c r="DL684" s="75">
        <f ca="1">INDIRECT(ADDRESS(11+(MATCH(RIGHT(Table14[[#This Row],[spawner_sku]],LEN(Table14[[#This Row],[spawner_sku]])-FIND("/",Table14[[#This Row],[spawner_sku]])),Table1[Entity Prefab],0)),10,1,1,"Entities"))</f>
        <v>0</v>
      </c>
      <c r="DM684" s="75">
        <f ca="1">ROUND((Table14[[#This Row],[XP]]*Table14[[#This Row],[entity_spawned (AVG)]])*(Table14[[#This Row],[activating_chance]]/100),0)</f>
        <v>0</v>
      </c>
      <c r="DN68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84" s="72">
        <v>1</v>
      </c>
      <c r="DP684" s="72">
        <v>1</v>
      </c>
      <c r="DQ684" s="72" t="b">
        <v>0</v>
      </c>
    </row>
    <row r="685" spans="2:121" x14ac:dyDescent="0.25">
      <c r="DH685" t="s">
        <v>445</v>
      </c>
      <c r="DI685">
        <v>2</v>
      </c>
      <c r="DJ685">
        <v>200</v>
      </c>
      <c r="DK685">
        <v>100</v>
      </c>
      <c r="DL685" s="75">
        <f ca="1">INDIRECT(ADDRESS(11+(MATCH(RIGHT(Table14[[#This Row],[spawner_sku]],LEN(Table14[[#This Row],[spawner_sku]])-FIND("/",Table14[[#This Row],[spawner_sku]])),Table1[Entity Prefab],0)),10,1,1,"Entities"))</f>
        <v>0</v>
      </c>
      <c r="DM685" s="75">
        <f ca="1">ROUND((Table14[[#This Row],[XP]]*Table14[[#This Row],[entity_spawned (AVG)]])*(Table14[[#This Row],[activating_chance]]/100),0)</f>
        <v>0</v>
      </c>
      <c r="DN68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85" s="72">
        <v>1</v>
      </c>
      <c r="DP685" s="72">
        <v>3</v>
      </c>
      <c r="DQ685" s="72" t="b">
        <v>0</v>
      </c>
    </row>
    <row r="686" spans="2:121" x14ac:dyDescent="0.25">
      <c r="DH686" t="s">
        <v>445</v>
      </c>
      <c r="DI686">
        <v>1</v>
      </c>
      <c r="DJ686">
        <v>200</v>
      </c>
      <c r="DK686">
        <v>100</v>
      </c>
      <c r="DL686" s="75">
        <f ca="1">INDIRECT(ADDRESS(11+(MATCH(RIGHT(Table14[[#This Row],[spawner_sku]],LEN(Table14[[#This Row],[spawner_sku]])-FIND("/",Table14[[#This Row],[spawner_sku]])),Table1[Entity Prefab],0)),10,1,1,"Entities"))</f>
        <v>0</v>
      </c>
      <c r="DM686" s="75">
        <f ca="1">ROUND((Table14[[#This Row],[XP]]*Table14[[#This Row],[entity_spawned (AVG)]])*(Table14[[#This Row],[activating_chance]]/100),0)</f>
        <v>0</v>
      </c>
      <c r="DN68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86" s="72">
        <v>1</v>
      </c>
      <c r="DP686" s="72">
        <v>1</v>
      </c>
      <c r="DQ686" s="72" t="b">
        <v>0</v>
      </c>
    </row>
    <row r="687" spans="2:121" x14ac:dyDescent="0.25">
      <c r="DH687" t="s">
        <v>445</v>
      </c>
      <c r="DI687">
        <v>1.5</v>
      </c>
      <c r="DJ687">
        <v>200</v>
      </c>
      <c r="DK687">
        <v>100</v>
      </c>
      <c r="DL687" s="75">
        <f ca="1">INDIRECT(ADDRESS(11+(MATCH(RIGHT(Table14[[#This Row],[spawner_sku]],LEN(Table14[[#This Row],[spawner_sku]])-FIND("/",Table14[[#This Row],[spawner_sku]])),Table1[Entity Prefab],0)),10,1,1,"Entities"))</f>
        <v>0</v>
      </c>
      <c r="DM687" s="75">
        <f ca="1">ROUND((Table14[[#This Row],[XP]]*Table14[[#This Row],[entity_spawned (AVG)]])*(Table14[[#This Row],[activating_chance]]/100),0)</f>
        <v>0</v>
      </c>
      <c r="DN68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87" s="72">
        <v>1</v>
      </c>
      <c r="DP687" s="72">
        <v>2</v>
      </c>
      <c r="DQ687" s="72" t="b">
        <v>0</v>
      </c>
    </row>
    <row r="688" spans="2:121" x14ac:dyDescent="0.25">
      <c r="DH688" t="s">
        <v>445</v>
      </c>
      <c r="DI688">
        <v>1</v>
      </c>
      <c r="DJ688">
        <v>200</v>
      </c>
      <c r="DK688">
        <v>100</v>
      </c>
      <c r="DL688" s="75">
        <f ca="1">INDIRECT(ADDRESS(11+(MATCH(RIGHT(Table14[[#This Row],[spawner_sku]],LEN(Table14[[#This Row],[spawner_sku]])-FIND("/",Table14[[#This Row],[spawner_sku]])),Table1[Entity Prefab],0)),10,1,1,"Entities"))</f>
        <v>0</v>
      </c>
      <c r="DM688" s="75">
        <f ca="1">ROUND((Table14[[#This Row],[XP]]*Table14[[#This Row],[entity_spawned (AVG)]])*(Table14[[#This Row],[activating_chance]]/100),0)</f>
        <v>0</v>
      </c>
      <c r="DN68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88" s="72">
        <v>1</v>
      </c>
      <c r="DP688" s="72">
        <v>1</v>
      </c>
      <c r="DQ688" s="72" t="b">
        <v>0</v>
      </c>
    </row>
    <row r="689" spans="112:121" x14ac:dyDescent="0.25">
      <c r="DH689" t="s">
        <v>445</v>
      </c>
      <c r="DI689">
        <v>2</v>
      </c>
      <c r="DJ689">
        <v>200</v>
      </c>
      <c r="DK689">
        <v>30</v>
      </c>
      <c r="DL689" s="75">
        <f ca="1">INDIRECT(ADDRESS(11+(MATCH(RIGHT(Table14[[#This Row],[spawner_sku]],LEN(Table14[[#This Row],[spawner_sku]])-FIND("/",Table14[[#This Row],[spawner_sku]])),Table1[Entity Prefab],0)),10,1,1,"Entities"))</f>
        <v>0</v>
      </c>
      <c r="DM689" s="75">
        <f ca="1">ROUND((Table14[[#This Row],[XP]]*Table14[[#This Row],[entity_spawned (AVG)]])*(Table14[[#This Row],[activating_chance]]/100),0)</f>
        <v>0</v>
      </c>
      <c r="DN68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89" s="72">
        <v>1</v>
      </c>
      <c r="DP689" s="72">
        <v>3</v>
      </c>
      <c r="DQ689" s="72" t="b">
        <v>0</v>
      </c>
    </row>
    <row r="690" spans="112:121" x14ac:dyDescent="0.25">
      <c r="DH690" t="s">
        <v>445</v>
      </c>
      <c r="DI690">
        <v>1.5</v>
      </c>
      <c r="DJ690">
        <v>200</v>
      </c>
      <c r="DK690">
        <v>80</v>
      </c>
      <c r="DL690" s="75">
        <f ca="1">INDIRECT(ADDRESS(11+(MATCH(RIGHT(Table14[[#This Row],[spawner_sku]],LEN(Table14[[#This Row],[spawner_sku]])-FIND("/",Table14[[#This Row],[spawner_sku]])),Table1[Entity Prefab],0)),10,1,1,"Entities"))</f>
        <v>0</v>
      </c>
      <c r="DM690" s="75">
        <f ca="1">ROUND((Table14[[#This Row],[XP]]*Table14[[#This Row],[entity_spawned (AVG)]])*(Table14[[#This Row],[activating_chance]]/100),0)</f>
        <v>0</v>
      </c>
      <c r="DN69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90" s="72">
        <v>1</v>
      </c>
      <c r="DP690" s="72">
        <v>2</v>
      </c>
      <c r="DQ690" s="72" t="b">
        <v>0</v>
      </c>
    </row>
    <row r="691" spans="112:121" x14ac:dyDescent="0.25">
      <c r="DH691" t="s">
        <v>445</v>
      </c>
      <c r="DI691">
        <v>1</v>
      </c>
      <c r="DJ691">
        <v>200</v>
      </c>
      <c r="DK691">
        <v>50</v>
      </c>
      <c r="DL691" s="75">
        <f ca="1">INDIRECT(ADDRESS(11+(MATCH(RIGHT(Table14[[#This Row],[spawner_sku]],LEN(Table14[[#This Row],[spawner_sku]])-FIND("/",Table14[[#This Row],[spawner_sku]])),Table1[Entity Prefab],0)),10,1,1,"Entities"))</f>
        <v>0</v>
      </c>
      <c r="DM691" s="75">
        <f ca="1">ROUND((Table14[[#This Row],[XP]]*Table14[[#This Row],[entity_spawned (AVG)]])*(Table14[[#This Row],[activating_chance]]/100),0)</f>
        <v>0</v>
      </c>
      <c r="DN69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91" s="72">
        <v>1</v>
      </c>
      <c r="DP691" s="72">
        <v>1</v>
      </c>
      <c r="DQ691" s="72" t="b">
        <v>0</v>
      </c>
    </row>
    <row r="692" spans="112:121" x14ac:dyDescent="0.25">
      <c r="DH692" t="s">
        <v>445</v>
      </c>
      <c r="DI692">
        <v>1</v>
      </c>
      <c r="DJ692">
        <v>200</v>
      </c>
      <c r="DK692">
        <v>30</v>
      </c>
      <c r="DL692" s="75">
        <f ca="1">INDIRECT(ADDRESS(11+(MATCH(RIGHT(Table14[[#This Row],[spawner_sku]],LEN(Table14[[#This Row],[spawner_sku]])-FIND("/",Table14[[#This Row],[spawner_sku]])),Table1[Entity Prefab],0)),10,1,1,"Entities"))</f>
        <v>0</v>
      </c>
      <c r="DM692" s="75">
        <f ca="1">ROUND((Table14[[#This Row],[XP]]*Table14[[#This Row],[entity_spawned (AVG)]])*(Table14[[#This Row],[activating_chance]]/100),0)</f>
        <v>0</v>
      </c>
      <c r="DN69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92" s="72">
        <v>1</v>
      </c>
      <c r="DP692" s="72">
        <v>1</v>
      </c>
      <c r="DQ692" s="72" t="b">
        <v>0</v>
      </c>
    </row>
    <row r="693" spans="112:121" x14ac:dyDescent="0.25">
      <c r="DH693" t="s">
        <v>445</v>
      </c>
      <c r="DI693">
        <v>1</v>
      </c>
      <c r="DJ693">
        <v>200</v>
      </c>
      <c r="DK693">
        <v>20</v>
      </c>
      <c r="DL693" s="75">
        <f ca="1">INDIRECT(ADDRESS(11+(MATCH(RIGHT(Table14[[#This Row],[spawner_sku]],LEN(Table14[[#This Row],[spawner_sku]])-FIND("/",Table14[[#This Row],[spawner_sku]])),Table1[Entity Prefab],0)),10,1,1,"Entities"))</f>
        <v>0</v>
      </c>
      <c r="DM693" s="75">
        <f ca="1">ROUND((Table14[[#This Row],[XP]]*Table14[[#This Row],[entity_spawned (AVG)]])*(Table14[[#This Row],[activating_chance]]/100),0)</f>
        <v>0</v>
      </c>
      <c r="DN69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93" s="72">
        <v>1</v>
      </c>
      <c r="DP693" s="72">
        <v>1</v>
      </c>
      <c r="DQ693" s="72" t="b">
        <v>0</v>
      </c>
    </row>
    <row r="694" spans="112:121" x14ac:dyDescent="0.25">
      <c r="DH694" t="s">
        <v>445</v>
      </c>
      <c r="DI694">
        <v>1</v>
      </c>
      <c r="DJ694">
        <v>200</v>
      </c>
      <c r="DK694">
        <v>30</v>
      </c>
      <c r="DL694" s="75">
        <f ca="1">INDIRECT(ADDRESS(11+(MATCH(RIGHT(Table14[[#This Row],[spawner_sku]],LEN(Table14[[#This Row],[spawner_sku]])-FIND("/",Table14[[#This Row],[spawner_sku]])),Table1[Entity Prefab],0)),10,1,1,"Entities"))</f>
        <v>0</v>
      </c>
      <c r="DM694" s="75">
        <f ca="1">ROUND((Table14[[#This Row],[XP]]*Table14[[#This Row],[entity_spawned (AVG)]])*(Table14[[#This Row],[activating_chance]]/100),0)</f>
        <v>0</v>
      </c>
      <c r="DN69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94" s="72">
        <v>1</v>
      </c>
      <c r="DP694" s="72">
        <v>1</v>
      </c>
      <c r="DQ694" s="72" t="b">
        <v>0</v>
      </c>
    </row>
    <row r="695" spans="112:121" x14ac:dyDescent="0.25">
      <c r="DH695" t="s">
        <v>445</v>
      </c>
      <c r="DI695">
        <v>1.5</v>
      </c>
      <c r="DJ695">
        <v>200</v>
      </c>
      <c r="DK695">
        <v>80</v>
      </c>
      <c r="DL695" s="75">
        <f ca="1">INDIRECT(ADDRESS(11+(MATCH(RIGHT(Table14[[#This Row],[spawner_sku]],LEN(Table14[[#This Row],[spawner_sku]])-FIND("/",Table14[[#This Row],[spawner_sku]])),Table1[Entity Prefab],0)),10,1,1,"Entities"))</f>
        <v>0</v>
      </c>
      <c r="DM695" s="75">
        <f ca="1">ROUND((Table14[[#This Row],[XP]]*Table14[[#This Row],[entity_spawned (AVG)]])*(Table14[[#This Row],[activating_chance]]/100),0)</f>
        <v>0</v>
      </c>
      <c r="DN69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95" s="72">
        <v>1</v>
      </c>
      <c r="DP695" s="72">
        <v>2</v>
      </c>
      <c r="DQ695" s="72" t="b">
        <v>0</v>
      </c>
    </row>
    <row r="696" spans="112:121" x14ac:dyDescent="0.25">
      <c r="DH696" t="s">
        <v>445</v>
      </c>
      <c r="DI696">
        <v>1</v>
      </c>
      <c r="DJ696">
        <v>200</v>
      </c>
      <c r="DK696">
        <v>100</v>
      </c>
      <c r="DL696" s="75">
        <f ca="1">INDIRECT(ADDRESS(11+(MATCH(RIGHT(Table14[[#This Row],[spawner_sku]],LEN(Table14[[#This Row],[spawner_sku]])-FIND("/",Table14[[#This Row],[spawner_sku]])),Table1[Entity Prefab],0)),10,1,1,"Entities"))</f>
        <v>0</v>
      </c>
      <c r="DM696" s="75">
        <f ca="1">ROUND((Table14[[#This Row],[XP]]*Table14[[#This Row],[entity_spawned (AVG)]])*(Table14[[#This Row],[activating_chance]]/100),0)</f>
        <v>0</v>
      </c>
      <c r="DN69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96" s="72">
        <v>1</v>
      </c>
      <c r="DP696" s="72">
        <v>1</v>
      </c>
      <c r="DQ696" s="72" t="b">
        <v>0</v>
      </c>
    </row>
    <row r="697" spans="112:121" x14ac:dyDescent="0.25">
      <c r="DH697" t="s">
        <v>445</v>
      </c>
      <c r="DI697">
        <v>1</v>
      </c>
      <c r="DJ697">
        <v>200</v>
      </c>
      <c r="DK697">
        <v>100</v>
      </c>
      <c r="DL697" s="75">
        <f ca="1">INDIRECT(ADDRESS(11+(MATCH(RIGHT(Table14[[#This Row],[spawner_sku]],LEN(Table14[[#This Row],[spawner_sku]])-FIND("/",Table14[[#This Row],[spawner_sku]])),Table1[Entity Prefab],0)),10,1,1,"Entities"))</f>
        <v>0</v>
      </c>
      <c r="DM697" s="75">
        <f ca="1">ROUND((Table14[[#This Row],[XP]]*Table14[[#This Row],[entity_spawned (AVG)]])*(Table14[[#This Row],[activating_chance]]/100),0)</f>
        <v>0</v>
      </c>
      <c r="DN69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97" s="72">
        <v>1</v>
      </c>
      <c r="DP697" s="72">
        <v>1</v>
      </c>
      <c r="DQ697" s="72" t="b">
        <v>0</v>
      </c>
    </row>
    <row r="698" spans="112:121" x14ac:dyDescent="0.25">
      <c r="DH698" t="s">
        <v>445</v>
      </c>
      <c r="DI698">
        <v>1</v>
      </c>
      <c r="DJ698">
        <v>200</v>
      </c>
      <c r="DK698">
        <v>100</v>
      </c>
      <c r="DL698" s="75">
        <f ca="1">INDIRECT(ADDRESS(11+(MATCH(RIGHT(Table14[[#This Row],[spawner_sku]],LEN(Table14[[#This Row],[spawner_sku]])-FIND("/",Table14[[#This Row],[spawner_sku]])),Table1[Entity Prefab],0)),10,1,1,"Entities"))</f>
        <v>0</v>
      </c>
      <c r="DM698" s="75">
        <f ca="1">ROUND((Table14[[#This Row],[XP]]*Table14[[#This Row],[entity_spawned (AVG)]])*(Table14[[#This Row],[activating_chance]]/100),0)</f>
        <v>0</v>
      </c>
      <c r="DN69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98" s="72">
        <v>1</v>
      </c>
      <c r="DP698" s="72">
        <v>1</v>
      </c>
      <c r="DQ698" s="72" t="b">
        <v>0</v>
      </c>
    </row>
    <row r="699" spans="112:121" x14ac:dyDescent="0.25">
      <c r="DH699" t="s">
        <v>445</v>
      </c>
      <c r="DI699">
        <v>1.5</v>
      </c>
      <c r="DJ699">
        <v>200</v>
      </c>
      <c r="DK699">
        <v>80</v>
      </c>
      <c r="DL699" s="75">
        <f ca="1">INDIRECT(ADDRESS(11+(MATCH(RIGHT(Table14[[#This Row],[spawner_sku]],LEN(Table14[[#This Row],[spawner_sku]])-FIND("/",Table14[[#This Row],[spawner_sku]])),Table1[Entity Prefab],0)),10,1,1,"Entities"))</f>
        <v>0</v>
      </c>
      <c r="DM699" s="75">
        <f ca="1">ROUND((Table14[[#This Row],[XP]]*Table14[[#This Row],[entity_spawned (AVG)]])*(Table14[[#This Row],[activating_chance]]/100),0)</f>
        <v>0</v>
      </c>
      <c r="DN69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99" s="72">
        <v>1</v>
      </c>
      <c r="DP699" s="72">
        <v>2</v>
      </c>
      <c r="DQ699" s="72" t="b">
        <v>0</v>
      </c>
    </row>
    <row r="700" spans="112:121" x14ac:dyDescent="0.25">
      <c r="DH700" t="s">
        <v>445</v>
      </c>
      <c r="DI700">
        <v>2</v>
      </c>
      <c r="DJ700">
        <v>200</v>
      </c>
      <c r="DK700">
        <v>100</v>
      </c>
      <c r="DL700" s="75">
        <f ca="1">INDIRECT(ADDRESS(11+(MATCH(RIGHT(Table14[[#This Row],[spawner_sku]],LEN(Table14[[#This Row],[spawner_sku]])-FIND("/",Table14[[#This Row],[spawner_sku]])),Table1[Entity Prefab],0)),10,1,1,"Entities"))</f>
        <v>0</v>
      </c>
      <c r="DM700" s="75">
        <f ca="1">ROUND((Table14[[#This Row],[XP]]*Table14[[#This Row],[entity_spawned (AVG)]])*(Table14[[#This Row],[activating_chance]]/100),0)</f>
        <v>0</v>
      </c>
      <c r="DN70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00" s="72">
        <v>1</v>
      </c>
      <c r="DP700" s="72">
        <v>3</v>
      </c>
      <c r="DQ700" s="72" t="b">
        <v>0</v>
      </c>
    </row>
    <row r="701" spans="112:121" x14ac:dyDescent="0.25">
      <c r="DH701" t="s">
        <v>445</v>
      </c>
      <c r="DI701">
        <v>1</v>
      </c>
      <c r="DJ701">
        <v>200</v>
      </c>
      <c r="DK701">
        <v>100</v>
      </c>
      <c r="DL701" s="75">
        <f ca="1">INDIRECT(ADDRESS(11+(MATCH(RIGHT(Table14[[#This Row],[spawner_sku]],LEN(Table14[[#This Row],[spawner_sku]])-FIND("/",Table14[[#This Row],[spawner_sku]])),Table1[Entity Prefab],0)),10,1,1,"Entities"))</f>
        <v>0</v>
      </c>
      <c r="DM701" s="75">
        <f ca="1">ROUND((Table14[[#This Row],[XP]]*Table14[[#This Row],[entity_spawned (AVG)]])*(Table14[[#This Row],[activating_chance]]/100),0)</f>
        <v>0</v>
      </c>
      <c r="DN70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01" s="72">
        <v>1</v>
      </c>
      <c r="DP701" s="72">
        <v>1</v>
      </c>
      <c r="DQ701" s="72" t="b">
        <v>0</v>
      </c>
    </row>
    <row r="702" spans="112:121" x14ac:dyDescent="0.25">
      <c r="DH702" t="s">
        <v>445</v>
      </c>
      <c r="DI702">
        <v>1</v>
      </c>
      <c r="DJ702">
        <v>200</v>
      </c>
      <c r="DK702">
        <v>100</v>
      </c>
      <c r="DL702" s="75">
        <f ca="1">INDIRECT(ADDRESS(11+(MATCH(RIGHT(Table14[[#This Row],[spawner_sku]],LEN(Table14[[#This Row],[spawner_sku]])-FIND("/",Table14[[#This Row],[spawner_sku]])),Table1[Entity Prefab],0)),10,1,1,"Entities"))</f>
        <v>0</v>
      </c>
      <c r="DM702" s="75">
        <f ca="1">ROUND((Table14[[#This Row],[XP]]*Table14[[#This Row],[entity_spawned (AVG)]])*(Table14[[#This Row],[activating_chance]]/100),0)</f>
        <v>0</v>
      </c>
      <c r="DN70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02" s="72">
        <v>1</v>
      </c>
      <c r="DP702" s="72">
        <v>1</v>
      </c>
      <c r="DQ702" s="72" t="b">
        <v>0</v>
      </c>
    </row>
    <row r="703" spans="112:121" x14ac:dyDescent="0.25">
      <c r="DH703" t="s">
        <v>445</v>
      </c>
      <c r="DI703">
        <v>1.5</v>
      </c>
      <c r="DJ703">
        <v>200</v>
      </c>
      <c r="DK703">
        <v>50</v>
      </c>
      <c r="DL703" s="75">
        <f ca="1">INDIRECT(ADDRESS(11+(MATCH(RIGHT(Table14[[#This Row],[spawner_sku]],LEN(Table14[[#This Row],[spawner_sku]])-FIND("/",Table14[[#This Row],[spawner_sku]])),Table1[Entity Prefab],0)),10,1,1,"Entities"))</f>
        <v>0</v>
      </c>
      <c r="DM703" s="75">
        <f ca="1">ROUND((Table14[[#This Row],[XP]]*Table14[[#This Row],[entity_spawned (AVG)]])*(Table14[[#This Row],[activating_chance]]/100),0)</f>
        <v>0</v>
      </c>
      <c r="DN70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03" s="72">
        <v>1</v>
      </c>
      <c r="DP703" s="72">
        <v>2</v>
      </c>
      <c r="DQ703" s="72" t="b">
        <v>0</v>
      </c>
    </row>
    <row r="704" spans="112:121" x14ac:dyDescent="0.25">
      <c r="DH704" t="s">
        <v>445</v>
      </c>
      <c r="DI704">
        <v>1.5</v>
      </c>
      <c r="DJ704">
        <v>200</v>
      </c>
      <c r="DK704">
        <v>100</v>
      </c>
      <c r="DL704" s="75">
        <f ca="1">INDIRECT(ADDRESS(11+(MATCH(RIGHT(Table14[[#This Row],[spawner_sku]],LEN(Table14[[#This Row],[spawner_sku]])-FIND("/",Table14[[#This Row],[spawner_sku]])),Table1[Entity Prefab],0)),10,1,1,"Entities"))</f>
        <v>0</v>
      </c>
      <c r="DM704" s="75">
        <f ca="1">ROUND((Table14[[#This Row],[XP]]*Table14[[#This Row],[entity_spawned (AVG)]])*(Table14[[#This Row],[activating_chance]]/100),0)</f>
        <v>0</v>
      </c>
      <c r="DN70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04" s="72">
        <v>1</v>
      </c>
      <c r="DP704" s="72">
        <v>2</v>
      </c>
      <c r="DQ704" s="72" t="b">
        <v>0</v>
      </c>
    </row>
    <row r="705" spans="112:121" x14ac:dyDescent="0.25">
      <c r="DH705" t="s">
        <v>445</v>
      </c>
      <c r="DI705">
        <v>1</v>
      </c>
      <c r="DJ705">
        <v>200</v>
      </c>
      <c r="DK705">
        <v>100</v>
      </c>
      <c r="DL705" s="75">
        <f ca="1">INDIRECT(ADDRESS(11+(MATCH(RIGHT(Table14[[#This Row],[spawner_sku]],LEN(Table14[[#This Row],[spawner_sku]])-FIND("/",Table14[[#This Row],[spawner_sku]])),Table1[Entity Prefab],0)),10,1,1,"Entities"))</f>
        <v>0</v>
      </c>
      <c r="DM705" s="75">
        <f ca="1">ROUND((Table14[[#This Row],[XP]]*Table14[[#This Row],[entity_spawned (AVG)]])*(Table14[[#This Row],[activating_chance]]/100),0)</f>
        <v>0</v>
      </c>
      <c r="DN70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05" s="72">
        <v>1</v>
      </c>
      <c r="DP705" s="72">
        <v>1</v>
      </c>
      <c r="DQ705" s="72" t="b">
        <v>0</v>
      </c>
    </row>
    <row r="706" spans="112:121" x14ac:dyDescent="0.25">
      <c r="DH706" t="s">
        <v>445</v>
      </c>
      <c r="DI706">
        <v>1</v>
      </c>
      <c r="DJ706">
        <v>200</v>
      </c>
      <c r="DK706">
        <v>100</v>
      </c>
      <c r="DL706" s="75">
        <f ca="1">INDIRECT(ADDRESS(11+(MATCH(RIGHT(Table14[[#This Row],[spawner_sku]],LEN(Table14[[#This Row],[spawner_sku]])-FIND("/",Table14[[#This Row],[spawner_sku]])),Table1[Entity Prefab],0)),10,1,1,"Entities"))</f>
        <v>0</v>
      </c>
      <c r="DM706" s="75">
        <f ca="1">ROUND((Table14[[#This Row],[XP]]*Table14[[#This Row],[entity_spawned (AVG)]])*(Table14[[#This Row],[activating_chance]]/100),0)</f>
        <v>0</v>
      </c>
      <c r="DN70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06" s="72">
        <v>1</v>
      </c>
      <c r="DP706" s="72">
        <v>1</v>
      </c>
      <c r="DQ706" s="72" t="b">
        <v>0</v>
      </c>
    </row>
    <row r="707" spans="112:121" x14ac:dyDescent="0.25">
      <c r="DH707" t="s">
        <v>445</v>
      </c>
      <c r="DI707">
        <v>1</v>
      </c>
      <c r="DJ707">
        <v>200</v>
      </c>
      <c r="DK707">
        <v>50</v>
      </c>
      <c r="DL707" s="75">
        <f ca="1">INDIRECT(ADDRESS(11+(MATCH(RIGHT(Table14[[#This Row],[spawner_sku]],LEN(Table14[[#This Row],[spawner_sku]])-FIND("/",Table14[[#This Row],[spawner_sku]])),Table1[Entity Prefab],0)),10,1,1,"Entities"))</f>
        <v>0</v>
      </c>
      <c r="DM707" s="75">
        <f ca="1">ROUND((Table14[[#This Row],[XP]]*Table14[[#This Row],[entity_spawned (AVG)]])*(Table14[[#This Row],[activating_chance]]/100),0)</f>
        <v>0</v>
      </c>
      <c r="DN70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07" s="72">
        <v>1</v>
      </c>
      <c r="DP707" s="72">
        <v>1</v>
      </c>
      <c r="DQ707" s="72" t="b">
        <v>0</v>
      </c>
    </row>
    <row r="708" spans="112:121" x14ac:dyDescent="0.25">
      <c r="DH708" t="s">
        <v>445</v>
      </c>
      <c r="DI708">
        <v>1</v>
      </c>
      <c r="DJ708">
        <v>200</v>
      </c>
      <c r="DK708">
        <v>100</v>
      </c>
      <c r="DL708" s="75">
        <f ca="1">INDIRECT(ADDRESS(11+(MATCH(RIGHT(Table14[[#This Row],[spawner_sku]],LEN(Table14[[#This Row],[spawner_sku]])-FIND("/",Table14[[#This Row],[spawner_sku]])),Table1[Entity Prefab],0)),10,1,1,"Entities"))</f>
        <v>0</v>
      </c>
      <c r="DM708" s="75">
        <f ca="1">ROUND((Table14[[#This Row],[XP]]*Table14[[#This Row],[entity_spawned (AVG)]])*(Table14[[#This Row],[activating_chance]]/100),0)</f>
        <v>0</v>
      </c>
      <c r="DN70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08" s="72">
        <v>1</v>
      </c>
      <c r="DP708" s="72">
        <v>1</v>
      </c>
      <c r="DQ708" s="72" t="b">
        <v>0</v>
      </c>
    </row>
    <row r="709" spans="112:121" x14ac:dyDescent="0.25">
      <c r="DH709" t="s">
        <v>445</v>
      </c>
      <c r="DI709">
        <v>1.5</v>
      </c>
      <c r="DJ709">
        <v>200</v>
      </c>
      <c r="DK709">
        <v>100</v>
      </c>
      <c r="DL709" s="75">
        <f ca="1">INDIRECT(ADDRESS(11+(MATCH(RIGHT(Table14[[#This Row],[spawner_sku]],LEN(Table14[[#This Row],[spawner_sku]])-FIND("/",Table14[[#This Row],[spawner_sku]])),Table1[Entity Prefab],0)),10,1,1,"Entities"))</f>
        <v>0</v>
      </c>
      <c r="DM709" s="75">
        <f ca="1">ROUND((Table14[[#This Row],[XP]]*Table14[[#This Row],[entity_spawned (AVG)]])*(Table14[[#This Row],[activating_chance]]/100),0)</f>
        <v>0</v>
      </c>
      <c r="DN70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09" s="72">
        <v>1</v>
      </c>
      <c r="DP709" s="72">
        <v>2</v>
      </c>
      <c r="DQ709" s="72" t="b">
        <v>0</v>
      </c>
    </row>
    <row r="710" spans="112:121" x14ac:dyDescent="0.25">
      <c r="DH710" t="s">
        <v>445</v>
      </c>
      <c r="DI710">
        <v>1</v>
      </c>
      <c r="DJ710">
        <v>200</v>
      </c>
      <c r="DK710">
        <v>100</v>
      </c>
      <c r="DL710" s="75">
        <f ca="1">INDIRECT(ADDRESS(11+(MATCH(RIGHT(Table14[[#This Row],[spawner_sku]],LEN(Table14[[#This Row],[spawner_sku]])-FIND("/",Table14[[#This Row],[spawner_sku]])),Table1[Entity Prefab],0)),10,1,1,"Entities"))</f>
        <v>0</v>
      </c>
      <c r="DM710" s="75">
        <f ca="1">ROUND((Table14[[#This Row],[XP]]*Table14[[#This Row],[entity_spawned (AVG)]])*(Table14[[#This Row],[activating_chance]]/100),0)</f>
        <v>0</v>
      </c>
      <c r="DN71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10" s="72">
        <v>1</v>
      </c>
      <c r="DP710" s="72">
        <v>1</v>
      </c>
      <c r="DQ710" s="72" t="b">
        <v>0</v>
      </c>
    </row>
    <row r="711" spans="112:121" x14ac:dyDescent="0.25">
      <c r="DH711" t="s">
        <v>445</v>
      </c>
      <c r="DI711">
        <v>1</v>
      </c>
      <c r="DJ711">
        <v>200</v>
      </c>
      <c r="DK711">
        <v>100</v>
      </c>
      <c r="DL711" s="75">
        <f ca="1">INDIRECT(ADDRESS(11+(MATCH(RIGHT(Table14[[#This Row],[spawner_sku]],LEN(Table14[[#This Row],[spawner_sku]])-FIND("/",Table14[[#This Row],[spawner_sku]])),Table1[Entity Prefab],0)),10,1,1,"Entities"))</f>
        <v>0</v>
      </c>
      <c r="DM711" s="75">
        <f ca="1">ROUND((Table14[[#This Row],[XP]]*Table14[[#This Row],[entity_spawned (AVG)]])*(Table14[[#This Row],[activating_chance]]/100),0)</f>
        <v>0</v>
      </c>
      <c r="DN71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11" s="72">
        <v>1</v>
      </c>
      <c r="DP711" s="72">
        <v>1</v>
      </c>
      <c r="DQ711" s="72" t="b">
        <v>0</v>
      </c>
    </row>
    <row r="712" spans="112:121" x14ac:dyDescent="0.25">
      <c r="DH712" t="s">
        <v>445</v>
      </c>
      <c r="DI712">
        <v>1</v>
      </c>
      <c r="DJ712">
        <v>200</v>
      </c>
      <c r="DK712">
        <v>100</v>
      </c>
      <c r="DL712" s="75">
        <f ca="1">INDIRECT(ADDRESS(11+(MATCH(RIGHT(Table14[[#This Row],[spawner_sku]],LEN(Table14[[#This Row],[spawner_sku]])-FIND("/",Table14[[#This Row],[spawner_sku]])),Table1[Entity Prefab],0)),10,1,1,"Entities"))</f>
        <v>0</v>
      </c>
      <c r="DM712" s="75">
        <f ca="1">ROUND((Table14[[#This Row],[XP]]*Table14[[#This Row],[entity_spawned (AVG)]])*(Table14[[#This Row],[activating_chance]]/100),0)</f>
        <v>0</v>
      </c>
      <c r="DN71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12" s="72">
        <v>1</v>
      </c>
      <c r="DP712" s="72">
        <v>1</v>
      </c>
      <c r="DQ712" s="72" t="b">
        <v>0</v>
      </c>
    </row>
    <row r="713" spans="112:121" x14ac:dyDescent="0.25">
      <c r="DH713" t="s">
        <v>445</v>
      </c>
      <c r="DI713">
        <v>1</v>
      </c>
      <c r="DJ713">
        <v>200</v>
      </c>
      <c r="DK713">
        <v>100</v>
      </c>
      <c r="DL713" s="75">
        <f ca="1">INDIRECT(ADDRESS(11+(MATCH(RIGHT(Table14[[#This Row],[spawner_sku]],LEN(Table14[[#This Row],[spawner_sku]])-FIND("/",Table14[[#This Row],[spawner_sku]])),Table1[Entity Prefab],0)),10,1,1,"Entities"))</f>
        <v>0</v>
      </c>
      <c r="DM713" s="75">
        <f ca="1">ROUND((Table14[[#This Row],[XP]]*Table14[[#This Row],[entity_spawned (AVG)]])*(Table14[[#This Row],[activating_chance]]/100),0)</f>
        <v>0</v>
      </c>
      <c r="DN71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13" s="72">
        <v>1</v>
      </c>
      <c r="DP713" s="72">
        <v>1</v>
      </c>
      <c r="DQ713" s="72" t="b">
        <v>0</v>
      </c>
    </row>
    <row r="714" spans="112:121" x14ac:dyDescent="0.25">
      <c r="DH714" t="s">
        <v>445</v>
      </c>
      <c r="DI714">
        <v>2</v>
      </c>
      <c r="DJ714">
        <v>200</v>
      </c>
      <c r="DK714">
        <v>100</v>
      </c>
      <c r="DL714" s="75">
        <f ca="1">INDIRECT(ADDRESS(11+(MATCH(RIGHT(Table14[[#This Row],[spawner_sku]],LEN(Table14[[#This Row],[spawner_sku]])-FIND("/",Table14[[#This Row],[spawner_sku]])),Table1[Entity Prefab],0)),10,1,1,"Entities"))</f>
        <v>0</v>
      </c>
      <c r="DM714" s="75">
        <f ca="1">ROUND((Table14[[#This Row],[XP]]*Table14[[#This Row],[entity_spawned (AVG)]])*(Table14[[#This Row],[activating_chance]]/100),0)</f>
        <v>0</v>
      </c>
      <c r="DN71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14" s="72">
        <v>1</v>
      </c>
      <c r="DP714" s="72">
        <v>3</v>
      </c>
      <c r="DQ714" s="72" t="b">
        <v>0</v>
      </c>
    </row>
    <row r="715" spans="112:121" x14ac:dyDescent="0.25">
      <c r="DH715" t="s">
        <v>445</v>
      </c>
      <c r="DI715">
        <v>1</v>
      </c>
      <c r="DJ715">
        <v>200</v>
      </c>
      <c r="DK715">
        <v>80</v>
      </c>
      <c r="DL715" s="75">
        <f ca="1">INDIRECT(ADDRESS(11+(MATCH(RIGHT(Table14[[#This Row],[spawner_sku]],LEN(Table14[[#This Row],[spawner_sku]])-FIND("/",Table14[[#This Row],[spawner_sku]])),Table1[Entity Prefab],0)),10,1,1,"Entities"))</f>
        <v>0</v>
      </c>
      <c r="DM715" s="75">
        <f ca="1">ROUND((Table14[[#This Row],[XP]]*Table14[[#This Row],[entity_spawned (AVG)]])*(Table14[[#This Row],[activating_chance]]/100),0)</f>
        <v>0</v>
      </c>
      <c r="DN71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15" s="72">
        <v>1</v>
      </c>
      <c r="DP715" s="72">
        <v>1</v>
      </c>
      <c r="DQ715" s="72" t="b">
        <v>0</v>
      </c>
    </row>
    <row r="716" spans="112:121" x14ac:dyDescent="0.25">
      <c r="DH716" t="s">
        <v>445</v>
      </c>
      <c r="DI716">
        <v>1.5</v>
      </c>
      <c r="DJ716">
        <v>200</v>
      </c>
      <c r="DK716">
        <v>50</v>
      </c>
      <c r="DL716" s="75">
        <f ca="1">INDIRECT(ADDRESS(11+(MATCH(RIGHT(Table14[[#This Row],[spawner_sku]],LEN(Table14[[#This Row],[spawner_sku]])-FIND("/",Table14[[#This Row],[spawner_sku]])),Table1[Entity Prefab],0)),10,1,1,"Entities"))</f>
        <v>0</v>
      </c>
      <c r="DM716" s="75">
        <f ca="1">ROUND((Table14[[#This Row],[XP]]*Table14[[#This Row],[entity_spawned (AVG)]])*(Table14[[#This Row],[activating_chance]]/100),0)</f>
        <v>0</v>
      </c>
      <c r="DN71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16" s="72">
        <v>1</v>
      </c>
      <c r="DP716" s="72">
        <v>2</v>
      </c>
      <c r="DQ716" s="72" t="b">
        <v>0</v>
      </c>
    </row>
    <row r="717" spans="112:121" x14ac:dyDescent="0.25">
      <c r="DH717" t="s">
        <v>445</v>
      </c>
      <c r="DI717">
        <v>1.5</v>
      </c>
      <c r="DJ717">
        <v>200</v>
      </c>
      <c r="DK717">
        <v>100</v>
      </c>
      <c r="DL717" s="75">
        <f ca="1">INDIRECT(ADDRESS(11+(MATCH(RIGHT(Table14[[#This Row],[spawner_sku]],LEN(Table14[[#This Row],[spawner_sku]])-FIND("/",Table14[[#This Row],[spawner_sku]])),Table1[Entity Prefab],0)),10,1,1,"Entities"))</f>
        <v>0</v>
      </c>
      <c r="DM717" s="75">
        <f ca="1">ROUND((Table14[[#This Row],[XP]]*Table14[[#This Row],[entity_spawned (AVG)]])*(Table14[[#This Row],[activating_chance]]/100),0)</f>
        <v>0</v>
      </c>
      <c r="DN71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17" s="72">
        <v>1</v>
      </c>
      <c r="DP717" s="72">
        <v>2</v>
      </c>
      <c r="DQ717" s="72" t="b">
        <v>0</v>
      </c>
    </row>
    <row r="718" spans="112:121" x14ac:dyDescent="0.25">
      <c r="DH718" t="s">
        <v>445</v>
      </c>
      <c r="DI718">
        <v>1.5</v>
      </c>
      <c r="DJ718">
        <v>200</v>
      </c>
      <c r="DK718">
        <v>80</v>
      </c>
      <c r="DL718" s="75">
        <f ca="1">INDIRECT(ADDRESS(11+(MATCH(RIGHT(Table14[[#This Row],[spawner_sku]],LEN(Table14[[#This Row],[spawner_sku]])-FIND("/",Table14[[#This Row],[spawner_sku]])),Table1[Entity Prefab],0)),10,1,1,"Entities"))</f>
        <v>0</v>
      </c>
      <c r="DM718" s="75">
        <f ca="1">ROUND((Table14[[#This Row],[XP]]*Table14[[#This Row],[entity_spawned (AVG)]])*(Table14[[#This Row],[activating_chance]]/100),0)</f>
        <v>0</v>
      </c>
      <c r="DN71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18" s="72">
        <v>1</v>
      </c>
      <c r="DP718" s="72">
        <v>2</v>
      </c>
      <c r="DQ718" s="72" t="b">
        <v>0</v>
      </c>
    </row>
    <row r="719" spans="112:121" x14ac:dyDescent="0.25">
      <c r="DH719" t="s">
        <v>445</v>
      </c>
      <c r="DI719">
        <v>2.5</v>
      </c>
      <c r="DJ719">
        <v>200</v>
      </c>
      <c r="DK719">
        <v>100</v>
      </c>
      <c r="DL719" s="75">
        <f ca="1">INDIRECT(ADDRESS(11+(MATCH(RIGHT(Table14[[#This Row],[spawner_sku]],LEN(Table14[[#This Row],[spawner_sku]])-FIND("/",Table14[[#This Row],[spawner_sku]])),Table1[Entity Prefab],0)),10,1,1,"Entities"))</f>
        <v>0</v>
      </c>
      <c r="DM719" s="75">
        <f ca="1">ROUND((Table14[[#This Row],[XP]]*Table14[[#This Row],[entity_spawned (AVG)]])*(Table14[[#This Row],[activating_chance]]/100),0)</f>
        <v>0</v>
      </c>
      <c r="DN71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19" s="72">
        <v>2</v>
      </c>
      <c r="DP719" s="72">
        <v>3</v>
      </c>
      <c r="DQ719" s="72" t="b">
        <v>0</v>
      </c>
    </row>
    <row r="720" spans="112:121" x14ac:dyDescent="0.25">
      <c r="DH720" t="s">
        <v>445</v>
      </c>
      <c r="DI720">
        <v>1.5</v>
      </c>
      <c r="DJ720">
        <v>200</v>
      </c>
      <c r="DK720">
        <v>100</v>
      </c>
      <c r="DL720" s="75">
        <f ca="1">INDIRECT(ADDRESS(11+(MATCH(RIGHT(Table14[[#This Row],[spawner_sku]],LEN(Table14[[#This Row],[spawner_sku]])-FIND("/",Table14[[#This Row],[spawner_sku]])),Table1[Entity Prefab],0)),10,1,1,"Entities"))</f>
        <v>0</v>
      </c>
      <c r="DM720" s="75">
        <f ca="1">ROUND((Table14[[#This Row],[XP]]*Table14[[#This Row],[entity_spawned (AVG)]])*(Table14[[#This Row],[activating_chance]]/100),0)</f>
        <v>0</v>
      </c>
      <c r="DN72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20" s="72">
        <v>1</v>
      </c>
      <c r="DP720" s="72">
        <v>2</v>
      </c>
      <c r="DQ720" s="72" t="b">
        <v>0</v>
      </c>
    </row>
    <row r="721" spans="112:121" x14ac:dyDescent="0.25">
      <c r="DH721" t="s">
        <v>445</v>
      </c>
      <c r="DI721">
        <v>1</v>
      </c>
      <c r="DJ721">
        <v>200</v>
      </c>
      <c r="DK721">
        <v>50</v>
      </c>
      <c r="DL721" s="75">
        <f ca="1">INDIRECT(ADDRESS(11+(MATCH(RIGHT(Table14[[#This Row],[spawner_sku]],LEN(Table14[[#This Row],[spawner_sku]])-FIND("/",Table14[[#This Row],[spawner_sku]])),Table1[Entity Prefab],0)),10,1,1,"Entities"))</f>
        <v>0</v>
      </c>
      <c r="DM721" s="75">
        <f ca="1">ROUND((Table14[[#This Row],[XP]]*Table14[[#This Row],[entity_spawned (AVG)]])*(Table14[[#This Row],[activating_chance]]/100),0)</f>
        <v>0</v>
      </c>
      <c r="DN72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21" s="72">
        <v>1</v>
      </c>
      <c r="DP721" s="72">
        <v>1</v>
      </c>
      <c r="DQ721" s="72" t="b">
        <v>0</v>
      </c>
    </row>
    <row r="722" spans="112:121" x14ac:dyDescent="0.25">
      <c r="DH722" t="s">
        <v>445</v>
      </c>
      <c r="DI722">
        <v>1.5</v>
      </c>
      <c r="DJ722">
        <v>200</v>
      </c>
      <c r="DK722">
        <v>50</v>
      </c>
      <c r="DL722" s="75">
        <f ca="1">INDIRECT(ADDRESS(11+(MATCH(RIGHT(Table14[[#This Row],[spawner_sku]],LEN(Table14[[#This Row],[spawner_sku]])-FIND("/",Table14[[#This Row],[spawner_sku]])),Table1[Entity Prefab],0)),10,1,1,"Entities"))</f>
        <v>0</v>
      </c>
      <c r="DM722" s="75">
        <f ca="1">ROUND((Table14[[#This Row],[XP]]*Table14[[#This Row],[entity_spawned (AVG)]])*(Table14[[#This Row],[activating_chance]]/100),0)</f>
        <v>0</v>
      </c>
      <c r="DN72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22" s="72">
        <v>1</v>
      </c>
      <c r="DP722" s="72">
        <v>2</v>
      </c>
      <c r="DQ722" s="72" t="b">
        <v>0</v>
      </c>
    </row>
    <row r="723" spans="112:121" x14ac:dyDescent="0.25">
      <c r="DH723" t="s">
        <v>445</v>
      </c>
      <c r="DI723">
        <v>1.5</v>
      </c>
      <c r="DJ723">
        <v>200</v>
      </c>
      <c r="DK723">
        <v>15</v>
      </c>
      <c r="DL723" s="75">
        <f ca="1">INDIRECT(ADDRESS(11+(MATCH(RIGHT(Table14[[#This Row],[spawner_sku]],LEN(Table14[[#This Row],[spawner_sku]])-FIND("/",Table14[[#This Row],[spawner_sku]])),Table1[Entity Prefab],0)),10,1,1,"Entities"))</f>
        <v>0</v>
      </c>
      <c r="DM723" s="75">
        <f ca="1">ROUND((Table14[[#This Row],[XP]]*Table14[[#This Row],[entity_spawned (AVG)]])*(Table14[[#This Row],[activating_chance]]/100),0)</f>
        <v>0</v>
      </c>
      <c r="DN72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23" s="72">
        <v>1</v>
      </c>
      <c r="DP723" s="72">
        <v>2</v>
      </c>
      <c r="DQ723" s="72" t="b">
        <v>0</v>
      </c>
    </row>
    <row r="724" spans="112:121" x14ac:dyDescent="0.25">
      <c r="DH724" t="s">
        <v>445</v>
      </c>
      <c r="DI724">
        <v>1</v>
      </c>
      <c r="DJ724">
        <v>200</v>
      </c>
      <c r="DK724">
        <v>100</v>
      </c>
      <c r="DL724" s="75">
        <f ca="1">INDIRECT(ADDRESS(11+(MATCH(RIGHT(Table14[[#This Row],[spawner_sku]],LEN(Table14[[#This Row],[spawner_sku]])-FIND("/",Table14[[#This Row],[spawner_sku]])),Table1[Entity Prefab],0)),10,1,1,"Entities"))</f>
        <v>0</v>
      </c>
      <c r="DM724" s="75">
        <f ca="1">ROUND((Table14[[#This Row],[XP]]*Table14[[#This Row],[entity_spawned (AVG)]])*(Table14[[#This Row],[activating_chance]]/100),0)</f>
        <v>0</v>
      </c>
      <c r="DN72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24" s="72">
        <v>1</v>
      </c>
      <c r="DP724" s="72">
        <v>1</v>
      </c>
      <c r="DQ724" s="72" t="b">
        <v>0</v>
      </c>
    </row>
    <row r="725" spans="112:121" x14ac:dyDescent="0.25">
      <c r="DH725" t="s">
        <v>445</v>
      </c>
      <c r="DI725">
        <v>1</v>
      </c>
      <c r="DJ725">
        <v>200</v>
      </c>
      <c r="DK725">
        <v>100</v>
      </c>
      <c r="DL725" s="75">
        <f ca="1">INDIRECT(ADDRESS(11+(MATCH(RIGHT(Table14[[#This Row],[spawner_sku]],LEN(Table14[[#This Row],[spawner_sku]])-FIND("/",Table14[[#This Row],[spawner_sku]])),Table1[Entity Prefab],0)),10,1,1,"Entities"))</f>
        <v>0</v>
      </c>
      <c r="DM725" s="75">
        <f ca="1">ROUND((Table14[[#This Row],[XP]]*Table14[[#This Row],[entity_spawned (AVG)]])*(Table14[[#This Row],[activating_chance]]/100),0)</f>
        <v>0</v>
      </c>
      <c r="DN72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25" s="72">
        <v>1</v>
      </c>
      <c r="DP725" s="72">
        <v>1</v>
      </c>
      <c r="DQ725" s="72" t="b">
        <v>0</v>
      </c>
    </row>
    <row r="726" spans="112:121" x14ac:dyDescent="0.25">
      <c r="DH726" t="s">
        <v>445</v>
      </c>
      <c r="DI726">
        <v>1</v>
      </c>
      <c r="DJ726">
        <v>200</v>
      </c>
      <c r="DK726">
        <v>30</v>
      </c>
      <c r="DL726" s="75">
        <f ca="1">INDIRECT(ADDRESS(11+(MATCH(RIGHT(Table14[[#This Row],[spawner_sku]],LEN(Table14[[#This Row],[spawner_sku]])-FIND("/",Table14[[#This Row],[spawner_sku]])),Table1[Entity Prefab],0)),10,1,1,"Entities"))</f>
        <v>0</v>
      </c>
      <c r="DM726" s="75">
        <f ca="1">ROUND((Table14[[#This Row],[XP]]*Table14[[#This Row],[entity_spawned (AVG)]])*(Table14[[#This Row],[activating_chance]]/100),0)</f>
        <v>0</v>
      </c>
      <c r="DN72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26" s="72">
        <v>1</v>
      </c>
      <c r="DP726" s="72">
        <v>1</v>
      </c>
      <c r="DQ726" s="72" t="b">
        <v>0</v>
      </c>
    </row>
    <row r="727" spans="112:121" x14ac:dyDescent="0.25">
      <c r="DH727" t="s">
        <v>445</v>
      </c>
      <c r="DI727">
        <v>2</v>
      </c>
      <c r="DJ727">
        <v>200</v>
      </c>
      <c r="DK727">
        <v>30</v>
      </c>
      <c r="DL727" s="75">
        <f ca="1">INDIRECT(ADDRESS(11+(MATCH(RIGHT(Table14[[#This Row],[spawner_sku]],LEN(Table14[[#This Row],[spawner_sku]])-FIND("/",Table14[[#This Row],[spawner_sku]])),Table1[Entity Prefab],0)),10,1,1,"Entities"))</f>
        <v>0</v>
      </c>
      <c r="DM727" s="75">
        <f ca="1">ROUND((Table14[[#This Row],[XP]]*Table14[[#This Row],[entity_spawned (AVG)]])*(Table14[[#This Row],[activating_chance]]/100),0)</f>
        <v>0</v>
      </c>
      <c r="DN72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27" s="72">
        <v>1</v>
      </c>
      <c r="DP727" s="72">
        <v>3</v>
      </c>
      <c r="DQ727" s="72" t="b">
        <v>0</v>
      </c>
    </row>
    <row r="728" spans="112:121" x14ac:dyDescent="0.25">
      <c r="DH728" t="s">
        <v>445</v>
      </c>
      <c r="DI728">
        <v>1.5</v>
      </c>
      <c r="DJ728">
        <v>200</v>
      </c>
      <c r="DK728">
        <v>100</v>
      </c>
      <c r="DL728" s="75">
        <f ca="1">INDIRECT(ADDRESS(11+(MATCH(RIGHT(Table14[[#This Row],[spawner_sku]],LEN(Table14[[#This Row],[spawner_sku]])-FIND("/",Table14[[#This Row],[spawner_sku]])),Table1[Entity Prefab],0)),10,1,1,"Entities"))</f>
        <v>0</v>
      </c>
      <c r="DM728" s="75">
        <f ca="1">ROUND((Table14[[#This Row],[XP]]*Table14[[#This Row],[entity_spawned (AVG)]])*(Table14[[#This Row],[activating_chance]]/100),0)</f>
        <v>0</v>
      </c>
      <c r="DN72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28" s="72">
        <v>1</v>
      </c>
      <c r="DP728" s="72">
        <v>2</v>
      </c>
      <c r="DQ728" s="72" t="b">
        <v>0</v>
      </c>
    </row>
    <row r="729" spans="112:121" x14ac:dyDescent="0.25">
      <c r="DH729" t="s">
        <v>445</v>
      </c>
      <c r="DI729">
        <v>2</v>
      </c>
      <c r="DJ729">
        <v>200</v>
      </c>
      <c r="DK729">
        <v>30</v>
      </c>
      <c r="DL729" s="75">
        <f ca="1">INDIRECT(ADDRESS(11+(MATCH(RIGHT(Table14[[#This Row],[spawner_sku]],LEN(Table14[[#This Row],[spawner_sku]])-FIND("/",Table14[[#This Row],[spawner_sku]])),Table1[Entity Prefab],0)),10,1,1,"Entities"))</f>
        <v>0</v>
      </c>
      <c r="DM729" s="75">
        <f ca="1">ROUND((Table14[[#This Row],[XP]]*Table14[[#This Row],[entity_spawned (AVG)]])*(Table14[[#This Row],[activating_chance]]/100),0)</f>
        <v>0</v>
      </c>
      <c r="DN72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29" s="72">
        <v>1</v>
      </c>
      <c r="DP729" s="72">
        <v>3</v>
      </c>
      <c r="DQ729" s="72" t="b">
        <v>0</v>
      </c>
    </row>
    <row r="730" spans="112:121" x14ac:dyDescent="0.25">
      <c r="DH730" t="s">
        <v>445</v>
      </c>
      <c r="DI730">
        <v>1</v>
      </c>
      <c r="DJ730">
        <v>200</v>
      </c>
      <c r="DK730">
        <v>100</v>
      </c>
      <c r="DL730" s="75">
        <f ca="1">INDIRECT(ADDRESS(11+(MATCH(RIGHT(Table14[[#This Row],[spawner_sku]],LEN(Table14[[#This Row],[spawner_sku]])-FIND("/",Table14[[#This Row],[spawner_sku]])),Table1[Entity Prefab],0)),10,1,1,"Entities"))</f>
        <v>0</v>
      </c>
      <c r="DM730" s="75">
        <f ca="1">ROUND((Table14[[#This Row],[XP]]*Table14[[#This Row],[entity_spawned (AVG)]])*(Table14[[#This Row],[activating_chance]]/100),0)</f>
        <v>0</v>
      </c>
      <c r="DN73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30" s="72">
        <v>1</v>
      </c>
      <c r="DP730" s="72">
        <v>1</v>
      </c>
      <c r="DQ730" s="72" t="b">
        <v>0</v>
      </c>
    </row>
    <row r="731" spans="112:121" x14ac:dyDescent="0.25">
      <c r="DH731" t="s">
        <v>445</v>
      </c>
      <c r="DI731">
        <v>1</v>
      </c>
      <c r="DJ731">
        <v>200</v>
      </c>
      <c r="DK731">
        <v>100</v>
      </c>
      <c r="DL731" s="75">
        <f ca="1">INDIRECT(ADDRESS(11+(MATCH(RIGHT(Table14[[#This Row],[spawner_sku]],LEN(Table14[[#This Row],[spawner_sku]])-FIND("/",Table14[[#This Row],[spawner_sku]])),Table1[Entity Prefab],0)),10,1,1,"Entities"))</f>
        <v>0</v>
      </c>
      <c r="DM731" s="75">
        <f ca="1">ROUND((Table14[[#This Row],[XP]]*Table14[[#This Row],[entity_spawned (AVG)]])*(Table14[[#This Row],[activating_chance]]/100),0)</f>
        <v>0</v>
      </c>
      <c r="DN73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31" s="72">
        <v>1</v>
      </c>
      <c r="DP731" s="72">
        <v>1</v>
      </c>
      <c r="DQ731" s="72" t="b">
        <v>0</v>
      </c>
    </row>
    <row r="732" spans="112:121" x14ac:dyDescent="0.25">
      <c r="DH732" t="s">
        <v>445</v>
      </c>
      <c r="DI732">
        <v>1</v>
      </c>
      <c r="DJ732">
        <v>200</v>
      </c>
      <c r="DK732">
        <v>100</v>
      </c>
      <c r="DL732" s="75">
        <f ca="1">INDIRECT(ADDRESS(11+(MATCH(RIGHT(Table14[[#This Row],[spawner_sku]],LEN(Table14[[#This Row],[spawner_sku]])-FIND("/",Table14[[#This Row],[spawner_sku]])),Table1[Entity Prefab],0)),10,1,1,"Entities"))</f>
        <v>0</v>
      </c>
      <c r="DM732" s="75">
        <f ca="1">ROUND((Table14[[#This Row],[XP]]*Table14[[#This Row],[entity_spawned (AVG)]])*(Table14[[#This Row],[activating_chance]]/100),0)</f>
        <v>0</v>
      </c>
      <c r="DN73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32" s="72">
        <v>1</v>
      </c>
      <c r="DP732" s="72">
        <v>1</v>
      </c>
      <c r="DQ732" s="72" t="b">
        <v>0</v>
      </c>
    </row>
    <row r="733" spans="112:121" x14ac:dyDescent="0.25">
      <c r="DH733" t="s">
        <v>445</v>
      </c>
      <c r="DI733">
        <v>1</v>
      </c>
      <c r="DJ733">
        <v>200</v>
      </c>
      <c r="DK733">
        <v>100</v>
      </c>
      <c r="DL733" s="75">
        <f ca="1">INDIRECT(ADDRESS(11+(MATCH(RIGHT(Table14[[#This Row],[spawner_sku]],LEN(Table14[[#This Row],[spawner_sku]])-FIND("/",Table14[[#This Row],[spawner_sku]])),Table1[Entity Prefab],0)),10,1,1,"Entities"))</f>
        <v>0</v>
      </c>
      <c r="DM733" s="75">
        <f ca="1">ROUND((Table14[[#This Row],[XP]]*Table14[[#This Row],[entity_spawned (AVG)]])*(Table14[[#This Row],[activating_chance]]/100),0)</f>
        <v>0</v>
      </c>
      <c r="DN73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33" s="72">
        <v>1</v>
      </c>
      <c r="DP733" s="72">
        <v>1</v>
      </c>
      <c r="DQ733" s="72" t="b">
        <v>0</v>
      </c>
    </row>
    <row r="734" spans="112:121" x14ac:dyDescent="0.25">
      <c r="DH734" t="s">
        <v>445</v>
      </c>
      <c r="DI734">
        <v>1</v>
      </c>
      <c r="DJ734">
        <v>200</v>
      </c>
      <c r="DK734">
        <v>100</v>
      </c>
      <c r="DL734" s="75">
        <f ca="1">INDIRECT(ADDRESS(11+(MATCH(RIGHT(Table14[[#This Row],[spawner_sku]],LEN(Table14[[#This Row],[spawner_sku]])-FIND("/",Table14[[#This Row],[spawner_sku]])),Table1[Entity Prefab],0)),10,1,1,"Entities"))</f>
        <v>0</v>
      </c>
      <c r="DM734" s="75">
        <f ca="1">ROUND((Table14[[#This Row],[XP]]*Table14[[#This Row],[entity_spawned (AVG)]])*(Table14[[#This Row],[activating_chance]]/100),0)</f>
        <v>0</v>
      </c>
      <c r="DN73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34" s="72">
        <v>1</v>
      </c>
      <c r="DP734" s="72">
        <v>1</v>
      </c>
      <c r="DQ734" s="72" t="b">
        <v>0</v>
      </c>
    </row>
    <row r="735" spans="112:121" x14ac:dyDescent="0.25">
      <c r="DH735" t="s">
        <v>445</v>
      </c>
      <c r="DI735">
        <v>1.5</v>
      </c>
      <c r="DJ735">
        <v>200</v>
      </c>
      <c r="DK735">
        <v>25</v>
      </c>
      <c r="DL735" s="75">
        <f ca="1">INDIRECT(ADDRESS(11+(MATCH(RIGHT(Table14[[#This Row],[spawner_sku]],LEN(Table14[[#This Row],[spawner_sku]])-FIND("/",Table14[[#This Row],[spawner_sku]])),Table1[Entity Prefab],0)),10,1,1,"Entities"))</f>
        <v>0</v>
      </c>
      <c r="DM735" s="75">
        <f ca="1">ROUND((Table14[[#This Row],[XP]]*Table14[[#This Row],[entity_spawned (AVG)]])*(Table14[[#This Row],[activating_chance]]/100),0)</f>
        <v>0</v>
      </c>
      <c r="DN73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35" s="72">
        <v>1</v>
      </c>
      <c r="DP735" s="72">
        <v>2</v>
      </c>
      <c r="DQ735" s="72" t="b">
        <v>0</v>
      </c>
    </row>
    <row r="736" spans="112:121" x14ac:dyDescent="0.25">
      <c r="DH736" t="s">
        <v>445</v>
      </c>
      <c r="DI736">
        <v>1</v>
      </c>
      <c r="DJ736">
        <v>200</v>
      </c>
      <c r="DK736">
        <v>100</v>
      </c>
      <c r="DL736" s="75">
        <f ca="1">INDIRECT(ADDRESS(11+(MATCH(RIGHT(Table14[[#This Row],[spawner_sku]],LEN(Table14[[#This Row],[spawner_sku]])-FIND("/",Table14[[#This Row],[spawner_sku]])),Table1[Entity Prefab],0)),10,1,1,"Entities"))</f>
        <v>0</v>
      </c>
      <c r="DM736" s="75">
        <f ca="1">ROUND((Table14[[#This Row],[XP]]*Table14[[#This Row],[entity_spawned (AVG)]])*(Table14[[#This Row],[activating_chance]]/100),0)</f>
        <v>0</v>
      </c>
      <c r="DN73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36" s="72">
        <v>1</v>
      </c>
      <c r="DP736" s="72">
        <v>1</v>
      </c>
      <c r="DQ736" s="72" t="b">
        <v>0</v>
      </c>
    </row>
    <row r="737" spans="112:121" x14ac:dyDescent="0.25">
      <c r="DH737" t="s">
        <v>445</v>
      </c>
      <c r="DI737">
        <v>1</v>
      </c>
      <c r="DJ737">
        <v>200</v>
      </c>
      <c r="DK737">
        <v>100</v>
      </c>
      <c r="DL737" s="75">
        <f ca="1">INDIRECT(ADDRESS(11+(MATCH(RIGHT(Table14[[#This Row],[spawner_sku]],LEN(Table14[[#This Row],[spawner_sku]])-FIND("/",Table14[[#This Row],[spawner_sku]])),Table1[Entity Prefab],0)),10,1,1,"Entities"))</f>
        <v>0</v>
      </c>
      <c r="DM737" s="75">
        <f ca="1">ROUND((Table14[[#This Row],[XP]]*Table14[[#This Row],[entity_spawned (AVG)]])*(Table14[[#This Row],[activating_chance]]/100),0)</f>
        <v>0</v>
      </c>
      <c r="DN73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37" s="72">
        <v>1</v>
      </c>
      <c r="DP737" s="72">
        <v>1</v>
      </c>
      <c r="DQ737" s="72" t="b">
        <v>0</v>
      </c>
    </row>
    <row r="738" spans="112:121" x14ac:dyDescent="0.25">
      <c r="DH738" t="s">
        <v>445</v>
      </c>
      <c r="DI738">
        <v>1.5</v>
      </c>
      <c r="DJ738">
        <v>200</v>
      </c>
      <c r="DK738">
        <v>100</v>
      </c>
      <c r="DL738" s="75">
        <f ca="1">INDIRECT(ADDRESS(11+(MATCH(RIGHT(Table14[[#This Row],[spawner_sku]],LEN(Table14[[#This Row],[spawner_sku]])-FIND("/",Table14[[#This Row],[spawner_sku]])),Table1[Entity Prefab],0)),10,1,1,"Entities"))</f>
        <v>0</v>
      </c>
      <c r="DM738" s="75">
        <f ca="1">ROUND((Table14[[#This Row],[XP]]*Table14[[#This Row],[entity_spawned (AVG)]])*(Table14[[#This Row],[activating_chance]]/100),0)</f>
        <v>0</v>
      </c>
      <c r="DN73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38" s="72">
        <v>1</v>
      </c>
      <c r="DP738" s="72">
        <v>2</v>
      </c>
      <c r="DQ738" s="72" t="b">
        <v>0</v>
      </c>
    </row>
    <row r="739" spans="112:121" x14ac:dyDescent="0.25">
      <c r="DH739" t="s">
        <v>445</v>
      </c>
      <c r="DI739">
        <v>1</v>
      </c>
      <c r="DJ739">
        <v>200</v>
      </c>
      <c r="DK739">
        <v>100</v>
      </c>
      <c r="DL739" s="75">
        <f ca="1">INDIRECT(ADDRESS(11+(MATCH(RIGHT(Table14[[#This Row],[spawner_sku]],LEN(Table14[[#This Row],[spawner_sku]])-FIND("/",Table14[[#This Row],[spawner_sku]])),Table1[Entity Prefab],0)),10,1,1,"Entities"))</f>
        <v>0</v>
      </c>
      <c r="DM739" s="75">
        <f ca="1">ROUND((Table14[[#This Row],[XP]]*Table14[[#This Row],[entity_spawned (AVG)]])*(Table14[[#This Row],[activating_chance]]/100),0)</f>
        <v>0</v>
      </c>
      <c r="DN73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39" s="72">
        <v>1</v>
      </c>
      <c r="DP739" s="72">
        <v>1</v>
      </c>
      <c r="DQ739" s="72" t="b">
        <v>0</v>
      </c>
    </row>
    <row r="740" spans="112:121" x14ac:dyDescent="0.25">
      <c r="DH740" t="s">
        <v>445</v>
      </c>
      <c r="DI740">
        <v>1</v>
      </c>
      <c r="DJ740">
        <v>200</v>
      </c>
      <c r="DK740">
        <v>80</v>
      </c>
      <c r="DL740" s="75">
        <f ca="1">INDIRECT(ADDRESS(11+(MATCH(RIGHT(Table14[[#This Row],[spawner_sku]],LEN(Table14[[#This Row],[spawner_sku]])-FIND("/",Table14[[#This Row],[spawner_sku]])),Table1[Entity Prefab],0)),10,1,1,"Entities"))</f>
        <v>0</v>
      </c>
      <c r="DM740" s="75">
        <f ca="1">ROUND((Table14[[#This Row],[XP]]*Table14[[#This Row],[entity_spawned (AVG)]])*(Table14[[#This Row],[activating_chance]]/100),0)</f>
        <v>0</v>
      </c>
      <c r="DN74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40" s="72">
        <v>1</v>
      </c>
      <c r="DP740" s="72">
        <v>1</v>
      </c>
      <c r="DQ740" s="72" t="b">
        <v>0</v>
      </c>
    </row>
    <row r="741" spans="112:121" x14ac:dyDescent="0.25">
      <c r="DH741" t="s">
        <v>445</v>
      </c>
      <c r="DI741">
        <v>1</v>
      </c>
      <c r="DJ741">
        <v>200</v>
      </c>
      <c r="DK741">
        <v>100</v>
      </c>
      <c r="DL741" s="75">
        <f ca="1">INDIRECT(ADDRESS(11+(MATCH(RIGHT(Table14[[#This Row],[spawner_sku]],LEN(Table14[[#This Row],[spawner_sku]])-FIND("/",Table14[[#This Row],[spawner_sku]])),Table1[Entity Prefab],0)),10,1,1,"Entities"))</f>
        <v>0</v>
      </c>
      <c r="DM741" s="75">
        <f ca="1">ROUND((Table14[[#This Row],[XP]]*Table14[[#This Row],[entity_spawned (AVG)]])*(Table14[[#This Row],[activating_chance]]/100),0)</f>
        <v>0</v>
      </c>
      <c r="DN74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41" s="72">
        <v>1</v>
      </c>
      <c r="DP741" s="72">
        <v>1</v>
      </c>
      <c r="DQ741" s="72" t="b">
        <v>0</v>
      </c>
    </row>
    <row r="742" spans="112:121" x14ac:dyDescent="0.25">
      <c r="DH742" t="s">
        <v>445</v>
      </c>
      <c r="DI742">
        <v>1</v>
      </c>
      <c r="DJ742">
        <v>200</v>
      </c>
      <c r="DK742">
        <v>100</v>
      </c>
      <c r="DL742" s="75">
        <f ca="1">INDIRECT(ADDRESS(11+(MATCH(RIGHT(Table14[[#This Row],[spawner_sku]],LEN(Table14[[#This Row],[spawner_sku]])-FIND("/",Table14[[#This Row],[spawner_sku]])),Table1[Entity Prefab],0)),10,1,1,"Entities"))</f>
        <v>0</v>
      </c>
      <c r="DM742" s="75">
        <f ca="1">ROUND((Table14[[#This Row],[XP]]*Table14[[#This Row],[entity_spawned (AVG)]])*(Table14[[#This Row],[activating_chance]]/100),0)</f>
        <v>0</v>
      </c>
      <c r="DN74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42" s="72">
        <v>1</v>
      </c>
      <c r="DP742" s="72">
        <v>1</v>
      </c>
      <c r="DQ742" s="72" t="b">
        <v>0</v>
      </c>
    </row>
    <row r="743" spans="112:121" x14ac:dyDescent="0.25">
      <c r="DH743" t="s">
        <v>445</v>
      </c>
      <c r="DI743">
        <v>1</v>
      </c>
      <c r="DJ743">
        <v>200</v>
      </c>
      <c r="DK743">
        <v>100</v>
      </c>
      <c r="DL743" s="75">
        <f ca="1">INDIRECT(ADDRESS(11+(MATCH(RIGHT(Table14[[#This Row],[spawner_sku]],LEN(Table14[[#This Row],[spawner_sku]])-FIND("/",Table14[[#This Row],[spawner_sku]])),Table1[Entity Prefab],0)),10,1,1,"Entities"))</f>
        <v>0</v>
      </c>
      <c r="DM743" s="75">
        <f ca="1">ROUND((Table14[[#This Row],[XP]]*Table14[[#This Row],[entity_spawned (AVG)]])*(Table14[[#This Row],[activating_chance]]/100),0)</f>
        <v>0</v>
      </c>
      <c r="DN74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43" s="72">
        <v>1</v>
      </c>
      <c r="DP743" s="72">
        <v>1</v>
      </c>
      <c r="DQ743" s="72" t="b">
        <v>0</v>
      </c>
    </row>
    <row r="744" spans="112:121" x14ac:dyDescent="0.25">
      <c r="DH744" t="s">
        <v>445</v>
      </c>
      <c r="DI744">
        <v>1</v>
      </c>
      <c r="DJ744">
        <v>200</v>
      </c>
      <c r="DK744">
        <v>100</v>
      </c>
      <c r="DL744" s="75">
        <f ca="1">INDIRECT(ADDRESS(11+(MATCH(RIGHT(Table14[[#This Row],[spawner_sku]],LEN(Table14[[#This Row],[spawner_sku]])-FIND("/",Table14[[#This Row],[spawner_sku]])),Table1[Entity Prefab],0)),10,1,1,"Entities"))</f>
        <v>0</v>
      </c>
      <c r="DM744" s="75">
        <f ca="1">ROUND((Table14[[#This Row],[XP]]*Table14[[#This Row],[entity_spawned (AVG)]])*(Table14[[#This Row],[activating_chance]]/100),0)</f>
        <v>0</v>
      </c>
      <c r="DN74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44" s="72">
        <v>1</v>
      </c>
      <c r="DP744" s="72">
        <v>1</v>
      </c>
      <c r="DQ744" s="72" t="b">
        <v>0</v>
      </c>
    </row>
    <row r="745" spans="112:121" x14ac:dyDescent="0.25">
      <c r="DH745" t="s">
        <v>606</v>
      </c>
      <c r="DI745">
        <v>1</v>
      </c>
      <c r="DJ745">
        <v>5000</v>
      </c>
      <c r="DK745">
        <v>75</v>
      </c>
      <c r="DL745" s="75">
        <f ca="1">INDIRECT(ADDRESS(11+(MATCH(RIGHT(Table14[[#This Row],[spawner_sku]],LEN(Table14[[#This Row],[spawner_sku]])-FIND("/",Table14[[#This Row],[spawner_sku]])),Table1[Entity Prefab],0)),10,1,1,"Entities"))</f>
        <v>25</v>
      </c>
      <c r="DM745" s="75">
        <f ca="1">ROUND((Table14[[#This Row],[XP]]*Table14[[#This Row],[entity_spawned (AVG)]])*(Table14[[#This Row],[activating_chance]]/100),0)</f>
        <v>19</v>
      </c>
      <c r="DN74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45" s="72">
        <v>1</v>
      </c>
      <c r="DP745" s="72">
        <v>1</v>
      </c>
      <c r="DQ745" s="72" t="b">
        <v>0</v>
      </c>
    </row>
    <row r="746" spans="112:121" x14ac:dyDescent="0.25">
      <c r="DH746" t="s">
        <v>606</v>
      </c>
      <c r="DI746">
        <v>1</v>
      </c>
      <c r="DJ746">
        <v>5000</v>
      </c>
      <c r="DK746">
        <v>75</v>
      </c>
      <c r="DL746" s="75">
        <f ca="1">INDIRECT(ADDRESS(11+(MATCH(RIGHT(Table14[[#This Row],[spawner_sku]],LEN(Table14[[#This Row],[spawner_sku]])-FIND("/",Table14[[#This Row],[spawner_sku]])),Table1[Entity Prefab],0)),10,1,1,"Entities"))</f>
        <v>25</v>
      </c>
      <c r="DM746" s="75">
        <f ca="1">ROUND((Table14[[#This Row],[XP]]*Table14[[#This Row],[entity_spawned (AVG)]])*(Table14[[#This Row],[activating_chance]]/100),0)</f>
        <v>19</v>
      </c>
      <c r="DN74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46" s="72">
        <v>1</v>
      </c>
      <c r="DP746" s="72">
        <v>1</v>
      </c>
      <c r="DQ746" s="72" t="b">
        <v>0</v>
      </c>
    </row>
    <row r="747" spans="112:121" x14ac:dyDescent="0.25">
      <c r="DH747" t="s">
        <v>606</v>
      </c>
      <c r="DI747">
        <v>1</v>
      </c>
      <c r="DJ747">
        <v>5000</v>
      </c>
      <c r="DK747">
        <v>75</v>
      </c>
      <c r="DL747" s="75">
        <f ca="1">INDIRECT(ADDRESS(11+(MATCH(RIGHT(Table14[[#This Row],[spawner_sku]],LEN(Table14[[#This Row],[spawner_sku]])-FIND("/",Table14[[#This Row],[spawner_sku]])),Table1[Entity Prefab],0)),10,1,1,"Entities"))</f>
        <v>25</v>
      </c>
      <c r="DM747" s="75">
        <f ca="1">ROUND((Table14[[#This Row],[XP]]*Table14[[#This Row],[entity_spawned (AVG)]])*(Table14[[#This Row],[activating_chance]]/100),0)</f>
        <v>19</v>
      </c>
      <c r="DN74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47" s="72">
        <v>1</v>
      </c>
      <c r="DP747" s="72">
        <v>1</v>
      </c>
      <c r="DQ747" s="72" t="b">
        <v>0</v>
      </c>
    </row>
    <row r="748" spans="112:121" x14ac:dyDescent="0.25">
      <c r="DH748" t="s">
        <v>606</v>
      </c>
      <c r="DI748">
        <v>1</v>
      </c>
      <c r="DJ748">
        <v>5000</v>
      </c>
      <c r="DK748">
        <v>75</v>
      </c>
      <c r="DL748" s="75">
        <f ca="1">INDIRECT(ADDRESS(11+(MATCH(RIGHT(Table14[[#This Row],[spawner_sku]],LEN(Table14[[#This Row],[spawner_sku]])-FIND("/",Table14[[#This Row],[spawner_sku]])),Table1[Entity Prefab],0)),10,1,1,"Entities"))</f>
        <v>25</v>
      </c>
      <c r="DM748" s="75">
        <f ca="1">ROUND((Table14[[#This Row],[XP]]*Table14[[#This Row],[entity_spawned (AVG)]])*(Table14[[#This Row],[activating_chance]]/100),0)</f>
        <v>19</v>
      </c>
      <c r="DN74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48" s="72">
        <v>1</v>
      </c>
      <c r="DP748" s="72">
        <v>1</v>
      </c>
      <c r="DQ748" s="72" t="b">
        <v>0</v>
      </c>
    </row>
    <row r="749" spans="112:121" x14ac:dyDescent="0.25">
      <c r="DH749" t="s">
        <v>246</v>
      </c>
      <c r="DI749">
        <v>1</v>
      </c>
      <c r="DJ749">
        <v>500</v>
      </c>
      <c r="DK749">
        <v>75</v>
      </c>
      <c r="DL749" s="75">
        <f ca="1">INDIRECT(ADDRESS(11+(MATCH(RIGHT(Table14[[#This Row],[spawner_sku]],LEN(Table14[[#This Row],[spawner_sku]])-FIND("/",Table14[[#This Row],[spawner_sku]])),Table1[Entity Prefab],0)),10,1,1,"Entities"))</f>
        <v>25</v>
      </c>
      <c r="DM749" s="75">
        <f ca="1">ROUND((Table14[[#This Row],[XP]]*Table14[[#This Row],[entity_spawned (AVG)]])*(Table14[[#This Row],[activating_chance]]/100),0)</f>
        <v>19</v>
      </c>
      <c r="DN74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49" s="72">
        <v>1</v>
      </c>
      <c r="DP749" s="72">
        <v>1</v>
      </c>
      <c r="DQ749" s="72" t="b">
        <v>0</v>
      </c>
    </row>
    <row r="750" spans="112:121" x14ac:dyDescent="0.25">
      <c r="DH750" t="s">
        <v>246</v>
      </c>
      <c r="DI750">
        <v>1</v>
      </c>
      <c r="DJ750">
        <v>500</v>
      </c>
      <c r="DK750">
        <v>100</v>
      </c>
      <c r="DL750" s="75">
        <f ca="1">INDIRECT(ADDRESS(11+(MATCH(RIGHT(Table14[[#This Row],[spawner_sku]],LEN(Table14[[#This Row],[spawner_sku]])-FIND("/",Table14[[#This Row],[spawner_sku]])),Table1[Entity Prefab],0)),10,1,1,"Entities"))</f>
        <v>25</v>
      </c>
      <c r="DM750" s="75">
        <f ca="1">ROUND((Table14[[#This Row],[XP]]*Table14[[#This Row],[entity_spawned (AVG)]])*(Table14[[#This Row],[activating_chance]]/100),0)</f>
        <v>25</v>
      </c>
      <c r="DN75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50" s="72">
        <v>1</v>
      </c>
      <c r="DP750" s="72">
        <v>1</v>
      </c>
      <c r="DQ750" s="72" t="b">
        <v>0</v>
      </c>
    </row>
    <row r="751" spans="112:121" x14ac:dyDescent="0.25">
      <c r="DH751" t="s">
        <v>246</v>
      </c>
      <c r="DI751">
        <v>1</v>
      </c>
      <c r="DJ751">
        <v>500</v>
      </c>
      <c r="DK751">
        <v>100</v>
      </c>
      <c r="DL751" s="75">
        <f ca="1">INDIRECT(ADDRESS(11+(MATCH(RIGHT(Table14[[#This Row],[spawner_sku]],LEN(Table14[[#This Row],[spawner_sku]])-FIND("/",Table14[[#This Row],[spawner_sku]])),Table1[Entity Prefab],0)),10,1,1,"Entities"))</f>
        <v>25</v>
      </c>
      <c r="DM751" s="75">
        <f ca="1">ROUND((Table14[[#This Row],[XP]]*Table14[[#This Row],[entity_spawned (AVG)]])*(Table14[[#This Row],[activating_chance]]/100),0)</f>
        <v>25</v>
      </c>
      <c r="DN75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51" s="72">
        <v>1</v>
      </c>
      <c r="DP751" s="72">
        <v>1</v>
      </c>
      <c r="DQ751" s="72" t="b">
        <v>0</v>
      </c>
    </row>
    <row r="752" spans="112:121" x14ac:dyDescent="0.25">
      <c r="DH752" t="s">
        <v>246</v>
      </c>
      <c r="DI752">
        <v>1</v>
      </c>
      <c r="DJ752">
        <v>500</v>
      </c>
      <c r="DK752">
        <v>75</v>
      </c>
      <c r="DL752" s="75">
        <f ca="1">INDIRECT(ADDRESS(11+(MATCH(RIGHT(Table14[[#This Row],[spawner_sku]],LEN(Table14[[#This Row],[spawner_sku]])-FIND("/",Table14[[#This Row],[spawner_sku]])),Table1[Entity Prefab],0)),10,1,1,"Entities"))</f>
        <v>25</v>
      </c>
      <c r="DM752" s="75">
        <f ca="1">ROUND((Table14[[#This Row],[XP]]*Table14[[#This Row],[entity_spawned (AVG)]])*(Table14[[#This Row],[activating_chance]]/100),0)</f>
        <v>19</v>
      </c>
      <c r="DN75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52" s="72">
        <v>1</v>
      </c>
      <c r="DP752" s="72">
        <v>1</v>
      </c>
      <c r="DQ752" s="72" t="b">
        <v>0</v>
      </c>
    </row>
    <row r="753" spans="112:121" x14ac:dyDescent="0.25">
      <c r="DH753" t="s">
        <v>246</v>
      </c>
      <c r="DI753">
        <v>1</v>
      </c>
      <c r="DJ753">
        <v>500</v>
      </c>
      <c r="DK753">
        <v>100</v>
      </c>
      <c r="DL753" s="75">
        <f ca="1">INDIRECT(ADDRESS(11+(MATCH(RIGHT(Table14[[#This Row],[spawner_sku]],LEN(Table14[[#This Row],[spawner_sku]])-FIND("/",Table14[[#This Row],[spawner_sku]])),Table1[Entity Prefab],0)),10,1,1,"Entities"))</f>
        <v>25</v>
      </c>
      <c r="DM753" s="75">
        <f ca="1">ROUND((Table14[[#This Row],[XP]]*Table14[[#This Row],[entity_spawned (AVG)]])*(Table14[[#This Row],[activating_chance]]/100),0)</f>
        <v>25</v>
      </c>
      <c r="DN75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53" s="72">
        <v>1</v>
      </c>
      <c r="DP753" s="72">
        <v>1</v>
      </c>
      <c r="DQ753" s="72" t="b">
        <v>0</v>
      </c>
    </row>
    <row r="754" spans="112:121" x14ac:dyDescent="0.25">
      <c r="DH754" t="s">
        <v>246</v>
      </c>
      <c r="DI754">
        <v>1</v>
      </c>
      <c r="DJ754">
        <v>500</v>
      </c>
      <c r="DK754">
        <v>100</v>
      </c>
      <c r="DL754" s="75">
        <f ca="1">INDIRECT(ADDRESS(11+(MATCH(RIGHT(Table14[[#This Row],[spawner_sku]],LEN(Table14[[#This Row],[spawner_sku]])-FIND("/",Table14[[#This Row],[spawner_sku]])),Table1[Entity Prefab],0)),10,1,1,"Entities"))</f>
        <v>25</v>
      </c>
      <c r="DM754" s="75">
        <f ca="1">ROUND((Table14[[#This Row],[XP]]*Table14[[#This Row],[entity_spawned (AVG)]])*(Table14[[#This Row],[activating_chance]]/100),0)</f>
        <v>25</v>
      </c>
      <c r="DN75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54" s="72">
        <v>1</v>
      </c>
      <c r="DP754" s="72">
        <v>1</v>
      </c>
      <c r="DQ754" s="72" t="b">
        <v>0</v>
      </c>
    </row>
    <row r="755" spans="112:121" x14ac:dyDescent="0.25">
      <c r="DH755" t="s">
        <v>246</v>
      </c>
      <c r="DI755">
        <v>1</v>
      </c>
      <c r="DJ755">
        <v>500</v>
      </c>
      <c r="DK755">
        <v>100</v>
      </c>
      <c r="DL755" s="75">
        <f ca="1">INDIRECT(ADDRESS(11+(MATCH(RIGHT(Table14[[#This Row],[spawner_sku]],LEN(Table14[[#This Row],[spawner_sku]])-FIND("/",Table14[[#This Row],[spawner_sku]])),Table1[Entity Prefab],0)),10,1,1,"Entities"))</f>
        <v>25</v>
      </c>
      <c r="DM755" s="75">
        <f ca="1">ROUND((Table14[[#This Row],[XP]]*Table14[[#This Row],[entity_spawned (AVG)]])*(Table14[[#This Row],[activating_chance]]/100),0)</f>
        <v>25</v>
      </c>
      <c r="DN75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55" s="72">
        <v>1</v>
      </c>
      <c r="DP755" s="72">
        <v>1</v>
      </c>
      <c r="DQ755" s="72" t="b">
        <v>0</v>
      </c>
    </row>
    <row r="756" spans="112:121" x14ac:dyDescent="0.25">
      <c r="DH756" t="s">
        <v>246</v>
      </c>
      <c r="DI756">
        <v>1</v>
      </c>
      <c r="DJ756">
        <v>500</v>
      </c>
      <c r="DK756">
        <v>100</v>
      </c>
      <c r="DL756" s="75">
        <f ca="1">INDIRECT(ADDRESS(11+(MATCH(RIGHT(Table14[[#This Row],[spawner_sku]],LEN(Table14[[#This Row],[spawner_sku]])-FIND("/",Table14[[#This Row],[spawner_sku]])),Table1[Entity Prefab],0)),10,1,1,"Entities"))</f>
        <v>25</v>
      </c>
      <c r="DM756" s="75">
        <f ca="1">ROUND((Table14[[#This Row],[XP]]*Table14[[#This Row],[entity_spawned (AVG)]])*(Table14[[#This Row],[activating_chance]]/100),0)</f>
        <v>25</v>
      </c>
      <c r="DN75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56" s="72">
        <v>1</v>
      </c>
      <c r="DP756" s="72">
        <v>1</v>
      </c>
      <c r="DQ756" s="72" t="b">
        <v>0</v>
      </c>
    </row>
    <row r="757" spans="112:121" x14ac:dyDescent="0.25">
      <c r="DH757" t="s">
        <v>246</v>
      </c>
      <c r="DI757">
        <v>1</v>
      </c>
      <c r="DJ757">
        <v>500</v>
      </c>
      <c r="DK757">
        <v>100</v>
      </c>
      <c r="DL757" s="75">
        <f ca="1">INDIRECT(ADDRESS(11+(MATCH(RIGHT(Table14[[#This Row],[spawner_sku]],LEN(Table14[[#This Row],[spawner_sku]])-FIND("/",Table14[[#This Row],[spawner_sku]])),Table1[Entity Prefab],0)),10,1,1,"Entities"))</f>
        <v>25</v>
      </c>
      <c r="DM757" s="75">
        <f ca="1">ROUND((Table14[[#This Row],[XP]]*Table14[[#This Row],[entity_spawned (AVG)]])*(Table14[[#This Row],[activating_chance]]/100),0)</f>
        <v>25</v>
      </c>
      <c r="DN75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57" s="72">
        <v>1</v>
      </c>
      <c r="DP757" s="72">
        <v>1</v>
      </c>
      <c r="DQ757" s="72" t="b">
        <v>0</v>
      </c>
    </row>
    <row r="758" spans="112:121" x14ac:dyDescent="0.25">
      <c r="DH758" t="s">
        <v>246</v>
      </c>
      <c r="DI758">
        <v>1</v>
      </c>
      <c r="DJ758">
        <v>500</v>
      </c>
      <c r="DK758">
        <v>75</v>
      </c>
      <c r="DL758" s="75">
        <f ca="1">INDIRECT(ADDRESS(11+(MATCH(RIGHT(Table14[[#This Row],[spawner_sku]],LEN(Table14[[#This Row],[spawner_sku]])-FIND("/",Table14[[#This Row],[spawner_sku]])),Table1[Entity Prefab],0)),10,1,1,"Entities"))</f>
        <v>25</v>
      </c>
      <c r="DM758" s="75">
        <f ca="1">ROUND((Table14[[#This Row],[XP]]*Table14[[#This Row],[entity_spawned (AVG)]])*(Table14[[#This Row],[activating_chance]]/100),0)</f>
        <v>19</v>
      </c>
      <c r="DN75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58" s="72">
        <v>1</v>
      </c>
      <c r="DP758" s="72">
        <v>1</v>
      </c>
      <c r="DQ758" s="72" t="b">
        <v>0</v>
      </c>
    </row>
    <row r="759" spans="112:121" x14ac:dyDescent="0.25">
      <c r="DH759" t="s">
        <v>490</v>
      </c>
      <c r="DI759">
        <v>1</v>
      </c>
      <c r="DJ759">
        <v>140</v>
      </c>
      <c r="DK759">
        <v>10</v>
      </c>
      <c r="DL759" s="75">
        <f ca="1">INDIRECT(ADDRESS(11+(MATCH(RIGHT(Table14[[#This Row],[spawner_sku]],LEN(Table14[[#This Row],[spawner_sku]])-FIND("/",Table14[[#This Row],[spawner_sku]])),Table1[Entity Prefab],0)),10,1,1,"Entities"))</f>
        <v>28</v>
      </c>
      <c r="DM759" s="75">
        <f ca="1">ROUND((Table14[[#This Row],[XP]]*Table14[[#This Row],[entity_spawned (AVG)]])*(Table14[[#This Row],[activating_chance]]/100),0)</f>
        <v>3</v>
      </c>
      <c r="DN75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59" s="72">
        <v>1</v>
      </c>
      <c r="DP759" s="72">
        <v>1</v>
      </c>
      <c r="DQ759" s="72" t="b">
        <v>0</v>
      </c>
    </row>
    <row r="760" spans="112:121" x14ac:dyDescent="0.25">
      <c r="DH760" t="s">
        <v>490</v>
      </c>
      <c r="DI760">
        <v>1</v>
      </c>
      <c r="DJ760">
        <v>140</v>
      </c>
      <c r="DK760">
        <v>100</v>
      </c>
      <c r="DL760" s="75">
        <f ca="1">INDIRECT(ADDRESS(11+(MATCH(RIGHT(Table14[[#This Row],[spawner_sku]],LEN(Table14[[#This Row],[spawner_sku]])-FIND("/",Table14[[#This Row],[spawner_sku]])),Table1[Entity Prefab],0)),10,1,1,"Entities"))</f>
        <v>28</v>
      </c>
      <c r="DM760" s="75">
        <f ca="1">ROUND((Table14[[#This Row],[XP]]*Table14[[#This Row],[entity_spawned (AVG)]])*(Table14[[#This Row],[activating_chance]]/100),0)</f>
        <v>28</v>
      </c>
      <c r="DN76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60" s="72">
        <v>1</v>
      </c>
      <c r="DP760" s="72">
        <v>1</v>
      </c>
      <c r="DQ760" s="72" t="b">
        <v>0</v>
      </c>
    </row>
    <row r="761" spans="112:121" x14ac:dyDescent="0.25">
      <c r="DH761" t="s">
        <v>490</v>
      </c>
      <c r="DI761">
        <v>1</v>
      </c>
      <c r="DJ761">
        <v>110</v>
      </c>
      <c r="DK761">
        <v>80</v>
      </c>
      <c r="DL761" s="75">
        <f ca="1">INDIRECT(ADDRESS(11+(MATCH(RIGHT(Table14[[#This Row],[spawner_sku]],LEN(Table14[[#This Row],[spawner_sku]])-FIND("/",Table14[[#This Row],[spawner_sku]])),Table1[Entity Prefab],0)),10,1,1,"Entities"))</f>
        <v>28</v>
      </c>
      <c r="DM761" s="75">
        <f ca="1">ROUND((Table14[[#This Row],[XP]]*Table14[[#This Row],[entity_spawned (AVG)]])*(Table14[[#This Row],[activating_chance]]/100),0)</f>
        <v>22</v>
      </c>
      <c r="DN76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61" s="72">
        <v>1</v>
      </c>
      <c r="DP761" s="72">
        <v>1</v>
      </c>
      <c r="DQ761" s="72" t="b">
        <v>0</v>
      </c>
    </row>
    <row r="762" spans="112:121" x14ac:dyDescent="0.25">
      <c r="DH762" t="s">
        <v>490</v>
      </c>
      <c r="DI762">
        <v>1</v>
      </c>
      <c r="DJ762">
        <v>140</v>
      </c>
      <c r="DK762">
        <v>30</v>
      </c>
      <c r="DL762" s="75">
        <f ca="1">INDIRECT(ADDRESS(11+(MATCH(RIGHT(Table14[[#This Row],[spawner_sku]],LEN(Table14[[#This Row],[spawner_sku]])-FIND("/",Table14[[#This Row],[spawner_sku]])),Table1[Entity Prefab],0)),10,1,1,"Entities"))</f>
        <v>28</v>
      </c>
      <c r="DM762" s="75">
        <f ca="1">ROUND((Table14[[#This Row],[XP]]*Table14[[#This Row],[entity_spawned (AVG)]])*(Table14[[#This Row],[activating_chance]]/100),0)</f>
        <v>8</v>
      </c>
      <c r="DN76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62" s="72">
        <v>1</v>
      </c>
      <c r="DP762" s="72">
        <v>1</v>
      </c>
      <c r="DQ762" s="72" t="b">
        <v>0</v>
      </c>
    </row>
    <row r="763" spans="112:121" x14ac:dyDescent="0.25">
      <c r="DH763" t="s">
        <v>490</v>
      </c>
      <c r="DI763">
        <v>1</v>
      </c>
      <c r="DJ763">
        <v>140</v>
      </c>
      <c r="DK763">
        <v>100</v>
      </c>
      <c r="DL763" s="75">
        <f ca="1">INDIRECT(ADDRESS(11+(MATCH(RIGHT(Table14[[#This Row],[spawner_sku]],LEN(Table14[[#This Row],[spawner_sku]])-FIND("/",Table14[[#This Row],[spawner_sku]])),Table1[Entity Prefab],0)),10,1,1,"Entities"))</f>
        <v>28</v>
      </c>
      <c r="DM763" s="75">
        <f ca="1">ROUND((Table14[[#This Row],[XP]]*Table14[[#This Row],[entity_spawned (AVG)]])*(Table14[[#This Row],[activating_chance]]/100),0)</f>
        <v>28</v>
      </c>
      <c r="DN76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63" s="72">
        <v>1</v>
      </c>
      <c r="DP763" s="72">
        <v>1</v>
      </c>
      <c r="DQ763" s="72" t="b">
        <v>0</v>
      </c>
    </row>
    <row r="764" spans="112:121" x14ac:dyDescent="0.25">
      <c r="DH764" t="s">
        <v>490</v>
      </c>
      <c r="DI764">
        <v>1</v>
      </c>
      <c r="DJ764">
        <v>140</v>
      </c>
      <c r="DK764">
        <v>100</v>
      </c>
      <c r="DL764" s="75">
        <f ca="1">INDIRECT(ADDRESS(11+(MATCH(RIGHT(Table14[[#This Row],[spawner_sku]],LEN(Table14[[#This Row],[spawner_sku]])-FIND("/",Table14[[#This Row],[spawner_sku]])),Table1[Entity Prefab],0)),10,1,1,"Entities"))</f>
        <v>28</v>
      </c>
      <c r="DM764" s="75">
        <f ca="1">ROUND((Table14[[#This Row],[XP]]*Table14[[#This Row],[entity_spawned (AVG)]])*(Table14[[#This Row],[activating_chance]]/100),0)</f>
        <v>28</v>
      </c>
      <c r="DN76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64" s="72">
        <v>1</v>
      </c>
      <c r="DP764" s="72">
        <v>1</v>
      </c>
      <c r="DQ764" s="72" t="b">
        <v>0</v>
      </c>
    </row>
    <row r="765" spans="112:121" x14ac:dyDescent="0.25">
      <c r="DH765" t="s">
        <v>490</v>
      </c>
      <c r="DI765">
        <v>1</v>
      </c>
      <c r="DJ765">
        <v>140</v>
      </c>
      <c r="DK765">
        <v>70</v>
      </c>
      <c r="DL765" s="75">
        <f ca="1">INDIRECT(ADDRESS(11+(MATCH(RIGHT(Table14[[#This Row],[spawner_sku]],LEN(Table14[[#This Row],[spawner_sku]])-FIND("/",Table14[[#This Row],[spawner_sku]])),Table1[Entity Prefab],0)),10,1,1,"Entities"))</f>
        <v>28</v>
      </c>
      <c r="DM765" s="75">
        <f ca="1">ROUND((Table14[[#This Row],[XP]]*Table14[[#This Row],[entity_spawned (AVG)]])*(Table14[[#This Row],[activating_chance]]/100),0)</f>
        <v>20</v>
      </c>
      <c r="DN76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65" s="72">
        <v>1</v>
      </c>
      <c r="DP765" s="72">
        <v>1</v>
      </c>
      <c r="DQ765" s="72" t="b">
        <v>0</v>
      </c>
    </row>
    <row r="766" spans="112:121" x14ac:dyDescent="0.25">
      <c r="DH766" t="s">
        <v>490</v>
      </c>
      <c r="DI766">
        <v>1</v>
      </c>
      <c r="DJ766">
        <v>140</v>
      </c>
      <c r="DK766">
        <v>100</v>
      </c>
      <c r="DL766" s="75">
        <f ca="1">INDIRECT(ADDRESS(11+(MATCH(RIGHT(Table14[[#This Row],[spawner_sku]],LEN(Table14[[#This Row],[spawner_sku]])-FIND("/",Table14[[#This Row],[spawner_sku]])),Table1[Entity Prefab],0)),10,1,1,"Entities"))</f>
        <v>28</v>
      </c>
      <c r="DM766" s="75">
        <f ca="1">ROUND((Table14[[#This Row],[XP]]*Table14[[#This Row],[entity_spawned (AVG)]])*(Table14[[#This Row],[activating_chance]]/100),0)</f>
        <v>28</v>
      </c>
      <c r="DN76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66" s="72">
        <v>1</v>
      </c>
      <c r="DP766" s="72">
        <v>1</v>
      </c>
      <c r="DQ766" s="72" t="b">
        <v>0</v>
      </c>
    </row>
    <row r="767" spans="112:121" x14ac:dyDescent="0.25">
      <c r="DH767" t="s">
        <v>490</v>
      </c>
      <c r="DI767">
        <v>1</v>
      </c>
      <c r="DJ767">
        <v>140</v>
      </c>
      <c r="DK767">
        <v>100</v>
      </c>
      <c r="DL767" s="75">
        <f ca="1">INDIRECT(ADDRESS(11+(MATCH(RIGHT(Table14[[#This Row],[spawner_sku]],LEN(Table14[[#This Row],[spawner_sku]])-FIND("/",Table14[[#This Row],[spawner_sku]])),Table1[Entity Prefab],0)),10,1,1,"Entities"))</f>
        <v>28</v>
      </c>
      <c r="DM767" s="75">
        <f ca="1">ROUND((Table14[[#This Row],[XP]]*Table14[[#This Row],[entity_spawned (AVG)]])*(Table14[[#This Row],[activating_chance]]/100),0)</f>
        <v>28</v>
      </c>
      <c r="DN76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67" s="72">
        <v>1</v>
      </c>
      <c r="DP767" s="72">
        <v>1</v>
      </c>
      <c r="DQ767" s="72" t="b">
        <v>0</v>
      </c>
    </row>
    <row r="768" spans="112:121" x14ac:dyDescent="0.25">
      <c r="DH768" t="s">
        <v>490</v>
      </c>
      <c r="DI768">
        <v>1</v>
      </c>
      <c r="DJ768">
        <v>90</v>
      </c>
      <c r="DK768">
        <v>100</v>
      </c>
      <c r="DL768" s="75">
        <f ca="1">INDIRECT(ADDRESS(11+(MATCH(RIGHT(Table14[[#This Row],[spawner_sku]],LEN(Table14[[#This Row],[spawner_sku]])-FIND("/",Table14[[#This Row],[spawner_sku]])),Table1[Entity Prefab],0)),10,1,1,"Entities"))</f>
        <v>28</v>
      </c>
      <c r="DM768" s="75">
        <f ca="1">ROUND((Table14[[#This Row],[XP]]*Table14[[#This Row],[entity_spawned (AVG)]])*(Table14[[#This Row],[activating_chance]]/100),0)</f>
        <v>28</v>
      </c>
      <c r="DN76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68" s="72">
        <v>1</v>
      </c>
      <c r="DP768" s="72">
        <v>1</v>
      </c>
      <c r="DQ768" s="72" t="b">
        <v>0</v>
      </c>
    </row>
    <row r="769" spans="112:121" x14ac:dyDescent="0.25">
      <c r="DH769" t="s">
        <v>490</v>
      </c>
      <c r="DI769">
        <v>1</v>
      </c>
      <c r="DJ769">
        <v>120</v>
      </c>
      <c r="DK769">
        <v>100</v>
      </c>
      <c r="DL769" s="75">
        <f ca="1">INDIRECT(ADDRESS(11+(MATCH(RIGHT(Table14[[#This Row],[spawner_sku]],LEN(Table14[[#This Row],[spawner_sku]])-FIND("/",Table14[[#This Row],[spawner_sku]])),Table1[Entity Prefab],0)),10,1,1,"Entities"))</f>
        <v>28</v>
      </c>
      <c r="DM769" s="75">
        <f ca="1">ROUND((Table14[[#This Row],[XP]]*Table14[[#This Row],[entity_spawned (AVG)]])*(Table14[[#This Row],[activating_chance]]/100),0)</f>
        <v>28</v>
      </c>
      <c r="DN76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69" s="72">
        <v>1</v>
      </c>
      <c r="DP769" s="72">
        <v>1</v>
      </c>
      <c r="DQ769" s="72" t="b">
        <v>0</v>
      </c>
    </row>
    <row r="770" spans="112:121" x14ac:dyDescent="0.25">
      <c r="DH770" t="s">
        <v>490</v>
      </c>
      <c r="DI770">
        <v>1</v>
      </c>
      <c r="DJ770">
        <v>140</v>
      </c>
      <c r="DK770">
        <v>30</v>
      </c>
      <c r="DL770" s="75">
        <f ca="1">INDIRECT(ADDRESS(11+(MATCH(RIGHT(Table14[[#This Row],[spawner_sku]],LEN(Table14[[#This Row],[spawner_sku]])-FIND("/",Table14[[#This Row],[spawner_sku]])),Table1[Entity Prefab],0)),10,1,1,"Entities"))</f>
        <v>28</v>
      </c>
      <c r="DM770" s="75">
        <f ca="1">ROUND((Table14[[#This Row],[XP]]*Table14[[#This Row],[entity_spawned (AVG)]])*(Table14[[#This Row],[activating_chance]]/100),0)</f>
        <v>8</v>
      </c>
      <c r="DN77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70" s="72">
        <v>1</v>
      </c>
      <c r="DP770" s="72">
        <v>1</v>
      </c>
      <c r="DQ770" s="72" t="b">
        <v>0</v>
      </c>
    </row>
    <row r="771" spans="112:121" x14ac:dyDescent="0.25">
      <c r="DH771" t="s">
        <v>491</v>
      </c>
      <c r="DI771">
        <v>1</v>
      </c>
      <c r="DJ771">
        <v>100</v>
      </c>
      <c r="DK771">
        <v>100</v>
      </c>
      <c r="DL771" s="75">
        <f ca="1">INDIRECT(ADDRESS(11+(MATCH(RIGHT(Table14[[#This Row],[spawner_sku]],LEN(Table14[[#This Row],[spawner_sku]])-FIND("/",Table14[[#This Row],[spawner_sku]])),Table1[Entity Prefab],0)),10,1,1,"Entities"))</f>
        <v>25</v>
      </c>
      <c r="DM771" s="75">
        <f ca="1">ROUND((Table14[[#This Row],[XP]]*Table14[[#This Row],[entity_spawned (AVG)]])*(Table14[[#This Row],[activating_chance]]/100),0)</f>
        <v>25</v>
      </c>
      <c r="DN77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71" s="72">
        <v>1</v>
      </c>
      <c r="DP771" s="72">
        <v>1</v>
      </c>
      <c r="DQ771" s="72" t="b">
        <v>0</v>
      </c>
    </row>
    <row r="772" spans="112:121" x14ac:dyDescent="0.25">
      <c r="DH772" t="s">
        <v>491</v>
      </c>
      <c r="DI772">
        <v>1</v>
      </c>
      <c r="DJ772">
        <v>100</v>
      </c>
      <c r="DK772">
        <v>100</v>
      </c>
      <c r="DL772" s="75">
        <f ca="1">INDIRECT(ADDRESS(11+(MATCH(RIGHT(Table14[[#This Row],[spawner_sku]],LEN(Table14[[#This Row],[spawner_sku]])-FIND("/",Table14[[#This Row],[spawner_sku]])),Table1[Entity Prefab],0)),10,1,1,"Entities"))</f>
        <v>25</v>
      </c>
      <c r="DM772" s="75">
        <f ca="1">ROUND((Table14[[#This Row],[XP]]*Table14[[#This Row],[entity_spawned (AVG)]])*(Table14[[#This Row],[activating_chance]]/100),0)</f>
        <v>25</v>
      </c>
      <c r="DN77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72" s="72">
        <v>1</v>
      </c>
      <c r="DP772" s="72">
        <v>1</v>
      </c>
      <c r="DQ772" s="72" t="b">
        <v>0</v>
      </c>
    </row>
    <row r="773" spans="112:121" x14ac:dyDescent="0.25">
      <c r="DH773" t="s">
        <v>491</v>
      </c>
      <c r="DI773">
        <v>1</v>
      </c>
      <c r="DJ773">
        <v>100</v>
      </c>
      <c r="DK773">
        <v>10</v>
      </c>
      <c r="DL773" s="75">
        <f ca="1">INDIRECT(ADDRESS(11+(MATCH(RIGHT(Table14[[#This Row],[spawner_sku]],LEN(Table14[[#This Row],[spawner_sku]])-FIND("/",Table14[[#This Row],[spawner_sku]])),Table1[Entity Prefab],0)),10,1,1,"Entities"))</f>
        <v>25</v>
      </c>
      <c r="DM773" s="75">
        <f ca="1">ROUND((Table14[[#This Row],[XP]]*Table14[[#This Row],[entity_spawned (AVG)]])*(Table14[[#This Row],[activating_chance]]/100),0)</f>
        <v>3</v>
      </c>
      <c r="DN77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73" s="72">
        <v>1</v>
      </c>
      <c r="DP773" s="72">
        <v>1</v>
      </c>
      <c r="DQ773" s="72" t="b">
        <v>0</v>
      </c>
    </row>
    <row r="774" spans="112:121" x14ac:dyDescent="0.25">
      <c r="DH774" t="s">
        <v>491</v>
      </c>
      <c r="DI774">
        <v>1</v>
      </c>
      <c r="DJ774">
        <v>100</v>
      </c>
      <c r="DK774">
        <v>100</v>
      </c>
      <c r="DL774" s="75">
        <f ca="1">INDIRECT(ADDRESS(11+(MATCH(RIGHT(Table14[[#This Row],[spawner_sku]],LEN(Table14[[#This Row],[spawner_sku]])-FIND("/",Table14[[#This Row],[spawner_sku]])),Table1[Entity Prefab],0)),10,1,1,"Entities"))</f>
        <v>25</v>
      </c>
      <c r="DM774" s="75">
        <f ca="1">ROUND((Table14[[#This Row],[XP]]*Table14[[#This Row],[entity_spawned (AVG)]])*(Table14[[#This Row],[activating_chance]]/100),0)</f>
        <v>25</v>
      </c>
      <c r="DN77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74" s="72">
        <v>1</v>
      </c>
      <c r="DP774" s="72">
        <v>1</v>
      </c>
      <c r="DQ774" s="72" t="b">
        <v>0</v>
      </c>
    </row>
    <row r="775" spans="112:121" x14ac:dyDescent="0.25">
      <c r="DH775" t="s">
        <v>491</v>
      </c>
      <c r="DI775">
        <v>1</v>
      </c>
      <c r="DJ775">
        <v>100</v>
      </c>
      <c r="DK775">
        <v>10</v>
      </c>
      <c r="DL775" s="75">
        <f ca="1">INDIRECT(ADDRESS(11+(MATCH(RIGHT(Table14[[#This Row],[spawner_sku]],LEN(Table14[[#This Row],[spawner_sku]])-FIND("/",Table14[[#This Row],[spawner_sku]])),Table1[Entity Prefab],0)),10,1,1,"Entities"))</f>
        <v>25</v>
      </c>
      <c r="DM775" s="75">
        <f ca="1">ROUND((Table14[[#This Row],[XP]]*Table14[[#This Row],[entity_spawned (AVG)]])*(Table14[[#This Row],[activating_chance]]/100),0)</f>
        <v>3</v>
      </c>
      <c r="DN77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75" s="72">
        <v>1</v>
      </c>
      <c r="DP775" s="72">
        <v>1</v>
      </c>
      <c r="DQ775" s="72" t="b">
        <v>0</v>
      </c>
    </row>
    <row r="776" spans="112:121" x14ac:dyDescent="0.25">
      <c r="DH776" t="s">
        <v>491</v>
      </c>
      <c r="DI776">
        <v>1</v>
      </c>
      <c r="DJ776">
        <v>100</v>
      </c>
      <c r="DK776">
        <v>100</v>
      </c>
      <c r="DL776" s="75">
        <f ca="1">INDIRECT(ADDRESS(11+(MATCH(RIGHT(Table14[[#This Row],[spawner_sku]],LEN(Table14[[#This Row],[spawner_sku]])-FIND("/",Table14[[#This Row],[spawner_sku]])),Table1[Entity Prefab],0)),10,1,1,"Entities"))</f>
        <v>25</v>
      </c>
      <c r="DM776" s="75">
        <f ca="1">ROUND((Table14[[#This Row],[XP]]*Table14[[#This Row],[entity_spawned (AVG)]])*(Table14[[#This Row],[activating_chance]]/100),0)</f>
        <v>25</v>
      </c>
      <c r="DN77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76" s="72">
        <v>1</v>
      </c>
      <c r="DP776" s="72">
        <v>1</v>
      </c>
      <c r="DQ776" s="72" t="b">
        <v>0</v>
      </c>
    </row>
    <row r="777" spans="112:121" x14ac:dyDescent="0.25">
      <c r="DH777" t="s">
        <v>491</v>
      </c>
      <c r="DI777">
        <v>1</v>
      </c>
      <c r="DJ777">
        <v>100</v>
      </c>
      <c r="DK777">
        <v>100</v>
      </c>
      <c r="DL777" s="75">
        <f ca="1">INDIRECT(ADDRESS(11+(MATCH(RIGHT(Table14[[#This Row],[spawner_sku]],LEN(Table14[[#This Row],[spawner_sku]])-FIND("/",Table14[[#This Row],[spawner_sku]])),Table1[Entity Prefab],0)),10,1,1,"Entities"))</f>
        <v>25</v>
      </c>
      <c r="DM777" s="75">
        <f ca="1">ROUND((Table14[[#This Row],[XP]]*Table14[[#This Row],[entity_spawned (AVG)]])*(Table14[[#This Row],[activating_chance]]/100),0)</f>
        <v>25</v>
      </c>
      <c r="DN77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77" s="72">
        <v>1</v>
      </c>
      <c r="DP777" s="72">
        <v>1</v>
      </c>
      <c r="DQ777" s="72" t="b">
        <v>0</v>
      </c>
    </row>
    <row r="778" spans="112:121" x14ac:dyDescent="0.25">
      <c r="DH778" t="s">
        <v>491</v>
      </c>
      <c r="DI778">
        <v>1</v>
      </c>
      <c r="DJ778">
        <v>100</v>
      </c>
      <c r="DK778">
        <v>30</v>
      </c>
      <c r="DL778" s="75">
        <f ca="1">INDIRECT(ADDRESS(11+(MATCH(RIGHT(Table14[[#This Row],[spawner_sku]],LEN(Table14[[#This Row],[spawner_sku]])-FIND("/",Table14[[#This Row],[spawner_sku]])),Table1[Entity Prefab],0)),10,1,1,"Entities"))</f>
        <v>25</v>
      </c>
      <c r="DM778" s="75">
        <f ca="1">ROUND((Table14[[#This Row],[XP]]*Table14[[#This Row],[entity_spawned (AVG)]])*(Table14[[#This Row],[activating_chance]]/100),0)</f>
        <v>8</v>
      </c>
      <c r="DN77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78" s="72">
        <v>1</v>
      </c>
      <c r="DP778" s="72">
        <v>1</v>
      </c>
      <c r="DQ778" s="72" t="b">
        <v>0</v>
      </c>
    </row>
    <row r="779" spans="112:121" x14ac:dyDescent="0.25">
      <c r="DH779" t="s">
        <v>491</v>
      </c>
      <c r="DI779">
        <v>1</v>
      </c>
      <c r="DJ779">
        <v>100</v>
      </c>
      <c r="DK779">
        <v>30</v>
      </c>
      <c r="DL779" s="75">
        <f ca="1">INDIRECT(ADDRESS(11+(MATCH(RIGHT(Table14[[#This Row],[spawner_sku]],LEN(Table14[[#This Row],[spawner_sku]])-FIND("/",Table14[[#This Row],[spawner_sku]])),Table1[Entity Prefab],0)),10,1,1,"Entities"))</f>
        <v>25</v>
      </c>
      <c r="DM779" s="75">
        <f ca="1">ROUND((Table14[[#This Row],[XP]]*Table14[[#This Row],[entity_spawned (AVG)]])*(Table14[[#This Row],[activating_chance]]/100),0)</f>
        <v>8</v>
      </c>
      <c r="DN77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79" s="72">
        <v>1</v>
      </c>
      <c r="DP779" s="72">
        <v>1</v>
      </c>
      <c r="DQ779" s="72" t="b">
        <v>0</v>
      </c>
    </row>
    <row r="780" spans="112:121" x14ac:dyDescent="0.25">
      <c r="DH780" t="s">
        <v>491</v>
      </c>
      <c r="DI780">
        <v>1</v>
      </c>
      <c r="DJ780">
        <v>100</v>
      </c>
      <c r="DK780">
        <v>30</v>
      </c>
      <c r="DL780" s="75">
        <f ca="1">INDIRECT(ADDRESS(11+(MATCH(RIGHT(Table14[[#This Row],[spawner_sku]],LEN(Table14[[#This Row],[spawner_sku]])-FIND("/",Table14[[#This Row],[spawner_sku]])),Table1[Entity Prefab],0)),10,1,1,"Entities"))</f>
        <v>25</v>
      </c>
      <c r="DM780" s="75">
        <f ca="1">ROUND((Table14[[#This Row],[XP]]*Table14[[#This Row],[entity_spawned (AVG)]])*(Table14[[#This Row],[activating_chance]]/100),0)</f>
        <v>8</v>
      </c>
      <c r="DN78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80" s="72">
        <v>1</v>
      </c>
      <c r="DP780" s="72">
        <v>1</v>
      </c>
      <c r="DQ780" s="72" t="b">
        <v>0</v>
      </c>
    </row>
    <row r="781" spans="112:121" x14ac:dyDescent="0.25">
      <c r="DH781" t="s">
        <v>491</v>
      </c>
      <c r="DI781">
        <v>1</v>
      </c>
      <c r="DJ781">
        <v>100</v>
      </c>
      <c r="DK781">
        <v>100</v>
      </c>
      <c r="DL781" s="75">
        <f ca="1">INDIRECT(ADDRESS(11+(MATCH(RIGHT(Table14[[#This Row],[spawner_sku]],LEN(Table14[[#This Row],[spawner_sku]])-FIND("/",Table14[[#This Row],[spawner_sku]])),Table1[Entity Prefab],0)),10,1,1,"Entities"))</f>
        <v>25</v>
      </c>
      <c r="DM781" s="75">
        <f ca="1">ROUND((Table14[[#This Row],[XP]]*Table14[[#This Row],[entity_spawned (AVG)]])*(Table14[[#This Row],[activating_chance]]/100),0)</f>
        <v>25</v>
      </c>
      <c r="DN78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81" s="72">
        <v>1</v>
      </c>
      <c r="DP781" s="72">
        <v>1</v>
      </c>
      <c r="DQ781" s="72" t="b">
        <v>0</v>
      </c>
    </row>
    <row r="782" spans="112:121" x14ac:dyDescent="0.25">
      <c r="DH782" t="s">
        <v>491</v>
      </c>
      <c r="DI782">
        <v>1</v>
      </c>
      <c r="DJ782">
        <v>100</v>
      </c>
      <c r="DK782">
        <v>100</v>
      </c>
      <c r="DL782" s="75">
        <f ca="1">INDIRECT(ADDRESS(11+(MATCH(RIGHT(Table14[[#This Row],[spawner_sku]],LEN(Table14[[#This Row],[spawner_sku]])-FIND("/",Table14[[#This Row],[spawner_sku]])),Table1[Entity Prefab],0)),10,1,1,"Entities"))</f>
        <v>25</v>
      </c>
      <c r="DM782" s="75">
        <f ca="1">ROUND((Table14[[#This Row],[XP]]*Table14[[#This Row],[entity_spawned (AVG)]])*(Table14[[#This Row],[activating_chance]]/100),0)</f>
        <v>25</v>
      </c>
      <c r="DN78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82" s="72">
        <v>1</v>
      </c>
      <c r="DP782" s="72">
        <v>1</v>
      </c>
      <c r="DQ782" s="72" t="b">
        <v>0</v>
      </c>
    </row>
    <row r="783" spans="112:121" x14ac:dyDescent="0.25">
      <c r="DH783" t="s">
        <v>491</v>
      </c>
      <c r="DI783">
        <v>1</v>
      </c>
      <c r="DJ783">
        <v>100</v>
      </c>
      <c r="DK783">
        <v>80</v>
      </c>
      <c r="DL783" s="75">
        <f ca="1">INDIRECT(ADDRESS(11+(MATCH(RIGHT(Table14[[#This Row],[spawner_sku]],LEN(Table14[[#This Row],[spawner_sku]])-FIND("/",Table14[[#This Row],[spawner_sku]])),Table1[Entity Prefab],0)),10,1,1,"Entities"))</f>
        <v>25</v>
      </c>
      <c r="DM783" s="75">
        <f ca="1">ROUND((Table14[[#This Row],[XP]]*Table14[[#This Row],[entity_spawned (AVG)]])*(Table14[[#This Row],[activating_chance]]/100),0)</f>
        <v>20</v>
      </c>
      <c r="DN78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83" s="72">
        <v>1</v>
      </c>
      <c r="DP783" s="72">
        <v>1</v>
      </c>
      <c r="DQ783" s="72" t="b">
        <v>0</v>
      </c>
    </row>
    <row r="784" spans="112:121" x14ac:dyDescent="0.25">
      <c r="DH784" t="s">
        <v>491</v>
      </c>
      <c r="DI784">
        <v>1</v>
      </c>
      <c r="DJ784">
        <v>100</v>
      </c>
      <c r="DK784">
        <v>80</v>
      </c>
      <c r="DL784" s="75">
        <f ca="1">INDIRECT(ADDRESS(11+(MATCH(RIGHT(Table14[[#This Row],[spawner_sku]],LEN(Table14[[#This Row],[spawner_sku]])-FIND("/",Table14[[#This Row],[spawner_sku]])),Table1[Entity Prefab],0)),10,1,1,"Entities"))</f>
        <v>25</v>
      </c>
      <c r="DM784" s="75">
        <f ca="1">ROUND((Table14[[#This Row],[XP]]*Table14[[#This Row],[entity_spawned (AVG)]])*(Table14[[#This Row],[activating_chance]]/100),0)</f>
        <v>20</v>
      </c>
      <c r="DN78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84" s="72">
        <v>1</v>
      </c>
      <c r="DP784" s="72">
        <v>1</v>
      </c>
      <c r="DQ784" s="72" t="b">
        <v>0</v>
      </c>
    </row>
    <row r="785" spans="112:121" x14ac:dyDescent="0.25">
      <c r="DH785" t="s">
        <v>491</v>
      </c>
      <c r="DI785">
        <v>1</v>
      </c>
      <c r="DJ785">
        <v>100</v>
      </c>
      <c r="DK785">
        <v>100</v>
      </c>
      <c r="DL785" s="75">
        <f ca="1">INDIRECT(ADDRESS(11+(MATCH(RIGHT(Table14[[#This Row],[spawner_sku]],LEN(Table14[[#This Row],[spawner_sku]])-FIND("/",Table14[[#This Row],[spawner_sku]])),Table1[Entity Prefab],0)),10,1,1,"Entities"))</f>
        <v>25</v>
      </c>
      <c r="DM785" s="75">
        <f ca="1">ROUND((Table14[[#This Row],[XP]]*Table14[[#This Row],[entity_spawned (AVG)]])*(Table14[[#This Row],[activating_chance]]/100),0)</f>
        <v>25</v>
      </c>
      <c r="DN78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85" s="72">
        <v>1</v>
      </c>
      <c r="DP785" s="72">
        <v>1</v>
      </c>
      <c r="DQ785" s="72" t="b">
        <v>0</v>
      </c>
    </row>
    <row r="786" spans="112:121" x14ac:dyDescent="0.25">
      <c r="DH786" t="s">
        <v>396</v>
      </c>
      <c r="DI786">
        <v>2</v>
      </c>
      <c r="DJ786">
        <v>80</v>
      </c>
      <c r="DK786">
        <v>70</v>
      </c>
      <c r="DL786" s="75">
        <f ca="1">INDIRECT(ADDRESS(11+(MATCH(RIGHT(Table14[[#This Row],[spawner_sku]],LEN(Table14[[#This Row],[spawner_sku]])-FIND("/",Table14[[#This Row],[spawner_sku]])),Table1[Entity Prefab],0)),10,1,1,"Entities"))</f>
        <v>25</v>
      </c>
      <c r="DM786" s="75">
        <f ca="1">ROUND((Table14[[#This Row],[XP]]*Table14[[#This Row],[entity_spawned (AVG)]])*(Table14[[#This Row],[activating_chance]]/100),0)</f>
        <v>35</v>
      </c>
      <c r="DN78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86" s="72">
        <v>2</v>
      </c>
      <c r="DP786" s="72">
        <v>2</v>
      </c>
      <c r="DQ786" s="72" t="b">
        <v>0</v>
      </c>
    </row>
    <row r="787" spans="112:121" x14ac:dyDescent="0.25">
      <c r="DH787" t="s">
        <v>396</v>
      </c>
      <c r="DI787">
        <v>5</v>
      </c>
      <c r="DJ787">
        <v>100</v>
      </c>
      <c r="DK787">
        <v>100</v>
      </c>
      <c r="DL787" s="75">
        <f ca="1">INDIRECT(ADDRESS(11+(MATCH(RIGHT(Table14[[#This Row],[spawner_sku]],LEN(Table14[[#This Row],[spawner_sku]])-FIND("/",Table14[[#This Row],[spawner_sku]])),Table1[Entity Prefab],0)),10,1,1,"Entities"))</f>
        <v>25</v>
      </c>
      <c r="DM787" s="75">
        <f ca="1">ROUND((Table14[[#This Row],[XP]]*Table14[[#This Row],[entity_spawned (AVG)]])*(Table14[[#This Row],[activating_chance]]/100),0)</f>
        <v>125</v>
      </c>
      <c r="DN78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87" s="72">
        <v>5</v>
      </c>
      <c r="DP787" s="72">
        <v>5</v>
      </c>
      <c r="DQ787" s="72" t="b">
        <v>1</v>
      </c>
    </row>
    <row r="788" spans="112:121" x14ac:dyDescent="0.25">
      <c r="DH788" t="s">
        <v>396</v>
      </c>
      <c r="DI788">
        <v>2</v>
      </c>
      <c r="DJ788">
        <v>120</v>
      </c>
      <c r="DK788">
        <v>100</v>
      </c>
      <c r="DL788" s="75">
        <f ca="1">INDIRECT(ADDRESS(11+(MATCH(RIGHT(Table14[[#This Row],[spawner_sku]],LEN(Table14[[#This Row],[spawner_sku]])-FIND("/",Table14[[#This Row],[spawner_sku]])),Table1[Entity Prefab],0)),10,1,1,"Entities"))</f>
        <v>25</v>
      </c>
      <c r="DM788" s="75">
        <f ca="1">ROUND((Table14[[#This Row],[XP]]*Table14[[#This Row],[entity_spawned (AVG)]])*(Table14[[#This Row],[activating_chance]]/100),0)</f>
        <v>50</v>
      </c>
      <c r="DN78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88" s="72">
        <v>2</v>
      </c>
      <c r="DP788" s="72">
        <v>2</v>
      </c>
      <c r="DQ788" s="72" t="b">
        <v>0</v>
      </c>
    </row>
    <row r="789" spans="112:121" x14ac:dyDescent="0.25">
      <c r="DH789" t="s">
        <v>396</v>
      </c>
      <c r="DI789">
        <v>1.5</v>
      </c>
      <c r="DJ789">
        <v>100</v>
      </c>
      <c r="DK789">
        <v>100</v>
      </c>
      <c r="DL789" s="75">
        <f ca="1">INDIRECT(ADDRESS(11+(MATCH(RIGHT(Table14[[#This Row],[spawner_sku]],LEN(Table14[[#This Row],[spawner_sku]])-FIND("/",Table14[[#This Row],[spawner_sku]])),Table1[Entity Prefab],0)),10,1,1,"Entities"))</f>
        <v>25</v>
      </c>
      <c r="DM789" s="75">
        <f ca="1">ROUND((Table14[[#This Row],[XP]]*Table14[[#This Row],[entity_spawned (AVG)]])*(Table14[[#This Row],[activating_chance]]/100),0)</f>
        <v>38</v>
      </c>
      <c r="DN78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89" s="72">
        <v>1</v>
      </c>
      <c r="DP789" s="72">
        <v>2</v>
      </c>
      <c r="DQ789" s="72" t="b">
        <v>0</v>
      </c>
    </row>
    <row r="790" spans="112:121" x14ac:dyDescent="0.25">
      <c r="DH790" t="s">
        <v>396</v>
      </c>
      <c r="DI790">
        <v>2</v>
      </c>
      <c r="DJ790">
        <v>40</v>
      </c>
      <c r="DK790">
        <v>100</v>
      </c>
      <c r="DL790" s="75">
        <f ca="1">INDIRECT(ADDRESS(11+(MATCH(RIGHT(Table14[[#This Row],[spawner_sku]],LEN(Table14[[#This Row],[spawner_sku]])-FIND("/",Table14[[#This Row],[spawner_sku]])),Table1[Entity Prefab],0)),10,1,1,"Entities"))</f>
        <v>25</v>
      </c>
      <c r="DM790" s="75">
        <f ca="1">ROUND((Table14[[#This Row],[XP]]*Table14[[#This Row],[entity_spawned (AVG)]])*(Table14[[#This Row],[activating_chance]]/100),0)</f>
        <v>50</v>
      </c>
      <c r="DN79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90" s="72">
        <v>2</v>
      </c>
      <c r="DP790" s="72">
        <v>2</v>
      </c>
      <c r="DQ790" s="72" t="b">
        <v>0</v>
      </c>
    </row>
    <row r="791" spans="112:121" x14ac:dyDescent="0.25">
      <c r="DH791" t="s">
        <v>396</v>
      </c>
      <c r="DI791">
        <v>1.5</v>
      </c>
      <c r="DJ791">
        <v>100</v>
      </c>
      <c r="DK791">
        <v>100</v>
      </c>
      <c r="DL791" s="75">
        <f ca="1">INDIRECT(ADDRESS(11+(MATCH(RIGHT(Table14[[#This Row],[spawner_sku]],LEN(Table14[[#This Row],[spawner_sku]])-FIND("/",Table14[[#This Row],[spawner_sku]])),Table1[Entity Prefab],0)),10,1,1,"Entities"))</f>
        <v>25</v>
      </c>
      <c r="DM791" s="75">
        <f ca="1">ROUND((Table14[[#This Row],[XP]]*Table14[[#This Row],[entity_spawned (AVG)]])*(Table14[[#This Row],[activating_chance]]/100),0)</f>
        <v>38</v>
      </c>
      <c r="DN79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91" s="72">
        <v>1</v>
      </c>
      <c r="DP791" s="72">
        <v>2</v>
      </c>
      <c r="DQ791" s="72" t="b">
        <v>0</v>
      </c>
    </row>
    <row r="792" spans="112:121" x14ac:dyDescent="0.25">
      <c r="DH792" t="s">
        <v>396</v>
      </c>
      <c r="DI792">
        <v>3.5</v>
      </c>
      <c r="DJ792">
        <v>80</v>
      </c>
      <c r="DK792">
        <v>30</v>
      </c>
      <c r="DL792" s="75">
        <f ca="1">INDIRECT(ADDRESS(11+(MATCH(RIGHT(Table14[[#This Row],[spawner_sku]],LEN(Table14[[#This Row],[spawner_sku]])-FIND("/",Table14[[#This Row],[spawner_sku]])),Table1[Entity Prefab],0)),10,1,1,"Entities"))</f>
        <v>25</v>
      </c>
      <c r="DM792" s="75">
        <f ca="1">ROUND((Table14[[#This Row],[XP]]*Table14[[#This Row],[entity_spawned (AVG)]])*(Table14[[#This Row],[activating_chance]]/100),0)</f>
        <v>26</v>
      </c>
      <c r="DN79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92" s="72">
        <v>3</v>
      </c>
      <c r="DP792" s="72">
        <v>4</v>
      </c>
      <c r="DQ792" s="72" t="b">
        <v>0</v>
      </c>
    </row>
    <row r="793" spans="112:121" x14ac:dyDescent="0.25">
      <c r="DH793" t="s">
        <v>396</v>
      </c>
      <c r="DI793">
        <v>1</v>
      </c>
      <c r="DJ793">
        <v>90</v>
      </c>
      <c r="DK793">
        <v>50</v>
      </c>
      <c r="DL793" s="75">
        <f ca="1">INDIRECT(ADDRESS(11+(MATCH(RIGHT(Table14[[#This Row],[spawner_sku]],LEN(Table14[[#This Row],[spawner_sku]])-FIND("/",Table14[[#This Row],[spawner_sku]])),Table1[Entity Prefab],0)),10,1,1,"Entities"))</f>
        <v>25</v>
      </c>
      <c r="DM793" s="75">
        <f ca="1">ROUND((Table14[[#This Row],[XP]]*Table14[[#This Row],[entity_spawned (AVG)]])*(Table14[[#This Row],[activating_chance]]/100),0)</f>
        <v>13</v>
      </c>
      <c r="DN79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93" s="72">
        <v>1</v>
      </c>
      <c r="DP793" s="72">
        <v>1</v>
      </c>
      <c r="DQ793" s="72" t="b">
        <v>0</v>
      </c>
    </row>
    <row r="794" spans="112:121" x14ac:dyDescent="0.25">
      <c r="DH794" t="s">
        <v>396</v>
      </c>
      <c r="DI794">
        <v>3.5</v>
      </c>
      <c r="DJ794">
        <v>120</v>
      </c>
      <c r="DK794">
        <v>100</v>
      </c>
      <c r="DL794" s="75">
        <f ca="1">INDIRECT(ADDRESS(11+(MATCH(RIGHT(Table14[[#This Row],[spawner_sku]],LEN(Table14[[#This Row],[spawner_sku]])-FIND("/",Table14[[#This Row],[spawner_sku]])),Table1[Entity Prefab],0)),10,1,1,"Entities"))</f>
        <v>25</v>
      </c>
      <c r="DM794" s="75">
        <f ca="1">ROUND((Table14[[#This Row],[XP]]*Table14[[#This Row],[entity_spawned (AVG)]])*(Table14[[#This Row],[activating_chance]]/100),0)</f>
        <v>88</v>
      </c>
      <c r="DN79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94" s="72">
        <v>3</v>
      </c>
      <c r="DP794" s="72">
        <v>4</v>
      </c>
      <c r="DQ794" s="72" t="b">
        <v>0</v>
      </c>
    </row>
    <row r="795" spans="112:121" x14ac:dyDescent="0.25">
      <c r="DH795" t="s">
        <v>396</v>
      </c>
      <c r="DI795">
        <v>1</v>
      </c>
      <c r="DJ795">
        <v>70</v>
      </c>
      <c r="DK795">
        <v>100</v>
      </c>
      <c r="DL795" s="75">
        <f ca="1">INDIRECT(ADDRESS(11+(MATCH(RIGHT(Table14[[#This Row],[spawner_sku]],LEN(Table14[[#This Row],[spawner_sku]])-FIND("/",Table14[[#This Row],[spawner_sku]])),Table1[Entity Prefab],0)),10,1,1,"Entities"))</f>
        <v>25</v>
      </c>
      <c r="DM795" s="75">
        <f ca="1">ROUND((Table14[[#This Row],[XP]]*Table14[[#This Row],[entity_spawned (AVG)]])*(Table14[[#This Row],[activating_chance]]/100),0)</f>
        <v>25</v>
      </c>
      <c r="DN79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95" s="72">
        <v>1</v>
      </c>
      <c r="DP795" s="72">
        <v>1</v>
      </c>
      <c r="DQ795" s="72" t="b">
        <v>0</v>
      </c>
    </row>
    <row r="796" spans="112:121" x14ac:dyDescent="0.25">
      <c r="DH796" t="s">
        <v>396</v>
      </c>
      <c r="DI796">
        <v>1.5</v>
      </c>
      <c r="DJ796">
        <v>90</v>
      </c>
      <c r="DK796">
        <v>80</v>
      </c>
      <c r="DL796" s="75">
        <f ca="1">INDIRECT(ADDRESS(11+(MATCH(RIGHT(Table14[[#This Row],[spawner_sku]],LEN(Table14[[#This Row],[spawner_sku]])-FIND("/",Table14[[#This Row],[spawner_sku]])),Table1[Entity Prefab],0)),10,1,1,"Entities"))</f>
        <v>25</v>
      </c>
      <c r="DM796" s="75">
        <f ca="1">ROUND((Table14[[#This Row],[XP]]*Table14[[#This Row],[entity_spawned (AVG)]])*(Table14[[#This Row],[activating_chance]]/100),0)</f>
        <v>30</v>
      </c>
      <c r="DN79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96" s="72">
        <v>1</v>
      </c>
      <c r="DP796" s="72">
        <v>2</v>
      </c>
      <c r="DQ796" s="72" t="b">
        <v>0</v>
      </c>
    </row>
    <row r="797" spans="112:121" x14ac:dyDescent="0.25">
      <c r="DH797" t="s">
        <v>396</v>
      </c>
      <c r="DI797">
        <v>2</v>
      </c>
      <c r="DJ797">
        <v>120</v>
      </c>
      <c r="DK797">
        <v>100</v>
      </c>
      <c r="DL797" s="75">
        <f ca="1">INDIRECT(ADDRESS(11+(MATCH(RIGHT(Table14[[#This Row],[spawner_sku]],LEN(Table14[[#This Row],[spawner_sku]])-FIND("/",Table14[[#This Row],[spawner_sku]])),Table1[Entity Prefab],0)),10,1,1,"Entities"))</f>
        <v>25</v>
      </c>
      <c r="DM797" s="75">
        <f ca="1">ROUND((Table14[[#This Row],[XP]]*Table14[[#This Row],[entity_spawned (AVG)]])*(Table14[[#This Row],[activating_chance]]/100),0)</f>
        <v>50</v>
      </c>
      <c r="DN79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97" s="72">
        <v>2</v>
      </c>
      <c r="DP797" s="72">
        <v>2</v>
      </c>
      <c r="DQ797" s="72" t="b">
        <v>0</v>
      </c>
    </row>
    <row r="798" spans="112:121" x14ac:dyDescent="0.25">
      <c r="DH798" t="s">
        <v>396</v>
      </c>
      <c r="DI798">
        <v>3</v>
      </c>
      <c r="DJ798">
        <v>120</v>
      </c>
      <c r="DK798">
        <v>100</v>
      </c>
      <c r="DL798" s="75">
        <f ca="1">INDIRECT(ADDRESS(11+(MATCH(RIGHT(Table14[[#This Row],[spawner_sku]],LEN(Table14[[#This Row],[spawner_sku]])-FIND("/",Table14[[#This Row],[spawner_sku]])),Table1[Entity Prefab],0)),10,1,1,"Entities"))</f>
        <v>25</v>
      </c>
      <c r="DM798" s="75">
        <f ca="1">ROUND((Table14[[#This Row],[XP]]*Table14[[#This Row],[entity_spawned (AVG)]])*(Table14[[#This Row],[activating_chance]]/100),0)</f>
        <v>75</v>
      </c>
      <c r="DN79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98" s="72">
        <v>3</v>
      </c>
      <c r="DP798" s="72">
        <v>3</v>
      </c>
      <c r="DQ798" s="72" t="b">
        <v>0</v>
      </c>
    </row>
    <row r="799" spans="112:121" x14ac:dyDescent="0.25">
      <c r="DH799" t="s">
        <v>396</v>
      </c>
      <c r="DI799">
        <v>1</v>
      </c>
      <c r="DJ799">
        <v>100</v>
      </c>
      <c r="DK799">
        <v>50</v>
      </c>
      <c r="DL799" s="75">
        <f ca="1">INDIRECT(ADDRESS(11+(MATCH(RIGHT(Table14[[#This Row],[spawner_sku]],LEN(Table14[[#This Row],[spawner_sku]])-FIND("/",Table14[[#This Row],[spawner_sku]])),Table1[Entity Prefab],0)),10,1,1,"Entities"))</f>
        <v>25</v>
      </c>
      <c r="DM799" s="75">
        <f ca="1">ROUND((Table14[[#This Row],[XP]]*Table14[[#This Row],[entity_spawned (AVG)]])*(Table14[[#This Row],[activating_chance]]/100),0)</f>
        <v>13</v>
      </c>
      <c r="DN79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99" s="72">
        <v>1</v>
      </c>
      <c r="DP799" s="72">
        <v>1</v>
      </c>
      <c r="DQ799" s="72" t="b">
        <v>0</v>
      </c>
    </row>
    <row r="800" spans="112:121" x14ac:dyDescent="0.25">
      <c r="DH800" t="s">
        <v>396</v>
      </c>
      <c r="DI800">
        <v>1.5</v>
      </c>
      <c r="DJ800">
        <v>80</v>
      </c>
      <c r="DK800">
        <v>100</v>
      </c>
      <c r="DL800" s="75">
        <f ca="1">INDIRECT(ADDRESS(11+(MATCH(RIGHT(Table14[[#This Row],[spawner_sku]],LEN(Table14[[#This Row],[spawner_sku]])-FIND("/",Table14[[#This Row],[spawner_sku]])),Table1[Entity Prefab],0)),10,1,1,"Entities"))</f>
        <v>25</v>
      </c>
      <c r="DM800" s="75">
        <f ca="1">ROUND((Table14[[#This Row],[XP]]*Table14[[#This Row],[entity_spawned (AVG)]])*(Table14[[#This Row],[activating_chance]]/100),0)</f>
        <v>38</v>
      </c>
      <c r="DN80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00" s="72">
        <v>1</v>
      </c>
      <c r="DP800" s="72">
        <v>2</v>
      </c>
      <c r="DQ800" s="72" t="b">
        <v>0</v>
      </c>
    </row>
    <row r="801" spans="112:121" x14ac:dyDescent="0.25">
      <c r="DH801" t="s">
        <v>396</v>
      </c>
      <c r="DI801">
        <v>6.5</v>
      </c>
      <c r="DJ801">
        <v>100</v>
      </c>
      <c r="DK801">
        <v>100</v>
      </c>
      <c r="DL801" s="75">
        <f ca="1">INDIRECT(ADDRESS(11+(MATCH(RIGHT(Table14[[#This Row],[spawner_sku]],LEN(Table14[[#This Row],[spawner_sku]])-FIND("/",Table14[[#This Row],[spawner_sku]])),Table1[Entity Prefab],0)),10,1,1,"Entities"))</f>
        <v>25</v>
      </c>
      <c r="DM801" s="75">
        <f ca="1">ROUND((Table14[[#This Row],[XP]]*Table14[[#This Row],[entity_spawned (AVG)]])*(Table14[[#This Row],[activating_chance]]/100),0)</f>
        <v>163</v>
      </c>
      <c r="DN80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01" s="72">
        <v>5</v>
      </c>
      <c r="DP801" s="72">
        <v>8</v>
      </c>
      <c r="DQ801" s="72" t="b">
        <v>1</v>
      </c>
    </row>
    <row r="802" spans="112:121" x14ac:dyDescent="0.25">
      <c r="DH802" t="s">
        <v>396</v>
      </c>
      <c r="DI802">
        <v>2</v>
      </c>
      <c r="DJ802">
        <v>100</v>
      </c>
      <c r="DK802">
        <v>100</v>
      </c>
      <c r="DL802" s="75">
        <f ca="1">INDIRECT(ADDRESS(11+(MATCH(RIGHT(Table14[[#This Row],[spawner_sku]],LEN(Table14[[#This Row],[spawner_sku]])-FIND("/",Table14[[#This Row],[spawner_sku]])),Table1[Entity Prefab],0)),10,1,1,"Entities"))</f>
        <v>25</v>
      </c>
      <c r="DM802" s="75">
        <f ca="1">ROUND((Table14[[#This Row],[XP]]*Table14[[#This Row],[entity_spawned (AVG)]])*(Table14[[#This Row],[activating_chance]]/100),0)</f>
        <v>50</v>
      </c>
      <c r="DN80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02" s="72">
        <v>1</v>
      </c>
      <c r="DP802" s="72">
        <v>3</v>
      </c>
      <c r="DQ802" s="72" t="b">
        <v>0</v>
      </c>
    </row>
    <row r="803" spans="112:121" x14ac:dyDescent="0.25">
      <c r="DH803" t="s">
        <v>396</v>
      </c>
      <c r="DI803">
        <v>1</v>
      </c>
      <c r="DJ803">
        <v>70</v>
      </c>
      <c r="DK803">
        <v>100</v>
      </c>
      <c r="DL803" s="75">
        <f ca="1">INDIRECT(ADDRESS(11+(MATCH(RIGHT(Table14[[#This Row],[spawner_sku]],LEN(Table14[[#This Row],[spawner_sku]])-FIND("/",Table14[[#This Row],[spawner_sku]])),Table1[Entity Prefab],0)),10,1,1,"Entities"))</f>
        <v>25</v>
      </c>
      <c r="DM803" s="75">
        <f ca="1">ROUND((Table14[[#This Row],[XP]]*Table14[[#This Row],[entity_spawned (AVG)]])*(Table14[[#This Row],[activating_chance]]/100),0)</f>
        <v>25</v>
      </c>
      <c r="DN80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03" s="72">
        <v>1</v>
      </c>
      <c r="DP803" s="72">
        <v>1</v>
      </c>
      <c r="DQ803" s="72" t="b">
        <v>0</v>
      </c>
    </row>
    <row r="804" spans="112:121" x14ac:dyDescent="0.25">
      <c r="DH804" t="s">
        <v>396</v>
      </c>
      <c r="DI804">
        <v>3.5</v>
      </c>
      <c r="DJ804">
        <v>100</v>
      </c>
      <c r="DK804">
        <v>100</v>
      </c>
      <c r="DL804" s="75">
        <f ca="1">INDIRECT(ADDRESS(11+(MATCH(RIGHT(Table14[[#This Row],[spawner_sku]],LEN(Table14[[#This Row],[spawner_sku]])-FIND("/",Table14[[#This Row],[spawner_sku]])),Table1[Entity Prefab],0)),10,1,1,"Entities"))</f>
        <v>25</v>
      </c>
      <c r="DM804" s="75">
        <f ca="1">ROUND((Table14[[#This Row],[XP]]*Table14[[#This Row],[entity_spawned (AVG)]])*(Table14[[#This Row],[activating_chance]]/100),0)</f>
        <v>88</v>
      </c>
      <c r="DN80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04" s="72">
        <v>3</v>
      </c>
      <c r="DP804" s="72">
        <v>4</v>
      </c>
      <c r="DQ804" s="72" t="b">
        <v>0</v>
      </c>
    </row>
    <row r="805" spans="112:121" x14ac:dyDescent="0.25">
      <c r="DH805" t="s">
        <v>396</v>
      </c>
      <c r="DI805">
        <v>3</v>
      </c>
      <c r="DJ805">
        <v>100</v>
      </c>
      <c r="DK805">
        <v>100</v>
      </c>
      <c r="DL805" s="75">
        <f ca="1">INDIRECT(ADDRESS(11+(MATCH(RIGHT(Table14[[#This Row],[spawner_sku]],LEN(Table14[[#This Row],[spawner_sku]])-FIND("/",Table14[[#This Row],[spawner_sku]])),Table1[Entity Prefab],0)),10,1,1,"Entities"))</f>
        <v>25</v>
      </c>
      <c r="DM805" s="75">
        <f ca="1">ROUND((Table14[[#This Row],[XP]]*Table14[[#This Row],[entity_spawned (AVG)]])*(Table14[[#This Row],[activating_chance]]/100),0)</f>
        <v>75</v>
      </c>
      <c r="DN80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05" s="72">
        <v>2</v>
      </c>
      <c r="DP805" s="72">
        <v>4</v>
      </c>
      <c r="DQ805" s="72" t="b">
        <v>0</v>
      </c>
    </row>
    <row r="806" spans="112:121" x14ac:dyDescent="0.25">
      <c r="DH806" t="s">
        <v>396</v>
      </c>
      <c r="DI806">
        <v>1.5</v>
      </c>
      <c r="DJ806">
        <v>100</v>
      </c>
      <c r="DK806">
        <v>80</v>
      </c>
      <c r="DL806" s="75">
        <f ca="1">INDIRECT(ADDRESS(11+(MATCH(RIGHT(Table14[[#This Row],[spawner_sku]],LEN(Table14[[#This Row],[spawner_sku]])-FIND("/",Table14[[#This Row],[spawner_sku]])),Table1[Entity Prefab],0)),10,1,1,"Entities"))</f>
        <v>25</v>
      </c>
      <c r="DM806" s="75">
        <f ca="1">ROUND((Table14[[#This Row],[XP]]*Table14[[#This Row],[entity_spawned (AVG)]])*(Table14[[#This Row],[activating_chance]]/100),0)</f>
        <v>30</v>
      </c>
      <c r="DN80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06" s="72">
        <v>1</v>
      </c>
      <c r="DP806" s="72">
        <v>2</v>
      </c>
      <c r="DQ806" s="72" t="b">
        <v>0</v>
      </c>
    </row>
    <row r="807" spans="112:121" x14ac:dyDescent="0.25">
      <c r="DH807" t="s">
        <v>396</v>
      </c>
      <c r="DI807">
        <v>1</v>
      </c>
      <c r="DJ807">
        <v>90</v>
      </c>
      <c r="DK807">
        <v>50</v>
      </c>
      <c r="DL807" s="75">
        <f ca="1">INDIRECT(ADDRESS(11+(MATCH(RIGHT(Table14[[#This Row],[spawner_sku]],LEN(Table14[[#This Row],[spawner_sku]])-FIND("/",Table14[[#This Row],[spawner_sku]])),Table1[Entity Prefab],0)),10,1,1,"Entities"))</f>
        <v>25</v>
      </c>
      <c r="DM807" s="75">
        <f ca="1">ROUND((Table14[[#This Row],[XP]]*Table14[[#This Row],[entity_spawned (AVG)]])*(Table14[[#This Row],[activating_chance]]/100),0)</f>
        <v>13</v>
      </c>
      <c r="DN80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07" s="72">
        <v>1</v>
      </c>
      <c r="DP807" s="72">
        <v>1</v>
      </c>
      <c r="DQ807" s="72" t="b">
        <v>0</v>
      </c>
    </row>
    <row r="808" spans="112:121" x14ac:dyDescent="0.25">
      <c r="DH808" t="s">
        <v>396</v>
      </c>
      <c r="DI808">
        <v>6.5</v>
      </c>
      <c r="DJ808">
        <v>100</v>
      </c>
      <c r="DK808">
        <v>100</v>
      </c>
      <c r="DL808" s="75">
        <f ca="1">INDIRECT(ADDRESS(11+(MATCH(RIGHT(Table14[[#This Row],[spawner_sku]],LEN(Table14[[#This Row],[spawner_sku]])-FIND("/",Table14[[#This Row],[spawner_sku]])),Table1[Entity Prefab],0)),10,1,1,"Entities"))</f>
        <v>25</v>
      </c>
      <c r="DM808" s="75">
        <f ca="1">ROUND((Table14[[#This Row],[XP]]*Table14[[#This Row],[entity_spawned (AVG)]])*(Table14[[#This Row],[activating_chance]]/100),0)</f>
        <v>163</v>
      </c>
      <c r="DN80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08" s="72">
        <v>5</v>
      </c>
      <c r="DP808" s="72">
        <v>8</v>
      </c>
      <c r="DQ808" s="72" t="b">
        <v>1</v>
      </c>
    </row>
    <row r="809" spans="112:121" x14ac:dyDescent="0.25">
      <c r="DH809" t="s">
        <v>396</v>
      </c>
      <c r="DI809">
        <v>1</v>
      </c>
      <c r="DJ809">
        <v>100</v>
      </c>
      <c r="DK809">
        <v>50</v>
      </c>
      <c r="DL809" s="75">
        <f ca="1">INDIRECT(ADDRESS(11+(MATCH(RIGHT(Table14[[#This Row],[spawner_sku]],LEN(Table14[[#This Row],[spawner_sku]])-FIND("/",Table14[[#This Row],[spawner_sku]])),Table1[Entity Prefab],0)),10,1,1,"Entities"))</f>
        <v>25</v>
      </c>
      <c r="DM809" s="75">
        <f ca="1">ROUND((Table14[[#This Row],[XP]]*Table14[[#This Row],[entity_spawned (AVG)]])*(Table14[[#This Row],[activating_chance]]/100),0)</f>
        <v>13</v>
      </c>
      <c r="DN80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09" s="72">
        <v>1</v>
      </c>
      <c r="DP809" s="72">
        <v>1</v>
      </c>
      <c r="DQ809" s="72" t="b">
        <v>0</v>
      </c>
    </row>
    <row r="810" spans="112:121" x14ac:dyDescent="0.25">
      <c r="DH810" t="s">
        <v>396</v>
      </c>
      <c r="DI810">
        <v>4</v>
      </c>
      <c r="DJ810">
        <v>100</v>
      </c>
      <c r="DK810">
        <v>100</v>
      </c>
      <c r="DL810" s="75">
        <f ca="1">INDIRECT(ADDRESS(11+(MATCH(RIGHT(Table14[[#This Row],[spawner_sku]],LEN(Table14[[#This Row],[spawner_sku]])-FIND("/",Table14[[#This Row],[spawner_sku]])),Table1[Entity Prefab],0)),10,1,1,"Entities"))</f>
        <v>25</v>
      </c>
      <c r="DM810" s="75">
        <f ca="1">ROUND((Table14[[#This Row],[XP]]*Table14[[#This Row],[entity_spawned (AVG)]])*(Table14[[#This Row],[activating_chance]]/100),0)</f>
        <v>100</v>
      </c>
      <c r="DN81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10" s="72">
        <v>4</v>
      </c>
      <c r="DP810" s="72">
        <v>4</v>
      </c>
      <c r="DQ810" s="72" t="b">
        <v>0</v>
      </c>
    </row>
    <row r="811" spans="112:121" x14ac:dyDescent="0.25">
      <c r="DH811" t="s">
        <v>396</v>
      </c>
      <c r="DI811">
        <v>1</v>
      </c>
      <c r="DJ811">
        <v>70</v>
      </c>
      <c r="DK811">
        <v>100</v>
      </c>
      <c r="DL811" s="75">
        <f ca="1">INDIRECT(ADDRESS(11+(MATCH(RIGHT(Table14[[#This Row],[spawner_sku]],LEN(Table14[[#This Row],[spawner_sku]])-FIND("/",Table14[[#This Row],[spawner_sku]])),Table1[Entity Prefab],0)),10,1,1,"Entities"))</f>
        <v>25</v>
      </c>
      <c r="DM811" s="75">
        <f ca="1">ROUND((Table14[[#This Row],[XP]]*Table14[[#This Row],[entity_spawned (AVG)]])*(Table14[[#This Row],[activating_chance]]/100),0)</f>
        <v>25</v>
      </c>
      <c r="DN81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11" s="72">
        <v>1</v>
      </c>
      <c r="DP811" s="72">
        <v>1</v>
      </c>
      <c r="DQ811" s="72" t="b">
        <v>0</v>
      </c>
    </row>
    <row r="812" spans="112:121" x14ac:dyDescent="0.25">
      <c r="DH812" t="s">
        <v>396</v>
      </c>
      <c r="DI812">
        <v>1</v>
      </c>
      <c r="DJ812">
        <v>80</v>
      </c>
      <c r="DK812">
        <v>50</v>
      </c>
      <c r="DL812" s="75">
        <f ca="1">INDIRECT(ADDRESS(11+(MATCH(RIGHT(Table14[[#This Row],[spawner_sku]],LEN(Table14[[#This Row],[spawner_sku]])-FIND("/",Table14[[#This Row],[spawner_sku]])),Table1[Entity Prefab],0)),10,1,1,"Entities"))</f>
        <v>25</v>
      </c>
      <c r="DM812" s="75">
        <f ca="1">ROUND((Table14[[#This Row],[XP]]*Table14[[#This Row],[entity_spawned (AVG)]])*(Table14[[#This Row],[activating_chance]]/100),0)</f>
        <v>13</v>
      </c>
      <c r="DN81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12" s="72">
        <v>1</v>
      </c>
      <c r="DP812" s="72">
        <v>1</v>
      </c>
      <c r="DQ812" s="72" t="b">
        <v>0</v>
      </c>
    </row>
    <row r="813" spans="112:121" x14ac:dyDescent="0.25">
      <c r="DH813" t="s">
        <v>396</v>
      </c>
      <c r="DI813">
        <v>2.5</v>
      </c>
      <c r="DJ813">
        <v>100</v>
      </c>
      <c r="DK813">
        <v>100</v>
      </c>
      <c r="DL813" s="75">
        <f ca="1">INDIRECT(ADDRESS(11+(MATCH(RIGHT(Table14[[#This Row],[spawner_sku]],LEN(Table14[[#This Row],[spawner_sku]])-FIND("/",Table14[[#This Row],[spawner_sku]])),Table1[Entity Prefab],0)),10,1,1,"Entities"))</f>
        <v>25</v>
      </c>
      <c r="DM813" s="75">
        <f ca="1">ROUND((Table14[[#This Row],[XP]]*Table14[[#This Row],[entity_spawned (AVG)]])*(Table14[[#This Row],[activating_chance]]/100),0)</f>
        <v>63</v>
      </c>
      <c r="DN81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13" s="72">
        <v>2</v>
      </c>
      <c r="DP813" s="72">
        <v>3</v>
      </c>
      <c r="DQ813" s="72" t="b">
        <v>0</v>
      </c>
    </row>
    <row r="814" spans="112:121" x14ac:dyDescent="0.25">
      <c r="DH814" t="s">
        <v>396</v>
      </c>
      <c r="DI814">
        <v>2</v>
      </c>
      <c r="DJ814">
        <v>100</v>
      </c>
      <c r="DK814">
        <v>100</v>
      </c>
      <c r="DL814" s="75">
        <f ca="1">INDIRECT(ADDRESS(11+(MATCH(RIGHT(Table14[[#This Row],[spawner_sku]],LEN(Table14[[#This Row],[spawner_sku]])-FIND("/",Table14[[#This Row],[spawner_sku]])),Table1[Entity Prefab],0)),10,1,1,"Entities"))</f>
        <v>25</v>
      </c>
      <c r="DM814" s="75">
        <f ca="1">ROUND((Table14[[#This Row],[XP]]*Table14[[#This Row],[entity_spawned (AVG)]])*(Table14[[#This Row],[activating_chance]]/100),0)</f>
        <v>50</v>
      </c>
      <c r="DN81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14" s="72">
        <v>2</v>
      </c>
      <c r="DP814" s="72">
        <v>2</v>
      </c>
      <c r="DQ814" s="72" t="b">
        <v>0</v>
      </c>
    </row>
    <row r="815" spans="112:121" x14ac:dyDescent="0.25">
      <c r="DH815" t="s">
        <v>396</v>
      </c>
      <c r="DI815">
        <v>3</v>
      </c>
      <c r="DJ815">
        <v>60</v>
      </c>
      <c r="DK815">
        <v>100</v>
      </c>
      <c r="DL815" s="75">
        <f ca="1">INDIRECT(ADDRESS(11+(MATCH(RIGHT(Table14[[#This Row],[spawner_sku]],LEN(Table14[[#This Row],[spawner_sku]])-FIND("/",Table14[[#This Row],[spawner_sku]])),Table1[Entity Prefab],0)),10,1,1,"Entities"))</f>
        <v>25</v>
      </c>
      <c r="DM815" s="75">
        <f ca="1">ROUND((Table14[[#This Row],[XP]]*Table14[[#This Row],[entity_spawned (AVG)]])*(Table14[[#This Row],[activating_chance]]/100),0)</f>
        <v>75</v>
      </c>
      <c r="DN81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15" s="72">
        <v>2</v>
      </c>
      <c r="DP815" s="72">
        <v>4</v>
      </c>
      <c r="DQ815" s="72" t="b">
        <v>0</v>
      </c>
    </row>
    <row r="816" spans="112:121" x14ac:dyDescent="0.25">
      <c r="DH816" t="s">
        <v>396</v>
      </c>
      <c r="DI816">
        <v>4</v>
      </c>
      <c r="DJ816">
        <v>120</v>
      </c>
      <c r="DK816">
        <v>100</v>
      </c>
      <c r="DL816" s="75">
        <f ca="1">INDIRECT(ADDRESS(11+(MATCH(RIGHT(Table14[[#This Row],[spawner_sku]],LEN(Table14[[#This Row],[spawner_sku]])-FIND("/",Table14[[#This Row],[spawner_sku]])),Table1[Entity Prefab],0)),10,1,1,"Entities"))</f>
        <v>25</v>
      </c>
      <c r="DM816" s="75">
        <f ca="1">ROUND((Table14[[#This Row],[XP]]*Table14[[#This Row],[entity_spawned (AVG)]])*(Table14[[#This Row],[activating_chance]]/100),0)</f>
        <v>100</v>
      </c>
      <c r="DN81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16" s="72">
        <v>4</v>
      </c>
      <c r="DP816" s="72">
        <v>4</v>
      </c>
      <c r="DQ816" s="72" t="b">
        <v>0</v>
      </c>
    </row>
    <row r="817" spans="112:121" x14ac:dyDescent="0.25">
      <c r="DH817" t="s">
        <v>396</v>
      </c>
      <c r="DI817">
        <v>1</v>
      </c>
      <c r="DJ817">
        <v>120</v>
      </c>
      <c r="DK817">
        <v>100</v>
      </c>
      <c r="DL817" s="75">
        <f ca="1">INDIRECT(ADDRESS(11+(MATCH(RIGHT(Table14[[#This Row],[spawner_sku]],LEN(Table14[[#This Row],[spawner_sku]])-FIND("/",Table14[[#This Row],[spawner_sku]])),Table1[Entity Prefab],0)),10,1,1,"Entities"))</f>
        <v>25</v>
      </c>
      <c r="DM817" s="75">
        <f ca="1">ROUND((Table14[[#This Row],[XP]]*Table14[[#This Row],[entity_spawned (AVG)]])*(Table14[[#This Row],[activating_chance]]/100),0)</f>
        <v>25</v>
      </c>
      <c r="DN81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17" s="72">
        <v>1</v>
      </c>
      <c r="DP817" s="72">
        <v>1</v>
      </c>
      <c r="DQ817" s="72" t="b">
        <v>0</v>
      </c>
    </row>
    <row r="818" spans="112:121" x14ac:dyDescent="0.25">
      <c r="DH818" t="s">
        <v>396</v>
      </c>
      <c r="DI818">
        <v>3</v>
      </c>
      <c r="DJ818">
        <v>60</v>
      </c>
      <c r="DK818">
        <v>100</v>
      </c>
      <c r="DL818" s="75">
        <f ca="1">INDIRECT(ADDRESS(11+(MATCH(RIGHT(Table14[[#This Row],[spawner_sku]],LEN(Table14[[#This Row],[spawner_sku]])-FIND("/",Table14[[#This Row],[spawner_sku]])),Table1[Entity Prefab],0)),10,1,1,"Entities"))</f>
        <v>25</v>
      </c>
      <c r="DM818" s="75">
        <f ca="1">ROUND((Table14[[#This Row],[XP]]*Table14[[#This Row],[entity_spawned (AVG)]])*(Table14[[#This Row],[activating_chance]]/100),0)</f>
        <v>75</v>
      </c>
      <c r="DN81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18" s="72">
        <v>2</v>
      </c>
      <c r="DP818" s="72">
        <v>4</v>
      </c>
      <c r="DQ818" s="72" t="b">
        <v>0</v>
      </c>
    </row>
    <row r="819" spans="112:121" x14ac:dyDescent="0.25">
      <c r="DH819" t="s">
        <v>396</v>
      </c>
      <c r="DI819">
        <v>2</v>
      </c>
      <c r="DJ819">
        <v>100</v>
      </c>
      <c r="DK819">
        <v>100</v>
      </c>
      <c r="DL819" s="75">
        <f ca="1">INDIRECT(ADDRESS(11+(MATCH(RIGHT(Table14[[#This Row],[spawner_sku]],LEN(Table14[[#This Row],[spawner_sku]])-FIND("/",Table14[[#This Row],[spawner_sku]])),Table1[Entity Prefab],0)),10,1,1,"Entities"))</f>
        <v>25</v>
      </c>
      <c r="DM819" s="75">
        <f ca="1">ROUND((Table14[[#This Row],[XP]]*Table14[[#This Row],[entity_spawned (AVG)]])*(Table14[[#This Row],[activating_chance]]/100),0)</f>
        <v>50</v>
      </c>
      <c r="DN81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19" s="72">
        <v>2</v>
      </c>
      <c r="DP819" s="72">
        <v>2</v>
      </c>
      <c r="DQ819" s="72" t="b">
        <v>0</v>
      </c>
    </row>
    <row r="820" spans="112:121" x14ac:dyDescent="0.25">
      <c r="DH820" t="s">
        <v>396</v>
      </c>
      <c r="DI820">
        <v>2.5</v>
      </c>
      <c r="DJ820">
        <v>90</v>
      </c>
      <c r="DK820">
        <v>100</v>
      </c>
      <c r="DL820" s="75">
        <f ca="1">INDIRECT(ADDRESS(11+(MATCH(RIGHT(Table14[[#This Row],[spawner_sku]],LEN(Table14[[#This Row],[spawner_sku]])-FIND("/",Table14[[#This Row],[spawner_sku]])),Table1[Entity Prefab],0)),10,1,1,"Entities"))</f>
        <v>25</v>
      </c>
      <c r="DM820" s="75">
        <f ca="1">ROUND((Table14[[#This Row],[XP]]*Table14[[#This Row],[entity_spawned (AVG)]])*(Table14[[#This Row],[activating_chance]]/100),0)</f>
        <v>63</v>
      </c>
      <c r="DN82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20" s="72">
        <v>2</v>
      </c>
      <c r="DP820" s="72">
        <v>3</v>
      </c>
      <c r="DQ820" s="72" t="b">
        <v>0</v>
      </c>
    </row>
    <row r="821" spans="112:121" x14ac:dyDescent="0.25">
      <c r="DH821" t="s">
        <v>396</v>
      </c>
      <c r="DI821">
        <v>1.5</v>
      </c>
      <c r="DJ821">
        <v>90</v>
      </c>
      <c r="DK821">
        <v>100</v>
      </c>
      <c r="DL821" s="75">
        <f ca="1">INDIRECT(ADDRESS(11+(MATCH(RIGHT(Table14[[#This Row],[spawner_sku]],LEN(Table14[[#This Row],[spawner_sku]])-FIND("/",Table14[[#This Row],[spawner_sku]])),Table1[Entity Prefab],0)),10,1,1,"Entities"))</f>
        <v>25</v>
      </c>
      <c r="DM821" s="75">
        <f ca="1">ROUND((Table14[[#This Row],[XP]]*Table14[[#This Row],[entity_spawned (AVG)]])*(Table14[[#This Row],[activating_chance]]/100),0)</f>
        <v>38</v>
      </c>
      <c r="DN82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21" s="72">
        <v>1</v>
      </c>
      <c r="DP821" s="72">
        <v>2</v>
      </c>
      <c r="DQ821" s="72" t="b">
        <v>0</v>
      </c>
    </row>
    <row r="822" spans="112:121" x14ac:dyDescent="0.25">
      <c r="DH822" t="s">
        <v>396</v>
      </c>
      <c r="DI822">
        <v>1</v>
      </c>
      <c r="DJ822">
        <v>100</v>
      </c>
      <c r="DK822">
        <v>50</v>
      </c>
      <c r="DL822" s="75">
        <f ca="1">INDIRECT(ADDRESS(11+(MATCH(RIGHT(Table14[[#This Row],[spawner_sku]],LEN(Table14[[#This Row],[spawner_sku]])-FIND("/",Table14[[#This Row],[spawner_sku]])),Table1[Entity Prefab],0)),10,1,1,"Entities"))</f>
        <v>25</v>
      </c>
      <c r="DM822" s="75">
        <f ca="1">ROUND((Table14[[#This Row],[XP]]*Table14[[#This Row],[entity_spawned (AVG)]])*(Table14[[#This Row],[activating_chance]]/100),0)</f>
        <v>13</v>
      </c>
      <c r="DN82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22" s="72">
        <v>1</v>
      </c>
      <c r="DP822" s="72">
        <v>1</v>
      </c>
      <c r="DQ822" s="72" t="b">
        <v>0</v>
      </c>
    </row>
    <row r="823" spans="112:121" x14ac:dyDescent="0.25">
      <c r="DH823" t="s">
        <v>396</v>
      </c>
      <c r="DI823">
        <v>2</v>
      </c>
      <c r="DJ823">
        <v>100</v>
      </c>
      <c r="DK823">
        <v>70</v>
      </c>
      <c r="DL823" s="75">
        <f ca="1">INDIRECT(ADDRESS(11+(MATCH(RIGHT(Table14[[#This Row],[spawner_sku]],LEN(Table14[[#This Row],[spawner_sku]])-FIND("/",Table14[[#This Row],[spawner_sku]])),Table1[Entity Prefab],0)),10,1,1,"Entities"))</f>
        <v>25</v>
      </c>
      <c r="DM823" s="75">
        <f ca="1">ROUND((Table14[[#This Row],[XP]]*Table14[[#This Row],[entity_spawned (AVG)]])*(Table14[[#This Row],[activating_chance]]/100),0)</f>
        <v>35</v>
      </c>
      <c r="DN82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23" s="72">
        <v>2</v>
      </c>
      <c r="DP823" s="72">
        <v>2</v>
      </c>
      <c r="DQ823" s="72" t="b">
        <v>0</v>
      </c>
    </row>
    <row r="824" spans="112:121" x14ac:dyDescent="0.25">
      <c r="DH824" t="s">
        <v>396</v>
      </c>
      <c r="DI824">
        <v>2</v>
      </c>
      <c r="DJ824">
        <v>60</v>
      </c>
      <c r="DK824">
        <v>30</v>
      </c>
      <c r="DL824" s="75">
        <f ca="1">INDIRECT(ADDRESS(11+(MATCH(RIGHT(Table14[[#This Row],[spawner_sku]],LEN(Table14[[#This Row],[spawner_sku]])-FIND("/",Table14[[#This Row],[spawner_sku]])),Table1[Entity Prefab],0)),10,1,1,"Entities"))</f>
        <v>25</v>
      </c>
      <c r="DM824" s="75">
        <f ca="1">ROUND((Table14[[#This Row],[XP]]*Table14[[#This Row],[entity_spawned (AVG)]])*(Table14[[#This Row],[activating_chance]]/100),0)</f>
        <v>15</v>
      </c>
      <c r="DN82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24" s="72">
        <v>2</v>
      </c>
      <c r="DP824" s="72">
        <v>2</v>
      </c>
      <c r="DQ824" s="72" t="b">
        <v>0</v>
      </c>
    </row>
    <row r="825" spans="112:121" x14ac:dyDescent="0.25">
      <c r="DH825" t="s">
        <v>396</v>
      </c>
      <c r="DI825">
        <v>1</v>
      </c>
      <c r="DJ825">
        <v>60</v>
      </c>
      <c r="DK825">
        <v>100</v>
      </c>
      <c r="DL825" s="75">
        <f ca="1">INDIRECT(ADDRESS(11+(MATCH(RIGHT(Table14[[#This Row],[spawner_sku]],LEN(Table14[[#This Row],[spawner_sku]])-FIND("/",Table14[[#This Row],[spawner_sku]])),Table1[Entity Prefab],0)),10,1,1,"Entities"))</f>
        <v>25</v>
      </c>
      <c r="DM825" s="75">
        <f ca="1">ROUND((Table14[[#This Row],[XP]]*Table14[[#This Row],[entity_spawned (AVG)]])*(Table14[[#This Row],[activating_chance]]/100),0)</f>
        <v>25</v>
      </c>
      <c r="DN82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25" s="72">
        <v>1</v>
      </c>
      <c r="DP825" s="72">
        <v>1</v>
      </c>
      <c r="DQ825" s="72" t="b">
        <v>0</v>
      </c>
    </row>
    <row r="826" spans="112:121" x14ac:dyDescent="0.25">
      <c r="DH826" t="s">
        <v>396</v>
      </c>
      <c r="DI826">
        <v>3.5</v>
      </c>
      <c r="DJ826">
        <v>100</v>
      </c>
      <c r="DK826">
        <v>100</v>
      </c>
      <c r="DL826" s="75">
        <f ca="1">INDIRECT(ADDRESS(11+(MATCH(RIGHT(Table14[[#This Row],[spawner_sku]],LEN(Table14[[#This Row],[spawner_sku]])-FIND("/",Table14[[#This Row],[spawner_sku]])),Table1[Entity Prefab],0)),10,1,1,"Entities"))</f>
        <v>25</v>
      </c>
      <c r="DM826" s="75">
        <f ca="1">ROUND((Table14[[#This Row],[XP]]*Table14[[#This Row],[entity_spawned (AVG)]])*(Table14[[#This Row],[activating_chance]]/100),0)</f>
        <v>88</v>
      </c>
      <c r="DN82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26" s="72">
        <v>3</v>
      </c>
      <c r="DP826" s="72">
        <v>4</v>
      </c>
      <c r="DQ826" s="72" t="b">
        <v>0</v>
      </c>
    </row>
    <row r="827" spans="112:121" x14ac:dyDescent="0.25">
      <c r="DH827" t="s">
        <v>396</v>
      </c>
      <c r="DI827">
        <v>1.5</v>
      </c>
      <c r="DJ827">
        <v>90</v>
      </c>
      <c r="DK827">
        <v>100</v>
      </c>
      <c r="DL827" s="75">
        <f ca="1">INDIRECT(ADDRESS(11+(MATCH(RIGHT(Table14[[#This Row],[spawner_sku]],LEN(Table14[[#This Row],[spawner_sku]])-FIND("/",Table14[[#This Row],[spawner_sku]])),Table1[Entity Prefab],0)),10,1,1,"Entities"))</f>
        <v>25</v>
      </c>
      <c r="DM827" s="75">
        <f ca="1">ROUND((Table14[[#This Row],[XP]]*Table14[[#This Row],[entity_spawned (AVG)]])*(Table14[[#This Row],[activating_chance]]/100),0)</f>
        <v>38</v>
      </c>
      <c r="DN82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27" s="72">
        <v>1</v>
      </c>
      <c r="DP827" s="72">
        <v>2</v>
      </c>
      <c r="DQ827" s="72" t="b">
        <v>0</v>
      </c>
    </row>
    <row r="828" spans="112:121" x14ac:dyDescent="0.25">
      <c r="DH828" t="s">
        <v>396</v>
      </c>
      <c r="DI828">
        <v>3</v>
      </c>
      <c r="DJ828">
        <v>100</v>
      </c>
      <c r="DK828">
        <v>100</v>
      </c>
      <c r="DL828" s="75">
        <f ca="1">INDIRECT(ADDRESS(11+(MATCH(RIGHT(Table14[[#This Row],[spawner_sku]],LEN(Table14[[#This Row],[spawner_sku]])-FIND("/",Table14[[#This Row],[spawner_sku]])),Table1[Entity Prefab],0)),10,1,1,"Entities"))</f>
        <v>25</v>
      </c>
      <c r="DM828" s="75">
        <f ca="1">ROUND((Table14[[#This Row],[XP]]*Table14[[#This Row],[entity_spawned (AVG)]])*(Table14[[#This Row],[activating_chance]]/100),0)</f>
        <v>75</v>
      </c>
      <c r="DN82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28" s="72">
        <v>3</v>
      </c>
      <c r="DP828" s="72">
        <v>3</v>
      </c>
      <c r="DQ828" s="72" t="b">
        <v>0</v>
      </c>
    </row>
    <row r="829" spans="112:121" x14ac:dyDescent="0.25">
      <c r="DH829" t="s">
        <v>396</v>
      </c>
      <c r="DI829">
        <v>1</v>
      </c>
      <c r="DJ829">
        <v>60</v>
      </c>
      <c r="DK829">
        <v>100</v>
      </c>
      <c r="DL829" s="75">
        <f ca="1">INDIRECT(ADDRESS(11+(MATCH(RIGHT(Table14[[#This Row],[spawner_sku]],LEN(Table14[[#This Row],[spawner_sku]])-FIND("/",Table14[[#This Row],[spawner_sku]])),Table1[Entity Prefab],0)),10,1,1,"Entities"))</f>
        <v>25</v>
      </c>
      <c r="DM829" s="75">
        <f ca="1">ROUND((Table14[[#This Row],[XP]]*Table14[[#This Row],[entity_spawned (AVG)]])*(Table14[[#This Row],[activating_chance]]/100),0)</f>
        <v>25</v>
      </c>
      <c r="DN82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29" s="72">
        <v>1</v>
      </c>
      <c r="DP829" s="72">
        <v>1</v>
      </c>
      <c r="DQ829" s="72" t="b">
        <v>0</v>
      </c>
    </row>
    <row r="830" spans="112:121" x14ac:dyDescent="0.25">
      <c r="DH830" t="s">
        <v>396</v>
      </c>
      <c r="DI830">
        <v>6.5</v>
      </c>
      <c r="DJ830">
        <v>100</v>
      </c>
      <c r="DK830">
        <v>100</v>
      </c>
      <c r="DL830" s="75">
        <f ca="1">INDIRECT(ADDRESS(11+(MATCH(RIGHT(Table14[[#This Row],[spawner_sku]],LEN(Table14[[#This Row],[spawner_sku]])-FIND("/",Table14[[#This Row],[spawner_sku]])),Table1[Entity Prefab],0)),10,1,1,"Entities"))</f>
        <v>25</v>
      </c>
      <c r="DM830" s="75">
        <f ca="1">ROUND((Table14[[#This Row],[XP]]*Table14[[#This Row],[entity_spawned (AVG)]])*(Table14[[#This Row],[activating_chance]]/100),0)</f>
        <v>163</v>
      </c>
      <c r="DN83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30" s="72">
        <v>5</v>
      </c>
      <c r="DP830" s="72">
        <v>8</v>
      </c>
      <c r="DQ830" s="72" t="b">
        <v>1</v>
      </c>
    </row>
    <row r="831" spans="112:121" x14ac:dyDescent="0.25">
      <c r="DH831" t="s">
        <v>396</v>
      </c>
      <c r="DI831">
        <v>1</v>
      </c>
      <c r="DJ831">
        <v>100</v>
      </c>
      <c r="DK831">
        <v>50</v>
      </c>
      <c r="DL831" s="75">
        <f ca="1">INDIRECT(ADDRESS(11+(MATCH(RIGHT(Table14[[#This Row],[spawner_sku]],LEN(Table14[[#This Row],[spawner_sku]])-FIND("/",Table14[[#This Row],[spawner_sku]])),Table1[Entity Prefab],0)),10,1,1,"Entities"))</f>
        <v>25</v>
      </c>
      <c r="DM831" s="75">
        <f ca="1">ROUND((Table14[[#This Row],[XP]]*Table14[[#This Row],[entity_spawned (AVG)]])*(Table14[[#This Row],[activating_chance]]/100),0)</f>
        <v>13</v>
      </c>
      <c r="DN83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31" s="72">
        <v>1</v>
      </c>
      <c r="DP831" s="72">
        <v>1</v>
      </c>
      <c r="DQ831" s="72" t="b">
        <v>0</v>
      </c>
    </row>
    <row r="832" spans="112:121" x14ac:dyDescent="0.25">
      <c r="DH832" t="s">
        <v>396</v>
      </c>
      <c r="DI832">
        <v>3.5</v>
      </c>
      <c r="DJ832">
        <v>80</v>
      </c>
      <c r="DK832">
        <v>80</v>
      </c>
      <c r="DL832" s="75">
        <f ca="1">INDIRECT(ADDRESS(11+(MATCH(RIGHT(Table14[[#This Row],[spawner_sku]],LEN(Table14[[#This Row],[spawner_sku]])-FIND("/",Table14[[#This Row],[spawner_sku]])),Table1[Entity Prefab],0)),10,1,1,"Entities"))</f>
        <v>25</v>
      </c>
      <c r="DM832" s="75">
        <f ca="1">ROUND((Table14[[#This Row],[XP]]*Table14[[#This Row],[entity_spawned (AVG)]])*(Table14[[#This Row],[activating_chance]]/100),0)</f>
        <v>70</v>
      </c>
      <c r="DN83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32" s="72">
        <v>3</v>
      </c>
      <c r="DP832" s="72">
        <v>4</v>
      </c>
      <c r="DQ832" s="72" t="b">
        <v>0</v>
      </c>
    </row>
    <row r="833" spans="112:121" x14ac:dyDescent="0.25">
      <c r="DH833" t="s">
        <v>396</v>
      </c>
      <c r="DI833">
        <v>3</v>
      </c>
      <c r="DJ833">
        <v>100</v>
      </c>
      <c r="DK833">
        <v>70</v>
      </c>
      <c r="DL833" s="75">
        <f ca="1">INDIRECT(ADDRESS(11+(MATCH(RIGHT(Table14[[#This Row],[spawner_sku]],LEN(Table14[[#This Row],[spawner_sku]])-FIND("/",Table14[[#This Row],[spawner_sku]])),Table1[Entity Prefab],0)),10,1,1,"Entities"))</f>
        <v>25</v>
      </c>
      <c r="DM833" s="75">
        <f ca="1">ROUND((Table14[[#This Row],[XP]]*Table14[[#This Row],[entity_spawned (AVG)]])*(Table14[[#This Row],[activating_chance]]/100),0)</f>
        <v>53</v>
      </c>
      <c r="DN83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33" s="72">
        <v>3</v>
      </c>
      <c r="DP833" s="72">
        <v>3</v>
      </c>
      <c r="DQ833" s="72" t="b">
        <v>0</v>
      </c>
    </row>
    <row r="834" spans="112:121" x14ac:dyDescent="0.25">
      <c r="DH834" t="s">
        <v>396</v>
      </c>
      <c r="DI834">
        <v>1</v>
      </c>
      <c r="DJ834">
        <v>100</v>
      </c>
      <c r="DK834">
        <v>50</v>
      </c>
      <c r="DL834" s="75">
        <f ca="1">INDIRECT(ADDRESS(11+(MATCH(RIGHT(Table14[[#This Row],[spawner_sku]],LEN(Table14[[#This Row],[spawner_sku]])-FIND("/",Table14[[#This Row],[spawner_sku]])),Table1[Entity Prefab],0)),10,1,1,"Entities"))</f>
        <v>25</v>
      </c>
      <c r="DM834" s="75">
        <f ca="1">ROUND((Table14[[#This Row],[XP]]*Table14[[#This Row],[entity_spawned (AVG)]])*(Table14[[#This Row],[activating_chance]]/100),0)</f>
        <v>13</v>
      </c>
      <c r="DN83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34" s="72">
        <v>1</v>
      </c>
      <c r="DP834" s="72">
        <v>1</v>
      </c>
      <c r="DQ834" s="72" t="b">
        <v>0</v>
      </c>
    </row>
    <row r="835" spans="112:121" x14ac:dyDescent="0.25">
      <c r="DH835" t="s">
        <v>396</v>
      </c>
      <c r="DI835">
        <v>1</v>
      </c>
      <c r="DJ835">
        <v>60</v>
      </c>
      <c r="DK835">
        <v>100</v>
      </c>
      <c r="DL835" s="75">
        <f ca="1">INDIRECT(ADDRESS(11+(MATCH(RIGHT(Table14[[#This Row],[spawner_sku]],LEN(Table14[[#This Row],[spawner_sku]])-FIND("/",Table14[[#This Row],[spawner_sku]])),Table1[Entity Prefab],0)),10,1,1,"Entities"))</f>
        <v>25</v>
      </c>
      <c r="DM835" s="75">
        <f ca="1">ROUND((Table14[[#This Row],[XP]]*Table14[[#This Row],[entity_spawned (AVG)]])*(Table14[[#This Row],[activating_chance]]/100),0)</f>
        <v>25</v>
      </c>
      <c r="DN83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35" s="72">
        <v>1</v>
      </c>
      <c r="DP835" s="72">
        <v>1</v>
      </c>
      <c r="DQ835" s="72" t="b">
        <v>0</v>
      </c>
    </row>
    <row r="836" spans="112:121" x14ac:dyDescent="0.25">
      <c r="DH836" t="s">
        <v>396</v>
      </c>
      <c r="DI836">
        <v>1.5</v>
      </c>
      <c r="DJ836">
        <v>100</v>
      </c>
      <c r="DK836">
        <v>100</v>
      </c>
      <c r="DL836" s="75">
        <f ca="1">INDIRECT(ADDRESS(11+(MATCH(RIGHT(Table14[[#This Row],[spawner_sku]],LEN(Table14[[#This Row],[spawner_sku]])-FIND("/",Table14[[#This Row],[spawner_sku]])),Table1[Entity Prefab],0)),10,1,1,"Entities"))</f>
        <v>25</v>
      </c>
      <c r="DM836" s="75">
        <f ca="1">ROUND((Table14[[#This Row],[XP]]*Table14[[#This Row],[entity_spawned (AVG)]])*(Table14[[#This Row],[activating_chance]]/100),0)</f>
        <v>38</v>
      </c>
      <c r="DN83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36" s="72">
        <v>1</v>
      </c>
      <c r="DP836" s="72">
        <v>2</v>
      </c>
      <c r="DQ836" s="72" t="b">
        <v>0</v>
      </c>
    </row>
    <row r="837" spans="112:121" x14ac:dyDescent="0.25">
      <c r="DH837" t="s">
        <v>396</v>
      </c>
      <c r="DI837">
        <v>2</v>
      </c>
      <c r="DJ837">
        <v>80</v>
      </c>
      <c r="DK837">
        <v>100</v>
      </c>
      <c r="DL837" s="75">
        <f ca="1">INDIRECT(ADDRESS(11+(MATCH(RIGHT(Table14[[#This Row],[spawner_sku]],LEN(Table14[[#This Row],[spawner_sku]])-FIND("/",Table14[[#This Row],[spawner_sku]])),Table1[Entity Prefab],0)),10,1,1,"Entities"))</f>
        <v>25</v>
      </c>
      <c r="DM837" s="75">
        <f ca="1">ROUND((Table14[[#This Row],[XP]]*Table14[[#This Row],[entity_spawned (AVG)]])*(Table14[[#This Row],[activating_chance]]/100),0)</f>
        <v>50</v>
      </c>
      <c r="DN83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37" s="72">
        <v>2</v>
      </c>
      <c r="DP837" s="72">
        <v>2</v>
      </c>
      <c r="DQ837" s="72" t="b">
        <v>0</v>
      </c>
    </row>
    <row r="838" spans="112:121" x14ac:dyDescent="0.25">
      <c r="DH838" t="s">
        <v>396</v>
      </c>
      <c r="DI838">
        <v>1</v>
      </c>
      <c r="DJ838">
        <v>60</v>
      </c>
      <c r="DK838">
        <v>100</v>
      </c>
      <c r="DL838" s="75">
        <f ca="1">INDIRECT(ADDRESS(11+(MATCH(RIGHT(Table14[[#This Row],[spawner_sku]],LEN(Table14[[#This Row],[spawner_sku]])-FIND("/",Table14[[#This Row],[spawner_sku]])),Table1[Entity Prefab],0)),10,1,1,"Entities"))</f>
        <v>25</v>
      </c>
      <c r="DM838" s="75">
        <f ca="1">ROUND((Table14[[#This Row],[XP]]*Table14[[#This Row],[entity_spawned (AVG)]])*(Table14[[#This Row],[activating_chance]]/100),0)</f>
        <v>25</v>
      </c>
      <c r="DN83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38" s="72">
        <v>1</v>
      </c>
      <c r="DP838" s="72">
        <v>1</v>
      </c>
      <c r="DQ838" s="72" t="b">
        <v>0</v>
      </c>
    </row>
    <row r="839" spans="112:121" x14ac:dyDescent="0.25">
      <c r="DH839" t="s">
        <v>396</v>
      </c>
      <c r="DI839">
        <v>2.5</v>
      </c>
      <c r="DJ839">
        <v>90</v>
      </c>
      <c r="DK839">
        <v>100</v>
      </c>
      <c r="DL839" s="75">
        <f ca="1">INDIRECT(ADDRESS(11+(MATCH(RIGHT(Table14[[#This Row],[spawner_sku]],LEN(Table14[[#This Row],[spawner_sku]])-FIND("/",Table14[[#This Row],[spawner_sku]])),Table1[Entity Prefab],0)),10,1,1,"Entities"))</f>
        <v>25</v>
      </c>
      <c r="DM839" s="75">
        <f ca="1">ROUND((Table14[[#This Row],[XP]]*Table14[[#This Row],[entity_spawned (AVG)]])*(Table14[[#This Row],[activating_chance]]/100),0)</f>
        <v>63</v>
      </c>
      <c r="DN83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39" s="72">
        <v>2</v>
      </c>
      <c r="DP839" s="72">
        <v>3</v>
      </c>
      <c r="DQ839" s="72" t="b">
        <v>0</v>
      </c>
    </row>
    <row r="840" spans="112:121" x14ac:dyDescent="0.25">
      <c r="DH840" t="s">
        <v>450</v>
      </c>
      <c r="DI840">
        <v>1</v>
      </c>
      <c r="DJ840">
        <v>100</v>
      </c>
      <c r="DK840">
        <v>80</v>
      </c>
      <c r="DL840" s="75">
        <f ca="1">INDIRECT(ADDRESS(11+(MATCH(RIGHT(Table14[[#This Row],[spawner_sku]],LEN(Table14[[#This Row],[spawner_sku]])-FIND("/",Table14[[#This Row],[spawner_sku]])),Table1[Entity Prefab],0)),10,1,1,"Entities"))</f>
        <v>25</v>
      </c>
      <c r="DM840" s="75">
        <f ca="1">ROUND((Table14[[#This Row],[XP]]*Table14[[#This Row],[entity_spawned (AVG)]])*(Table14[[#This Row],[activating_chance]]/100),0)</f>
        <v>20</v>
      </c>
      <c r="DN84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40" s="72">
        <v>1</v>
      </c>
      <c r="DP840" s="72">
        <v>1</v>
      </c>
      <c r="DQ840" s="72" t="b">
        <v>0</v>
      </c>
    </row>
    <row r="841" spans="112:121" x14ac:dyDescent="0.25">
      <c r="DH841" t="s">
        <v>450</v>
      </c>
      <c r="DI841">
        <v>1.5</v>
      </c>
      <c r="DJ841">
        <v>120</v>
      </c>
      <c r="DK841">
        <v>10</v>
      </c>
      <c r="DL841" s="75">
        <f ca="1">INDIRECT(ADDRESS(11+(MATCH(RIGHT(Table14[[#This Row],[spawner_sku]],LEN(Table14[[#This Row],[spawner_sku]])-FIND("/",Table14[[#This Row],[spawner_sku]])),Table1[Entity Prefab],0)),10,1,1,"Entities"))</f>
        <v>25</v>
      </c>
      <c r="DM841" s="75">
        <f ca="1">ROUND((Table14[[#This Row],[XP]]*Table14[[#This Row],[entity_spawned (AVG)]])*(Table14[[#This Row],[activating_chance]]/100),0)</f>
        <v>4</v>
      </c>
      <c r="DN84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41" s="72">
        <v>1</v>
      </c>
      <c r="DP841" s="72">
        <v>2</v>
      </c>
      <c r="DQ841" s="72" t="b">
        <v>0</v>
      </c>
    </row>
    <row r="842" spans="112:121" x14ac:dyDescent="0.25">
      <c r="DH842" t="s">
        <v>450</v>
      </c>
      <c r="DI842">
        <v>1</v>
      </c>
      <c r="DJ842">
        <v>100</v>
      </c>
      <c r="DK842">
        <v>80</v>
      </c>
      <c r="DL842" s="75">
        <f ca="1">INDIRECT(ADDRESS(11+(MATCH(RIGHT(Table14[[#This Row],[spawner_sku]],LEN(Table14[[#This Row],[spawner_sku]])-FIND("/",Table14[[#This Row],[spawner_sku]])),Table1[Entity Prefab],0)),10,1,1,"Entities"))</f>
        <v>25</v>
      </c>
      <c r="DM842" s="75">
        <f ca="1">ROUND((Table14[[#This Row],[XP]]*Table14[[#This Row],[entity_spawned (AVG)]])*(Table14[[#This Row],[activating_chance]]/100),0)</f>
        <v>20</v>
      </c>
      <c r="DN84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42" s="72">
        <v>1</v>
      </c>
      <c r="DP842" s="72">
        <v>1</v>
      </c>
      <c r="DQ842" s="72" t="b">
        <v>0</v>
      </c>
    </row>
    <row r="843" spans="112:121" x14ac:dyDescent="0.25">
      <c r="DH843" t="s">
        <v>450</v>
      </c>
      <c r="DI843">
        <v>1.5</v>
      </c>
      <c r="DJ843">
        <v>120</v>
      </c>
      <c r="DK843">
        <v>10</v>
      </c>
      <c r="DL843" s="75">
        <f ca="1">INDIRECT(ADDRESS(11+(MATCH(RIGHT(Table14[[#This Row],[spawner_sku]],LEN(Table14[[#This Row],[spawner_sku]])-FIND("/",Table14[[#This Row],[spawner_sku]])),Table1[Entity Prefab],0)),10,1,1,"Entities"))</f>
        <v>25</v>
      </c>
      <c r="DM843" s="75">
        <f ca="1">ROUND((Table14[[#This Row],[XP]]*Table14[[#This Row],[entity_spawned (AVG)]])*(Table14[[#This Row],[activating_chance]]/100),0)</f>
        <v>4</v>
      </c>
      <c r="DN84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43" s="72">
        <v>1</v>
      </c>
      <c r="DP843" s="72">
        <v>2</v>
      </c>
      <c r="DQ843" s="72" t="b">
        <v>0</v>
      </c>
    </row>
    <row r="844" spans="112:121" x14ac:dyDescent="0.25">
      <c r="DH844" t="s">
        <v>450</v>
      </c>
      <c r="DI844">
        <v>1.5</v>
      </c>
      <c r="DJ844">
        <v>120</v>
      </c>
      <c r="DK844">
        <v>10</v>
      </c>
      <c r="DL844" s="75">
        <f ca="1">INDIRECT(ADDRESS(11+(MATCH(RIGHT(Table14[[#This Row],[spawner_sku]],LEN(Table14[[#This Row],[spawner_sku]])-FIND("/",Table14[[#This Row],[spawner_sku]])),Table1[Entity Prefab],0)),10,1,1,"Entities"))</f>
        <v>25</v>
      </c>
      <c r="DM844" s="75">
        <f ca="1">ROUND((Table14[[#This Row],[XP]]*Table14[[#This Row],[entity_spawned (AVG)]])*(Table14[[#This Row],[activating_chance]]/100),0)</f>
        <v>4</v>
      </c>
      <c r="DN84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44" s="72">
        <v>1</v>
      </c>
      <c r="DP844" s="72">
        <v>2</v>
      </c>
      <c r="DQ844" s="72" t="b">
        <v>0</v>
      </c>
    </row>
    <row r="845" spans="112:121" x14ac:dyDescent="0.25">
      <c r="DH845" t="s">
        <v>450</v>
      </c>
      <c r="DI845">
        <v>1</v>
      </c>
      <c r="DJ845">
        <v>120</v>
      </c>
      <c r="DK845">
        <v>50</v>
      </c>
      <c r="DL845" s="75">
        <f ca="1">INDIRECT(ADDRESS(11+(MATCH(RIGHT(Table14[[#This Row],[spawner_sku]],LEN(Table14[[#This Row],[spawner_sku]])-FIND("/",Table14[[#This Row],[spawner_sku]])),Table1[Entity Prefab],0)),10,1,1,"Entities"))</f>
        <v>25</v>
      </c>
      <c r="DM845" s="75">
        <f ca="1">ROUND((Table14[[#This Row],[XP]]*Table14[[#This Row],[entity_spawned (AVG)]])*(Table14[[#This Row],[activating_chance]]/100),0)</f>
        <v>13</v>
      </c>
      <c r="DN84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45" s="72">
        <v>1</v>
      </c>
      <c r="DP845" s="72">
        <v>1</v>
      </c>
      <c r="DQ845" s="72" t="b">
        <v>0</v>
      </c>
    </row>
    <row r="846" spans="112:121" x14ac:dyDescent="0.25">
      <c r="DH846" t="s">
        <v>450</v>
      </c>
      <c r="DI846">
        <v>1.5</v>
      </c>
      <c r="DJ846">
        <v>70</v>
      </c>
      <c r="DK846">
        <v>80</v>
      </c>
      <c r="DL846" s="75">
        <f ca="1">INDIRECT(ADDRESS(11+(MATCH(RIGHT(Table14[[#This Row],[spawner_sku]],LEN(Table14[[#This Row],[spawner_sku]])-FIND("/",Table14[[#This Row],[spawner_sku]])),Table1[Entity Prefab],0)),10,1,1,"Entities"))</f>
        <v>25</v>
      </c>
      <c r="DM846" s="75">
        <f ca="1">ROUND((Table14[[#This Row],[XP]]*Table14[[#This Row],[entity_spawned (AVG)]])*(Table14[[#This Row],[activating_chance]]/100),0)</f>
        <v>30</v>
      </c>
      <c r="DN84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46" s="72">
        <v>1</v>
      </c>
      <c r="DP846" s="72">
        <v>2</v>
      </c>
      <c r="DQ846" s="72" t="b">
        <v>0</v>
      </c>
    </row>
    <row r="847" spans="112:121" x14ac:dyDescent="0.25">
      <c r="DH847" t="s">
        <v>450</v>
      </c>
      <c r="DI847">
        <v>1</v>
      </c>
      <c r="DJ847">
        <v>120</v>
      </c>
      <c r="DK847">
        <v>50</v>
      </c>
      <c r="DL847" s="75">
        <f ca="1">INDIRECT(ADDRESS(11+(MATCH(RIGHT(Table14[[#This Row],[spawner_sku]],LEN(Table14[[#This Row],[spawner_sku]])-FIND("/",Table14[[#This Row],[spawner_sku]])),Table1[Entity Prefab],0)),10,1,1,"Entities"))</f>
        <v>25</v>
      </c>
      <c r="DM847" s="75">
        <f ca="1">ROUND((Table14[[#This Row],[XP]]*Table14[[#This Row],[entity_spawned (AVG)]])*(Table14[[#This Row],[activating_chance]]/100),0)</f>
        <v>13</v>
      </c>
      <c r="DN84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47" s="72">
        <v>1</v>
      </c>
      <c r="DP847" s="72">
        <v>1</v>
      </c>
      <c r="DQ847" s="72" t="b">
        <v>0</v>
      </c>
    </row>
    <row r="848" spans="112:121" x14ac:dyDescent="0.25">
      <c r="DH848" t="s">
        <v>450</v>
      </c>
      <c r="DI848">
        <v>1</v>
      </c>
      <c r="DJ848">
        <v>100</v>
      </c>
      <c r="DK848">
        <v>50</v>
      </c>
      <c r="DL848" s="75">
        <f ca="1">INDIRECT(ADDRESS(11+(MATCH(RIGHT(Table14[[#This Row],[spawner_sku]],LEN(Table14[[#This Row],[spawner_sku]])-FIND("/",Table14[[#This Row],[spawner_sku]])),Table1[Entity Prefab],0)),10,1,1,"Entities"))</f>
        <v>25</v>
      </c>
      <c r="DM848" s="75">
        <f ca="1">ROUND((Table14[[#This Row],[XP]]*Table14[[#This Row],[entity_spawned (AVG)]])*(Table14[[#This Row],[activating_chance]]/100),0)</f>
        <v>13</v>
      </c>
      <c r="DN84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48" s="72">
        <v>1</v>
      </c>
      <c r="DP848" s="72">
        <v>1</v>
      </c>
      <c r="DQ848" s="72" t="b">
        <v>0</v>
      </c>
    </row>
    <row r="849" spans="112:121" x14ac:dyDescent="0.25">
      <c r="DH849" t="s">
        <v>253</v>
      </c>
      <c r="DI849">
        <v>1</v>
      </c>
      <c r="DJ849">
        <v>170</v>
      </c>
      <c r="DK849">
        <v>100</v>
      </c>
      <c r="DL849" s="75">
        <f ca="1">INDIRECT(ADDRESS(11+(MATCH(RIGHT(Table14[[#This Row],[spawner_sku]],LEN(Table14[[#This Row],[spawner_sku]])-FIND("/",Table14[[#This Row],[spawner_sku]])),Table1[Entity Prefab],0)),10,1,1,"Entities"))</f>
        <v>70</v>
      </c>
      <c r="DM849" s="75">
        <f ca="1">ROUND((Table14[[#This Row],[XP]]*Table14[[#This Row],[entity_spawned (AVG)]])*(Table14[[#This Row],[activating_chance]]/100),0)</f>
        <v>70</v>
      </c>
      <c r="DN84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849" s="72">
        <v>1</v>
      </c>
      <c r="DP849" s="72">
        <v>1</v>
      </c>
      <c r="DQ849" s="72" t="b">
        <v>0</v>
      </c>
    </row>
    <row r="850" spans="112:121" x14ac:dyDescent="0.25">
      <c r="DH850" t="s">
        <v>253</v>
      </c>
      <c r="DI850">
        <v>1</v>
      </c>
      <c r="DJ850">
        <v>170</v>
      </c>
      <c r="DK850">
        <v>100</v>
      </c>
      <c r="DL850" s="75">
        <f ca="1">INDIRECT(ADDRESS(11+(MATCH(RIGHT(Table14[[#This Row],[spawner_sku]],LEN(Table14[[#This Row],[spawner_sku]])-FIND("/",Table14[[#This Row],[spawner_sku]])),Table1[Entity Prefab],0)),10,1,1,"Entities"))</f>
        <v>70</v>
      </c>
      <c r="DM850" s="75">
        <f ca="1">ROUND((Table14[[#This Row],[XP]]*Table14[[#This Row],[entity_spawned (AVG)]])*(Table14[[#This Row],[activating_chance]]/100),0)</f>
        <v>70</v>
      </c>
      <c r="DN85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850" s="72">
        <v>1</v>
      </c>
      <c r="DP850" s="72">
        <v>1</v>
      </c>
      <c r="DQ850" s="72" t="b">
        <v>0</v>
      </c>
    </row>
    <row r="851" spans="112:121" x14ac:dyDescent="0.25">
      <c r="DH851" t="s">
        <v>253</v>
      </c>
      <c r="DI851">
        <v>1</v>
      </c>
      <c r="DJ851">
        <v>170</v>
      </c>
      <c r="DK851">
        <v>100</v>
      </c>
      <c r="DL851" s="75">
        <f ca="1">INDIRECT(ADDRESS(11+(MATCH(RIGHT(Table14[[#This Row],[spawner_sku]],LEN(Table14[[#This Row],[spawner_sku]])-FIND("/",Table14[[#This Row],[spawner_sku]])),Table1[Entity Prefab],0)),10,1,1,"Entities"))</f>
        <v>70</v>
      </c>
      <c r="DM851" s="75">
        <f ca="1">ROUND((Table14[[#This Row],[XP]]*Table14[[#This Row],[entity_spawned (AVG)]])*(Table14[[#This Row],[activating_chance]]/100),0)</f>
        <v>70</v>
      </c>
      <c r="DN85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851" s="72">
        <v>1</v>
      </c>
      <c r="DP851" s="72">
        <v>1</v>
      </c>
      <c r="DQ851" s="72" t="b">
        <v>0</v>
      </c>
    </row>
    <row r="852" spans="112:121" x14ac:dyDescent="0.25">
      <c r="DH852" t="s">
        <v>253</v>
      </c>
      <c r="DI852">
        <v>1</v>
      </c>
      <c r="DJ852">
        <v>170</v>
      </c>
      <c r="DK852">
        <v>100</v>
      </c>
      <c r="DL852" s="75">
        <f ca="1">INDIRECT(ADDRESS(11+(MATCH(RIGHT(Table14[[#This Row],[spawner_sku]],LEN(Table14[[#This Row],[spawner_sku]])-FIND("/",Table14[[#This Row],[spawner_sku]])),Table1[Entity Prefab],0)),10,1,1,"Entities"))</f>
        <v>70</v>
      </c>
      <c r="DM852" s="75">
        <f ca="1">ROUND((Table14[[#This Row],[XP]]*Table14[[#This Row],[entity_spawned (AVG)]])*(Table14[[#This Row],[activating_chance]]/100),0)</f>
        <v>70</v>
      </c>
      <c r="DN85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852" s="72">
        <v>1</v>
      </c>
      <c r="DP852" s="72">
        <v>1</v>
      </c>
      <c r="DQ852" s="72" t="b">
        <v>0</v>
      </c>
    </row>
    <row r="853" spans="112:121" x14ac:dyDescent="0.25">
      <c r="DH853" t="s">
        <v>253</v>
      </c>
      <c r="DI853">
        <v>1</v>
      </c>
      <c r="DJ853">
        <v>170</v>
      </c>
      <c r="DK853">
        <v>80</v>
      </c>
      <c r="DL853" s="75">
        <f ca="1">INDIRECT(ADDRESS(11+(MATCH(RIGHT(Table14[[#This Row],[spawner_sku]],LEN(Table14[[#This Row],[spawner_sku]])-FIND("/",Table14[[#This Row],[spawner_sku]])),Table1[Entity Prefab],0)),10,1,1,"Entities"))</f>
        <v>70</v>
      </c>
      <c r="DM853" s="75">
        <f ca="1">ROUND((Table14[[#This Row],[XP]]*Table14[[#This Row],[entity_spawned (AVG)]])*(Table14[[#This Row],[activating_chance]]/100),0)</f>
        <v>56</v>
      </c>
      <c r="DN85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853" s="72">
        <v>1</v>
      </c>
      <c r="DP853" s="72">
        <v>1</v>
      </c>
      <c r="DQ853" s="72" t="b">
        <v>0</v>
      </c>
    </row>
    <row r="854" spans="112:121" x14ac:dyDescent="0.25">
      <c r="DH854" t="s">
        <v>254</v>
      </c>
      <c r="DI854">
        <v>1</v>
      </c>
      <c r="DJ854">
        <v>100</v>
      </c>
      <c r="DK854">
        <v>30</v>
      </c>
      <c r="DL854" s="75">
        <f ca="1">INDIRECT(ADDRESS(11+(MATCH(RIGHT(Table14[[#This Row],[spawner_sku]],LEN(Table14[[#This Row],[spawner_sku]])-FIND("/",Table14[[#This Row],[spawner_sku]])),Table1[Entity Prefab],0)),10,1,1,"Entities"))</f>
        <v>70</v>
      </c>
      <c r="DM854" s="75">
        <f ca="1">ROUND((Table14[[#This Row],[XP]]*Table14[[#This Row],[entity_spawned (AVG)]])*(Table14[[#This Row],[activating_chance]]/100),0)</f>
        <v>21</v>
      </c>
      <c r="DN85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854" s="72">
        <v>1</v>
      </c>
      <c r="DP854" s="72">
        <v>1</v>
      </c>
      <c r="DQ854" s="72" t="b">
        <v>0</v>
      </c>
    </row>
    <row r="855" spans="112:121" x14ac:dyDescent="0.25">
      <c r="DH855" t="s">
        <v>254</v>
      </c>
      <c r="DI855">
        <v>1</v>
      </c>
      <c r="DJ855">
        <v>120</v>
      </c>
      <c r="DK855">
        <v>100</v>
      </c>
      <c r="DL855" s="75">
        <f ca="1">INDIRECT(ADDRESS(11+(MATCH(RIGHT(Table14[[#This Row],[spawner_sku]],LEN(Table14[[#This Row],[spawner_sku]])-FIND("/",Table14[[#This Row],[spawner_sku]])),Table1[Entity Prefab],0)),10,1,1,"Entities"))</f>
        <v>70</v>
      </c>
      <c r="DM855" s="75">
        <f ca="1">ROUND((Table14[[#This Row],[XP]]*Table14[[#This Row],[entity_spawned (AVG)]])*(Table14[[#This Row],[activating_chance]]/100),0)</f>
        <v>70</v>
      </c>
      <c r="DN85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855" s="72">
        <v>1</v>
      </c>
      <c r="DP855" s="72">
        <v>1</v>
      </c>
      <c r="DQ855" s="72" t="b">
        <v>0</v>
      </c>
    </row>
    <row r="856" spans="112:121" x14ac:dyDescent="0.25">
      <c r="DH856" t="s">
        <v>255</v>
      </c>
      <c r="DI856">
        <v>1</v>
      </c>
      <c r="DJ856">
        <v>100</v>
      </c>
      <c r="DK856">
        <v>80</v>
      </c>
      <c r="DL856" s="75">
        <f ca="1">INDIRECT(ADDRESS(11+(MATCH(RIGHT(Table14[[#This Row],[spawner_sku]],LEN(Table14[[#This Row],[spawner_sku]])-FIND("/",Table14[[#This Row],[spawner_sku]])),Table1[Entity Prefab],0)),10,1,1,"Entities"))</f>
        <v>25</v>
      </c>
      <c r="DM856" s="75">
        <f ca="1">ROUND((Table14[[#This Row],[XP]]*Table14[[#This Row],[entity_spawned (AVG)]])*(Table14[[#This Row],[activating_chance]]/100),0)</f>
        <v>20</v>
      </c>
      <c r="DN85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56" s="72">
        <v>1</v>
      </c>
      <c r="DP856" s="72">
        <v>1</v>
      </c>
      <c r="DQ856" s="72" t="b">
        <v>0</v>
      </c>
    </row>
    <row r="857" spans="112:121" x14ac:dyDescent="0.25">
      <c r="DH857" t="s">
        <v>255</v>
      </c>
      <c r="DI857">
        <v>1</v>
      </c>
      <c r="DJ857">
        <v>150</v>
      </c>
      <c r="DK857">
        <v>80</v>
      </c>
      <c r="DL857" s="75">
        <f ca="1">INDIRECT(ADDRESS(11+(MATCH(RIGHT(Table14[[#This Row],[spawner_sku]],LEN(Table14[[#This Row],[spawner_sku]])-FIND("/",Table14[[#This Row],[spawner_sku]])),Table1[Entity Prefab],0)),10,1,1,"Entities"))</f>
        <v>25</v>
      </c>
      <c r="DM857" s="75">
        <f ca="1">ROUND((Table14[[#This Row],[XP]]*Table14[[#This Row],[entity_spawned (AVG)]])*(Table14[[#This Row],[activating_chance]]/100),0)</f>
        <v>20</v>
      </c>
      <c r="DN85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57" s="72">
        <v>1</v>
      </c>
      <c r="DP857" s="72">
        <v>1</v>
      </c>
      <c r="DQ857" s="72" t="b">
        <v>0</v>
      </c>
    </row>
    <row r="858" spans="112:121" x14ac:dyDescent="0.25">
      <c r="DH858" t="s">
        <v>255</v>
      </c>
      <c r="DI858">
        <v>1</v>
      </c>
      <c r="DJ858">
        <v>100</v>
      </c>
      <c r="DK858">
        <v>80</v>
      </c>
      <c r="DL858" s="75">
        <f ca="1">INDIRECT(ADDRESS(11+(MATCH(RIGHT(Table14[[#This Row],[spawner_sku]],LEN(Table14[[#This Row],[spawner_sku]])-FIND("/",Table14[[#This Row],[spawner_sku]])),Table1[Entity Prefab],0)),10,1,1,"Entities"))</f>
        <v>25</v>
      </c>
      <c r="DM858" s="75">
        <f ca="1">ROUND((Table14[[#This Row],[XP]]*Table14[[#This Row],[entity_spawned (AVG)]])*(Table14[[#This Row],[activating_chance]]/100),0)</f>
        <v>20</v>
      </c>
      <c r="DN85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58" s="72">
        <v>1</v>
      </c>
      <c r="DP858" s="72">
        <v>1</v>
      </c>
      <c r="DQ858" s="72" t="b">
        <v>0</v>
      </c>
    </row>
    <row r="859" spans="112:121" x14ac:dyDescent="0.25">
      <c r="DH859" t="s">
        <v>255</v>
      </c>
      <c r="DI859">
        <v>1</v>
      </c>
      <c r="DJ859">
        <v>90</v>
      </c>
      <c r="DK859">
        <v>80</v>
      </c>
      <c r="DL859" s="75">
        <f ca="1">INDIRECT(ADDRESS(11+(MATCH(RIGHT(Table14[[#This Row],[spawner_sku]],LEN(Table14[[#This Row],[spawner_sku]])-FIND("/",Table14[[#This Row],[spawner_sku]])),Table1[Entity Prefab],0)),10,1,1,"Entities"))</f>
        <v>25</v>
      </c>
      <c r="DM859" s="75">
        <f ca="1">ROUND((Table14[[#This Row],[XP]]*Table14[[#This Row],[entity_spawned (AVG)]])*(Table14[[#This Row],[activating_chance]]/100),0)</f>
        <v>20</v>
      </c>
      <c r="DN85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59" s="72">
        <v>1</v>
      </c>
      <c r="DP859" s="72">
        <v>1</v>
      </c>
      <c r="DQ859" s="72" t="b">
        <v>0</v>
      </c>
    </row>
    <row r="860" spans="112:121" x14ac:dyDescent="0.25">
      <c r="DH860" t="s">
        <v>255</v>
      </c>
      <c r="DI860">
        <v>1</v>
      </c>
      <c r="DJ860">
        <v>100</v>
      </c>
      <c r="DK860">
        <v>100</v>
      </c>
      <c r="DL860" s="75">
        <f ca="1">INDIRECT(ADDRESS(11+(MATCH(RIGHT(Table14[[#This Row],[spawner_sku]],LEN(Table14[[#This Row],[spawner_sku]])-FIND("/",Table14[[#This Row],[spawner_sku]])),Table1[Entity Prefab],0)),10,1,1,"Entities"))</f>
        <v>25</v>
      </c>
      <c r="DM860" s="75">
        <f ca="1">ROUND((Table14[[#This Row],[XP]]*Table14[[#This Row],[entity_spawned (AVG)]])*(Table14[[#This Row],[activating_chance]]/100),0)</f>
        <v>25</v>
      </c>
      <c r="DN86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60" s="72">
        <v>1</v>
      </c>
      <c r="DP860" s="72">
        <v>1</v>
      </c>
      <c r="DQ860" s="72" t="b">
        <v>0</v>
      </c>
    </row>
    <row r="861" spans="112:121" x14ac:dyDescent="0.25">
      <c r="DH861" t="s">
        <v>255</v>
      </c>
      <c r="DI861">
        <v>1</v>
      </c>
      <c r="DJ861">
        <v>100</v>
      </c>
      <c r="DK861">
        <v>100</v>
      </c>
      <c r="DL861" s="75">
        <f ca="1">INDIRECT(ADDRESS(11+(MATCH(RIGHT(Table14[[#This Row],[spawner_sku]],LEN(Table14[[#This Row],[spawner_sku]])-FIND("/",Table14[[#This Row],[spawner_sku]])),Table1[Entity Prefab],0)),10,1,1,"Entities"))</f>
        <v>25</v>
      </c>
      <c r="DM861" s="75">
        <f ca="1">ROUND((Table14[[#This Row],[XP]]*Table14[[#This Row],[entity_spawned (AVG)]])*(Table14[[#This Row],[activating_chance]]/100),0)</f>
        <v>25</v>
      </c>
      <c r="DN86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61" s="72">
        <v>1</v>
      </c>
      <c r="DP861" s="72">
        <v>1</v>
      </c>
      <c r="DQ861" s="72" t="b">
        <v>0</v>
      </c>
    </row>
    <row r="862" spans="112:121" x14ac:dyDescent="0.25">
      <c r="DH862" t="s">
        <v>255</v>
      </c>
      <c r="DI862">
        <v>1</v>
      </c>
      <c r="DJ862">
        <v>100</v>
      </c>
      <c r="DK862">
        <v>100</v>
      </c>
      <c r="DL862" s="75">
        <f ca="1">INDIRECT(ADDRESS(11+(MATCH(RIGHT(Table14[[#This Row],[spawner_sku]],LEN(Table14[[#This Row],[spawner_sku]])-FIND("/",Table14[[#This Row],[spawner_sku]])),Table1[Entity Prefab],0)),10,1,1,"Entities"))</f>
        <v>25</v>
      </c>
      <c r="DM862" s="75">
        <f ca="1">ROUND((Table14[[#This Row],[XP]]*Table14[[#This Row],[entity_spawned (AVG)]])*(Table14[[#This Row],[activating_chance]]/100),0)</f>
        <v>25</v>
      </c>
      <c r="DN86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62" s="72">
        <v>1</v>
      </c>
      <c r="DP862" s="72">
        <v>1</v>
      </c>
      <c r="DQ862" s="72" t="b">
        <v>0</v>
      </c>
    </row>
    <row r="863" spans="112:121" x14ac:dyDescent="0.25">
      <c r="DH863" t="s">
        <v>255</v>
      </c>
      <c r="DI863">
        <v>1</v>
      </c>
      <c r="DJ863">
        <v>100</v>
      </c>
      <c r="DK863">
        <v>100</v>
      </c>
      <c r="DL863" s="75">
        <f ca="1">INDIRECT(ADDRESS(11+(MATCH(RIGHT(Table14[[#This Row],[spawner_sku]],LEN(Table14[[#This Row],[spawner_sku]])-FIND("/",Table14[[#This Row],[spawner_sku]])),Table1[Entity Prefab],0)),10,1,1,"Entities"))</f>
        <v>25</v>
      </c>
      <c r="DM863" s="75">
        <f ca="1">ROUND((Table14[[#This Row],[XP]]*Table14[[#This Row],[entity_spawned (AVG)]])*(Table14[[#This Row],[activating_chance]]/100),0)</f>
        <v>25</v>
      </c>
      <c r="DN86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63" s="72">
        <v>1</v>
      </c>
      <c r="DP863" s="72">
        <v>1</v>
      </c>
      <c r="DQ863" s="72" t="b">
        <v>0</v>
      </c>
    </row>
    <row r="864" spans="112:121" x14ac:dyDescent="0.25">
      <c r="DH864" t="s">
        <v>255</v>
      </c>
      <c r="DI864">
        <v>1</v>
      </c>
      <c r="DJ864">
        <v>150</v>
      </c>
      <c r="DK864">
        <v>80</v>
      </c>
      <c r="DL864" s="75">
        <f ca="1">INDIRECT(ADDRESS(11+(MATCH(RIGHT(Table14[[#This Row],[spawner_sku]],LEN(Table14[[#This Row],[spawner_sku]])-FIND("/",Table14[[#This Row],[spawner_sku]])),Table1[Entity Prefab],0)),10,1,1,"Entities"))</f>
        <v>25</v>
      </c>
      <c r="DM864" s="75">
        <f ca="1">ROUND((Table14[[#This Row],[XP]]*Table14[[#This Row],[entity_spawned (AVG)]])*(Table14[[#This Row],[activating_chance]]/100),0)</f>
        <v>20</v>
      </c>
      <c r="DN86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64" s="72">
        <v>1</v>
      </c>
      <c r="DP864" s="72">
        <v>1</v>
      </c>
      <c r="DQ864" s="72" t="b">
        <v>0</v>
      </c>
    </row>
    <row r="865" spans="112:121" x14ac:dyDescent="0.25">
      <c r="DH865" t="s">
        <v>255</v>
      </c>
      <c r="DI865">
        <v>1</v>
      </c>
      <c r="DJ865">
        <v>100</v>
      </c>
      <c r="DK865">
        <v>80</v>
      </c>
      <c r="DL865" s="75">
        <f ca="1">INDIRECT(ADDRESS(11+(MATCH(RIGHT(Table14[[#This Row],[spawner_sku]],LEN(Table14[[#This Row],[spawner_sku]])-FIND("/",Table14[[#This Row],[spawner_sku]])),Table1[Entity Prefab],0)),10,1,1,"Entities"))</f>
        <v>25</v>
      </c>
      <c r="DM865" s="75">
        <f ca="1">ROUND((Table14[[#This Row],[XP]]*Table14[[#This Row],[entity_spawned (AVG)]])*(Table14[[#This Row],[activating_chance]]/100),0)</f>
        <v>20</v>
      </c>
      <c r="DN86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65" s="72">
        <v>1</v>
      </c>
      <c r="DP865" s="72">
        <v>1</v>
      </c>
      <c r="DQ865" s="72" t="b">
        <v>0</v>
      </c>
    </row>
    <row r="866" spans="112:121" x14ac:dyDescent="0.25">
      <c r="DH866" t="s">
        <v>255</v>
      </c>
      <c r="DI866">
        <v>1</v>
      </c>
      <c r="DJ866">
        <v>100</v>
      </c>
      <c r="DK866">
        <v>30</v>
      </c>
      <c r="DL866" s="75">
        <f ca="1">INDIRECT(ADDRESS(11+(MATCH(RIGHT(Table14[[#This Row],[spawner_sku]],LEN(Table14[[#This Row],[spawner_sku]])-FIND("/",Table14[[#This Row],[spawner_sku]])),Table1[Entity Prefab],0)),10,1,1,"Entities"))</f>
        <v>25</v>
      </c>
      <c r="DM866" s="75">
        <f ca="1">ROUND((Table14[[#This Row],[XP]]*Table14[[#This Row],[entity_spawned (AVG)]])*(Table14[[#This Row],[activating_chance]]/100),0)</f>
        <v>8</v>
      </c>
      <c r="DN86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66" s="72">
        <v>1</v>
      </c>
      <c r="DP866" s="72">
        <v>1</v>
      </c>
      <c r="DQ866" s="72" t="b">
        <v>0</v>
      </c>
    </row>
    <row r="867" spans="112:121" x14ac:dyDescent="0.25">
      <c r="DH867" t="s">
        <v>255</v>
      </c>
      <c r="DI867">
        <v>1</v>
      </c>
      <c r="DJ867">
        <v>80</v>
      </c>
      <c r="DK867">
        <v>30</v>
      </c>
      <c r="DL867" s="75">
        <f ca="1">INDIRECT(ADDRESS(11+(MATCH(RIGHT(Table14[[#This Row],[spawner_sku]],LEN(Table14[[#This Row],[spawner_sku]])-FIND("/",Table14[[#This Row],[spawner_sku]])),Table1[Entity Prefab],0)),10,1,1,"Entities"))</f>
        <v>25</v>
      </c>
      <c r="DM867" s="75">
        <f ca="1">ROUND((Table14[[#This Row],[XP]]*Table14[[#This Row],[entity_spawned (AVG)]])*(Table14[[#This Row],[activating_chance]]/100),0)</f>
        <v>8</v>
      </c>
      <c r="DN86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67" s="72">
        <v>1</v>
      </c>
      <c r="DP867" s="72">
        <v>1</v>
      </c>
      <c r="DQ867" s="72" t="b">
        <v>0</v>
      </c>
    </row>
    <row r="868" spans="112:121" x14ac:dyDescent="0.25">
      <c r="DH868" t="s">
        <v>255</v>
      </c>
      <c r="DI868">
        <v>1</v>
      </c>
      <c r="DJ868">
        <v>90</v>
      </c>
      <c r="DK868">
        <v>100</v>
      </c>
      <c r="DL868" s="75">
        <f ca="1">INDIRECT(ADDRESS(11+(MATCH(RIGHT(Table14[[#This Row],[spawner_sku]],LEN(Table14[[#This Row],[spawner_sku]])-FIND("/",Table14[[#This Row],[spawner_sku]])),Table1[Entity Prefab],0)),10,1,1,"Entities"))</f>
        <v>25</v>
      </c>
      <c r="DM868" s="75">
        <f ca="1">ROUND((Table14[[#This Row],[XP]]*Table14[[#This Row],[entity_spawned (AVG)]])*(Table14[[#This Row],[activating_chance]]/100),0)</f>
        <v>25</v>
      </c>
      <c r="DN86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68" s="72">
        <v>1</v>
      </c>
      <c r="DP868" s="72">
        <v>1</v>
      </c>
      <c r="DQ868" s="72" t="b">
        <v>0</v>
      </c>
    </row>
    <row r="869" spans="112:121" x14ac:dyDescent="0.25">
      <c r="DH869" t="s">
        <v>255</v>
      </c>
      <c r="DI869">
        <v>1</v>
      </c>
      <c r="DJ869">
        <v>150</v>
      </c>
      <c r="DK869">
        <v>80</v>
      </c>
      <c r="DL869" s="75">
        <f ca="1">INDIRECT(ADDRESS(11+(MATCH(RIGHT(Table14[[#This Row],[spawner_sku]],LEN(Table14[[#This Row],[spawner_sku]])-FIND("/",Table14[[#This Row],[spawner_sku]])),Table1[Entity Prefab],0)),10,1,1,"Entities"))</f>
        <v>25</v>
      </c>
      <c r="DM869" s="75">
        <f ca="1">ROUND((Table14[[#This Row],[XP]]*Table14[[#This Row],[entity_spawned (AVG)]])*(Table14[[#This Row],[activating_chance]]/100),0)</f>
        <v>20</v>
      </c>
      <c r="DN86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69" s="72">
        <v>1</v>
      </c>
      <c r="DP869" s="72">
        <v>1</v>
      </c>
      <c r="DQ869" s="72" t="b">
        <v>0</v>
      </c>
    </row>
    <row r="870" spans="112:121" x14ac:dyDescent="0.25">
      <c r="DH870" t="s">
        <v>255</v>
      </c>
      <c r="DI870">
        <v>1</v>
      </c>
      <c r="DJ870">
        <v>100</v>
      </c>
      <c r="DK870">
        <v>80</v>
      </c>
      <c r="DL870" s="75">
        <f ca="1">INDIRECT(ADDRESS(11+(MATCH(RIGHT(Table14[[#This Row],[spawner_sku]],LEN(Table14[[#This Row],[spawner_sku]])-FIND("/",Table14[[#This Row],[spawner_sku]])),Table1[Entity Prefab],0)),10,1,1,"Entities"))</f>
        <v>25</v>
      </c>
      <c r="DM870" s="75">
        <f ca="1">ROUND((Table14[[#This Row],[XP]]*Table14[[#This Row],[entity_spawned (AVG)]])*(Table14[[#This Row],[activating_chance]]/100),0)</f>
        <v>20</v>
      </c>
      <c r="DN87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70" s="72">
        <v>1</v>
      </c>
      <c r="DP870" s="72">
        <v>1</v>
      </c>
      <c r="DQ870" s="72" t="b">
        <v>0</v>
      </c>
    </row>
    <row r="871" spans="112:121" x14ac:dyDescent="0.25">
      <c r="DH871" t="s">
        <v>255</v>
      </c>
      <c r="DI871">
        <v>1</v>
      </c>
      <c r="DJ871">
        <v>120</v>
      </c>
      <c r="DK871">
        <v>100</v>
      </c>
      <c r="DL871" s="75">
        <f ca="1">INDIRECT(ADDRESS(11+(MATCH(RIGHT(Table14[[#This Row],[spawner_sku]],LEN(Table14[[#This Row],[spawner_sku]])-FIND("/",Table14[[#This Row],[spawner_sku]])),Table1[Entity Prefab],0)),10,1,1,"Entities"))</f>
        <v>25</v>
      </c>
      <c r="DM871" s="75">
        <f ca="1">ROUND((Table14[[#This Row],[XP]]*Table14[[#This Row],[entity_spawned (AVG)]])*(Table14[[#This Row],[activating_chance]]/100),0)</f>
        <v>25</v>
      </c>
      <c r="DN87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71" s="72">
        <v>1</v>
      </c>
      <c r="DP871" s="72">
        <v>1</v>
      </c>
      <c r="DQ871" s="72" t="b">
        <v>0</v>
      </c>
    </row>
    <row r="872" spans="112:121" x14ac:dyDescent="0.25">
      <c r="DH872" t="s">
        <v>255</v>
      </c>
      <c r="DI872">
        <v>1</v>
      </c>
      <c r="DJ872">
        <v>100</v>
      </c>
      <c r="DK872">
        <v>100</v>
      </c>
      <c r="DL872" s="75">
        <f ca="1">INDIRECT(ADDRESS(11+(MATCH(RIGHT(Table14[[#This Row],[spawner_sku]],LEN(Table14[[#This Row],[spawner_sku]])-FIND("/",Table14[[#This Row],[spawner_sku]])),Table1[Entity Prefab],0)),10,1,1,"Entities"))</f>
        <v>25</v>
      </c>
      <c r="DM872" s="75">
        <f ca="1">ROUND((Table14[[#This Row],[XP]]*Table14[[#This Row],[entity_spawned (AVG)]])*(Table14[[#This Row],[activating_chance]]/100),0)</f>
        <v>25</v>
      </c>
      <c r="DN87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72" s="72">
        <v>1</v>
      </c>
      <c r="DP872" s="72">
        <v>1</v>
      </c>
      <c r="DQ872" s="72" t="b">
        <v>0</v>
      </c>
    </row>
    <row r="873" spans="112:121" x14ac:dyDescent="0.25">
      <c r="DH873" t="s">
        <v>255</v>
      </c>
      <c r="DI873">
        <v>1</v>
      </c>
      <c r="DJ873">
        <v>100</v>
      </c>
      <c r="DK873">
        <v>100</v>
      </c>
      <c r="DL873" s="75">
        <f ca="1">INDIRECT(ADDRESS(11+(MATCH(RIGHT(Table14[[#This Row],[spawner_sku]],LEN(Table14[[#This Row],[spawner_sku]])-FIND("/",Table14[[#This Row],[spawner_sku]])),Table1[Entity Prefab],0)),10,1,1,"Entities"))</f>
        <v>25</v>
      </c>
      <c r="DM873" s="75">
        <f ca="1">ROUND((Table14[[#This Row],[XP]]*Table14[[#This Row],[entity_spawned (AVG)]])*(Table14[[#This Row],[activating_chance]]/100),0)</f>
        <v>25</v>
      </c>
      <c r="DN87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73" s="72">
        <v>1</v>
      </c>
      <c r="DP873" s="72">
        <v>1</v>
      </c>
      <c r="DQ873" s="72" t="b">
        <v>0</v>
      </c>
    </row>
    <row r="874" spans="112:121" x14ac:dyDescent="0.25">
      <c r="DH874" t="s">
        <v>255</v>
      </c>
      <c r="DI874">
        <v>1</v>
      </c>
      <c r="DJ874">
        <v>100</v>
      </c>
      <c r="DK874">
        <v>100</v>
      </c>
      <c r="DL874" s="75">
        <f ca="1">INDIRECT(ADDRESS(11+(MATCH(RIGHT(Table14[[#This Row],[spawner_sku]],LEN(Table14[[#This Row],[spawner_sku]])-FIND("/",Table14[[#This Row],[spawner_sku]])),Table1[Entity Prefab],0)),10,1,1,"Entities"))</f>
        <v>25</v>
      </c>
      <c r="DM874" s="75">
        <f ca="1">ROUND((Table14[[#This Row],[XP]]*Table14[[#This Row],[entity_spawned (AVG)]])*(Table14[[#This Row],[activating_chance]]/100),0)</f>
        <v>25</v>
      </c>
      <c r="DN87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74" s="72">
        <v>1</v>
      </c>
      <c r="DP874" s="72">
        <v>1</v>
      </c>
      <c r="DQ874" s="72" t="b">
        <v>0</v>
      </c>
    </row>
    <row r="875" spans="112:121" x14ac:dyDescent="0.25">
      <c r="DH875" t="s">
        <v>255</v>
      </c>
      <c r="DI875">
        <v>1</v>
      </c>
      <c r="DJ875">
        <v>100</v>
      </c>
      <c r="DK875">
        <v>80</v>
      </c>
      <c r="DL875" s="75">
        <f ca="1">INDIRECT(ADDRESS(11+(MATCH(RIGHT(Table14[[#This Row],[spawner_sku]],LEN(Table14[[#This Row],[spawner_sku]])-FIND("/",Table14[[#This Row],[spawner_sku]])),Table1[Entity Prefab],0)),10,1,1,"Entities"))</f>
        <v>25</v>
      </c>
      <c r="DM875" s="75">
        <f ca="1">ROUND((Table14[[#This Row],[XP]]*Table14[[#This Row],[entity_spawned (AVG)]])*(Table14[[#This Row],[activating_chance]]/100),0)</f>
        <v>20</v>
      </c>
      <c r="DN87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75" s="72">
        <v>1</v>
      </c>
      <c r="DP875" s="72">
        <v>1</v>
      </c>
      <c r="DQ875" s="72" t="b">
        <v>0</v>
      </c>
    </row>
    <row r="876" spans="112:121" x14ac:dyDescent="0.25">
      <c r="DH876" t="s">
        <v>255</v>
      </c>
      <c r="DI876">
        <v>1</v>
      </c>
      <c r="DJ876">
        <v>90</v>
      </c>
      <c r="DK876">
        <v>100</v>
      </c>
      <c r="DL876" s="75">
        <f ca="1">INDIRECT(ADDRESS(11+(MATCH(RIGHT(Table14[[#This Row],[spawner_sku]],LEN(Table14[[#This Row],[spawner_sku]])-FIND("/",Table14[[#This Row],[spawner_sku]])),Table1[Entity Prefab],0)),10,1,1,"Entities"))</f>
        <v>25</v>
      </c>
      <c r="DM876" s="75">
        <f ca="1">ROUND((Table14[[#This Row],[XP]]*Table14[[#This Row],[entity_spawned (AVG)]])*(Table14[[#This Row],[activating_chance]]/100),0)</f>
        <v>25</v>
      </c>
      <c r="DN87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76" s="72">
        <v>1</v>
      </c>
      <c r="DP876" s="72">
        <v>1</v>
      </c>
      <c r="DQ876" s="72" t="b">
        <v>0</v>
      </c>
    </row>
    <row r="877" spans="112:121" x14ac:dyDescent="0.25">
      <c r="DH877" t="s">
        <v>255</v>
      </c>
      <c r="DI877">
        <v>1</v>
      </c>
      <c r="DJ877">
        <v>100</v>
      </c>
      <c r="DK877">
        <v>100</v>
      </c>
      <c r="DL877" s="75">
        <f ca="1">INDIRECT(ADDRESS(11+(MATCH(RIGHT(Table14[[#This Row],[spawner_sku]],LEN(Table14[[#This Row],[spawner_sku]])-FIND("/",Table14[[#This Row],[spawner_sku]])),Table1[Entity Prefab],0)),10,1,1,"Entities"))</f>
        <v>25</v>
      </c>
      <c r="DM877" s="75">
        <f ca="1">ROUND((Table14[[#This Row],[XP]]*Table14[[#This Row],[entity_spawned (AVG)]])*(Table14[[#This Row],[activating_chance]]/100),0)</f>
        <v>25</v>
      </c>
      <c r="DN87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77" s="72">
        <v>1</v>
      </c>
      <c r="DP877" s="72">
        <v>1</v>
      </c>
      <c r="DQ877" s="72" t="b">
        <v>0</v>
      </c>
    </row>
    <row r="878" spans="112:121" x14ac:dyDescent="0.25">
      <c r="DH878" t="s">
        <v>255</v>
      </c>
      <c r="DI878">
        <v>1</v>
      </c>
      <c r="DJ878">
        <v>150</v>
      </c>
      <c r="DK878">
        <v>80</v>
      </c>
      <c r="DL878" s="75">
        <f ca="1">INDIRECT(ADDRESS(11+(MATCH(RIGHT(Table14[[#This Row],[spawner_sku]],LEN(Table14[[#This Row],[spawner_sku]])-FIND("/",Table14[[#This Row],[spawner_sku]])),Table1[Entity Prefab],0)),10,1,1,"Entities"))</f>
        <v>25</v>
      </c>
      <c r="DM878" s="75">
        <f ca="1">ROUND((Table14[[#This Row],[XP]]*Table14[[#This Row],[entity_spawned (AVG)]])*(Table14[[#This Row],[activating_chance]]/100),0)</f>
        <v>20</v>
      </c>
      <c r="DN87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78" s="72">
        <v>1</v>
      </c>
      <c r="DP878" s="72">
        <v>1</v>
      </c>
      <c r="DQ878" s="72" t="b">
        <v>0</v>
      </c>
    </row>
    <row r="879" spans="112:121" x14ac:dyDescent="0.25">
      <c r="DH879" t="s">
        <v>255</v>
      </c>
      <c r="DI879">
        <v>1</v>
      </c>
      <c r="DJ879">
        <v>100</v>
      </c>
      <c r="DK879">
        <v>80</v>
      </c>
      <c r="DL879" s="75">
        <f ca="1">INDIRECT(ADDRESS(11+(MATCH(RIGHT(Table14[[#This Row],[spawner_sku]],LEN(Table14[[#This Row],[spawner_sku]])-FIND("/",Table14[[#This Row],[spawner_sku]])),Table1[Entity Prefab],0)),10,1,1,"Entities"))</f>
        <v>25</v>
      </c>
      <c r="DM879" s="75">
        <f ca="1">ROUND((Table14[[#This Row],[XP]]*Table14[[#This Row],[entity_spawned (AVG)]])*(Table14[[#This Row],[activating_chance]]/100),0)</f>
        <v>20</v>
      </c>
      <c r="DN87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79" s="72">
        <v>1</v>
      </c>
      <c r="DP879" s="72">
        <v>1</v>
      </c>
      <c r="DQ879" s="72" t="b">
        <v>0</v>
      </c>
    </row>
    <row r="880" spans="112:121" x14ac:dyDescent="0.25">
      <c r="DH880" t="s">
        <v>255</v>
      </c>
      <c r="DI880">
        <v>1</v>
      </c>
      <c r="DJ880">
        <v>100</v>
      </c>
      <c r="DK880">
        <v>100</v>
      </c>
      <c r="DL880" s="75">
        <f ca="1">INDIRECT(ADDRESS(11+(MATCH(RIGHT(Table14[[#This Row],[spawner_sku]],LEN(Table14[[#This Row],[spawner_sku]])-FIND("/",Table14[[#This Row],[spawner_sku]])),Table1[Entity Prefab],0)),10,1,1,"Entities"))</f>
        <v>25</v>
      </c>
      <c r="DM880" s="75">
        <f ca="1">ROUND((Table14[[#This Row],[XP]]*Table14[[#This Row],[entity_spawned (AVG)]])*(Table14[[#This Row],[activating_chance]]/100),0)</f>
        <v>25</v>
      </c>
      <c r="DN88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80" s="72">
        <v>1</v>
      </c>
      <c r="DP880" s="72">
        <v>1</v>
      </c>
      <c r="DQ880" s="72" t="b">
        <v>0</v>
      </c>
    </row>
    <row r="881" spans="112:121" x14ac:dyDescent="0.25">
      <c r="DH881" t="s">
        <v>255</v>
      </c>
      <c r="DI881">
        <v>1</v>
      </c>
      <c r="DJ881">
        <v>150</v>
      </c>
      <c r="DK881">
        <v>80</v>
      </c>
      <c r="DL881" s="75">
        <f ca="1">INDIRECT(ADDRESS(11+(MATCH(RIGHT(Table14[[#This Row],[spawner_sku]],LEN(Table14[[#This Row],[spawner_sku]])-FIND("/",Table14[[#This Row],[spawner_sku]])),Table1[Entity Prefab],0)),10,1,1,"Entities"))</f>
        <v>25</v>
      </c>
      <c r="DM881" s="75">
        <f ca="1">ROUND((Table14[[#This Row],[XP]]*Table14[[#This Row],[entity_spawned (AVG)]])*(Table14[[#This Row],[activating_chance]]/100),0)</f>
        <v>20</v>
      </c>
      <c r="DN88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81" s="72">
        <v>1</v>
      </c>
      <c r="DP881" s="72">
        <v>1</v>
      </c>
      <c r="DQ881" s="72" t="b">
        <v>0</v>
      </c>
    </row>
    <row r="882" spans="112:121" x14ac:dyDescent="0.25">
      <c r="DH882" t="s">
        <v>255</v>
      </c>
      <c r="DI882">
        <v>1</v>
      </c>
      <c r="DJ882">
        <v>100</v>
      </c>
      <c r="DK882">
        <v>100</v>
      </c>
      <c r="DL882" s="75">
        <f ca="1">INDIRECT(ADDRESS(11+(MATCH(RIGHT(Table14[[#This Row],[spawner_sku]],LEN(Table14[[#This Row],[spawner_sku]])-FIND("/",Table14[[#This Row],[spawner_sku]])),Table1[Entity Prefab],0)),10,1,1,"Entities"))</f>
        <v>25</v>
      </c>
      <c r="DM882" s="75">
        <f ca="1">ROUND((Table14[[#This Row],[XP]]*Table14[[#This Row],[entity_spawned (AVG)]])*(Table14[[#This Row],[activating_chance]]/100),0)</f>
        <v>25</v>
      </c>
      <c r="DN88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82" s="72">
        <v>1</v>
      </c>
      <c r="DP882" s="72">
        <v>1</v>
      </c>
      <c r="DQ882" s="72" t="b">
        <v>0</v>
      </c>
    </row>
    <row r="883" spans="112:121" x14ac:dyDescent="0.25">
      <c r="DH883" t="s">
        <v>255</v>
      </c>
      <c r="DI883">
        <v>1</v>
      </c>
      <c r="DJ883">
        <v>80</v>
      </c>
      <c r="DK883">
        <v>100</v>
      </c>
      <c r="DL883" s="75">
        <f ca="1">INDIRECT(ADDRESS(11+(MATCH(RIGHT(Table14[[#This Row],[spawner_sku]],LEN(Table14[[#This Row],[spawner_sku]])-FIND("/",Table14[[#This Row],[spawner_sku]])),Table1[Entity Prefab],0)),10,1,1,"Entities"))</f>
        <v>25</v>
      </c>
      <c r="DM883" s="75">
        <f ca="1">ROUND((Table14[[#This Row],[XP]]*Table14[[#This Row],[entity_spawned (AVG)]])*(Table14[[#This Row],[activating_chance]]/100),0)</f>
        <v>25</v>
      </c>
      <c r="DN88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83" s="72">
        <v>1</v>
      </c>
      <c r="DP883" s="72">
        <v>1</v>
      </c>
      <c r="DQ883" s="72" t="b">
        <v>0</v>
      </c>
    </row>
    <row r="884" spans="112:121" x14ac:dyDescent="0.25">
      <c r="DH884" t="s">
        <v>255</v>
      </c>
      <c r="DI884">
        <v>1</v>
      </c>
      <c r="DJ884">
        <v>100</v>
      </c>
      <c r="DK884">
        <v>30</v>
      </c>
      <c r="DL884" s="75">
        <f ca="1">INDIRECT(ADDRESS(11+(MATCH(RIGHT(Table14[[#This Row],[spawner_sku]],LEN(Table14[[#This Row],[spawner_sku]])-FIND("/",Table14[[#This Row],[spawner_sku]])),Table1[Entity Prefab],0)),10,1,1,"Entities"))</f>
        <v>25</v>
      </c>
      <c r="DM884" s="75">
        <f ca="1">ROUND((Table14[[#This Row],[XP]]*Table14[[#This Row],[entity_spawned (AVG)]])*(Table14[[#This Row],[activating_chance]]/100),0)</f>
        <v>8</v>
      </c>
      <c r="DN88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84" s="72">
        <v>1</v>
      </c>
      <c r="DP884" s="72">
        <v>1</v>
      </c>
      <c r="DQ884" s="72" t="b">
        <v>0</v>
      </c>
    </row>
    <row r="885" spans="112:121" x14ac:dyDescent="0.25">
      <c r="DH885" t="s">
        <v>255</v>
      </c>
      <c r="DI885">
        <v>1</v>
      </c>
      <c r="DJ885">
        <v>150</v>
      </c>
      <c r="DK885">
        <v>80</v>
      </c>
      <c r="DL885" s="75">
        <f ca="1">INDIRECT(ADDRESS(11+(MATCH(RIGHT(Table14[[#This Row],[spawner_sku]],LEN(Table14[[#This Row],[spawner_sku]])-FIND("/",Table14[[#This Row],[spawner_sku]])),Table1[Entity Prefab],0)),10,1,1,"Entities"))</f>
        <v>25</v>
      </c>
      <c r="DM885" s="75">
        <f ca="1">ROUND((Table14[[#This Row],[XP]]*Table14[[#This Row],[entity_spawned (AVG)]])*(Table14[[#This Row],[activating_chance]]/100),0)</f>
        <v>20</v>
      </c>
      <c r="DN88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85" s="72">
        <v>1</v>
      </c>
      <c r="DP885" s="72">
        <v>1</v>
      </c>
      <c r="DQ885" s="72" t="b">
        <v>0</v>
      </c>
    </row>
    <row r="886" spans="112:121" x14ac:dyDescent="0.25">
      <c r="DH886" t="s">
        <v>255</v>
      </c>
      <c r="DI886">
        <v>1</v>
      </c>
      <c r="DJ886">
        <v>100</v>
      </c>
      <c r="DK886">
        <v>30</v>
      </c>
      <c r="DL886" s="75">
        <f ca="1">INDIRECT(ADDRESS(11+(MATCH(RIGHT(Table14[[#This Row],[spawner_sku]],LEN(Table14[[#This Row],[spawner_sku]])-FIND("/",Table14[[#This Row],[spawner_sku]])),Table1[Entity Prefab],0)),10,1,1,"Entities"))</f>
        <v>25</v>
      </c>
      <c r="DM886" s="75">
        <f ca="1">ROUND((Table14[[#This Row],[XP]]*Table14[[#This Row],[entity_spawned (AVG)]])*(Table14[[#This Row],[activating_chance]]/100),0)</f>
        <v>8</v>
      </c>
      <c r="DN88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86" s="72">
        <v>1</v>
      </c>
      <c r="DP886" s="72">
        <v>1</v>
      </c>
      <c r="DQ886" s="72" t="b">
        <v>0</v>
      </c>
    </row>
    <row r="887" spans="112:121" x14ac:dyDescent="0.25">
      <c r="DH887" t="s">
        <v>255</v>
      </c>
      <c r="DI887">
        <v>1</v>
      </c>
      <c r="DJ887">
        <v>150</v>
      </c>
      <c r="DK887">
        <v>80</v>
      </c>
      <c r="DL887" s="75">
        <f ca="1">INDIRECT(ADDRESS(11+(MATCH(RIGHT(Table14[[#This Row],[spawner_sku]],LEN(Table14[[#This Row],[spawner_sku]])-FIND("/",Table14[[#This Row],[spawner_sku]])),Table1[Entity Prefab],0)),10,1,1,"Entities"))</f>
        <v>25</v>
      </c>
      <c r="DM887" s="75">
        <f ca="1">ROUND((Table14[[#This Row],[XP]]*Table14[[#This Row],[entity_spawned (AVG)]])*(Table14[[#This Row],[activating_chance]]/100),0)</f>
        <v>20</v>
      </c>
      <c r="DN88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87" s="72">
        <v>1</v>
      </c>
      <c r="DP887" s="72">
        <v>1</v>
      </c>
      <c r="DQ887" s="72" t="b">
        <v>0</v>
      </c>
    </row>
    <row r="888" spans="112:121" x14ac:dyDescent="0.25">
      <c r="DH888" t="s">
        <v>255</v>
      </c>
      <c r="DI888">
        <v>1</v>
      </c>
      <c r="DJ888">
        <v>120</v>
      </c>
      <c r="DK888">
        <v>80</v>
      </c>
      <c r="DL888" s="75">
        <f ca="1">INDIRECT(ADDRESS(11+(MATCH(RIGHT(Table14[[#This Row],[spawner_sku]],LEN(Table14[[#This Row],[spawner_sku]])-FIND("/",Table14[[#This Row],[spawner_sku]])),Table1[Entity Prefab],0)),10,1,1,"Entities"))</f>
        <v>25</v>
      </c>
      <c r="DM888" s="75">
        <f ca="1">ROUND((Table14[[#This Row],[XP]]*Table14[[#This Row],[entity_spawned (AVG)]])*(Table14[[#This Row],[activating_chance]]/100),0)</f>
        <v>20</v>
      </c>
      <c r="DN88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88" s="72">
        <v>1</v>
      </c>
      <c r="DP888" s="72">
        <v>1</v>
      </c>
      <c r="DQ888" s="72" t="b">
        <v>0</v>
      </c>
    </row>
    <row r="889" spans="112:121" x14ac:dyDescent="0.25">
      <c r="DH889" t="s">
        <v>255</v>
      </c>
      <c r="DI889">
        <v>1</v>
      </c>
      <c r="DJ889">
        <v>150</v>
      </c>
      <c r="DK889">
        <v>80</v>
      </c>
      <c r="DL889" s="75">
        <f ca="1">INDIRECT(ADDRESS(11+(MATCH(RIGHT(Table14[[#This Row],[spawner_sku]],LEN(Table14[[#This Row],[spawner_sku]])-FIND("/",Table14[[#This Row],[spawner_sku]])),Table1[Entity Prefab],0)),10,1,1,"Entities"))</f>
        <v>25</v>
      </c>
      <c r="DM889" s="75">
        <f ca="1">ROUND((Table14[[#This Row],[XP]]*Table14[[#This Row],[entity_spawned (AVG)]])*(Table14[[#This Row],[activating_chance]]/100),0)</f>
        <v>20</v>
      </c>
      <c r="DN88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89" s="72">
        <v>1</v>
      </c>
      <c r="DP889" s="72">
        <v>1</v>
      </c>
      <c r="DQ889" s="72" t="b">
        <v>0</v>
      </c>
    </row>
    <row r="890" spans="112:121" x14ac:dyDescent="0.25">
      <c r="DH890" t="s">
        <v>256</v>
      </c>
      <c r="DI890">
        <v>1</v>
      </c>
      <c r="DJ890">
        <v>120</v>
      </c>
      <c r="DK890">
        <v>100</v>
      </c>
      <c r="DL890" s="75">
        <f ca="1">INDIRECT(ADDRESS(11+(MATCH(RIGHT(Table14[[#This Row],[spawner_sku]],LEN(Table14[[#This Row],[spawner_sku]])-FIND("/",Table14[[#This Row],[spawner_sku]])),Table1[Entity Prefab],0)),10,1,1,"Entities"))</f>
        <v>25</v>
      </c>
      <c r="DM890" s="75">
        <f ca="1">ROUND((Table14[[#This Row],[XP]]*Table14[[#This Row],[entity_spawned (AVG)]])*(Table14[[#This Row],[activating_chance]]/100),0)</f>
        <v>25</v>
      </c>
      <c r="DN89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90" s="72">
        <v>1</v>
      </c>
      <c r="DP890" s="72">
        <v>1</v>
      </c>
      <c r="DQ890" s="72" t="b">
        <v>0</v>
      </c>
    </row>
    <row r="891" spans="112:121" x14ac:dyDescent="0.25">
      <c r="DH891" t="s">
        <v>256</v>
      </c>
      <c r="DI891">
        <v>1</v>
      </c>
      <c r="DJ891">
        <v>100</v>
      </c>
      <c r="DK891">
        <v>100</v>
      </c>
      <c r="DL891" s="75">
        <f ca="1">INDIRECT(ADDRESS(11+(MATCH(RIGHT(Table14[[#This Row],[spawner_sku]],LEN(Table14[[#This Row],[spawner_sku]])-FIND("/",Table14[[#This Row],[spawner_sku]])),Table1[Entity Prefab],0)),10,1,1,"Entities"))</f>
        <v>25</v>
      </c>
      <c r="DM891" s="75">
        <f ca="1">ROUND((Table14[[#This Row],[XP]]*Table14[[#This Row],[entity_spawned (AVG)]])*(Table14[[#This Row],[activating_chance]]/100),0)</f>
        <v>25</v>
      </c>
      <c r="DN89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91" s="72">
        <v>1</v>
      </c>
      <c r="DP891" s="72">
        <v>1</v>
      </c>
      <c r="DQ891" s="72" t="b">
        <v>0</v>
      </c>
    </row>
    <row r="892" spans="112:121" x14ac:dyDescent="0.25">
      <c r="DH892" t="s">
        <v>256</v>
      </c>
      <c r="DI892">
        <v>1</v>
      </c>
      <c r="DJ892">
        <v>150</v>
      </c>
      <c r="DK892">
        <v>100</v>
      </c>
      <c r="DL892" s="75">
        <f ca="1">INDIRECT(ADDRESS(11+(MATCH(RIGHT(Table14[[#This Row],[spawner_sku]],LEN(Table14[[#This Row],[spawner_sku]])-FIND("/",Table14[[#This Row],[spawner_sku]])),Table1[Entity Prefab],0)),10,1,1,"Entities"))</f>
        <v>25</v>
      </c>
      <c r="DM892" s="75">
        <f ca="1">ROUND((Table14[[#This Row],[XP]]*Table14[[#This Row],[entity_spawned (AVG)]])*(Table14[[#This Row],[activating_chance]]/100),0)</f>
        <v>25</v>
      </c>
      <c r="DN89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92" s="72">
        <v>1</v>
      </c>
      <c r="DP892" s="72">
        <v>1</v>
      </c>
      <c r="DQ892" s="72" t="b">
        <v>0</v>
      </c>
    </row>
    <row r="893" spans="112:121" x14ac:dyDescent="0.25">
      <c r="DH893" t="s">
        <v>256</v>
      </c>
      <c r="DI893">
        <v>1</v>
      </c>
      <c r="DJ893">
        <v>150</v>
      </c>
      <c r="DK893">
        <v>100</v>
      </c>
      <c r="DL893" s="75">
        <f ca="1">INDIRECT(ADDRESS(11+(MATCH(RIGHT(Table14[[#This Row],[spawner_sku]],LEN(Table14[[#This Row],[spawner_sku]])-FIND("/",Table14[[#This Row],[spawner_sku]])),Table1[Entity Prefab],0)),10,1,1,"Entities"))</f>
        <v>25</v>
      </c>
      <c r="DM893" s="75">
        <f ca="1">ROUND((Table14[[#This Row],[XP]]*Table14[[#This Row],[entity_spawned (AVG)]])*(Table14[[#This Row],[activating_chance]]/100),0)</f>
        <v>25</v>
      </c>
      <c r="DN89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93" s="72">
        <v>1</v>
      </c>
      <c r="DP893" s="72">
        <v>1</v>
      </c>
      <c r="DQ893" s="72" t="b">
        <v>0</v>
      </c>
    </row>
    <row r="894" spans="112:121" x14ac:dyDescent="0.25">
      <c r="DH894" t="s">
        <v>256</v>
      </c>
      <c r="DI894">
        <v>1</v>
      </c>
      <c r="DJ894">
        <v>150</v>
      </c>
      <c r="DK894">
        <v>80</v>
      </c>
      <c r="DL894" s="75">
        <f ca="1">INDIRECT(ADDRESS(11+(MATCH(RIGHT(Table14[[#This Row],[spawner_sku]],LEN(Table14[[#This Row],[spawner_sku]])-FIND("/",Table14[[#This Row],[spawner_sku]])),Table1[Entity Prefab],0)),10,1,1,"Entities"))</f>
        <v>25</v>
      </c>
      <c r="DM894" s="75">
        <f ca="1">ROUND((Table14[[#This Row],[XP]]*Table14[[#This Row],[entity_spawned (AVG)]])*(Table14[[#This Row],[activating_chance]]/100),0)</f>
        <v>20</v>
      </c>
      <c r="DN89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94" s="72">
        <v>1</v>
      </c>
      <c r="DP894" s="72">
        <v>1</v>
      </c>
      <c r="DQ894" s="72" t="b">
        <v>0</v>
      </c>
    </row>
    <row r="895" spans="112:121" x14ac:dyDescent="0.25">
      <c r="DH895" t="s">
        <v>256</v>
      </c>
      <c r="DI895">
        <v>1</v>
      </c>
      <c r="DJ895">
        <v>150</v>
      </c>
      <c r="DK895">
        <v>30</v>
      </c>
      <c r="DL895" s="75">
        <f ca="1">INDIRECT(ADDRESS(11+(MATCH(RIGHT(Table14[[#This Row],[spawner_sku]],LEN(Table14[[#This Row],[spawner_sku]])-FIND("/",Table14[[#This Row],[spawner_sku]])),Table1[Entity Prefab],0)),10,1,1,"Entities"))</f>
        <v>25</v>
      </c>
      <c r="DM895" s="75">
        <f ca="1">ROUND((Table14[[#This Row],[XP]]*Table14[[#This Row],[entity_spawned (AVG)]])*(Table14[[#This Row],[activating_chance]]/100),0)</f>
        <v>8</v>
      </c>
      <c r="DN89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95" s="72">
        <v>1</v>
      </c>
      <c r="DP895" s="72">
        <v>1</v>
      </c>
      <c r="DQ895" s="72" t="b">
        <v>0</v>
      </c>
    </row>
    <row r="896" spans="112:121" x14ac:dyDescent="0.25">
      <c r="DH896" t="s">
        <v>256</v>
      </c>
      <c r="DI896">
        <v>1</v>
      </c>
      <c r="DJ896">
        <v>100</v>
      </c>
      <c r="DK896">
        <v>100</v>
      </c>
      <c r="DL896" s="75">
        <f ca="1">INDIRECT(ADDRESS(11+(MATCH(RIGHT(Table14[[#This Row],[spawner_sku]],LEN(Table14[[#This Row],[spawner_sku]])-FIND("/",Table14[[#This Row],[spawner_sku]])),Table1[Entity Prefab],0)),10,1,1,"Entities"))</f>
        <v>25</v>
      </c>
      <c r="DM896" s="75">
        <f ca="1">ROUND((Table14[[#This Row],[XP]]*Table14[[#This Row],[entity_spawned (AVG)]])*(Table14[[#This Row],[activating_chance]]/100),0)</f>
        <v>25</v>
      </c>
      <c r="DN89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96" s="72">
        <v>1</v>
      </c>
      <c r="DP896" s="72">
        <v>1</v>
      </c>
      <c r="DQ896" s="72" t="b">
        <v>0</v>
      </c>
    </row>
    <row r="897" spans="112:121" x14ac:dyDescent="0.25">
      <c r="DH897" t="s">
        <v>256</v>
      </c>
      <c r="DI897">
        <v>1</v>
      </c>
      <c r="DJ897">
        <v>90</v>
      </c>
      <c r="DK897">
        <v>100</v>
      </c>
      <c r="DL897" s="75">
        <f ca="1">INDIRECT(ADDRESS(11+(MATCH(RIGHT(Table14[[#This Row],[spawner_sku]],LEN(Table14[[#This Row],[spawner_sku]])-FIND("/",Table14[[#This Row],[spawner_sku]])),Table1[Entity Prefab],0)),10,1,1,"Entities"))</f>
        <v>25</v>
      </c>
      <c r="DM897" s="75">
        <f ca="1">ROUND((Table14[[#This Row],[XP]]*Table14[[#This Row],[entity_spawned (AVG)]])*(Table14[[#This Row],[activating_chance]]/100),0)</f>
        <v>25</v>
      </c>
      <c r="DN89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97" s="72">
        <v>1</v>
      </c>
      <c r="DP897" s="72">
        <v>1</v>
      </c>
      <c r="DQ897" s="72" t="b">
        <v>0</v>
      </c>
    </row>
    <row r="898" spans="112:121" x14ac:dyDescent="0.25">
      <c r="DH898" t="s">
        <v>256</v>
      </c>
      <c r="DI898">
        <v>1</v>
      </c>
      <c r="DJ898">
        <v>100</v>
      </c>
      <c r="DK898">
        <v>100</v>
      </c>
      <c r="DL898" s="75">
        <f ca="1">INDIRECT(ADDRESS(11+(MATCH(RIGHT(Table14[[#This Row],[spawner_sku]],LEN(Table14[[#This Row],[spawner_sku]])-FIND("/",Table14[[#This Row],[spawner_sku]])),Table1[Entity Prefab],0)),10,1,1,"Entities"))</f>
        <v>25</v>
      </c>
      <c r="DM898" s="75">
        <f ca="1">ROUND((Table14[[#This Row],[XP]]*Table14[[#This Row],[entity_spawned (AVG)]])*(Table14[[#This Row],[activating_chance]]/100),0)</f>
        <v>25</v>
      </c>
      <c r="DN89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98" s="72">
        <v>1</v>
      </c>
      <c r="DP898" s="72">
        <v>1</v>
      </c>
      <c r="DQ898" s="72" t="b">
        <v>0</v>
      </c>
    </row>
    <row r="899" spans="112:121" x14ac:dyDescent="0.25">
      <c r="DH899" t="s">
        <v>256</v>
      </c>
      <c r="DI899">
        <v>1</v>
      </c>
      <c r="DJ899">
        <v>100</v>
      </c>
      <c r="DK899">
        <v>100</v>
      </c>
      <c r="DL899" s="75">
        <f ca="1">INDIRECT(ADDRESS(11+(MATCH(RIGHT(Table14[[#This Row],[spawner_sku]],LEN(Table14[[#This Row],[spawner_sku]])-FIND("/",Table14[[#This Row],[spawner_sku]])),Table1[Entity Prefab],0)),10,1,1,"Entities"))</f>
        <v>25</v>
      </c>
      <c r="DM899" s="75">
        <f ca="1">ROUND((Table14[[#This Row],[XP]]*Table14[[#This Row],[entity_spawned (AVG)]])*(Table14[[#This Row],[activating_chance]]/100),0)</f>
        <v>25</v>
      </c>
      <c r="DN89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99" s="72">
        <v>1</v>
      </c>
      <c r="DP899" s="72">
        <v>1</v>
      </c>
      <c r="DQ899" s="72" t="b">
        <v>0</v>
      </c>
    </row>
    <row r="900" spans="112:121" x14ac:dyDescent="0.25">
      <c r="DH900" t="s">
        <v>256</v>
      </c>
      <c r="DI900">
        <v>1</v>
      </c>
      <c r="DJ900">
        <v>150</v>
      </c>
      <c r="DK900">
        <v>100</v>
      </c>
      <c r="DL900" s="75">
        <f ca="1">INDIRECT(ADDRESS(11+(MATCH(RIGHT(Table14[[#This Row],[spawner_sku]],LEN(Table14[[#This Row],[spawner_sku]])-FIND("/",Table14[[#This Row],[spawner_sku]])),Table1[Entity Prefab],0)),10,1,1,"Entities"))</f>
        <v>25</v>
      </c>
      <c r="DM900" s="75">
        <f ca="1">ROUND((Table14[[#This Row],[XP]]*Table14[[#This Row],[entity_spawned (AVG)]])*(Table14[[#This Row],[activating_chance]]/100),0)</f>
        <v>25</v>
      </c>
      <c r="DN90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900" s="72">
        <v>1</v>
      </c>
      <c r="DP900" s="72">
        <v>1</v>
      </c>
      <c r="DQ900" s="72" t="b">
        <v>0</v>
      </c>
    </row>
    <row r="901" spans="112:121" x14ac:dyDescent="0.25">
      <c r="DH901" t="s">
        <v>256</v>
      </c>
      <c r="DI901">
        <v>1</v>
      </c>
      <c r="DJ901">
        <v>150</v>
      </c>
      <c r="DK901">
        <v>100</v>
      </c>
      <c r="DL901" s="75">
        <f ca="1">INDIRECT(ADDRESS(11+(MATCH(RIGHT(Table14[[#This Row],[spawner_sku]],LEN(Table14[[#This Row],[spawner_sku]])-FIND("/",Table14[[#This Row],[spawner_sku]])),Table1[Entity Prefab],0)),10,1,1,"Entities"))</f>
        <v>25</v>
      </c>
      <c r="DM901" s="75">
        <f ca="1">ROUND((Table14[[#This Row],[XP]]*Table14[[#This Row],[entity_spawned (AVG)]])*(Table14[[#This Row],[activating_chance]]/100),0)</f>
        <v>25</v>
      </c>
      <c r="DN90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901" s="72">
        <v>1</v>
      </c>
      <c r="DP901" s="72">
        <v>1</v>
      </c>
      <c r="DQ901" s="72" t="b">
        <v>0</v>
      </c>
    </row>
    <row r="902" spans="112:121" x14ac:dyDescent="0.25">
      <c r="DH902" t="s">
        <v>256</v>
      </c>
      <c r="DI902">
        <v>1</v>
      </c>
      <c r="DJ902">
        <v>150</v>
      </c>
      <c r="DK902">
        <v>80</v>
      </c>
      <c r="DL902" s="75">
        <f ca="1">INDIRECT(ADDRESS(11+(MATCH(RIGHT(Table14[[#This Row],[spawner_sku]],LEN(Table14[[#This Row],[spawner_sku]])-FIND("/",Table14[[#This Row],[spawner_sku]])),Table1[Entity Prefab],0)),10,1,1,"Entities"))</f>
        <v>25</v>
      </c>
      <c r="DM902" s="75">
        <f ca="1">ROUND((Table14[[#This Row],[XP]]*Table14[[#This Row],[entity_spawned (AVG)]])*(Table14[[#This Row],[activating_chance]]/100),0)</f>
        <v>20</v>
      </c>
      <c r="DN90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902" s="72">
        <v>1</v>
      </c>
      <c r="DP902" s="72">
        <v>1</v>
      </c>
      <c r="DQ902" s="72" t="b">
        <v>0</v>
      </c>
    </row>
    <row r="903" spans="112:121" x14ac:dyDescent="0.25">
      <c r="DH903" t="s">
        <v>256</v>
      </c>
      <c r="DI903">
        <v>1</v>
      </c>
      <c r="DJ903">
        <v>100</v>
      </c>
      <c r="DK903">
        <v>100</v>
      </c>
      <c r="DL903" s="75">
        <f ca="1">INDIRECT(ADDRESS(11+(MATCH(RIGHT(Table14[[#This Row],[spawner_sku]],LEN(Table14[[#This Row],[spawner_sku]])-FIND("/",Table14[[#This Row],[spawner_sku]])),Table1[Entity Prefab],0)),10,1,1,"Entities"))</f>
        <v>25</v>
      </c>
      <c r="DM903" s="75">
        <f ca="1">ROUND((Table14[[#This Row],[XP]]*Table14[[#This Row],[entity_spawned (AVG)]])*(Table14[[#This Row],[activating_chance]]/100),0)</f>
        <v>25</v>
      </c>
      <c r="DN90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903" s="72">
        <v>1</v>
      </c>
      <c r="DP903" s="72">
        <v>1</v>
      </c>
      <c r="DQ903" s="72" t="b">
        <v>0</v>
      </c>
    </row>
    <row r="904" spans="112:121" x14ac:dyDescent="0.25">
      <c r="DH904" t="s">
        <v>256</v>
      </c>
      <c r="DI904">
        <v>1</v>
      </c>
      <c r="DJ904">
        <v>150</v>
      </c>
      <c r="DK904">
        <v>80</v>
      </c>
      <c r="DL904" s="75">
        <f ca="1">INDIRECT(ADDRESS(11+(MATCH(RIGHT(Table14[[#This Row],[spawner_sku]],LEN(Table14[[#This Row],[spawner_sku]])-FIND("/",Table14[[#This Row],[spawner_sku]])),Table1[Entity Prefab],0)),10,1,1,"Entities"))</f>
        <v>25</v>
      </c>
      <c r="DM904" s="75">
        <f ca="1">ROUND((Table14[[#This Row],[XP]]*Table14[[#This Row],[entity_spawned (AVG)]])*(Table14[[#This Row],[activating_chance]]/100),0)</f>
        <v>20</v>
      </c>
      <c r="DN90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904" s="72">
        <v>1</v>
      </c>
      <c r="DP904" s="72">
        <v>1</v>
      </c>
      <c r="DQ904" s="72" t="b">
        <v>0</v>
      </c>
    </row>
    <row r="905" spans="112:121" x14ac:dyDescent="0.25">
      <c r="DH905" t="s">
        <v>256</v>
      </c>
      <c r="DI905">
        <v>1</v>
      </c>
      <c r="DJ905">
        <v>90</v>
      </c>
      <c r="DK905">
        <v>100</v>
      </c>
      <c r="DL905" s="75">
        <f ca="1">INDIRECT(ADDRESS(11+(MATCH(RIGHT(Table14[[#This Row],[spawner_sku]],LEN(Table14[[#This Row],[spawner_sku]])-FIND("/",Table14[[#This Row],[spawner_sku]])),Table1[Entity Prefab],0)),10,1,1,"Entities"))</f>
        <v>25</v>
      </c>
      <c r="DM905" s="75">
        <f ca="1">ROUND((Table14[[#This Row],[XP]]*Table14[[#This Row],[entity_spawned (AVG)]])*(Table14[[#This Row],[activating_chance]]/100),0)</f>
        <v>25</v>
      </c>
      <c r="DN90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905" s="72">
        <v>1</v>
      </c>
      <c r="DP905" s="72">
        <v>1</v>
      </c>
      <c r="DQ905" s="72" t="b">
        <v>0</v>
      </c>
    </row>
    <row r="906" spans="112:121" x14ac:dyDescent="0.25">
      <c r="DH906" t="s">
        <v>256</v>
      </c>
      <c r="DI906">
        <v>1</v>
      </c>
      <c r="DJ906">
        <v>150</v>
      </c>
      <c r="DK906">
        <v>100</v>
      </c>
      <c r="DL906" s="75">
        <f ca="1">INDIRECT(ADDRESS(11+(MATCH(RIGHT(Table14[[#This Row],[spawner_sku]],LEN(Table14[[#This Row],[spawner_sku]])-FIND("/",Table14[[#This Row],[spawner_sku]])),Table1[Entity Prefab],0)),10,1,1,"Entities"))</f>
        <v>25</v>
      </c>
      <c r="DM906" s="75">
        <f ca="1">ROUND((Table14[[#This Row],[XP]]*Table14[[#This Row],[entity_spawned (AVG)]])*(Table14[[#This Row],[activating_chance]]/100),0)</f>
        <v>25</v>
      </c>
      <c r="DN90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906" s="72">
        <v>1</v>
      </c>
      <c r="DP906" s="72">
        <v>1</v>
      </c>
      <c r="DQ906" s="72" t="b">
        <v>0</v>
      </c>
    </row>
    <row r="907" spans="112:121" x14ac:dyDescent="0.25">
      <c r="DH907" t="s">
        <v>256</v>
      </c>
      <c r="DI907">
        <v>1</v>
      </c>
      <c r="DJ907">
        <v>150</v>
      </c>
      <c r="DK907">
        <v>80</v>
      </c>
      <c r="DL907" s="75">
        <f ca="1">INDIRECT(ADDRESS(11+(MATCH(RIGHT(Table14[[#This Row],[spawner_sku]],LEN(Table14[[#This Row],[spawner_sku]])-FIND("/",Table14[[#This Row],[spawner_sku]])),Table1[Entity Prefab],0)),10,1,1,"Entities"))</f>
        <v>25</v>
      </c>
      <c r="DM907" s="75">
        <f ca="1">ROUND((Table14[[#This Row],[XP]]*Table14[[#This Row],[entity_spawned (AVG)]])*(Table14[[#This Row],[activating_chance]]/100),0)</f>
        <v>20</v>
      </c>
      <c r="DN90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907" s="72">
        <v>1</v>
      </c>
      <c r="DP907" s="72">
        <v>1</v>
      </c>
      <c r="DQ907" s="72" t="b">
        <v>0</v>
      </c>
    </row>
    <row r="908" spans="112:121" x14ac:dyDescent="0.25">
      <c r="DH908" t="s">
        <v>256</v>
      </c>
      <c r="DI908">
        <v>1</v>
      </c>
      <c r="DJ908">
        <v>90</v>
      </c>
      <c r="DK908">
        <v>100</v>
      </c>
      <c r="DL908" s="75">
        <f ca="1">INDIRECT(ADDRESS(11+(MATCH(RIGHT(Table14[[#This Row],[spawner_sku]],LEN(Table14[[#This Row],[spawner_sku]])-FIND("/",Table14[[#This Row],[spawner_sku]])),Table1[Entity Prefab],0)),10,1,1,"Entities"))</f>
        <v>25</v>
      </c>
      <c r="DM908" s="75">
        <f ca="1">ROUND((Table14[[#This Row],[XP]]*Table14[[#This Row],[entity_spawned (AVG)]])*(Table14[[#This Row],[activating_chance]]/100),0)</f>
        <v>25</v>
      </c>
      <c r="DN90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908" s="72">
        <v>1</v>
      </c>
      <c r="DP908" s="72">
        <v>1</v>
      </c>
      <c r="DQ908" s="72" t="b">
        <v>0</v>
      </c>
    </row>
    <row r="909" spans="112:121" x14ac:dyDescent="0.25">
      <c r="DH909" t="s">
        <v>512</v>
      </c>
      <c r="DI909">
        <v>1</v>
      </c>
      <c r="DJ909">
        <v>300</v>
      </c>
      <c r="DK909">
        <v>100</v>
      </c>
      <c r="DL909" s="75">
        <f ca="1">INDIRECT(ADDRESS(11+(MATCH(RIGHT(Table14[[#This Row],[spawner_sku]],LEN(Table14[[#This Row],[spawner_sku]])-FIND("/",Table14[[#This Row],[spawner_sku]])),Table1[Entity Prefab],0)),10,1,1,"Entities"))</f>
        <v>83</v>
      </c>
      <c r="DM909" s="75">
        <f ca="1">ROUND((Table14[[#This Row],[XP]]*Table14[[#This Row],[entity_spawned (AVG)]])*(Table14[[#This Row],[activating_chance]]/100),0)</f>
        <v>83</v>
      </c>
      <c r="DN90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909" s="72">
        <v>1</v>
      </c>
      <c r="DP909" s="72">
        <v>1</v>
      </c>
      <c r="DQ909" s="72" t="b">
        <v>0</v>
      </c>
    </row>
    <row r="910" spans="112:121" x14ac:dyDescent="0.25">
      <c r="DH910" t="s">
        <v>512</v>
      </c>
      <c r="DI910">
        <v>1</v>
      </c>
      <c r="DJ910">
        <v>300</v>
      </c>
      <c r="DK910">
        <v>100</v>
      </c>
      <c r="DL910" s="75">
        <f ca="1">INDIRECT(ADDRESS(11+(MATCH(RIGHT(Table14[[#This Row],[spawner_sku]],LEN(Table14[[#This Row],[spawner_sku]])-FIND("/",Table14[[#This Row],[spawner_sku]])),Table1[Entity Prefab],0)),10,1,1,"Entities"))</f>
        <v>83</v>
      </c>
      <c r="DM910" s="75">
        <f ca="1">ROUND((Table14[[#This Row],[XP]]*Table14[[#This Row],[entity_spawned (AVG)]])*(Table14[[#This Row],[activating_chance]]/100),0)</f>
        <v>83</v>
      </c>
      <c r="DN91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910" s="72">
        <v>1</v>
      </c>
      <c r="DP910" s="72">
        <v>1</v>
      </c>
      <c r="DQ910" s="72" t="b">
        <v>0</v>
      </c>
    </row>
  </sheetData>
  <conditionalFormatting sqref="DZ22:DZ337 EK22:EK277 I22:I679 T22:T220 AE22:AE99 AP22:AP429 BA22:BA191 BL22:BL227 BW22:BW506 CH22:CH431 CS22:CS221 DD22:DD360 DO22:DO910 EV22:EV159 FG22:FG220">
    <cfRule type="expression" dxfId="93" priority="88">
      <formula>OR(AND(I22&lt;5,J22&gt;4),I22&gt;J22)</formula>
    </cfRule>
  </conditionalFormatting>
  <conditionalFormatting sqref="EA22:EA337 EL22:EL277 J22:J679 U22:U220 AF22:AF99 AQ22:AQ429 BB22:BB191 BM22:BM227 BX22:BX506 CI22:CI431 CT22:CT221 DE22:DE360 DP22:DP910 EW22:EW159 FH22:FH220">
    <cfRule type="expression" dxfId="92" priority="86">
      <formula>OR(AND(I22&lt;5,J22&gt;4),I22&gt;J22)</formula>
    </cfRule>
  </conditionalFormatting>
  <conditionalFormatting sqref="EB22:EB337 EM22:EM277 K22:K679 V22:V220 AG22:AG99 AR22:AR429 BC22:BC191 BN22:BN227 BY22:BY506 CJ22:CJ431 CU22:CU221 DF22:DF360 DQ22:DQ910 EX22:EX159 FI22:FI220">
    <cfRule type="expression" dxfId="91" priority="85">
      <formula>OR(AND(K22=TRUE,I22&lt;5),AND(K22=FALSE,I22&gt;4))</formula>
    </cfRule>
  </conditionalFormatting>
  <pageMargins left="0.7" right="0.7" top="0.75" bottom="0.75" header="0.3" footer="0.3"/>
  <pageSetup paperSize="9" orientation="portrait" r:id="rId1"/>
  <tableParts count="15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AS2476"/>
  <sheetViews>
    <sheetView topLeftCell="W1" workbookViewId="0">
      <selection activeCell="AD5" sqref="AD5"/>
    </sheetView>
  </sheetViews>
  <sheetFormatPr defaultRowHeight="15" x14ac:dyDescent="0.25"/>
  <cols>
    <col min="5" max="5" width="32.28515625" customWidth="1"/>
    <col min="6" max="7" width="10.85546875" customWidth="1"/>
    <col min="9" max="9" width="19.85546875" customWidth="1"/>
    <col min="10" max="10" width="9" customWidth="1"/>
    <col min="12" max="12" width="12.5703125" customWidth="1"/>
    <col min="13" max="13" width="12" customWidth="1"/>
    <col min="14" max="14" width="11.7109375" customWidth="1"/>
    <col min="17" max="17" width="9.140625" style="83"/>
    <col min="20" max="20" width="28" customWidth="1"/>
    <col min="21" max="22" width="10.85546875" customWidth="1"/>
    <col min="24" max="24" width="20.85546875" customWidth="1"/>
    <col min="28" max="28" width="11.7109375" customWidth="1"/>
    <col min="29" max="29" width="10.85546875" customWidth="1"/>
    <col min="32" max="32" width="9.140625" style="83"/>
    <col min="35" max="35" width="24.28515625" customWidth="1"/>
    <col min="36" max="36" width="9.85546875" customWidth="1"/>
    <col min="37" max="37" width="10.140625" customWidth="1"/>
    <col min="39" max="39" width="20.5703125" customWidth="1"/>
    <col min="43" max="43" width="11.140625" customWidth="1"/>
    <col min="44" max="44" width="10.85546875" customWidth="1"/>
  </cols>
  <sheetData>
    <row r="3" spans="4:45" x14ac:dyDescent="0.25">
      <c r="E3" t="s">
        <v>410</v>
      </c>
      <c r="T3" t="s">
        <v>410</v>
      </c>
      <c r="AI3" t="s">
        <v>410</v>
      </c>
    </row>
    <row r="4" spans="4:45" x14ac:dyDescent="0.25">
      <c r="D4" s="1" t="s">
        <v>416</v>
      </c>
      <c r="L4" s="1" t="s">
        <v>406</v>
      </c>
      <c r="S4" s="1" t="s">
        <v>540</v>
      </c>
      <c r="AA4" s="1" t="s">
        <v>406</v>
      </c>
      <c r="AH4" s="1" t="s">
        <v>619</v>
      </c>
      <c r="AP4" s="1" t="s">
        <v>406</v>
      </c>
    </row>
    <row r="5" spans="4:45" x14ac:dyDescent="0.25">
      <c r="N5" t="s">
        <v>417</v>
      </c>
      <c r="O5" s="79">
        <v>2500</v>
      </c>
      <c r="AC5" t="s">
        <v>417</v>
      </c>
      <c r="AD5" s="79">
        <v>2500</v>
      </c>
      <c r="AR5" t="s">
        <v>417</v>
      </c>
      <c r="AS5" s="79">
        <v>2500</v>
      </c>
    </row>
    <row r="7" spans="4:45" x14ac:dyDescent="0.25">
      <c r="E7" t="s">
        <v>403</v>
      </c>
      <c r="F7" t="s">
        <v>404</v>
      </c>
      <c r="G7" t="s">
        <v>405</v>
      </c>
      <c r="J7" s="72" t="s">
        <v>407</v>
      </c>
      <c r="K7" s="72" t="s">
        <v>408</v>
      </c>
      <c r="L7" s="72" t="s">
        <v>409</v>
      </c>
      <c r="T7" t="s">
        <v>403</v>
      </c>
      <c r="U7" t="s">
        <v>404</v>
      </c>
      <c r="V7" t="s">
        <v>405</v>
      </c>
      <c r="Y7" s="72" t="s">
        <v>407</v>
      </c>
      <c r="Z7" s="72" t="s">
        <v>408</v>
      </c>
      <c r="AA7" s="72" t="s">
        <v>409</v>
      </c>
      <c r="AI7" s="91" t="s">
        <v>403</v>
      </c>
      <c r="AJ7" s="91" t="s">
        <v>404</v>
      </c>
      <c r="AK7" s="91" t="s">
        <v>405</v>
      </c>
      <c r="AN7" s="72" t="s">
        <v>407</v>
      </c>
      <c r="AO7" s="72" t="s">
        <v>408</v>
      </c>
      <c r="AP7" s="72" t="s">
        <v>409</v>
      </c>
    </row>
    <row r="8" spans="4:45" x14ac:dyDescent="0.25">
      <c r="E8" t="s">
        <v>11</v>
      </c>
      <c r="F8">
        <v>0</v>
      </c>
      <c r="G8">
        <v>0</v>
      </c>
      <c r="J8" s="72">
        <v>0</v>
      </c>
      <c r="K8" s="72">
        <v>0</v>
      </c>
      <c r="L8">
        <f>COUNTIF(Table7[XP_Min],"="&amp;J8)</f>
        <v>1904</v>
      </c>
      <c r="T8" t="s">
        <v>12</v>
      </c>
      <c r="U8">
        <v>35000</v>
      </c>
      <c r="V8">
        <v>0</v>
      </c>
      <c r="Y8" s="72">
        <v>0</v>
      </c>
      <c r="Z8" s="72">
        <v>0</v>
      </c>
      <c r="AA8">
        <f>COUNTIF(Table15[XP_Min],"="&amp;Y8)</f>
        <v>1560</v>
      </c>
      <c r="AI8" t="s">
        <v>418</v>
      </c>
      <c r="AJ8">
        <v>34000</v>
      </c>
      <c r="AK8">
        <v>0</v>
      </c>
      <c r="AN8" s="72">
        <v>0</v>
      </c>
      <c r="AO8" s="72">
        <v>0</v>
      </c>
      <c r="AP8">
        <f>COUNTIF(Table20[XP_Min],"="&amp;AN8)</f>
        <v>838</v>
      </c>
    </row>
    <row r="9" spans="4:45" x14ac:dyDescent="0.25">
      <c r="E9" t="s">
        <v>11</v>
      </c>
      <c r="F9">
        <v>0</v>
      </c>
      <c r="G9">
        <v>0</v>
      </c>
      <c r="J9" s="72">
        <v>1</v>
      </c>
      <c r="K9" s="72">
        <f>K8+$O$5</f>
        <v>2500</v>
      </c>
      <c r="L9">
        <f>COUNTIFS(Table7[XP_Min],"&gt;="&amp;J9,Table7[XP_Min],"&lt;="&amp;K9)</f>
        <v>29</v>
      </c>
      <c r="T9" t="s">
        <v>12</v>
      </c>
      <c r="U9">
        <v>0</v>
      </c>
      <c r="V9">
        <v>0</v>
      </c>
      <c r="Y9" s="72">
        <v>1</v>
      </c>
      <c r="Z9" s="72">
        <f>Z8+$AD$5</f>
        <v>2500</v>
      </c>
      <c r="AA9">
        <f>COUNTIFS(Table15[XP_Min],"&gt;="&amp;Y9,Table15[XP_Min],"&lt;="&amp;Z9)</f>
        <v>0</v>
      </c>
      <c r="AI9" t="s">
        <v>418</v>
      </c>
      <c r="AJ9">
        <v>42000</v>
      </c>
      <c r="AK9">
        <v>0</v>
      </c>
      <c r="AN9" s="72">
        <v>1</v>
      </c>
      <c r="AO9" s="72">
        <f>AO8+$AD$5</f>
        <v>2500</v>
      </c>
      <c r="AP9">
        <f>COUNTIFS(Table20[XP_Min],"&gt;="&amp;AN9,Table20[XP_Min],"&lt;="&amp;AO9)</f>
        <v>0</v>
      </c>
    </row>
    <row r="10" spans="4:45" x14ac:dyDescent="0.25">
      <c r="E10" t="s">
        <v>11</v>
      </c>
      <c r="F10">
        <v>0</v>
      </c>
      <c r="G10">
        <v>0</v>
      </c>
      <c r="J10" s="72">
        <f>J9+$O$5</f>
        <v>2501</v>
      </c>
      <c r="K10" s="72">
        <f>K9+$O$5</f>
        <v>5000</v>
      </c>
      <c r="L10">
        <f>COUNTIFS(Table7[XP_Min],"&gt;="&amp;J10,Table7[XP_Min],"&lt;="&amp;K10)</f>
        <v>126</v>
      </c>
      <c r="T10" t="s">
        <v>12</v>
      </c>
      <c r="U10">
        <v>0</v>
      </c>
      <c r="V10">
        <v>0</v>
      </c>
      <c r="Y10" s="72">
        <f>Y9+$AD$5</f>
        <v>2501</v>
      </c>
      <c r="Z10" s="72">
        <f t="shared" ref="Z10:Z38" si="0">Z9+$AD$5</f>
        <v>5000</v>
      </c>
      <c r="AA10">
        <f>COUNTIFS(Table15[XP_Min],"&gt;="&amp;Y10,Table15[XP_Min],"&lt;="&amp;Z10)</f>
        <v>0</v>
      </c>
      <c r="AI10" t="s">
        <v>418</v>
      </c>
      <c r="AJ10">
        <v>42000</v>
      </c>
      <c r="AK10">
        <v>0</v>
      </c>
      <c r="AN10" s="72">
        <f>AN9+$AD$5</f>
        <v>2501</v>
      </c>
      <c r="AO10" s="72">
        <f t="shared" ref="AO10:AO38" si="1">AO9+$AD$5</f>
        <v>5000</v>
      </c>
      <c r="AP10">
        <f>COUNTIFS(Table20[XP_Min],"&gt;="&amp;AN10,Table20[XP_Min],"&lt;="&amp;AO10)</f>
        <v>0</v>
      </c>
    </row>
    <row r="11" spans="4:45" x14ac:dyDescent="0.25">
      <c r="E11" t="s">
        <v>11</v>
      </c>
      <c r="F11">
        <v>2000</v>
      </c>
      <c r="G11">
        <v>0</v>
      </c>
      <c r="J11" s="72">
        <f t="shared" ref="J11:J38" si="2">J10+$O$5</f>
        <v>5001</v>
      </c>
      <c r="K11" s="72">
        <f t="shared" ref="K11:K38" si="3">K10+$O$5</f>
        <v>7500</v>
      </c>
      <c r="L11">
        <f>COUNTIFS(Table7[XP_Min],"&gt;="&amp;J11,Table7[XP_Min],"&lt;="&amp;K11)</f>
        <v>89</v>
      </c>
      <c r="T11" t="s">
        <v>12</v>
      </c>
      <c r="U11">
        <v>0</v>
      </c>
      <c r="V11">
        <v>0</v>
      </c>
      <c r="Y11" s="72">
        <f t="shared" ref="Y11:Y38" si="4">Y10+$AD$5</f>
        <v>5001</v>
      </c>
      <c r="Z11" s="72">
        <f t="shared" si="0"/>
        <v>7500</v>
      </c>
      <c r="AA11">
        <f>COUNTIFS(Table15[XP_Min],"&gt;="&amp;Y11,Table15[XP_Min],"&lt;="&amp;Z11)</f>
        <v>0</v>
      </c>
      <c r="AI11" t="s">
        <v>418</v>
      </c>
      <c r="AJ11">
        <v>30000</v>
      </c>
      <c r="AK11">
        <v>0</v>
      </c>
      <c r="AN11" s="72">
        <f t="shared" ref="AN11:AN38" si="5">AN10+$AD$5</f>
        <v>5001</v>
      </c>
      <c r="AO11" s="72">
        <f t="shared" si="1"/>
        <v>7500</v>
      </c>
      <c r="AP11">
        <f>COUNTIFS(Table20[XP_Min],"&gt;="&amp;AN11,Table20[XP_Min],"&lt;="&amp;AO11)</f>
        <v>0</v>
      </c>
    </row>
    <row r="12" spans="4:45" x14ac:dyDescent="0.25">
      <c r="E12" t="s">
        <v>11</v>
      </c>
      <c r="F12">
        <v>7000</v>
      </c>
      <c r="G12">
        <v>0</v>
      </c>
      <c r="J12" s="72">
        <f t="shared" si="2"/>
        <v>7501</v>
      </c>
      <c r="K12" s="72">
        <f t="shared" si="3"/>
        <v>10000</v>
      </c>
      <c r="L12">
        <f>COUNTIFS(Table7[XP_Min],"&gt;="&amp;J12,Table7[XP_Min],"&lt;="&amp;K12)</f>
        <v>76</v>
      </c>
      <c r="T12" t="s">
        <v>1</v>
      </c>
      <c r="U12">
        <v>30000</v>
      </c>
      <c r="V12">
        <v>0</v>
      </c>
      <c r="Y12" s="72">
        <f t="shared" si="4"/>
        <v>7501</v>
      </c>
      <c r="Z12" s="72">
        <f t="shared" si="0"/>
        <v>10000</v>
      </c>
      <c r="AA12">
        <f>COUNTIFS(Table15[XP_Min],"&gt;="&amp;Y12,Table15[XP_Min],"&lt;="&amp;Z12)</f>
        <v>2</v>
      </c>
      <c r="AI12" t="s">
        <v>418</v>
      </c>
      <c r="AJ12">
        <v>36000</v>
      </c>
      <c r="AK12">
        <v>0</v>
      </c>
      <c r="AN12" s="72">
        <f t="shared" si="5"/>
        <v>7501</v>
      </c>
      <c r="AO12" s="72">
        <f t="shared" si="1"/>
        <v>10000</v>
      </c>
      <c r="AP12">
        <f>COUNTIFS(Table20[XP_Min],"&gt;="&amp;AN12,Table20[XP_Min],"&lt;="&amp;AO12)</f>
        <v>1</v>
      </c>
    </row>
    <row r="13" spans="4:45" x14ac:dyDescent="0.25">
      <c r="E13" t="s">
        <v>11</v>
      </c>
      <c r="F13">
        <v>0</v>
      </c>
      <c r="G13">
        <v>0</v>
      </c>
      <c r="J13" s="72">
        <f t="shared" si="2"/>
        <v>10001</v>
      </c>
      <c r="K13" s="72">
        <f t="shared" si="3"/>
        <v>12500</v>
      </c>
      <c r="L13">
        <f>COUNTIFS(Table7[XP_Min],"&gt;="&amp;J13,Table7[XP_Min],"&lt;="&amp;K13)</f>
        <v>18</v>
      </c>
      <c r="T13" t="s">
        <v>1</v>
      </c>
      <c r="U13">
        <v>0</v>
      </c>
      <c r="V13">
        <v>0</v>
      </c>
      <c r="Y13" s="72">
        <f t="shared" si="4"/>
        <v>10001</v>
      </c>
      <c r="Z13" s="72">
        <f t="shared" si="0"/>
        <v>12500</v>
      </c>
      <c r="AA13">
        <f>COUNTIFS(Table15[XP_Min],"&gt;="&amp;Y13,Table15[XP_Min],"&lt;="&amp;Z13)</f>
        <v>6</v>
      </c>
      <c r="AI13" t="s">
        <v>418</v>
      </c>
      <c r="AJ13">
        <v>0</v>
      </c>
      <c r="AK13">
        <v>0</v>
      </c>
      <c r="AN13" s="72">
        <f t="shared" si="5"/>
        <v>10001</v>
      </c>
      <c r="AO13" s="72">
        <f t="shared" si="1"/>
        <v>12500</v>
      </c>
      <c r="AP13">
        <f>COUNTIFS(Table20[XP_Min],"&gt;="&amp;AN13,Table20[XP_Min],"&lt;="&amp;AO13)</f>
        <v>1</v>
      </c>
    </row>
    <row r="14" spans="4:45" x14ac:dyDescent="0.25">
      <c r="E14" t="s">
        <v>11</v>
      </c>
      <c r="F14">
        <v>15000</v>
      </c>
      <c r="G14">
        <v>0</v>
      </c>
      <c r="J14" s="72">
        <f t="shared" si="2"/>
        <v>12501</v>
      </c>
      <c r="K14" s="72">
        <f t="shared" si="3"/>
        <v>15000</v>
      </c>
      <c r="L14">
        <f>COUNTIFS(Table7[XP_Min],"&gt;="&amp;J14,Table7[XP_Min],"&lt;="&amp;K14)</f>
        <v>31</v>
      </c>
      <c r="T14" t="s">
        <v>1</v>
      </c>
      <c r="U14">
        <v>0</v>
      </c>
      <c r="V14">
        <v>0</v>
      </c>
      <c r="Y14" s="72">
        <f t="shared" si="4"/>
        <v>12501</v>
      </c>
      <c r="Z14" s="72">
        <f t="shared" si="0"/>
        <v>15000</v>
      </c>
      <c r="AA14">
        <f>COUNTIFS(Table15[XP_Min],"&gt;="&amp;Y14,Table15[XP_Min],"&lt;="&amp;Z14)</f>
        <v>26</v>
      </c>
      <c r="AI14" t="s">
        <v>418</v>
      </c>
      <c r="AJ14">
        <v>0</v>
      </c>
      <c r="AK14">
        <v>0</v>
      </c>
      <c r="AN14" s="72">
        <f t="shared" si="5"/>
        <v>12501</v>
      </c>
      <c r="AO14" s="72">
        <f t="shared" si="1"/>
        <v>15000</v>
      </c>
      <c r="AP14">
        <f>COUNTIFS(Table20[XP_Min],"&gt;="&amp;AN14,Table20[XP_Min],"&lt;="&amp;AO14)</f>
        <v>3</v>
      </c>
    </row>
    <row r="15" spans="4:45" x14ac:dyDescent="0.25">
      <c r="E15" t="s">
        <v>0</v>
      </c>
      <c r="F15">
        <v>5500</v>
      </c>
      <c r="G15">
        <v>0</v>
      </c>
      <c r="J15" s="72">
        <f t="shared" si="2"/>
        <v>15001</v>
      </c>
      <c r="K15" s="72">
        <f t="shared" si="3"/>
        <v>17500</v>
      </c>
      <c r="L15">
        <f>COUNTIFS(Table7[XP_Min],"&gt;="&amp;J15,Table7[XP_Min],"&lt;="&amp;K15)</f>
        <v>52</v>
      </c>
      <c r="T15" t="s">
        <v>1</v>
      </c>
      <c r="U15">
        <v>23000</v>
      </c>
      <c r="V15">
        <v>0</v>
      </c>
      <c r="Y15" s="72">
        <f t="shared" si="4"/>
        <v>15001</v>
      </c>
      <c r="Z15" s="72">
        <f t="shared" si="0"/>
        <v>17500</v>
      </c>
      <c r="AA15">
        <f>COUNTIFS(Table15[XP_Min],"&gt;="&amp;Y15,Table15[XP_Min],"&lt;="&amp;Z15)</f>
        <v>16</v>
      </c>
      <c r="AI15" t="s">
        <v>418</v>
      </c>
      <c r="AJ15">
        <v>32000</v>
      </c>
      <c r="AK15">
        <v>0</v>
      </c>
      <c r="AN15" s="72">
        <f t="shared" si="5"/>
        <v>15001</v>
      </c>
      <c r="AO15" s="72">
        <f t="shared" si="1"/>
        <v>17500</v>
      </c>
      <c r="AP15">
        <f>COUNTIFS(Table20[XP_Min],"&gt;="&amp;AN15,Table20[XP_Min],"&lt;="&amp;AO15)</f>
        <v>3</v>
      </c>
    </row>
    <row r="16" spans="4:45" x14ac:dyDescent="0.25">
      <c r="E16" t="s">
        <v>0</v>
      </c>
      <c r="F16">
        <v>0</v>
      </c>
      <c r="G16">
        <v>0</v>
      </c>
      <c r="J16" s="72">
        <f t="shared" si="2"/>
        <v>17501</v>
      </c>
      <c r="K16" s="72">
        <f t="shared" si="3"/>
        <v>20000</v>
      </c>
      <c r="L16">
        <f>COUNTIFS(Table7[XP_Min],"&gt;="&amp;J16,Table7[XP_Min],"&lt;="&amp;K16)</f>
        <v>27</v>
      </c>
      <c r="T16" t="s">
        <v>1</v>
      </c>
      <c r="U16">
        <v>26000</v>
      </c>
      <c r="V16">
        <v>0</v>
      </c>
      <c r="Y16" s="72">
        <f>Y15+$AD$5</f>
        <v>17501</v>
      </c>
      <c r="Z16" s="72">
        <f t="shared" si="0"/>
        <v>20000</v>
      </c>
      <c r="AA16">
        <f>COUNTIFS(Table15[XP_Min],"&gt;="&amp;Y16,Table15[XP_Min],"&lt;="&amp;Z16)</f>
        <v>50</v>
      </c>
      <c r="AI16" t="s">
        <v>418</v>
      </c>
      <c r="AJ16">
        <v>42000</v>
      </c>
      <c r="AK16">
        <v>0</v>
      </c>
      <c r="AN16" s="72">
        <f>AN15+$AD$5</f>
        <v>17501</v>
      </c>
      <c r="AO16" s="72">
        <f t="shared" si="1"/>
        <v>20000</v>
      </c>
      <c r="AP16">
        <f>COUNTIFS(Table20[XP_Min],"&gt;="&amp;AN16,Table20[XP_Min],"&lt;="&amp;AO16)</f>
        <v>21</v>
      </c>
    </row>
    <row r="17" spans="5:42" x14ac:dyDescent="0.25">
      <c r="E17" t="s">
        <v>0</v>
      </c>
      <c r="F17">
        <v>0</v>
      </c>
      <c r="G17">
        <v>5400</v>
      </c>
      <c r="J17" s="72">
        <f t="shared" si="2"/>
        <v>20001</v>
      </c>
      <c r="K17" s="72">
        <f t="shared" si="3"/>
        <v>22500</v>
      </c>
      <c r="L17">
        <f>COUNTIFS(Table7[XP_Min],"&gt;="&amp;J17,Table7[XP_Min],"&lt;="&amp;K17)</f>
        <v>7</v>
      </c>
      <c r="T17" t="s">
        <v>1</v>
      </c>
      <c r="U17">
        <v>22000</v>
      </c>
      <c r="V17">
        <v>0</v>
      </c>
      <c r="Y17" s="72">
        <f t="shared" si="4"/>
        <v>20001</v>
      </c>
      <c r="Z17" s="72">
        <f t="shared" si="0"/>
        <v>22500</v>
      </c>
      <c r="AA17">
        <f>COUNTIFS(Table15[XP_Min],"&gt;="&amp;Y17,Table15[XP_Min],"&lt;="&amp;Z17)</f>
        <v>26</v>
      </c>
      <c r="AI17" t="s">
        <v>418</v>
      </c>
      <c r="AJ17">
        <v>0</v>
      </c>
      <c r="AK17">
        <v>0</v>
      </c>
      <c r="AN17" s="72">
        <f t="shared" si="5"/>
        <v>20001</v>
      </c>
      <c r="AO17" s="72">
        <f t="shared" si="1"/>
        <v>22500</v>
      </c>
      <c r="AP17">
        <f>COUNTIFS(Table20[XP_Min],"&gt;="&amp;AN17,Table20[XP_Min],"&lt;="&amp;AO17)</f>
        <v>1</v>
      </c>
    </row>
    <row r="18" spans="5:42" x14ac:dyDescent="0.25">
      <c r="E18" t="s">
        <v>0</v>
      </c>
      <c r="F18">
        <v>0</v>
      </c>
      <c r="G18">
        <v>0</v>
      </c>
      <c r="J18" s="72">
        <f t="shared" si="2"/>
        <v>22501</v>
      </c>
      <c r="K18" s="72">
        <f t="shared" si="3"/>
        <v>25000</v>
      </c>
      <c r="L18">
        <f>COUNTIFS(Table7[XP_Min],"&gt;="&amp;J18,Table7[XP_Min],"&lt;="&amp;K18)</f>
        <v>39</v>
      </c>
      <c r="T18" t="s">
        <v>1</v>
      </c>
      <c r="U18">
        <v>17000</v>
      </c>
      <c r="V18">
        <v>0</v>
      </c>
      <c r="Y18" s="72">
        <f t="shared" si="4"/>
        <v>22501</v>
      </c>
      <c r="Z18" s="72">
        <f t="shared" si="0"/>
        <v>25000</v>
      </c>
      <c r="AA18">
        <f>COUNTIFS(Table15[XP_Min],"&gt;="&amp;Y18,Table15[XP_Min],"&lt;="&amp;Z18)</f>
        <v>40</v>
      </c>
      <c r="AI18" t="s">
        <v>418</v>
      </c>
      <c r="AJ18">
        <v>42000</v>
      </c>
      <c r="AK18">
        <v>0</v>
      </c>
      <c r="AN18" s="72">
        <f t="shared" si="5"/>
        <v>22501</v>
      </c>
      <c r="AO18" s="72">
        <f t="shared" si="1"/>
        <v>25000</v>
      </c>
      <c r="AP18">
        <f>COUNTIFS(Table20[XP_Min],"&gt;="&amp;AN18,Table20[XP_Min],"&lt;="&amp;AO18)</f>
        <v>8</v>
      </c>
    </row>
    <row r="19" spans="5:42" x14ac:dyDescent="0.25">
      <c r="E19" t="s">
        <v>0</v>
      </c>
      <c r="F19">
        <v>14000</v>
      </c>
      <c r="G19">
        <v>0</v>
      </c>
      <c r="J19" s="72">
        <f t="shared" si="2"/>
        <v>25001</v>
      </c>
      <c r="K19" s="72">
        <f t="shared" si="3"/>
        <v>27500</v>
      </c>
      <c r="L19">
        <f>COUNTIFS(Table7[XP_Min],"&gt;="&amp;J19,Table7[XP_Min],"&lt;="&amp;K19)</f>
        <v>12</v>
      </c>
      <c r="T19" t="s">
        <v>1</v>
      </c>
      <c r="U19">
        <v>0</v>
      </c>
      <c r="V19">
        <v>0</v>
      </c>
      <c r="Y19" s="72">
        <f t="shared" si="4"/>
        <v>25001</v>
      </c>
      <c r="Z19" s="72">
        <f t="shared" si="0"/>
        <v>27500</v>
      </c>
      <c r="AA19">
        <f>COUNTIFS(Table15[XP_Min],"&gt;="&amp;Y19,Table15[XP_Min],"&lt;="&amp;Z19)</f>
        <v>19</v>
      </c>
      <c r="AI19" t="s">
        <v>418</v>
      </c>
      <c r="AJ19">
        <v>42000</v>
      </c>
      <c r="AK19">
        <v>0</v>
      </c>
      <c r="AN19" s="72">
        <f t="shared" si="5"/>
        <v>25001</v>
      </c>
      <c r="AO19" s="72">
        <f t="shared" si="1"/>
        <v>27500</v>
      </c>
      <c r="AP19">
        <f>COUNTIFS(Table20[XP_Min],"&gt;="&amp;AN19,Table20[XP_Min],"&lt;="&amp;AO19)</f>
        <v>6</v>
      </c>
    </row>
    <row r="20" spans="5:42" x14ac:dyDescent="0.25">
      <c r="E20" t="s">
        <v>0</v>
      </c>
      <c r="F20">
        <v>0</v>
      </c>
      <c r="G20">
        <v>0</v>
      </c>
      <c r="J20" s="72">
        <f t="shared" si="2"/>
        <v>27501</v>
      </c>
      <c r="K20" s="72">
        <f t="shared" si="3"/>
        <v>30000</v>
      </c>
      <c r="L20">
        <f>COUNTIFS(Table7[XP_Min],"&gt;="&amp;J20,Table7[XP_Min],"&lt;="&amp;K20)</f>
        <v>23</v>
      </c>
      <c r="T20" t="s">
        <v>1</v>
      </c>
      <c r="U20">
        <v>19000</v>
      </c>
      <c r="V20">
        <v>30000</v>
      </c>
      <c r="Y20" s="72">
        <f t="shared" si="4"/>
        <v>27501</v>
      </c>
      <c r="Z20" s="72">
        <f t="shared" si="0"/>
        <v>30000</v>
      </c>
      <c r="AA20">
        <f>COUNTIFS(Table15[XP_Min],"&gt;="&amp;Y20,Table15[XP_Min],"&lt;="&amp;Z20)</f>
        <v>54</v>
      </c>
      <c r="AI20" t="s">
        <v>434</v>
      </c>
      <c r="AJ20">
        <v>30000</v>
      </c>
      <c r="AK20">
        <v>0</v>
      </c>
      <c r="AN20" s="72">
        <f t="shared" si="5"/>
        <v>27501</v>
      </c>
      <c r="AO20" s="72">
        <f t="shared" si="1"/>
        <v>30000</v>
      </c>
      <c r="AP20">
        <f>COUNTIFS(Table20[XP_Min],"&gt;="&amp;AN20,Table20[XP_Min],"&lt;="&amp;AO20)</f>
        <v>31</v>
      </c>
    </row>
    <row r="21" spans="5:42" x14ac:dyDescent="0.25">
      <c r="E21" t="s">
        <v>0</v>
      </c>
      <c r="F21">
        <v>8500</v>
      </c>
      <c r="G21">
        <v>0</v>
      </c>
      <c r="J21" s="72">
        <f t="shared" si="2"/>
        <v>30001</v>
      </c>
      <c r="K21" s="72">
        <f t="shared" si="3"/>
        <v>32500</v>
      </c>
      <c r="L21">
        <f>COUNTIFS(Table7[XP_Min],"&gt;="&amp;J21,Table7[XP_Min],"&lt;="&amp;K21)</f>
        <v>1</v>
      </c>
      <c r="T21" t="s">
        <v>1</v>
      </c>
      <c r="U21">
        <v>21000</v>
      </c>
      <c r="V21">
        <v>0</v>
      </c>
      <c r="Y21" s="72">
        <f t="shared" si="4"/>
        <v>30001</v>
      </c>
      <c r="Z21" s="72">
        <f t="shared" si="0"/>
        <v>32500</v>
      </c>
      <c r="AA21">
        <f>COUNTIFS(Table15[XP_Min],"&gt;="&amp;Y21,Table15[XP_Min],"&lt;="&amp;Z21)</f>
        <v>16</v>
      </c>
      <c r="AI21" t="s">
        <v>434</v>
      </c>
      <c r="AJ21">
        <v>45000</v>
      </c>
      <c r="AK21">
        <v>0</v>
      </c>
      <c r="AN21" s="72">
        <f t="shared" si="5"/>
        <v>30001</v>
      </c>
      <c r="AO21" s="72">
        <f t="shared" si="1"/>
        <v>32500</v>
      </c>
      <c r="AP21">
        <f>COUNTIFS(Table20[XP_Min],"&gt;="&amp;AN21,Table20[XP_Min],"&lt;="&amp;AO21)</f>
        <v>5</v>
      </c>
    </row>
    <row r="22" spans="5:42" x14ac:dyDescent="0.25">
      <c r="E22" t="s">
        <v>0</v>
      </c>
      <c r="F22">
        <v>0</v>
      </c>
      <c r="G22">
        <v>0</v>
      </c>
      <c r="J22" s="72">
        <f t="shared" si="2"/>
        <v>32501</v>
      </c>
      <c r="K22" s="72">
        <f t="shared" si="3"/>
        <v>35000</v>
      </c>
      <c r="L22">
        <f>COUNTIFS(Table7[XP_Min],"&gt;="&amp;J22,Table7[XP_Min],"&lt;="&amp;K22)</f>
        <v>14</v>
      </c>
      <c r="T22" t="s">
        <v>1</v>
      </c>
      <c r="U22">
        <v>0</v>
      </c>
      <c r="V22">
        <v>0</v>
      </c>
      <c r="Y22" s="72">
        <f t="shared" si="4"/>
        <v>32501</v>
      </c>
      <c r="Z22" s="72">
        <f t="shared" si="0"/>
        <v>35000</v>
      </c>
      <c r="AA22">
        <f>COUNTIFS(Table15[XP_Min],"&gt;="&amp;Y22,Table15[XP_Min],"&lt;="&amp;Z22)</f>
        <v>30</v>
      </c>
      <c r="AI22" t="s">
        <v>434</v>
      </c>
      <c r="AJ22">
        <v>30000</v>
      </c>
      <c r="AK22">
        <v>0</v>
      </c>
      <c r="AN22" s="72">
        <f t="shared" si="5"/>
        <v>32501</v>
      </c>
      <c r="AO22" s="72">
        <f t="shared" si="1"/>
        <v>35000</v>
      </c>
      <c r="AP22">
        <f>COUNTIFS(Table20[XP_Min],"&gt;="&amp;AN22,Table20[XP_Min],"&lt;="&amp;AO22)</f>
        <v>25</v>
      </c>
    </row>
    <row r="23" spans="5:42" x14ac:dyDescent="0.25">
      <c r="E23" t="s">
        <v>0</v>
      </c>
      <c r="F23">
        <v>17000</v>
      </c>
      <c r="G23">
        <v>0</v>
      </c>
      <c r="J23" s="72">
        <f t="shared" si="2"/>
        <v>35001</v>
      </c>
      <c r="K23" s="72">
        <f t="shared" si="3"/>
        <v>37500</v>
      </c>
      <c r="L23">
        <f>COUNTIFS(Table7[XP_Min],"&gt;="&amp;J23,Table7[XP_Min],"&lt;="&amp;K23)</f>
        <v>7</v>
      </c>
      <c r="T23" t="s">
        <v>1</v>
      </c>
      <c r="U23">
        <v>35000</v>
      </c>
      <c r="V23">
        <v>0</v>
      </c>
      <c r="Y23" s="72">
        <f t="shared" si="4"/>
        <v>35001</v>
      </c>
      <c r="Z23" s="72">
        <f t="shared" si="0"/>
        <v>37500</v>
      </c>
      <c r="AA23">
        <f>COUNTIFS(Table15[XP_Min],"&gt;="&amp;Y23,Table15[XP_Min],"&lt;="&amp;Z23)</f>
        <v>18</v>
      </c>
      <c r="AI23" t="s">
        <v>434</v>
      </c>
      <c r="AJ23">
        <v>0</v>
      </c>
      <c r="AK23">
        <v>0</v>
      </c>
      <c r="AN23" s="72">
        <f t="shared" si="5"/>
        <v>35001</v>
      </c>
      <c r="AO23" s="72">
        <f t="shared" si="1"/>
        <v>37500</v>
      </c>
      <c r="AP23">
        <f>COUNTIFS(Table20[XP_Min],"&gt;="&amp;AN23,Table20[XP_Min],"&lt;="&amp;AO23)</f>
        <v>10</v>
      </c>
    </row>
    <row r="24" spans="5:42" x14ac:dyDescent="0.25">
      <c r="E24" t="s">
        <v>0</v>
      </c>
      <c r="F24">
        <v>5000</v>
      </c>
      <c r="G24">
        <v>0</v>
      </c>
      <c r="J24" s="72">
        <f t="shared" si="2"/>
        <v>37501</v>
      </c>
      <c r="K24" s="72">
        <f t="shared" si="3"/>
        <v>40000</v>
      </c>
      <c r="L24">
        <f>COUNTIFS(Table7[XP_Min],"&gt;="&amp;J24,Table7[XP_Min],"&lt;="&amp;K24)</f>
        <v>8</v>
      </c>
      <c r="T24" t="s">
        <v>1</v>
      </c>
      <c r="U24">
        <v>0</v>
      </c>
      <c r="V24">
        <v>0</v>
      </c>
      <c r="Y24" s="72">
        <f t="shared" si="4"/>
        <v>37501</v>
      </c>
      <c r="Z24" s="72">
        <f t="shared" si="0"/>
        <v>40000</v>
      </c>
      <c r="AA24">
        <f>COUNTIFS(Table15[XP_Min],"&gt;="&amp;Y24,Table15[XP_Min],"&lt;="&amp;Z24)</f>
        <v>51</v>
      </c>
      <c r="AI24" t="s">
        <v>434</v>
      </c>
      <c r="AJ24">
        <v>40000</v>
      </c>
      <c r="AK24">
        <v>0</v>
      </c>
      <c r="AN24" s="72">
        <f t="shared" si="5"/>
        <v>37501</v>
      </c>
      <c r="AO24" s="72">
        <f t="shared" si="1"/>
        <v>40000</v>
      </c>
      <c r="AP24">
        <f>COUNTIFS(Table20[XP_Min],"&gt;="&amp;AN24,Table20[XP_Min],"&lt;="&amp;AO24)</f>
        <v>28</v>
      </c>
    </row>
    <row r="25" spans="5:42" x14ac:dyDescent="0.25">
      <c r="E25" t="s">
        <v>12</v>
      </c>
      <c r="F25">
        <v>16000</v>
      </c>
      <c r="G25">
        <v>0</v>
      </c>
      <c r="J25" s="72">
        <f t="shared" si="2"/>
        <v>40001</v>
      </c>
      <c r="K25" s="72">
        <f t="shared" si="3"/>
        <v>42500</v>
      </c>
      <c r="L25">
        <f>COUNTIFS(Table7[XP_Min],"&gt;="&amp;J25,Table7[XP_Min],"&lt;="&amp;K25)</f>
        <v>0</v>
      </c>
      <c r="T25" t="s">
        <v>418</v>
      </c>
      <c r="U25">
        <v>38000</v>
      </c>
      <c r="V25">
        <v>0</v>
      </c>
      <c r="Y25" s="72">
        <f t="shared" si="4"/>
        <v>40001</v>
      </c>
      <c r="Z25" s="72">
        <f t="shared" si="0"/>
        <v>42500</v>
      </c>
      <c r="AA25">
        <f>COUNTIFS(Table15[XP_Min],"&gt;="&amp;Y25,Table15[XP_Min],"&lt;="&amp;Z25)</f>
        <v>15</v>
      </c>
      <c r="AI25" t="s">
        <v>434</v>
      </c>
      <c r="AJ25">
        <v>30000</v>
      </c>
      <c r="AK25">
        <v>0</v>
      </c>
      <c r="AN25" s="72">
        <f t="shared" si="5"/>
        <v>40001</v>
      </c>
      <c r="AO25" s="72">
        <f t="shared" si="1"/>
        <v>42500</v>
      </c>
      <c r="AP25">
        <f>COUNTIFS(Table20[XP_Min],"&gt;="&amp;AN25,Table20[XP_Min],"&lt;="&amp;AO25)</f>
        <v>10</v>
      </c>
    </row>
    <row r="26" spans="5:42" x14ac:dyDescent="0.25">
      <c r="E26" t="s">
        <v>12</v>
      </c>
      <c r="F26">
        <v>16000</v>
      </c>
      <c r="G26">
        <v>0</v>
      </c>
      <c r="J26" s="72">
        <f t="shared" si="2"/>
        <v>42501</v>
      </c>
      <c r="K26" s="72">
        <f t="shared" si="3"/>
        <v>45000</v>
      </c>
      <c r="L26">
        <f>COUNTIFS(Table7[XP_Min],"&gt;="&amp;J26,Table7[XP_Min],"&lt;="&amp;K26)</f>
        <v>2</v>
      </c>
      <c r="T26" t="s">
        <v>418</v>
      </c>
      <c r="U26">
        <v>10000</v>
      </c>
      <c r="V26">
        <v>0</v>
      </c>
      <c r="Y26" s="72">
        <f t="shared" si="4"/>
        <v>42501</v>
      </c>
      <c r="Z26" s="72">
        <f t="shared" si="0"/>
        <v>45000</v>
      </c>
      <c r="AA26">
        <f>COUNTIFS(Table15[XP_Min],"&gt;="&amp;Y26,Table15[XP_Min],"&lt;="&amp;Z26)</f>
        <v>15</v>
      </c>
      <c r="AI26" t="s">
        <v>434</v>
      </c>
      <c r="AJ26">
        <v>0</v>
      </c>
      <c r="AK26">
        <v>0</v>
      </c>
      <c r="AN26" s="72">
        <f t="shared" si="5"/>
        <v>42501</v>
      </c>
      <c r="AO26" s="72">
        <f t="shared" si="1"/>
        <v>45000</v>
      </c>
      <c r="AP26">
        <f>COUNTIFS(Table20[XP_Min],"&gt;="&amp;AN26,Table20[XP_Min],"&lt;="&amp;AO26)</f>
        <v>16</v>
      </c>
    </row>
    <row r="27" spans="5:42" x14ac:dyDescent="0.25">
      <c r="E27" t="s">
        <v>12</v>
      </c>
      <c r="F27">
        <v>0</v>
      </c>
      <c r="G27">
        <v>0</v>
      </c>
      <c r="J27" s="72">
        <f t="shared" si="2"/>
        <v>45001</v>
      </c>
      <c r="K27" s="72">
        <f t="shared" si="3"/>
        <v>47500</v>
      </c>
      <c r="L27">
        <f>COUNTIFS(Table7[XP_Min],"&gt;="&amp;J27,Table7[XP_Min],"&lt;="&amp;K27)</f>
        <v>0</v>
      </c>
      <c r="T27" t="s">
        <v>418</v>
      </c>
      <c r="U27">
        <v>0</v>
      </c>
      <c r="V27">
        <v>0</v>
      </c>
      <c r="Y27" s="72">
        <f t="shared" si="4"/>
        <v>45001</v>
      </c>
      <c r="Z27" s="72">
        <f>Z26+$AD$5</f>
        <v>47500</v>
      </c>
      <c r="AA27">
        <f>COUNTIFS(Table15[XP_Min],"&gt;="&amp;Y27,Table15[XP_Min],"&lt;="&amp;Z27)</f>
        <v>10</v>
      </c>
      <c r="AI27" t="s">
        <v>434</v>
      </c>
      <c r="AJ27">
        <v>0</v>
      </c>
      <c r="AK27">
        <v>0</v>
      </c>
      <c r="AN27" s="72">
        <f t="shared" si="5"/>
        <v>45001</v>
      </c>
      <c r="AO27" s="72">
        <f>AO26+$AD$5</f>
        <v>47500</v>
      </c>
      <c r="AP27">
        <f>COUNTIFS(Table20[XP_Min],"&gt;="&amp;AN27,Table20[XP_Min],"&lt;="&amp;AO27)</f>
        <v>4</v>
      </c>
    </row>
    <row r="28" spans="5:42" x14ac:dyDescent="0.25">
      <c r="E28" t="s">
        <v>12</v>
      </c>
      <c r="F28">
        <v>0</v>
      </c>
      <c r="G28">
        <v>0</v>
      </c>
      <c r="J28" s="72">
        <f t="shared" si="2"/>
        <v>47501</v>
      </c>
      <c r="K28" s="72">
        <f t="shared" si="3"/>
        <v>50000</v>
      </c>
      <c r="L28">
        <f>COUNTIFS(Table7[XP_Min],"&gt;="&amp;J28,Table7[XP_Min],"&lt;="&amp;K28)</f>
        <v>4</v>
      </c>
      <c r="T28" t="s">
        <v>418</v>
      </c>
      <c r="U28">
        <v>0</v>
      </c>
      <c r="V28">
        <v>0</v>
      </c>
      <c r="Y28" s="72">
        <f t="shared" si="4"/>
        <v>47501</v>
      </c>
      <c r="Z28" s="72">
        <f t="shared" si="0"/>
        <v>50000</v>
      </c>
      <c r="AA28">
        <f>COUNTIFS(Table15[XP_Min],"&gt;="&amp;Y28,Table15[XP_Min],"&lt;="&amp;Z28)</f>
        <v>3</v>
      </c>
      <c r="AI28" t="s">
        <v>434</v>
      </c>
      <c r="AJ28">
        <v>35000</v>
      </c>
      <c r="AK28">
        <v>0</v>
      </c>
      <c r="AN28" s="72">
        <f t="shared" si="5"/>
        <v>47501</v>
      </c>
      <c r="AO28" s="72">
        <f t="shared" si="1"/>
        <v>50000</v>
      </c>
      <c r="AP28">
        <f>COUNTIFS(Table20[XP_Min],"&gt;="&amp;AN28,Table20[XP_Min],"&lt;="&amp;AO28)</f>
        <v>1</v>
      </c>
    </row>
    <row r="29" spans="5:42" x14ac:dyDescent="0.25">
      <c r="E29" t="s">
        <v>12</v>
      </c>
      <c r="F29">
        <v>16000</v>
      </c>
      <c r="G29">
        <v>0</v>
      </c>
      <c r="J29" s="72">
        <f t="shared" si="2"/>
        <v>50001</v>
      </c>
      <c r="K29" s="72">
        <f t="shared" si="3"/>
        <v>52500</v>
      </c>
      <c r="L29">
        <f>COUNTIFS(Table7[XP_Min],"&gt;="&amp;J29,Table7[XP_Min],"&lt;="&amp;K29)</f>
        <v>0</v>
      </c>
      <c r="T29" t="s">
        <v>418</v>
      </c>
      <c r="U29">
        <v>13000</v>
      </c>
      <c r="V29">
        <v>0</v>
      </c>
      <c r="Y29" s="72">
        <f t="shared" si="4"/>
        <v>50001</v>
      </c>
      <c r="Z29" s="72">
        <f t="shared" si="0"/>
        <v>52500</v>
      </c>
      <c r="AA29">
        <f>COUNTIFS(Table15[XP_Min],"&gt;="&amp;Y29,Table15[XP_Min],"&lt;="&amp;Z29)</f>
        <v>0</v>
      </c>
      <c r="AI29" t="s">
        <v>434</v>
      </c>
      <c r="AJ29">
        <v>30000</v>
      </c>
      <c r="AK29">
        <v>0</v>
      </c>
      <c r="AN29" s="72">
        <f t="shared" si="5"/>
        <v>50001</v>
      </c>
      <c r="AO29" s="72">
        <f t="shared" si="1"/>
        <v>52500</v>
      </c>
      <c r="AP29">
        <f>COUNTIFS(Table20[XP_Min],"&gt;="&amp;AN29,Table20[XP_Min],"&lt;="&amp;AO29)</f>
        <v>0</v>
      </c>
    </row>
    <row r="30" spans="5:42" x14ac:dyDescent="0.25">
      <c r="E30" t="s">
        <v>12</v>
      </c>
      <c r="F30">
        <v>2250</v>
      </c>
      <c r="G30">
        <v>0</v>
      </c>
      <c r="J30" s="72">
        <f t="shared" si="2"/>
        <v>52501</v>
      </c>
      <c r="K30" s="72">
        <f t="shared" si="3"/>
        <v>55000</v>
      </c>
      <c r="L30">
        <f>COUNTIFS(Table7[XP_Min],"&gt;="&amp;J30,Table7[XP_Min],"&lt;="&amp;K30)</f>
        <v>0</v>
      </c>
      <c r="T30" t="s">
        <v>418</v>
      </c>
      <c r="U30">
        <v>32000</v>
      </c>
      <c r="V30">
        <v>0</v>
      </c>
      <c r="Y30" s="72">
        <f t="shared" si="4"/>
        <v>52501</v>
      </c>
      <c r="Z30" s="72">
        <f t="shared" si="0"/>
        <v>55000</v>
      </c>
      <c r="AA30">
        <f>COUNTIFS(Table15[XP_Min],"&gt;="&amp;Y30,Table15[XP_Min],"&lt;="&amp;Z30)</f>
        <v>0</v>
      </c>
      <c r="AI30" t="s">
        <v>434</v>
      </c>
      <c r="AJ30">
        <v>30000</v>
      </c>
      <c r="AK30">
        <v>0</v>
      </c>
      <c r="AN30" s="72">
        <f t="shared" si="5"/>
        <v>52501</v>
      </c>
      <c r="AO30" s="72">
        <f t="shared" si="1"/>
        <v>55000</v>
      </c>
      <c r="AP30">
        <f>COUNTIFS(Table20[XP_Min],"&gt;="&amp;AN30,Table20[XP_Min],"&lt;="&amp;AO30)</f>
        <v>0</v>
      </c>
    </row>
    <row r="31" spans="5:42" x14ac:dyDescent="0.25">
      <c r="E31" t="s">
        <v>12</v>
      </c>
      <c r="F31">
        <v>2600</v>
      </c>
      <c r="G31">
        <v>0</v>
      </c>
      <c r="J31" s="72">
        <f t="shared" si="2"/>
        <v>55001</v>
      </c>
      <c r="K31" s="72">
        <f t="shared" si="3"/>
        <v>57500</v>
      </c>
      <c r="L31">
        <f>COUNTIFS(Table7[XP_Min],"&gt;="&amp;J31,Table7[XP_Min],"&lt;="&amp;K31)</f>
        <v>0</v>
      </c>
      <c r="T31" t="s">
        <v>418</v>
      </c>
      <c r="U31">
        <v>0</v>
      </c>
      <c r="V31">
        <v>0</v>
      </c>
      <c r="Y31" s="72">
        <f t="shared" si="4"/>
        <v>55001</v>
      </c>
      <c r="Z31" s="72">
        <f t="shared" si="0"/>
        <v>57500</v>
      </c>
      <c r="AA31">
        <f>COUNTIFS(Table15[XP_Min],"&gt;="&amp;Y31,Table15[XP_Min],"&lt;="&amp;Z31)</f>
        <v>0</v>
      </c>
      <c r="AI31" t="s">
        <v>434</v>
      </c>
      <c r="AJ31">
        <v>30000</v>
      </c>
      <c r="AK31">
        <v>0</v>
      </c>
      <c r="AN31" s="72">
        <f t="shared" si="5"/>
        <v>55001</v>
      </c>
      <c r="AO31" s="72">
        <f t="shared" si="1"/>
        <v>57500</v>
      </c>
      <c r="AP31">
        <f>COUNTIFS(Table20[XP_Min],"&gt;="&amp;AN31,Table20[XP_Min],"&lt;="&amp;AO31)</f>
        <v>0</v>
      </c>
    </row>
    <row r="32" spans="5:42" x14ac:dyDescent="0.25">
      <c r="E32" t="s">
        <v>12</v>
      </c>
      <c r="F32">
        <v>0</v>
      </c>
      <c r="G32">
        <v>0</v>
      </c>
      <c r="J32" s="72">
        <f t="shared" si="2"/>
        <v>57501</v>
      </c>
      <c r="K32" s="72">
        <f t="shared" si="3"/>
        <v>60000</v>
      </c>
      <c r="L32">
        <f>COUNTIFS(Table7[XP_Min],"&gt;="&amp;J32,Table7[XP_Min],"&lt;="&amp;K32)</f>
        <v>0</v>
      </c>
      <c r="T32" t="s">
        <v>418</v>
      </c>
      <c r="U32">
        <v>30000</v>
      </c>
      <c r="V32">
        <v>0</v>
      </c>
      <c r="Y32" s="72">
        <f t="shared" si="4"/>
        <v>57501</v>
      </c>
      <c r="Z32" s="72">
        <f t="shared" si="0"/>
        <v>60000</v>
      </c>
      <c r="AA32">
        <f>COUNTIFS(Table15[XP_Min],"&gt;="&amp;Y32,Table15[XP_Min],"&lt;="&amp;Z32)</f>
        <v>0</v>
      </c>
      <c r="AI32" t="s">
        <v>434</v>
      </c>
      <c r="AJ32">
        <v>30000</v>
      </c>
      <c r="AK32">
        <v>0</v>
      </c>
      <c r="AN32" s="72">
        <f t="shared" si="5"/>
        <v>57501</v>
      </c>
      <c r="AO32" s="72">
        <f t="shared" si="1"/>
        <v>60000</v>
      </c>
      <c r="AP32">
        <f>COUNTIFS(Table20[XP_Min],"&gt;="&amp;AN32,Table20[XP_Min],"&lt;="&amp;AO32)</f>
        <v>0</v>
      </c>
    </row>
    <row r="33" spans="5:44" x14ac:dyDescent="0.25">
      <c r="E33" t="s">
        <v>12</v>
      </c>
      <c r="F33">
        <v>17000</v>
      </c>
      <c r="G33">
        <v>0</v>
      </c>
      <c r="J33" s="72">
        <f t="shared" si="2"/>
        <v>60001</v>
      </c>
      <c r="K33" s="72">
        <f t="shared" si="3"/>
        <v>62500</v>
      </c>
      <c r="L33">
        <f>COUNTIFS(Table7[XP_Min],"&gt;="&amp;J33,Table7[XP_Min],"&lt;="&amp;K33)</f>
        <v>0</v>
      </c>
      <c r="T33" t="s">
        <v>418</v>
      </c>
      <c r="U33">
        <v>30000</v>
      </c>
      <c r="V33">
        <v>0</v>
      </c>
      <c r="Y33" s="72">
        <f t="shared" si="4"/>
        <v>60001</v>
      </c>
      <c r="Z33" s="72">
        <f t="shared" si="0"/>
        <v>62500</v>
      </c>
      <c r="AA33">
        <f>COUNTIFS(Table15[XP_Min],"&gt;="&amp;Y33,Table15[XP_Min],"&lt;="&amp;Z33)</f>
        <v>0</v>
      </c>
      <c r="AI33" t="s">
        <v>40</v>
      </c>
      <c r="AJ33">
        <v>0</v>
      </c>
      <c r="AK33">
        <v>0</v>
      </c>
      <c r="AN33" s="72">
        <f t="shared" si="5"/>
        <v>60001</v>
      </c>
      <c r="AO33" s="72">
        <f t="shared" si="1"/>
        <v>62500</v>
      </c>
      <c r="AP33">
        <f>COUNTIFS(Table20[XP_Min],"&gt;="&amp;AN33,Table20[XP_Min],"&lt;="&amp;AO33)</f>
        <v>0</v>
      </c>
    </row>
    <row r="34" spans="5:44" x14ac:dyDescent="0.25">
      <c r="E34" t="s">
        <v>12</v>
      </c>
      <c r="F34">
        <v>2500</v>
      </c>
      <c r="G34">
        <v>0</v>
      </c>
      <c r="J34" s="72">
        <f t="shared" si="2"/>
        <v>62501</v>
      </c>
      <c r="K34" s="72">
        <f t="shared" si="3"/>
        <v>65000</v>
      </c>
      <c r="L34">
        <f>COUNTIFS(Table7[XP_Min],"&gt;="&amp;J34,Table7[XP_Min],"&lt;="&amp;K34)</f>
        <v>0</v>
      </c>
      <c r="S34" s="1"/>
      <c r="T34" t="s">
        <v>418</v>
      </c>
      <c r="U34">
        <v>30000</v>
      </c>
      <c r="V34">
        <v>0</v>
      </c>
      <c r="Y34" s="72">
        <f t="shared" si="4"/>
        <v>62501</v>
      </c>
      <c r="Z34" s="72">
        <f t="shared" si="0"/>
        <v>65000</v>
      </c>
      <c r="AA34">
        <f>COUNTIFS(Table15[XP_Min],"&gt;="&amp;Y34,Table15[XP_Min],"&lt;="&amp;Z34)</f>
        <v>0</v>
      </c>
      <c r="AI34" t="s">
        <v>40</v>
      </c>
      <c r="AJ34">
        <v>45000</v>
      </c>
      <c r="AK34">
        <v>0</v>
      </c>
      <c r="AN34" s="72">
        <f t="shared" si="5"/>
        <v>62501</v>
      </c>
      <c r="AO34" s="72">
        <f t="shared" si="1"/>
        <v>65000</v>
      </c>
      <c r="AP34">
        <f>COUNTIFS(Table20[XP_Min],"&gt;="&amp;AN34,Table20[XP_Min],"&lt;="&amp;AO34)</f>
        <v>0</v>
      </c>
    </row>
    <row r="35" spans="5:44" x14ac:dyDescent="0.25">
      <c r="E35" t="s">
        <v>12</v>
      </c>
      <c r="F35">
        <v>0</v>
      </c>
      <c r="G35">
        <v>0</v>
      </c>
      <c r="J35" s="72">
        <f t="shared" si="2"/>
        <v>65001</v>
      </c>
      <c r="K35" s="72">
        <f t="shared" si="3"/>
        <v>67500</v>
      </c>
      <c r="L35">
        <f>COUNTIFS(Table7[XP_Min],"&gt;="&amp;J35,Table7[XP_Min],"&lt;="&amp;K35)</f>
        <v>0</v>
      </c>
      <c r="T35" t="s">
        <v>418</v>
      </c>
      <c r="U35">
        <v>20000</v>
      </c>
      <c r="V35">
        <v>0</v>
      </c>
      <c r="Y35" s="72">
        <f t="shared" si="4"/>
        <v>65001</v>
      </c>
      <c r="Z35" s="72">
        <f t="shared" si="0"/>
        <v>67500</v>
      </c>
      <c r="AA35">
        <f>COUNTIFS(Table15[XP_Min],"&gt;="&amp;Y35,Table15[XP_Min],"&lt;="&amp;Z35)</f>
        <v>0</v>
      </c>
      <c r="AI35" t="s">
        <v>40</v>
      </c>
      <c r="AJ35">
        <v>10000</v>
      </c>
      <c r="AK35">
        <v>0</v>
      </c>
      <c r="AN35" s="72">
        <f t="shared" si="5"/>
        <v>65001</v>
      </c>
      <c r="AO35" s="72">
        <f t="shared" si="1"/>
        <v>67500</v>
      </c>
      <c r="AP35">
        <f>COUNTIFS(Table20[XP_Min],"&gt;="&amp;AN35,Table20[XP_Min],"&lt;="&amp;AO35)</f>
        <v>0</v>
      </c>
    </row>
    <row r="36" spans="5:44" x14ac:dyDescent="0.25">
      <c r="E36" t="s">
        <v>12</v>
      </c>
      <c r="F36">
        <v>18000</v>
      </c>
      <c r="G36">
        <v>0</v>
      </c>
      <c r="J36" s="72">
        <f t="shared" si="2"/>
        <v>67501</v>
      </c>
      <c r="K36" s="72">
        <f t="shared" si="3"/>
        <v>70000</v>
      </c>
      <c r="L36">
        <f>COUNTIFS(Table7[XP_Min],"&gt;="&amp;J36,Table7[XP_Min],"&lt;="&amp;K36)</f>
        <v>0</v>
      </c>
      <c r="T36" t="s">
        <v>418</v>
      </c>
      <c r="U36">
        <v>30000</v>
      </c>
      <c r="V36">
        <v>0</v>
      </c>
      <c r="Y36" s="72">
        <f t="shared" si="4"/>
        <v>67501</v>
      </c>
      <c r="Z36" s="72">
        <f t="shared" si="0"/>
        <v>70000</v>
      </c>
      <c r="AA36">
        <f>COUNTIFS(Table15[XP_Min],"&gt;="&amp;Y36,Table15[XP_Min],"&lt;="&amp;Z36)</f>
        <v>0</v>
      </c>
      <c r="AI36" t="s">
        <v>40</v>
      </c>
      <c r="AJ36">
        <v>30000</v>
      </c>
      <c r="AK36">
        <v>0</v>
      </c>
      <c r="AN36" s="72">
        <f t="shared" si="5"/>
        <v>67501</v>
      </c>
      <c r="AO36" s="72">
        <f t="shared" si="1"/>
        <v>70000</v>
      </c>
      <c r="AP36">
        <f>COUNTIFS(Table20[XP_Min],"&gt;="&amp;AN36,Table20[XP_Min],"&lt;="&amp;AO36)</f>
        <v>0</v>
      </c>
    </row>
    <row r="37" spans="5:44" x14ac:dyDescent="0.25">
      <c r="E37" t="s">
        <v>1</v>
      </c>
      <c r="F37">
        <v>0</v>
      </c>
      <c r="G37">
        <v>0</v>
      </c>
      <c r="J37" s="72">
        <f t="shared" si="2"/>
        <v>70001</v>
      </c>
      <c r="K37" s="72">
        <f t="shared" si="3"/>
        <v>72500</v>
      </c>
      <c r="L37">
        <f>COUNTIFS(Table7[XP_Min],"&gt;="&amp;J37,Table7[XP_Min],"&lt;="&amp;K37)</f>
        <v>0</v>
      </c>
      <c r="T37" t="s">
        <v>418</v>
      </c>
      <c r="U37">
        <v>16000</v>
      </c>
      <c r="V37">
        <v>0</v>
      </c>
      <c r="Y37" s="72">
        <f t="shared" si="4"/>
        <v>70001</v>
      </c>
      <c r="Z37" s="72">
        <f t="shared" si="0"/>
        <v>72500</v>
      </c>
      <c r="AA37">
        <f>COUNTIFS(Table15[XP_Min],"&gt;="&amp;Y37,Table15[XP_Min],"&lt;="&amp;Z37)</f>
        <v>0</v>
      </c>
      <c r="AI37" t="s">
        <v>40</v>
      </c>
      <c r="AJ37">
        <v>26000</v>
      </c>
      <c r="AK37">
        <v>0</v>
      </c>
      <c r="AN37" s="72">
        <f t="shared" si="5"/>
        <v>70001</v>
      </c>
      <c r="AO37" s="72">
        <f t="shared" si="1"/>
        <v>72500</v>
      </c>
      <c r="AP37">
        <f>COUNTIFS(Table20[XP_Min],"&gt;="&amp;AN37,Table20[XP_Min],"&lt;="&amp;AO37)</f>
        <v>0</v>
      </c>
    </row>
    <row r="38" spans="5:44" x14ac:dyDescent="0.25">
      <c r="E38" t="s">
        <v>1</v>
      </c>
      <c r="F38">
        <v>0</v>
      </c>
      <c r="G38">
        <v>0</v>
      </c>
      <c r="J38" s="72">
        <f t="shared" si="2"/>
        <v>72501</v>
      </c>
      <c r="K38" s="72">
        <f t="shared" si="3"/>
        <v>75000</v>
      </c>
      <c r="L38">
        <f>COUNTIFS(Table7[XP_Min],"&gt;="&amp;J38,Table7[XP_Min],"&lt;="&amp;K38)</f>
        <v>0</v>
      </c>
      <c r="T38" t="s">
        <v>418</v>
      </c>
      <c r="U38">
        <v>0</v>
      </c>
      <c r="V38">
        <v>0</v>
      </c>
      <c r="Y38" s="72">
        <f t="shared" si="4"/>
        <v>72501</v>
      </c>
      <c r="Z38" s="72">
        <f t="shared" si="0"/>
        <v>75000</v>
      </c>
      <c r="AA38">
        <f>COUNTIFS(Table15[XP_Min],"&gt;="&amp;Y38,Table15[XP_Min],"&lt;="&amp;Z38)</f>
        <v>0</v>
      </c>
      <c r="AI38" t="s">
        <v>40</v>
      </c>
      <c r="AJ38">
        <v>30000</v>
      </c>
      <c r="AK38">
        <v>0</v>
      </c>
      <c r="AN38" s="72">
        <f t="shared" si="5"/>
        <v>72501</v>
      </c>
      <c r="AO38" s="72">
        <f t="shared" si="1"/>
        <v>75000</v>
      </c>
      <c r="AP38">
        <f>COUNTIFS(Table20[XP_Min],"&gt;="&amp;AN38,Table20[XP_Min],"&lt;="&amp;AO38)</f>
        <v>0</v>
      </c>
    </row>
    <row r="39" spans="5:44" x14ac:dyDescent="0.25">
      <c r="E39" t="s">
        <v>1</v>
      </c>
      <c r="F39">
        <v>35000</v>
      </c>
      <c r="G39">
        <v>0</v>
      </c>
      <c r="T39" t="s">
        <v>418</v>
      </c>
      <c r="U39">
        <v>38000</v>
      </c>
      <c r="V39">
        <v>0</v>
      </c>
      <c r="AI39" t="s">
        <v>40</v>
      </c>
      <c r="AJ39">
        <v>24000</v>
      </c>
      <c r="AK39">
        <v>0</v>
      </c>
    </row>
    <row r="40" spans="5:44" x14ac:dyDescent="0.25">
      <c r="E40" t="s">
        <v>1</v>
      </c>
      <c r="F40">
        <v>15000</v>
      </c>
      <c r="G40">
        <v>0</v>
      </c>
      <c r="T40" t="s">
        <v>418</v>
      </c>
      <c r="U40">
        <v>20000</v>
      </c>
      <c r="V40">
        <v>0</v>
      </c>
      <c r="X40" s="92" t="s">
        <v>7360</v>
      </c>
      <c r="AI40" t="s">
        <v>40</v>
      </c>
      <c r="AJ40">
        <v>25000</v>
      </c>
      <c r="AK40">
        <v>0</v>
      </c>
      <c r="AM40" s="92" t="s">
        <v>7360</v>
      </c>
    </row>
    <row r="41" spans="5:44" x14ac:dyDescent="0.25">
      <c r="E41" t="s">
        <v>1</v>
      </c>
      <c r="F41">
        <v>0</v>
      </c>
      <c r="G41">
        <v>0</v>
      </c>
      <c r="I41" t="s">
        <v>7363</v>
      </c>
      <c r="J41" t="s">
        <v>7362</v>
      </c>
      <c r="M41" s="1" t="s">
        <v>7364</v>
      </c>
      <c r="N41" s="1">
        <f>SUM(Table34[COINS])</f>
        <v>72</v>
      </c>
      <c r="T41" t="s">
        <v>418</v>
      </c>
      <c r="U41">
        <v>25000</v>
      </c>
      <c r="V41">
        <v>0</v>
      </c>
      <c r="X41" t="s">
        <v>7363</v>
      </c>
      <c r="Y41" t="s">
        <v>7362</v>
      </c>
      <c r="AB41" s="1" t="s">
        <v>7364</v>
      </c>
      <c r="AC41" s="1">
        <f>SUM(Table33[COINS])</f>
        <v>97</v>
      </c>
      <c r="AI41" t="s">
        <v>40</v>
      </c>
      <c r="AJ41">
        <v>16000</v>
      </c>
      <c r="AK41">
        <v>0</v>
      </c>
      <c r="AM41" s="1" t="s">
        <v>7363</v>
      </c>
      <c r="AN41" t="s">
        <v>7362</v>
      </c>
      <c r="AQ41" s="1" t="s">
        <v>7364</v>
      </c>
      <c r="AR41" s="1">
        <f>SUM(Table32[COINS])</f>
        <v>108</v>
      </c>
    </row>
    <row r="42" spans="5:44" x14ac:dyDescent="0.25">
      <c r="E42" t="s">
        <v>1</v>
      </c>
      <c r="F42">
        <v>16000</v>
      </c>
      <c r="G42">
        <v>0</v>
      </c>
      <c r="I42" t="s">
        <v>129</v>
      </c>
      <c r="J42">
        <v>1</v>
      </c>
      <c r="T42" t="s">
        <v>418</v>
      </c>
      <c r="U42">
        <v>30000</v>
      </c>
      <c r="V42">
        <v>0</v>
      </c>
      <c r="X42" t="s">
        <v>129</v>
      </c>
      <c r="Y42">
        <v>1</v>
      </c>
      <c r="AI42" t="s">
        <v>40</v>
      </c>
      <c r="AJ42">
        <v>0</v>
      </c>
      <c r="AK42">
        <v>0</v>
      </c>
      <c r="AM42" t="s">
        <v>129</v>
      </c>
      <c r="AN42">
        <v>1</v>
      </c>
    </row>
    <row r="43" spans="5:44" x14ac:dyDescent="0.25">
      <c r="E43" t="s">
        <v>428</v>
      </c>
      <c r="F43">
        <v>0</v>
      </c>
      <c r="G43">
        <v>0</v>
      </c>
      <c r="I43" t="s">
        <v>129</v>
      </c>
      <c r="J43">
        <v>1</v>
      </c>
      <c r="T43" t="s">
        <v>418</v>
      </c>
      <c r="U43">
        <v>0</v>
      </c>
      <c r="V43">
        <v>0</v>
      </c>
      <c r="X43" t="s">
        <v>129</v>
      </c>
      <c r="Y43">
        <v>1</v>
      </c>
      <c r="AI43" t="s">
        <v>40</v>
      </c>
      <c r="AJ43">
        <v>22000</v>
      </c>
      <c r="AK43">
        <v>0</v>
      </c>
      <c r="AM43" t="s">
        <v>129</v>
      </c>
      <c r="AN43">
        <v>1</v>
      </c>
    </row>
    <row r="44" spans="5:44" x14ac:dyDescent="0.25">
      <c r="E44" t="s">
        <v>428</v>
      </c>
      <c r="F44">
        <v>8000</v>
      </c>
      <c r="G44">
        <v>0</v>
      </c>
      <c r="I44" t="s">
        <v>129</v>
      </c>
      <c r="J44">
        <v>1</v>
      </c>
      <c r="T44" t="s">
        <v>418</v>
      </c>
      <c r="U44">
        <v>0</v>
      </c>
      <c r="V44">
        <v>0</v>
      </c>
      <c r="X44" t="s">
        <v>129</v>
      </c>
      <c r="Y44">
        <v>1</v>
      </c>
      <c r="AI44" t="s">
        <v>40</v>
      </c>
      <c r="AJ44">
        <v>14000</v>
      </c>
      <c r="AK44">
        <v>0</v>
      </c>
      <c r="AM44" t="s">
        <v>129</v>
      </c>
      <c r="AN44">
        <v>1</v>
      </c>
    </row>
    <row r="45" spans="5:44" x14ac:dyDescent="0.25">
      <c r="E45" t="s">
        <v>428</v>
      </c>
      <c r="F45">
        <v>4000</v>
      </c>
      <c r="G45">
        <v>0</v>
      </c>
      <c r="I45" t="s">
        <v>129</v>
      </c>
      <c r="J45">
        <v>1</v>
      </c>
      <c r="T45" t="s">
        <v>418</v>
      </c>
      <c r="U45">
        <v>0</v>
      </c>
      <c r="V45">
        <v>0</v>
      </c>
      <c r="X45" t="s">
        <v>129</v>
      </c>
      <c r="Y45">
        <v>1</v>
      </c>
      <c r="AI45" t="s">
        <v>40</v>
      </c>
      <c r="AJ45">
        <v>20000</v>
      </c>
      <c r="AK45">
        <v>0</v>
      </c>
      <c r="AM45" t="s">
        <v>129</v>
      </c>
      <c r="AN45">
        <v>1</v>
      </c>
    </row>
    <row r="46" spans="5:44" x14ac:dyDescent="0.25">
      <c r="E46" t="s">
        <v>428</v>
      </c>
      <c r="F46">
        <v>0</v>
      </c>
      <c r="G46">
        <v>0</v>
      </c>
      <c r="I46" t="s">
        <v>129</v>
      </c>
      <c r="J46">
        <v>1</v>
      </c>
      <c r="T46" t="s">
        <v>418</v>
      </c>
      <c r="U46">
        <v>0</v>
      </c>
      <c r="V46">
        <v>0</v>
      </c>
      <c r="X46" t="s">
        <v>129</v>
      </c>
      <c r="Y46">
        <v>1</v>
      </c>
      <c r="AI46" t="s">
        <v>40</v>
      </c>
      <c r="AJ46">
        <v>27000</v>
      </c>
      <c r="AK46">
        <v>0</v>
      </c>
      <c r="AM46" t="s">
        <v>129</v>
      </c>
      <c r="AN46">
        <v>1</v>
      </c>
    </row>
    <row r="47" spans="5:44" x14ac:dyDescent="0.25">
      <c r="E47" t="s">
        <v>428</v>
      </c>
      <c r="F47">
        <v>8000</v>
      </c>
      <c r="G47">
        <v>0</v>
      </c>
      <c r="I47" t="s">
        <v>129</v>
      </c>
      <c r="J47">
        <v>1</v>
      </c>
      <c r="T47" t="s">
        <v>418</v>
      </c>
      <c r="U47">
        <v>19000</v>
      </c>
      <c r="V47">
        <v>0</v>
      </c>
      <c r="X47" t="s">
        <v>129</v>
      </c>
      <c r="Y47">
        <v>1</v>
      </c>
      <c r="AI47" t="s">
        <v>40</v>
      </c>
      <c r="AJ47">
        <v>30000</v>
      </c>
      <c r="AK47">
        <v>0</v>
      </c>
      <c r="AM47" t="s">
        <v>129</v>
      </c>
      <c r="AN47">
        <v>1</v>
      </c>
    </row>
    <row r="48" spans="5:44" x14ac:dyDescent="0.25">
      <c r="E48" t="s">
        <v>428</v>
      </c>
      <c r="F48">
        <v>4800</v>
      </c>
      <c r="G48">
        <v>0</v>
      </c>
      <c r="I48" t="s">
        <v>129</v>
      </c>
      <c r="J48">
        <v>1</v>
      </c>
      <c r="T48" t="s">
        <v>418</v>
      </c>
      <c r="U48">
        <v>0</v>
      </c>
      <c r="V48">
        <v>0</v>
      </c>
      <c r="X48" t="s">
        <v>129</v>
      </c>
      <c r="Y48">
        <v>1</v>
      </c>
      <c r="AI48" t="s">
        <v>40</v>
      </c>
      <c r="AJ48">
        <v>12000</v>
      </c>
      <c r="AK48">
        <v>0</v>
      </c>
      <c r="AM48" t="s">
        <v>129</v>
      </c>
      <c r="AN48">
        <v>1</v>
      </c>
    </row>
    <row r="49" spans="5:40" x14ac:dyDescent="0.25">
      <c r="E49" t="s">
        <v>428</v>
      </c>
      <c r="F49">
        <v>0</v>
      </c>
      <c r="G49">
        <v>0</v>
      </c>
      <c r="I49" t="s">
        <v>129</v>
      </c>
      <c r="J49">
        <v>1</v>
      </c>
      <c r="T49" t="s">
        <v>418</v>
      </c>
      <c r="U49">
        <v>0</v>
      </c>
      <c r="V49">
        <v>0</v>
      </c>
      <c r="X49" t="s">
        <v>129</v>
      </c>
      <c r="Y49">
        <v>1</v>
      </c>
      <c r="AI49" t="s">
        <v>40</v>
      </c>
      <c r="AJ49">
        <v>18000</v>
      </c>
      <c r="AK49">
        <v>0</v>
      </c>
      <c r="AM49" t="s">
        <v>129</v>
      </c>
      <c r="AN49">
        <v>1</v>
      </c>
    </row>
    <row r="50" spans="5:40" x14ac:dyDescent="0.25">
      <c r="E50" t="s">
        <v>428</v>
      </c>
      <c r="F50">
        <v>0</v>
      </c>
      <c r="G50">
        <v>0</v>
      </c>
      <c r="I50" t="s">
        <v>129</v>
      </c>
      <c r="J50">
        <v>1</v>
      </c>
      <c r="T50" t="s">
        <v>418</v>
      </c>
      <c r="U50">
        <v>38000</v>
      </c>
      <c r="V50">
        <v>0</v>
      </c>
      <c r="X50" t="s">
        <v>129</v>
      </c>
      <c r="Y50">
        <v>1</v>
      </c>
      <c r="AI50" t="s">
        <v>40</v>
      </c>
      <c r="AJ50">
        <v>0</v>
      </c>
      <c r="AK50">
        <v>0</v>
      </c>
      <c r="AM50" t="s">
        <v>129</v>
      </c>
      <c r="AN50">
        <v>1</v>
      </c>
    </row>
    <row r="51" spans="5:40" x14ac:dyDescent="0.25">
      <c r="E51" t="s">
        <v>428</v>
      </c>
      <c r="F51">
        <v>4100</v>
      </c>
      <c r="G51">
        <v>0</v>
      </c>
      <c r="I51" t="s">
        <v>129</v>
      </c>
      <c r="J51">
        <v>1</v>
      </c>
      <c r="T51" t="s">
        <v>418</v>
      </c>
      <c r="U51">
        <v>0</v>
      </c>
      <c r="V51">
        <v>0</v>
      </c>
      <c r="X51" t="s">
        <v>129</v>
      </c>
      <c r="Y51">
        <v>1</v>
      </c>
      <c r="AI51" t="s">
        <v>41</v>
      </c>
      <c r="AJ51">
        <v>0</v>
      </c>
      <c r="AK51">
        <v>0</v>
      </c>
      <c r="AM51" t="s">
        <v>129</v>
      </c>
      <c r="AN51">
        <v>1</v>
      </c>
    </row>
    <row r="52" spans="5:40" x14ac:dyDescent="0.25">
      <c r="E52" t="s">
        <v>428</v>
      </c>
      <c r="F52">
        <v>0</v>
      </c>
      <c r="G52">
        <v>0</v>
      </c>
      <c r="I52" t="s">
        <v>129</v>
      </c>
      <c r="J52">
        <v>1</v>
      </c>
      <c r="T52" t="s">
        <v>418</v>
      </c>
      <c r="U52">
        <v>0</v>
      </c>
      <c r="V52">
        <v>0</v>
      </c>
      <c r="X52" t="s">
        <v>129</v>
      </c>
      <c r="Y52">
        <v>1</v>
      </c>
      <c r="AI52" t="s">
        <v>41</v>
      </c>
      <c r="AJ52">
        <v>0</v>
      </c>
      <c r="AK52">
        <v>0</v>
      </c>
      <c r="AM52" t="s">
        <v>129</v>
      </c>
      <c r="AN52">
        <v>1</v>
      </c>
    </row>
    <row r="53" spans="5:40" x14ac:dyDescent="0.25">
      <c r="E53" t="s">
        <v>428</v>
      </c>
      <c r="F53">
        <v>0</v>
      </c>
      <c r="G53">
        <v>0</v>
      </c>
      <c r="I53" t="s">
        <v>129</v>
      </c>
      <c r="J53">
        <v>1</v>
      </c>
      <c r="T53" t="s">
        <v>418</v>
      </c>
      <c r="U53">
        <v>0</v>
      </c>
      <c r="V53">
        <v>0</v>
      </c>
      <c r="X53" t="s">
        <v>129</v>
      </c>
      <c r="Y53">
        <v>1</v>
      </c>
      <c r="AI53" t="s">
        <v>41</v>
      </c>
      <c r="AJ53">
        <v>0</v>
      </c>
      <c r="AK53">
        <v>0</v>
      </c>
      <c r="AM53" t="s">
        <v>129</v>
      </c>
      <c r="AN53">
        <v>1</v>
      </c>
    </row>
    <row r="54" spans="5:40" x14ac:dyDescent="0.25">
      <c r="E54" t="s">
        <v>428</v>
      </c>
      <c r="F54">
        <v>0</v>
      </c>
      <c r="G54">
        <v>0</v>
      </c>
      <c r="I54" t="s">
        <v>129</v>
      </c>
      <c r="J54">
        <v>1</v>
      </c>
      <c r="T54" t="s">
        <v>418</v>
      </c>
      <c r="U54">
        <v>40000</v>
      </c>
      <c r="V54">
        <v>0</v>
      </c>
      <c r="X54" t="s">
        <v>129</v>
      </c>
      <c r="Y54">
        <v>1</v>
      </c>
      <c r="AI54" t="s">
        <v>41</v>
      </c>
      <c r="AJ54">
        <v>0</v>
      </c>
      <c r="AK54">
        <v>0</v>
      </c>
      <c r="AM54" t="s">
        <v>129</v>
      </c>
      <c r="AN54">
        <v>1</v>
      </c>
    </row>
    <row r="55" spans="5:40" x14ac:dyDescent="0.25">
      <c r="E55" t="s">
        <v>430</v>
      </c>
      <c r="F55">
        <v>0</v>
      </c>
      <c r="G55">
        <v>0</v>
      </c>
      <c r="I55" t="s">
        <v>129</v>
      </c>
      <c r="J55">
        <v>1</v>
      </c>
      <c r="T55" t="s">
        <v>418</v>
      </c>
      <c r="U55">
        <v>0</v>
      </c>
      <c r="V55">
        <v>0</v>
      </c>
      <c r="X55" t="s">
        <v>129</v>
      </c>
      <c r="Y55">
        <v>1</v>
      </c>
      <c r="AI55" t="s">
        <v>41</v>
      </c>
      <c r="AJ55">
        <v>0</v>
      </c>
      <c r="AK55">
        <v>0</v>
      </c>
      <c r="AM55" t="s">
        <v>129</v>
      </c>
      <c r="AN55">
        <v>1</v>
      </c>
    </row>
    <row r="56" spans="5:40" x14ac:dyDescent="0.25">
      <c r="E56" t="s">
        <v>430</v>
      </c>
      <c r="F56">
        <v>4000</v>
      </c>
      <c r="G56">
        <v>12000</v>
      </c>
      <c r="I56" t="s">
        <v>129</v>
      </c>
      <c r="J56">
        <v>1</v>
      </c>
      <c r="T56" t="s">
        <v>418</v>
      </c>
      <c r="U56">
        <v>0</v>
      </c>
      <c r="V56">
        <v>0</v>
      </c>
      <c r="X56" t="s">
        <v>129</v>
      </c>
      <c r="Y56">
        <v>1</v>
      </c>
      <c r="AI56" t="s">
        <v>41</v>
      </c>
      <c r="AJ56">
        <v>0</v>
      </c>
      <c r="AK56">
        <v>0</v>
      </c>
      <c r="AM56" t="s">
        <v>129</v>
      </c>
      <c r="AN56">
        <v>1</v>
      </c>
    </row>
    <row r="57" spans="5:40" x14ac:dyDescent="0.25">
      <c r="E57" t="s">
        <v>430</v>
      </c>
      <c r="F57">
        <v>12000</v>
      </c>
      <c r="G57">
        <v>0</v>
      </c>
      <c r="I57" t="s">
        <v>129</v>
      </c>
      <c r="J57">
        <v>1</v>
      </c>
      <c r="T57" t="s">
        <v>418</v>
      </c>
      <c r="U57">
        <v>17000</v>
      </c>
      <c r="V57">
        <v>0</v>
      </c>
      <c r="X57" t="s">
        <v>129</v>
      </c>
      <c r="Y57">
        <v>1</v>
      </c>
      <c r="AI57" t="s">
        <v>41</v>
      </c>
      <c r="AJ57">
        <v>0</v>
      </c>
      <c r="AK57">
        <v>0</v>
      </c>
      <c r="AM57" t="s">
        <v>129</v>
      </c>
      <c r="AN57">
        <v>1</v>
      </c>
    </row>
    <row r="58" spans="5:40" x14ac:dyDescent="0.25">
      <c r="E58" t="s">
        <v>418</v>
      </c>
      <c r="F58">
        <v>0</v>
      </c>
      <c r="G58">
        <v>0</v>
      </c>
      <c r="I58" t="s">
        <v>129</v>
      </c>
      <c r="J58">
        <v>1</v>
      </c>
      <c r="T58" t="s">
        <v>418</v>
      </c>
      <c r="U58">
        <v>45000</v>
      </c>
      <c r="V58">
        <v>0</v>
      </c>
      <c r="X58" t="s">
        <v>129</v>
      </c>
      <c r="Y58">
        <v>1</v>
      </c>
      <c r="AI58" t="s">
        <v>41</v>
      </c>
      <c r="AJ58">
        <v>0</v>
      </c>
      <c r="AK58">
        <v>0</v>
      </c>
      <c r="AM58" t="s">
        <v>129</v>
      </c>
      <c r="AN58">
        <v>1</v>
      </c>
    </row>
    <row r="59" spans="5:40" x14ac:dyDescent="0.25">
      <c r="E59" t="s">
        <v>418</v>
      </c>
      <c r="F59">
        <v>22000</v>
      </c>
      <c r="G59">
        <v>0</v>
      </c>
      <c r="I59" t="s">
        <v>129</v>
      </c>
      <c r="J59">
        <v>1</v>
      </c>
      <c r="T59" t="s">
        <v>418</v>
      </c>
      <c r="U59">
        <v>38000</v>
      </c>
      <c r="V59">
        <v>0</v>
      </c>
      <c r="X59" t="s">
        <v>129</v>
      </c>
      <c r="Y59">
        <v>1</v>
      </c>
      <c r="AI59" t="s">
        <v>41</v>
      </c>
      <c r="AJ59">
        <v>0</v>
      </c>
      <c r="AK59">
        <v>0</v>
      </c>
      <c r="AM59" t="s">
        <v>129</v>
      </c>
      <c r="AN59">
        <v>1</v>
      </c>
    </row>
    <row r="60" spans="5:40" x14ac:dyDescent="0.25">
      <c r="E60" t="s">
        <v>418</v>
      </c>
      <c r="F60">
        <v>0</v>
      </c>
      <c r="G60">
        <v>0</v>
      </c>
      <c r="I60" t="s">
        <v>129</v>
      </c>
      <c r="J60">
        <v>1</v>
      </c>
      <c r="T60" t="s">
        <v>418</v>
      </c>
      <c r="U60">
        <v>0</v>
      </c>
      <c r="V60">
        <v>0</v>
      </c>
      <c r="X60" t="s">
        <v>129</v>
      </c>
      <c r="Y60">
        <v>1</v>
      </c>
      <c r="AI60" t="s">
        <v>41</v>
      </c>
      <c r="AJ60">
        <v>0</v>
      </c>
      <c r="AK60">
        <v>0</v>
      </c>
      <c r="AM60" t="s">
        <v>129</v>
      </c>
      <c r="AN60">
        <v>1</v>
      </c>
    </row>
    <row r="61" spans="5:40" x14ac:dyDescent="0.25">
      <c r="E61" t="s">
        <v>418</v>
      </c>
      <c r="F61">
        <v>26000</v>
      </c>
      <c r="G61">
        <v>0</v>
      </c>
      <c r="I61" t="s">
        <v>129</v>
      </c>
      <c r="J61">
        <v>1</v>
      </c>
      <c r="T61" t="s">
        <v>418</v>
      </c>
      <c r="U61">
        <v>30000</v>
      </c>
      <c r="V61">
        <v>0</v>
      </c>
      <c r="X61" t="s">
        <v>129</v>
      </c>
      <c r="Y61">
        <v>1</v>
      </c>
      <c r="AI61" t="s">
        <v>41</v>
      </c>
      <c r="AJ61">
        <v>0</v>
      </c>
      <c r="AK61">
        <v>0</v>
      </c>
      <c r="AM61" t="s">
        <v>129</v>
      </c>
      <c r="AN61">
        <v>1</v>
      </c>
    </row>
    <row r="62" spans="5:40" x14ac:dyDescent="0.25">
      <c r="E62" t="s">
        <v>418</v>
      </c>
      <c r="F62">
        <v>0</v>
      </c>
      <c r="G62">
        <v>0</v>
      </c>
      <c r="I62" t="s">
        <v>129</v>
      </c>
      <c r="J62">
        <v>1</v>
      </c>
      <c r="T62" t="s">
        <v>418</v>
      </c>
      <c r="U62">
        <v>0</v>
      </c>
      <c r="V62">
        <v>0</v>
      </c>
      <c r="X62" t="s">
        <v>129</v>
      </c>
      <c r="Y62">
        <v>1</v>
      </c>
      <c r="AI62" t="s">
        <v>41</v>
      </c>
      <c r="AJ62">
        <v>0</v>
      </c>
      <c r="AK62">
        <v>35000</v>
      </c>
      <c r="AM62" t="s">
        <v>129</v>
      </c>
      <c r="AN62">
        <v>1</v>
      </c>
    </row>
    <row r="63" spans="5:40" x14ac:dyDescent="0.25">
      <c r="E63" t="s">
        <v>418</v>
      </c>
      <c r="F63">
        <v>15500</v>
      </c>
      <c r="G63">
        <v>0</v>
      </c>
      <c r="I63" t="s">
        <v>600</v>
      </c>
      <c r="J63">
        <v>3</v>
      </c>
      <c r="T63" t="s">
        <v>418</v>
      </c>
      <c r="U63">
        <v>0</v>
      </c>
      <c r="V63">
        <v>0</v>
      </c>
      <c r="X63" t="s">
        <v>129</v>
      </c>
      <c r="Y63">
        <v>1</v>
      </c>
      <c r="AI63" t="s">
        <v>41</v>
      </c>
      <c r="AJ63">
        <v>20000</v>
      </c>
      <c r="AK63">
        <v>0</v>
      </c>
      <c r="AM63" t="s">
        <v>129</v>
      </c>
      <c r="AN63">
        <v>1</v>
      </c>
    </row>
    <row r="64" spans="5:40" x14ac:dyDescent="0.25">
      <c r="E64" t="s">
        <v>418</v>
      </c>
      <c r="F64">
        <v>0</v>
      </c>
      <c r="G64">
        <v>0</v>
      </c>
      <c r="I64" t="s">
        <v>600</v>
      </c>
      <c r="J64">
        <v>5</v>
      </c>
      <c r="T64" t="s">
        <v>418</v>
      </c>
      <c r="U64">
        <v>0</v>
      </c>
      <c r="V64">
        <v>0</v>
      </c>
      <c r="X64" t="s">
        <v>129</v>
      </c>
      <c r="Y64">
        <v>1</v>
      </c>
      <c r="AI64" t="s">
        <v>41</v>
      </c>
      <c r="AJ64">
        <v>0</v>
      </c>
      <c r="AK64">
        <v>40000</v>
      </c>
      <c r="AM64" t="s">
        <v>129</v>
      </c>
      <c r="AN64">
        <v>1</v>
      </c>
    </row>
    <row r="65" spans="5:40" x14ac:dyDescent="0.25">
      <c r="E65" t="s">
        <v>418</v>
      </c>
      <c r="F65">
        <v>0</v>
      </c>
      <c r="G65">
        <v>0</v>
      </c>
      <c r="I65" t="s">
        <v>600</v>
      </c>
      <c r="J65">
        <v>5</v>
      </c>
      <c r="T65" t="s">
        <v>418</v>
      </c>
      <c r="U65">
        <v>0</v>
      </c>
      <c r="V65">
        <v>0</v>
      </c>
      <c r="X65" t="s">
        <v>129</v>
      </c>
      <c r="Y65">
        <v>1</v>
      </c>
      <c r="AI65" t="s">
        <v>41</v>
      </c>
      <c r="AJ65">
        <v>0</v>
      </c>
      <c r="AK65">
        <v>0</v>
      </c>
      <c r="AM65" t="s">
        <v>129</v>
      </c>
      <c r="AN65">
        <v>1</v>
      </c>
    </row>
    <row r="66" spans="5:40" x14ac:dyDescent="0.25">
      <c r="E66" t="s">
        <v>418</v>
      </c>
      <c r="F66">
        <v>24000</v>
      </c>
      <c r="G66">
        <v>0</v>
      </c>
      <c r="I66" t="s">
        <v>600</v>
      </c>
      <c r="J66">
        <v>5</v>
      </c>
      <c r="T66" t="s">
        <v>418</v>
      </c>
      <c r="U66">
        <v>0</v>
      </c>
      <c r="V66">
        <v>0</v>
      </c>
      <c r="X66" t="s">
        <v>129</v>
      </c>
      <c r="Y66">
        <v>1</v>
      </c>
      <c r="AI66" t="s">
        <v>41</v>
      </c>
      <c r="AJ66">
        <v>0</v>
      </c>
      <c r="AK66">
        <v>0</v>
      </c>
      <c r="AM66" t="s">
        <v>129</v>
      </c>
      <c r="AN66">
        <v>1</v>
      </c>
    </row>
    <row r="67" spans="5:40" x14ac:dyDescent="0.25">
      <c r="E67" t="s">
        <v>418</v>
      </c>
      <c r="F67">
        <v>0</v>
      </c>
      <c r="G67">
        <v>0</v>
      </c>
      <c r="I67" t="s">
        <v>600</v>
      </c>
      <c r="J67">
        <v>1</v>
      </c>
      <c r="T67" t="s">
        <v>418</v>
      </c>
      <c r="U67">
        <v>0</v>
      </c>
      <c r="V67">
        <v>0</v>
      </c>
      <c r="X67" t="s">
        <v>129</v>
      </c>
      <c r="Y67">
        <v>1</v>
      </c>
      <c r="AI67" t="s">
        <v>41</v>
      </c>
      <c r="AJ67">
        <v>0</v>
      </c>
      <c r="AK67">
        <v>0</v>
      </c>
      <c r="AM67" t="s">
        <v>129</v>
      </c>
      <c r="AN67">
        <v>1</v>
      </c>
    </row>
    <row r="68" spans="5:40" x14ac:dyDescent="0.25">
      <c r="E68" t="s">
        <v>418</v>
      </c>
      <c r="F68">
        <v>0</v>
      </c>
      <c r="G68">
        <v>0</v>
      </c>
      <c r="I68" t="s">
        <v>600</v>
      </c>
      <c r="J68">
        <v>3</v>
      </c>
      <c r="T68" t="s">
        <v>418</v>
      </c>
      <c r="U68">
        <v>30000</v>
      </c>
      <c r="V68">
        <v>0</v>
      </c>
      <c r="X68" t="s">
        <v>129</v>
      </c>
      <c r="Y68">
        <v>1</v>
      </c>
      <c r="AI68" t="s">
        <v>41</v>
      </c>
      <c r="AJ68">
        <v>0</v>
      </c>
      <c r="AK68">
        <v>0</v>
      </c>
      <c r="AM68" t="s">
        <v>129</v>
      </c>
      <c r="AN68">
        <v>1</v>
      </c>
    </row>
    <row r="69" spans="5:40" x14ac:dyDescent="0.25">
      <c r="E69" t="s">
        <v>418</v>
      </c>
      <c r="F69">
        <v>14000</v>
      </c>
      <c r="G69">
        <v>0</v>
      </c>
      <c r="I69" t="s">
        <v>600</v>
      </c>
      <c r="J69">
        <v>1</v>
      </c>
      <c r="T69" t="s">
        <v>418</v>
      </c>
      <c r="U69">
        <v>10000</v>
      </c>
      <c r="V69">
        <v>0</v>
      </c>
      <c r="X69" t="s">
        <v>129</v>
      </c>
      <c r="Y69">
        <v>1</v>
      </c>
      <c r="AI69" t="s">
        <v>41</v>
      </c>
      <c r="AJ69">
        <v>0</v>
      </c>
      <c r="AK69">
        <v>0</v>
      </c>
      <c r="AM69" t="s">
        <v>129</v>
      </c>
      <c r="AN69">
        <v>1</v>
      </c>
    </row>
    <row r="70" spans="5:40" x14ac:dyDescent="0.25">
      <c r="E70" t="s">
        <v>418</v>
      </c>
      <c r="F70">
        <v>0</v>
      </c>
      <c r="G70">
        <v>0</v>
      </c>
      <c r="I70" t="s">
        <v>600</v>
      </c>
      <c r="J70">
        <v>1</v>
      </c>
      <c r="T70" t="s">
        <v>418</v>
      </c>
      <c r="U70">
        <v>0</v>
      </c>
      <c r="V70">
        <v>0</v>
      </c>
      <c r="X70" t="s">
        <v>129</v>
      </c>
      <c r="Y70">
        <v>1</v>
      </c>
      <c r="AI70" t="s">
        <v>41</v>
      </c>
      <c r="AJ70">
        <v>0</v>
      </c>
      <c r="AK70">
        <v>0</v>
      </c>
      <c r="AM70" t="s">
        <v>129</v>
      </c>
      <c r="AN70">
        <v>1</v>
      </c>
    </row>
    <row r="71" spans="5:40" x14ac:dyDescent="0.25">
      <c r="E71" t="s">
        <v>418</v>
      </c>
      <c r="F71">
        <v>6500</v>
      </c>
      <c r="G71">
        <v>0</v>
      </c>
      <c r="I71" t="s">
        <v>600</v>
      </c>
      <c r="J71">
        <v>1</v>
      </c>
      <c r="T71" t="s">
        <v>418</v>
      </c>
      <c r="U71">
        <v>23000</v>
      </c>
      <c r="V71">
        <v>0</v>
      </c>
      <c r="X71" t="s">
        <v>129</v>
      </c>
      <c r="Y71">
        <v>1</v>
      </c>
      <c r="AI71" t="s">
        <v>41</v>
      </c>
      <c r="AJ71">
        <v>0</v>
      </c>
      <c r="AK71">
        <v>0</v>
      </c>
      <c r="AM71" t="s">
        <v>129</v>
      </c>
      <c r="AN71">
        <v>1</v>
      </c>
    </row>
    <row r="72" spans="5:40" x14ac:dyDescent="0.25">
      <c r="E72" t="s">
        <v>418</v>
      </c>
      <c r="F72">
        <v>25000</v>
      </c>
      <c r="G72">
        <v>0</v>
      </c>
      <c r="I72" t="s">
        <v>600</v>
      </c>
      <c r="J72">
        <v>5</v>
      </c>
      <c r="T72" t="s">
        <v>418</v>
      </c>
      <c r="U72">
        <v>0</v>
      </c>
      <c r="V72">
        <v>0</v>
      </c>
      <c r="X72" t="s">
        <v>129</v>
      </c>
      <c r="Y72">
        <v>1</v>
      </c>
      <c r="AI72" t="s">
        <v>41</v>
      </c>
      <c r="AJ72">
        <v>0</v>
      </c>
      <c r="AK72">
        <v>0</v>
      </c>
      <c r="AM72" t="s">
        <v>129</v>
      </c>
      <c r="AN72">
        <v>1</v>
      </c>
    </row>
    <row r="73" spans="5:40" x14ac:dyDescent="0.25">
      <c r="E73" t="s">
        <v>418</v>
      </c>
      <c r="F73">
        <v>14000</v>
      </c>
      <c r="G73">
        <v>0</v>
      </c>
      <c r="I73" t="s">
        <v>600</v>
      </c>
      <c r="J73">
        <v>3</v>
      </c>
      <c r="T73" t="s">
        <v>418</v>
      </c>
      <c r="U73">
        <v>32000</v>
      </c>
      <c r="V73">
        <v>0</v>
      </c>
      <c r="X73" t="s">
        <v>129</v>
      </c>
      <c r="Y73">
        <v>1</v>
      </c>
      <c r="AI73" t="s">
        <v>41</v>
      </c>
      <c r="AJ73">
        <v>0</v>
      </c>
      <c r="AK73">
        <v>0</v>
      </c>
      <c r="AM73" t="s">
        <v>129</v>
      </c>
      <c r="AN73">
        <v>1</v>
      </c>
    </row>
    <row r="74" spans="5:40" x14ac:dyDescent="0.25">
      <c r="E74" t="s">
        <v>418</v>
      </c>
      <c r="F74">
        <v>6500</v>
      </c>
      <c r="G74">
        <v>0</v>
      </c>
      <c r="I74" t="s">
        <v>600</v>
      </c>
      <c r="J74">
        <v>2</v>
      </c>
      <c r="T74" t="s">
        <v>418</v>
      </c>
      <c r="U74">
        <v>0</v>
      </c>
      <c r="V74">
        <v>0</v>
      </c>
      <c r="X74" t="s">
        <v>129</v>
      </c>
      <c r="Y74">
        <v>1</v>
      </c>
      <c r="AI74" t="s">
        <v>41</v>
      </c>
      <c r="AJ74">
        <v>0</v>
      </c>
      <c r="AK74">
        <v>0</v>
      </c>
      <c r="AM74" t="s">
        <v>600</v>
      </c>
      <c r="AN74">
        <v>10</v>
      </c>
    </row>
    <row r="75" spans="5:40" x14ac:dyDescent="0.25">
      <c r="E75" t="s">
        <v>418</v>
      </c>
      <c r="F75">
        <v>5500</v>
      </c>
      <c r="G75">
        <v>0</v>
      </c>
      <c r="I75" t="s">
        <v>600</v>
      </c>
      <c r="J75">
        <v>5</v>
      </c>
      <c r="T75" t="s">
        <v>418</v>
      </c>
      <c r="U75">
        <v>35000</v>
      </c>
      <c r="V75">
        <v>0</v>
      </c>
      <c r="X75" t="s">
        <v>129</v>
      </c>
      <c r="Y75">
        <v>1</v>
      </c>
      <c r="AI75" t="s">
        <v>41</v>
      </c>
      <c r="AJ75">
        <v>0</v>
      </c>
      <c r="AK75">
        <v>0</v>
      </c>
      <c r="AM75" t="s">
        <v>600</v>
      </c>
      <c r="AN75">
        <v>5</v>
      </c>
    </row>
    <row r="76" spans="5:40" x14ac:dyDescent="0.25">
      <c r="E76" t="s">
        <v>418</v>
      </c>
      <c r="F76">
        <v>3500</v>
      </c>
      <c r="G76">
        <v>0</v>
      </c>
      <c r="I76" t="s">
        <v>600</v>
      </c>
      <c r="J76">
        <v>1</v>
      </c>
      <c r="T76" t="s">
        <v>418</v>
      </c>
      <c r="U76">
        <v>20000</v>
      </c>
      <c r="V76">
        <v>0</v>
      </c>
      <c r="X76" t="s">
        <v>129</v>
      </c>
      <c r="Y76">
        <v>1</v>
      </c>
      <c r="AI76" t="s">
        <v>41</v>
      </c>
      <c r="AJ76">
        <v>0</v>
      </c>
      <c r="AK76">
        <v>31000</v>
      </c>
      <c r="AM76" t="s">
        <v>600</v>
      </c>
      <c r="AN76">
        <v>3</v>
      </c>
    </row>
    <row r="77" spans="5:40" x14ac:dyDescent="0.25">
      <c r="E77" t="s">
        <v>418</v>
      </c>
      <c r="F77">
        <v>29000</v>
      </c>
      <c r="G77">
        <v>0</v>
      </c>
      <c r="I77" t="s">
        <v>600</v>
      </c>
      <c r="J77">
        <v>4</v>
      </c>
      <c r="T77" t="s">
        <v>418</v>
      </c>
      <c r="U77">
        <v>22000</v>
      </c>
      <c r="V77">
        <v>0</v>
      </c>
      <c r="X77" t="s">
        <v>129</v>
      </c>
      <c r="Y77">
        <v>1</v>
      </c>
      <c r="AI77" t="s">
        <v>41</v>
      </c>
      <c r="AJ77">
        <v>0</v>
      </c>
      <c r="AK77">
        <v>0</v>
      </c>
      <c r="AM77" t="s">
        <v>600</v>
      </c>
      <c r="AN77">
        <v>1</v>
      </c>
    </row>
    <row r="78" spans="5:40" x14ac:dyDescent="0.25">
      <c r="E78" t="s">
        <v>418</v>
      </c>
      <c r="F78">
        <v>0</v>
      </c>
      <c r="G78">
        <v>0</v>
      </c>
      <c r="I78" t="s">
        <v>600</v>
      </c>
      <c r="J78">
        <v>1</v>
      </c>
      <c r="T78" t="s">
        <v>418</v>
      </c>
      <c r="U78">
        <v>38000</v>
      </c>
      <c r="V78">
        <v>0</v>
      </c>
      <c r="X78" t="s">
        <v>129</v>
      </c>
      <c r="Y78">
        <v>1</v>
      </c>
      <c r="AI78" t="s">
        <v>41</v>
      </c>
      <c r="AJ78">
        <v>0</v>
      </c>
      <c r="AK78">
        <v>0</v>
      </c>
      <c r="AM78" t="s">
        <v>600</v>
      </c>
      <c r="AN78">
        <v>3</v>
      </c>
    </row>
    <row r="79" spans="5:40" x14ac:dyDescent="0.25">
      <c r="E79" t="s">
        <v>418</v>
      </c>
      <c r="F79">
        <v>0</v>
      </c>
      <c r="G79">
        <v>0</v>
      </c>
      <c r="I79" t="s">
        <v>600</v>
      </c>
      <c r="J79">
        <v>5</v>
      </c>
      <c r="T79" t="s">
        <v>418</v>
      </c>
      <c r="U79">
        <v>42000</v>
      </c>
      <c r="V79">
        <v>0</v>
      </c>
      <c r="X79" t="s">
        <v>129</v>
      </c>
      <c r="Y79">
        <v>1</v>
      </c>
      <c r="AI79" t="s">
        <v>41</v>
      </c>
      <c r="AJ79">
        <v>0</v>
      </c>
      <c r="AK79">
        <v>0</v>
      </c>
      <c r="AM79" t="s">
        <v>600</v>
      </c>
      <c r="AN79">
        <v>1</v>
      </c>
    </row>
    <row r="80" spans="5:40" x14ac:dyDescent="0.25">
      <c r="E80" t="s">
        <v>418</v>
      </c>
      <c r="F80">
        <v>5500</v>
      </c>
      <c r="G80">
        <v>0</v>
      </c>
      <c r="T80" t="s">
        <v>418</v>
      </c>
      <c r="U80">
        <v>40000</v>
      </c>
      <c r="V80">
        <v>0</v>
      </c>
      <c r="X80" t="s">
        <v>600</v>
      </c>
      <c r="Y80">
        <v>9</v>
      </c>
      <c r="AI80" t="s">
        <v>41</v>
      </c>
      <c r="AJ80">
        <v>0</v>
      </c>
      <c r="AK80">
        <v>0</v>
      </c>
      <c r="AM80" t="s">
        <v>600</v>
      </c>
      <c r="AN80">
        <v>2</v>
      </c>
    </row>
    <row r="81" spans="5:40" x14ac:dyDescent="0.25">
      <c r="E81" t="s">
        <v>418</v>
      </c>
      <c r="F81">
        <v>17000</v>
      </c>
      <c r="G81">
        <v>0</v>
      </c>
      <c r="T81" t="s">
        <v>418</v>
      </c>
      <c r="U81">
        <v>21000</v>
      </c>
      <c r="V81">
        <v>0</v>
      </c>
      <c r="X81" t="s">
        <v>600</v>
      </c>
      <c r="Y81">
        <v>5</v>
      </c>
      <c r="AI81" t="s">
        <v>41</v>
      </c>
      <c r="AJ81">
        <v>0</v>
      </c>
      <c r="AK81">
        <v>40000</v>
      </c>
      <c r="AM81" t="s">
        <v>600</v>
      </c>
      <c r="AN81">
        <v>1</v>
      </c>
    </row>
    <row r="82" spans="5:40" x14ac:dyDescent="0.25">
      <c r="E82" t="s">
        <v>418</v>
      </c>
      <c r="F82">
        <v>0</v>
      </c>
      <c r="G82">
        <v>0</v>
      </c>
      <c r="T82" t="s">
        <v>418</v>
      </c>
      <c r="U82">
        <v>18000</v>
      </c>
      <c r="V82">
        <v>0</v>
      </c>
      <c r="X82" t="s">
        <v>600</v>
      </c>
      <c r="Y82">
        <v>3</v>
      </c>
      <c r="AI82" t="s">
        <v>41</v>
      </c>
      <c r="AJ82">
        <v>0</v>
      </c>
      <c r="AK82">
        <v>0</v>
      </c>
      <c r="AM82" t="s">
        <v>600</v>
      </c>
      <c r="AN82">
        <v>1</v>
      </c>
    </row>
    <row r="83" spans="5:40" x14ac:dyDescent="0.25">
      <c r="E83" t="s">
        <v>418</v>
      </c>
      <c r="F83">
        <v>5000</v>
      </c>
      <c r="G83">
        <v>0</v>
      </c>
      <c r="T83" t="s">
        <v>418</v>
      </c>
      <c r="U83">
        <v>0</v>
      </c>
      <c r="V83">
        <v>0</v>
      </c>
      <c r="X83" t="s">
        <v>600</v>
      </c>
      <c r="Y83">
        <v>1</v>
      </c>
      <c r="AI83" t="s">
        <v>41</v>
      </c>
      <c r="AJ83">
        <v>0</v>
      </c>
      <c r="AK83">
        <v>0</v>
      </c>
      <c r="AM83" t="s">
        <v>600</v>
      </c>
      <c r="AN83">
        <v>3</v>
      </c>
    </row>
    <row r="84" spans="5:40" x14ac:dyDescent="0.25">
      <c r="E84" t="s">
        <v>418</v>
      </c>
      <c r="F84">
        <v>0</v>
      </c>
      <c r="G84">
        <v>0</v>
      </c>
      <c r="T84" t="s">
        <v>418</v>
      </c>
      <c r="U84">
        <v>38000</v>
      </c>
      <c r="V84">
        <v>0</v>
      </c>
      <c r="X84" t="s">
        <v>600</v>
      </c>
      <c r="Y84">
        <v>3</v>
      </c>
      <c r="AI84" t="s">
        <v>41</v>
      </c>
      <c r="AJ84">
        <v>0</v>
      </c>
      <c r="AK84">
        <v>0</v>
      </c>
      <c r="AM84" t="s">
        <v>600</v>
      </c>
      <c r="AN84">
        <v>4</v>
      </c>
    </row>
    <row r="85" spans="5:40" x14ac:dyDescent="0.25">
      <c r="E85" t="s">
        <v>418</v>
      </c>
      <c r="F85">
        <v>17000</v>
      </c>
      <c r="G85">
        <v>0</v>
      </c>
      <c r="T85" t="s">
        <v>418</v>
      </c>
      <c r="U85">
        <v>32000</v>
      </c>
      <c r="V85">
        <v>0</v>
      </c>
      <c r="X85" t="s">
        <v>600</v>
      </c>
      <c r="Y85">
        <v>7</v>
      </c>
      <c r="AI85" t="s">
        <v>41</v>
      </c>
      <c r="AJ85">
        <v>0</v>
      </c>
      <c r="AK85">
        <v>33000</v>
      </c>
      <c r="AM85" t="s">
        <v>600</v>
      </c>
      <c r="AN85">
        <v>2</v>
      </c>
    </row>
    <row r="86" spans="5:40" x14ac:dyDescent="0.25">
      <c r="E86" t="s">
        <v>418</v>
      </c>
      <c r="F86">
        <v>26000</v>
      </c>
      <c r="G86">
        <v>0</v>
      </c>
      <c r="T86" t="s">
        <v>418</v>
      </c>
      <c r="U86">
        <v>0</v>
      </c>
      <c r="V86">
        <v>0</v>
      </c>
      <c r="X86" t="s">
        <v>600</v>
      </c>
      <c r="Y86">
        <v>5</v>
      </c>
      <c r="AI86" t="s">
        <v>41</v>
      </c>
      <c r="AJ86">
        <v>0</v>
      </c>
      <c r="AK86">
        <v>0</v>
      </c>
      <c r="AM86" t="s">
        <v>600</v>
      </c>
      <c r="AN86">
        <v>3</v>
      </c>
    </row>
    <row r="87" spans="5:40" x14ac:dyDescent="0.25">
      <c r="E87" t="s">
        <v>418</v>
      </c>
      <c r="F87">
        <v>5500</v>
      </c>
      <c r="G87">
        <v>0</v>
      </c>
      <c r="T87" t="s">
        <v>418</v>
      </c>
      <c r="U87">
        <v>0</v>
      </c>
      <c r="V87">
        <v>0</v>
      </c>
      <c r="X87" t="s">
        <v>600</v>
      </c>
      <c r="Y87">
        <v>5</v>
      </c>
      <c r="AI87" t="s">
        <v>41</v>
      </c>
      <c r="AJ87">
        <v>0</v>
      </c>
      <c r="AK87">
        <v>0</v>
      </c>
      <c r="AM87" t="s">
        <v>600</v>
      </c>
      <c r="AN87">
        <v>1</v>
      </c>
    </row>
    <row r="88" spans="5:40" x14ac:dyDescent="0.25">
      <c r="E88" t="s">
        <v>418</v>
      </c>
      <c r="F88">
        <v>17000</v>
      </c>
      <c r="G88">
        <v>0</v>
      </c>
      <c r="T88" t="s">
        <v>418</v>
      </c>
      <c r="U88">
        <v>0</v>
      </c>
      <c r="V88">
        <v>0</v>
      </c>
      <c r="X88" t="s">
        <v>600</v>
      </c>
      <c r="Y88">
        <v>5</v>
      </c>
      <c r="AI88" t="s">
        <v>41</v>
      </c>
      <c r="AJ88">
        <v>0</v>
      </c>
      <c r="AK88">
        <v>0</v>
      </c>
      <c r="AM88" t="s">
        <v>600</v>
      </c>
      <c r="AN88">
        <v>1</v>
      </c>
    </row>
    <row r="89" spans="5:40" x14ac:dyDescent="0.25">
      <c r="E89" t="s">
        <v>418</v>
      </c>
      <c r="F89">
        <v>6500</v>
      </c>
      <c r="G89">
        <v>0</v>
      </c>
      <c r="T89" t="s">
        <v>418</v>
      </c>
      <c r="U89">
        <v>38000</v>
      </c>
      <c r="V89">
        <v>0</v>
      </c>
      <c r="X89" t="s">
        <v>600</v>
      </c>
      <c r="Y89">
        <v>1</v>
      </c>
      <c r="AI89" t="s">
        <v>41</v>
      </c>
      <c r="AJ89">
        <v>0</v>
      </c>
      <c r="AK89">
        <v>0</v>
      </c>
      <c r="AM89" t="s">
        <v>600</v>
      </c>
      <c r="AN89">
        <v>3</v>
      </c>
    </row>
    <row r="90" spans="5:40" x14ac:dyDescent="0.25">
      <c r="E90" t="s">
        <v>418</v>
      </c>
      <c r="F90">
        <v>15500</v>
      </c>
      <c r="G90">
        <v>0</v>
      </c>
      <c r="T90" t="s">
        <v>418</v>
      </c>
      <c r="U90">
        <v>32000</v>
      </c>
      <c r="V90">
        <v>0</v>
      </c>
      <c r="X90" t="s">
        <v>600</v>
      </c>
      <c r="Y90">
        <v>1</v>
      </c>
      <c r="AI90" t="s">
        <v>41</v>
      </c>
      <c r="AJ90">
        <v>0</v>
      </c>
      <c r="AK90">
        <v>0</v>
      </c>
      <c r="AM90" t="s">
        <v>600</v>
      </c>
      <c r="AN90">
        <v>1</v>
      </c>
    </row>
    <row r="91" spans="5:40" x14ac:dyDescent="0.25">
      <c r="E91" t="s">
        <v>418</v>
      </c>
      <c r="F91">
        <v>0</v>
      </c>
      <c r="G91">
        <v>0</v>
      </c>
      <c r="T91" t="s">
        <v>418</v>
      </c>
      <c r="U91">
        <v>0</v>
      </c>
      <c r="V91">
        <v>0</v>
      </c>
      <c r="X91" t="s">
        <v>600</v>
      </c>
      <c r="Y91">
        <v>1</v>
      </c>
      <c r="AI91" t="s">
        <v>41</v>
      </c>
      <c r="AJ91">
        <v>0</v>
      </c>
      <c r="AK91">
        <v>0</v>
      </c>
      <c r="AM91" t="s">
        <v>600</v>
      </c>
      <c r="AN91">
        <v>3</v>
      </c>
    </row>
    <row r="92" spans="5:40" x14ac:dyDescent="0.25">
      <c r="E92" t="s">
        <v>418</v>
      </c>
      <c r="F92">
        <v>0</v>
      </c>
      <c r="G92">
        <v>0</v>
      </c>
      <c r="T92" t="s">
        <v>418</v>
      </c>
      <c r="U92">
        <v>38000</v>
      </c>
      <c r="V92">
        <v>0</v>
      </c>
      <c r="X92" t="s">
        <v>600</v>
      </c>
      <c r="Y92">
        <v>5</v>
      </c>
      <c r="AI92" t="s">
        <v>41</v>
      </c>
      <c r="AJ92">
        <v>0</v>
      </c>
      <c r="AK92">
        <v>37000</v>
      </c>
      <c r="AM92" t="s">
        <v>600</v>
      </c>
      <c r="AN92">
        <v>3</v>
      </c>
    </row>
    <row r="93" spans="5:40" x14ac:dyDescent="0.25">
      <c r="E93" t="s">
        <v>418</v>
      </c>
      <c r="F93">
        <v>22000</v>
      </c>
      <c r="G93">
        <v>0</v>
      </c>
      <c r="T93" t="s">
        <v>418</v>
      </c>
      <c r="U93">
        <v>11000</v>
      </c>
      <c r="V93">
        <v>0</v>
      </c>
      <c r="X93" t="s">
        <v>600</v>
      </c>
      <c r="Y93">
        <v>1</v>
      </c>
      <c r="AI93" t="s">
        <v>41</v>
      </c>
      <c r="AJ93">
        <v>0</v>
      </c>
      <c r="AK93">
        <v>0</v>
      </c>
      <c r="AM93" t="s">
        <v>600</v>
      </c>
      <c r="AN93">
        <v>5</v>
      </c>
    </row>
    <row r="94" spans="5:40" x14ac:dyDescent="0.25">
      <c r="E94" t="s">
        <v>418</v>
      </c>
      <c r="F94">
        <v>14000</v>
      </c>
      <c r="G94">
        <v>0</v>
      </c>
      <c r="T94" t="s">
        <v>418</v>
      </c>
      <c r="U94">
        <v>0</v>
      </c>
      <c r="V94">
        <v>0</v>
      </c>
      <c r="X94" t="s">
        <v>600</v>
      </c>
      <c r="Y94">
        <v>1</v>
      </c>
      <c r="AI94" t="s">
        <v>41</v>
      </c>
      <c r="AJ94">
        <v>0</v>
      </c>
      <c r="AK94">
        <v>0</v>
      </c>
      <c r="AM94" t="s">
        <v>600</v>
      </c>
      <c r="AN94">
        <v>4</v>
      </c>
    </row>
    <row r="95" spans="5:40" x14ac:dyDescent="0.25">
      <c r="E95" t="s">
        <v>418</v>
      </c>
      <c r="F95">
        <v>0</v>
      </c>
      <c r="G95">
        <v>0</v>
      </c>
      <c r="T95" t="s">
        <v>418</v>
      </c>
      <c r="U95">
        <v>35000</v>
      </c>
      <c r="V95">
        <v>0</v>
      </c>
      <c r="X95" t="s">
        <v>600</v>
      </c>
      <c r="Y95">
        <v>1</v>
      </c>
      <c r="AI95" t="s">
        <v>41</v>
      </c>
      <c r="AJ95">
        <v>16000</v>
      </c>
      <c r="AK95">
        <v>0</v>
      </c>
      <c r="AM95" t="s">
        <v>600</v>
      </c>
      <c r="AN95">
        <v>5</v>
      </c>
    </row>
    <row r="96" spans="5:40" x14ac:dyDescent="0.25">
      <c r="E96" t="s">
        <v>418</v>
      </c>
      <c r="F96">
        <v>8500</v>
      </c>
      <c r="G96">
        <v>0</v>
      </c>
      <c r="T96" t="s">
        <v>418</v>
      </c>
      <c r="U96">
        <v>0</v>
      </c>
      <c r="V96">
        <v>0</v>
      </c>
      <c r="X96" t="s">
        <v>600</v>
      </c>
      <c r="Y96">
        <v>5</v>
      </c>
      <c r="AI96" t="s">
        <v>41</v>
      </c>
      <c r="AJ96">
        <v>0</v>
      </c>
      <c r="AK96">
        <v>0</v>
      </c>
      <c r="AM96" t="s">
        <v>600</v>
      </c>
      <c r="AN96">
        <v>1</v>
      </c>
    </row>
    <row r="97" spans="5:40" x14ac:dyDescent="0.25">
      <c r="E97" t="s">
        <v>418</v>
      </c>
      <c r="F97">
        <v>0</v>
      </c>
      <c r="G97">
        <v>0</v>
      </c>
      <c r="T97" t="s">
        <v>418</v>
      </c>
      <c r="U97">
        <v>0</v>
      </c>
      <c r="V97">
        <v>0</v>
      </c>
      <c r="AI97" t="s">
        <v>41</v>
      </c>
      <c r="AJ97">
        <v>0</v>
      </c>
      <c r="AK97">
        <v>39000</v>
      </c>
      <c r="AM97" t="s">
        <v>600</v>
      </c>
      <c r="AN97">
        <v>2</v>
      </c>
    </row>
    <row r="98" spans="5:40" x14ac:dyDescent="0.25">
      <c r="E98" t="s">
        <v>418</v>
      </c>
      <c r="F98">
        <v>0</v>
      </c>
      <c r="G98">
        <v>0</v>
      </c>
      <c r="T98" t="s">
        <v>418</v>
      </c>
      <c r="U98">
        <v>50000</v>
      </c>
      <c r="V98">
        <v>0</v>
      </c>
      <c r="AI98" t="s">
        <v>41</v>
      </c>
      <c r="AJ98">
        <v>0</v>
      </c>
      <c r="AK98">
        <v>0</v>
      </c>
      <c r="AM98" t="s">
        <v>600</v>
      </c>
      <c r="AN98">
        <v>5</v>
      </c>
    </row>
    <row r="99" spans="5:40" x14ac:dyDescent="0.25">
      <c r="E99" t="s">
        <v>418</v>
      </c>
      <c r="F99">
        <v>6000</v>
      </c>
      <c r="G99">
        <v>0</v>
      </c>
      <c r="T99" t="s">
        <v>418</v>
      </c>
      <c r="U99">
        <v>20000</v>
      </c>
      <c r="V99">
        <v>0</v>
      </c>
      <c r="AI99" t="s">
        <v>41</v>
      </c>
      <c r="AJ99">
        <v>0</v>
      </c>
      <c r="AK99">
        <v>0</v>
      </c>
      <c r="AM99" t="s">
        <v>600</v>
      </c>
      <c r="AN99">
        <v>1</v>
      </c>
    </row>
    <row r="100" spans="5:40" x14ac:dyDescent="0.25">
      <c r="E100" t="s">
        <v>418</v>
      </c>
      <c r="F100">
        <v>15500</v>
      </c>
      <c r="G100">
        <v>0</v>
      </c>
      <c r="T100" t="s">
        <v>418</v>
      </c>
      <c r="U100">
        <v>42000</v>
      </c>
      <c r="V100">
        <v>0</v>
      </c>
      <c r="AI100" t="s">
        <v>41</v>
      </c>
      <c r="AJ100">
        <v>0</v>
      </c>
      <c r="AK100">
        <v>0</v>
      </c>
      <c r="AM100" t="s">
        <v>600</v>
      </c>
      <c r="AN100">
        <v>2</v>
      </c>
    </row>
    <row r="101" spans="5:40" x14ac:dyDescent="0.25">
      <c r="E101" t="s">
        <v>418</v>
      </c>
      <c r="F101">
        <v>25000</v>
      </c>
      <c r="G101">
        <v>0</v>
      </c>
      <c r="T101" t="s">
        <v>418</v>
      </c>
      <c r="U101">
        <v>35000</v>
      </c>
      <c r="V101">
        <v>0</v>
      </c>
      <c r="AI101" t="s">
        <v>41</v>
      </c>
      <c r="AJ101">
        <v>17000</v>
      </c>
      <c r="AK101">
        <v>0</v>
      </c>
    </row>
    <row r="102" spans="5:40" x14ac:dyDescent="0.25">
      <c r="E102" t="s">
        <v>418</v>
      </c>
      <c r="F102">
        <v>0</v>
      </c>
      <c r="G102">
        <v>0</v>
      </c>
      <c r="T102" t="s">
        <v>418</v>
      </c>
      <c r="U102">
        <v>20000</v>
      </c>
      <c r="V102">
        <v>0</v>
      </c>
      <c r="AI102" t="s">
        <v>41</v>
      </c>
      <c r="AJ102">
        <v>0</v>
      </c>
      <c r="AK102">
        <v>0</v>
      </c>
    </row>
    <row r="103" spans="5:40" x14ac:dyDescent="0.25">
      <c r="E103" t="s">
        <v>418</v>
      </c>
      <c r="F103">
        <v>24000</v>
      </c>
      <c r="G103">
        <v>0</v>
      </c>
      <c r="T103" t="s">
        <v>418</v>
      </c>
      <c r="U103">
        <v>0</v>
      </c>
      <c r="V103">
        <v>0</v>
      </c>
      <c r="AI103" t="s">
        <v>41</v>
      </c>
      <c r="AJ103">
        <v>0</v>
      </c>
      <c r="AK103">
        <v>0</v>
      </c>
    </row>
    <row r="104" spans="5:40" x14ac:dyDescent="0.25">
      <c r="E104" t="s">
        <v>418</v>
      </c>
      <c r="F104">
        <v>17000</v>
      </c>
      <c r="G104">
        <v>0</v>
      </c>
      <c r="T104" t="s">
        <v>418</v>
      </c>
      <c r="U104">
        <v>0</v>
      </c>
      <c r="V104">
        <v>0</v>
      </c>
      <c r="AI104" t="s">
        <v>41</v>
      </c>
      <c r="AJ104">
        <v>0</v>
      </c>
      <c r="AK104">
        <v>0</v>
      </c>
    </row>
    <row r="105" spans="5:40" x14ac:dyDescent="0.25">
      <c r="E105" t="s">
        <v>418</v>
      </c>
      <c r="F105">
        <v>29000</v>
      </c>
      <c r="G105">
        <v>0</v>
      </c>
      <c r="T105" t="s">
        <v>418</v>
      </c>
      <c r="U105">
        <v>0</v>
      </c>
      <c r="V105">
        <v>0</v>
      </c>
      <c r="AI105" t="s">
        <v>41</v>
      </c>
      <c r="AJ105">
        <v>0</v>
      </c>
      <c r="AK105">
        <v>0</v>
      </c>
    </row>
    <row r="106" spans="5:40" x14ac:dyDescent="0.25">
      <c r="E106" t="s">
        <v>418</v>
      </c>
      <c r="F106">
        <v>0</v>
      </c>
      <c r="G106">
        <v>0</v>
      </c>
      <c r="T106" t="s">
        <v>418</v>
      </c>
      <c r="U106">
        <v>0</v>
      </c>
      <c r="V106">
        <v>0</v>
      </c>
      <c r="AI106" t="s">
        <v>41</v>
      </c>
      <c r="AJ106">
        <v>0</v>
      </c>
      <c r="AK106">
        <v>0</v>
      </c>
    </row>
    <row r="107" spans="5:40" x14ac:dyDescent="0.25">
      <c r="E107" t="s">
        <v>418</v>
      </c>
      <c r="F107">
        <v>0</v>
      </c>
      <c r="G107">
        <v>0</v>
      </c>
      <c r="T107" t="s">
        <v>418</v>
      </c>
      <c r="U107">
        <v>0</v>
      </c>
      <c r="V107">
        <v>0</v>
      </c>
      <c r="AI107" t="s">
        <v>41</v>
      </c>
      <c r="AJ107">
        <v>0</v>
      </c>
      <c r="AK107">
        <v>0</v>
      </c>
    </row>
    <row r="108" spans="5:40" x14ac:dyDescent="0.25">
      <c r="E108" t="s">
        <v>418</v>
      </c>
      <c r="F108">
        <v>24000</v>
      </c>
      <c r="G108">
        <v>0</v>
      </c>
      <c r="T108" t="s">
        <v>418</v>
      </c>
      <c r="U108">
        <v>12000</v>
      </c>
      <c r="V108">
        <v>0</v>
      </c>
      <c r="AI108" t="s">
        <v>41</v>
      </c>
      <c r="AJ108">
        <v>0</v>
      </c>
      <c r="AK108">
        <v>0</v>
      </c>
    </row>
    <row r="109" spans="5:40" x14ac:dyDescent="0.25">
      <c r="E109" t="s">
        <v>418</v>
      </c>
      <c r="F109">
        <v>6000</v>
      </c>
      <c r="G109">
        <v>0</v>
      </c>
      <c r="T109" t="s">
        <v>418</v>
      </c>
      <c r="U109">
        <v>0</v>
      </c>
      <c r="V109">
        <v>0</v>
      </c>
      <c r="AI109" t="s">
        <v>41</v>
      </c>
      <c r="AJ109">
        <v>0</v>
      </c>
      <c r="AK109">
        <v>0</v>
      </c>
    </row>
    <row r="110" spans="5:40" x14ac:dyDescent="0.25">
      <c r="E110" t="s">
        <v>418</v>
      </c>
      <c r="F110">
        <v>0</v>
      </c>
      <c r="G110">
        <v>0</v>
      </c>
      <c r="T110" t="s">
        <v>418</v>
      </c>
      <c r="U110">
        <v>0</v>
      </c>
      <c r="V110">
        <v>0</v>
      </c>
      <c r="AI110" t="s">
        <v>41</v>
      </c>
      <c r="AJ110">
        <v>0</v>
      </c>
      <c r="AK110">
        <v>0</v>
      </c>
    </row>
    <row r="111" spans="5:40" x14ac:dyDescent="0.25">
      <c r="E111" t="s">
        <v>418</v>
      </c>
      <c r="F111">
        <v>17000</v>
      </c>
      <c r="G111">
        <v>0</v>
      </c>
      <c r="T111" t="s">
        <v>418</v>
      </c>
      <c r="U111">
        <v>0</v>
      </c>
      <c r="V111">
        <v>0</v>
      </c>
      <c r="AI111" t="s">
        <v>41</v>
      </c>
      <c r="AJ111">
        <v>20000</v>
      </c>
      <c r="AK111">
        <v>0</v>
      </c>
    </row>
    <row r="112" spans="5:40" x14ac:dyDescent="0.25">
      <c r="E112" t="s">
        <v>418</v>
      </c>
      <c r="F112">
        <v>0</v>
      </c>
      <c r="G112">
        <v>0</v>
      </c>
      <c r="T112" t="s">
        <v>418</v>
      </c>
      <c r="U112">
        <v>40000</v>
      </c>
      <c r="V112">
        <v>0</v>
      </c>
      <c r="AI112" t="s">
        <v>41</v>
      </c>
      <c r="AJ112">
        <v>0</v>
      </c>
      <c r="AK112">
        <v>0</v>
      </c>
    </row>
    <row r="113" spans="5:37" x14ac:dyDescent="0.25">
      <c r="E113" t="s">
        <v>418</v>
      </c>
      <c r="F113">
        <v>0</v>
      </c>
      <c r="G113">
        <v>0</v>
      </c>
      <c r="T113" t="s">
        <v>418</v>
      </c>
      <c r="U113">
        <v>40000</v>
      </c>
      <c r="V113">
        <v>0</v>
      </c>
      <c r="AI113" t="s">
        <v>41</v>
      </c>
      <c r="AJ113">
        <v>0</v>
      </c>
      <c r="AK113">
        <v>0</v>
      </c>
    </row>
    <row r="114" spans="5:37" x14ac:dyDescent="0.25">
      <c r="E114" t="s">
        <v>418</v>
      </c>
      <c r="F114">
        <v>0</v>
      </c>
      <c r="G114">
        <v>0</v>
      </c>
      <c r="T114" t="s">
        <v>418</v>
      </c>
      <c r="U114">
        <v>0</v>
      </c>
      <c r="V114">
        <v>0</v>
      </c>
      <c r="AI114" t="s">
        <v>41</v>
      </c>
      <c r="AJ114">
        <v>0</v>
      </c>
      <c r="AK114">
        <v>33000</v>
      </c>
    </row>
    <row r="115" spans="5:37" x14ac:dyDescent="0.25">
      <c r="E115" t="s">
        <v>418</v>
      </c>
      <c r="F115">
        <v>0</v>
      </c>
      <c r="G115">
        <v>0</v>
      </c>
      <c r="T115" t="s">
        <v>418</v>
      </c>
      <c r="U115">
        <v>35000</v>
      </c>
      <c r="V115">
        <v>0</v>
      </c>
      <c r="AI115" t="s">
        <v>41</v>
      </c>
      <c r="AJ115">
        <v>0</v>
      </c>
      <c r="AK115">
        <v>22000</v>
      </c>
    </row>
    <row r="116" spans="5:37" x14ac:dyDescent="0.25">
      <c r="E116" t="s">
        <v>418</v>
      </c>
      <c r="F116">
        <v>22000</v>
      </c>
      <c r="G116">
        <v>0</v>
      </c>
      <c r="T116" t="s">
        <v>418</v>
      </c>
      <c r="U116">
        <v>32000</v>
      </c>
      <c r="V116">
        <v>0</v>
      </c>
      <c r="AI116" t="s">
        <v>41</v>
      </c>
      <c r="AJ116">
        <v>0</v>
      </c>
      <c r="AK116">
        <v>0</v>
      </c>
    </row>
    <row r="117" spans="5:37" x14ac:dyDescent="0.25">
      <c r="E117" t="s">
        <v>418</v>
      </c>
      <c r="F117">
        <v>26000</v>
      </c>
      <c r="G117">
        <v>0</v>
      </c>
      <c r="T117" t="s">
        <v>418</v>
      </c>
      <c r="U117">
        <v>38000</v>
      </c>
      <c r="V117">
        <v>0</v>
      </c>
      <c r="AI117" t="s">
        <v>41</v>
      </c>
      <c r="AJ117">
        <v>0</v>
      </c>
      <c r="AK117">
        <v>0</v>
      </c>
    </row>
    <row r="118" spans="5:37" x14ac:dyDescent="0.25">
      <c r="E118" t="s">
        <v>418</v>
      </c>
      <c r="F118">
        <v>0</v>
      </c>
      <c r="G118">
        <v>0</v>
      </c>
      <c r="T118" t="s">
        <v>418</v>
      </c>
      <c r="U118">
        <v>25000</v>
      </c>
      <c r="V118">
        <v>0</v>
      </c>
      <c r="AI118" t="s">
        <v>41</v>
      </c>
      <c r="AJ118">
        <v>0</v>
      </c>
      <c r="AK118">
        <v>0</v>
      </c>
    </row>
    <row r="119" spans="5:37" x14ac:dyDescent="0.25">
      <c r="E119" t="s">
        <v>418</v>
      </c>
      <c r="F119">
        <v>17000</v>
      </c>
      <c r="G119">
        <v>0</v>
      </c>
      <c r="T119" t="s">
        <v>418</v>
      </c>
      <c r="U119">
        <v>0</v>
      </c>
      <c r="V119">
        <v>0</v>
      </c>
      <c r="AI119" t="s">
        <v>41</v>
      </c>
      <c r="AJ119">
        <v>0</v>
      </c>
      <c r="AK119">
        <v>25000</v>
      </c>
    </row>
    <row r="120" spans="5:37" x14ac:dyDescent="0.25">
      <c r="E120" t="s">
        <v>418</v>
      </c>
      <c r="F120">
        <v>0</v>
      </c>
      <c r="G120">
        <v>0</v>
      </c>
      <c r="T120" t="s">
        <v>418</v>
      </c>
      <c r="U120">
        <v>0</v>
      </c>
      <c r="V120">
        <v>0</v>
      </c>
      <c r="AI120" t="s">
        <v>41</v>
      </c>
      <c r="AJ120">
        <v>0</v>
      </c>
      <c r="AK120">
        <v>0</v>
      </c>
    </row>
    <row r="121" spans="5:37" x14ac:dyDescent="0.25">
      <c r="E121" t="s">
        <v>418</v>
      </c>
      <c r="F121">
        <v>0</v>
      </c>
      <c r="G121">
        <v>0</v>
      </c>
      <c r="T121" t="s">
        <v>418</v>
      </c>
      <c r="U121">
        <v>0</v>
      </c>
      <c r="V121">
        <v>0</v>
      </c>
      <c r="AI121" t="s">
        <v>41</v>
      </c>
      <c r="AJ121">
        <v>0</v>
      </c>
      <c r="AK121">
        <v>0</v>
      </c>
    </row>
    <row r="122" spans="5:37" x14ac:dyDescent="0.25">
      <c r="E122" t="s">
        <v>418</v>
      </c>
      <c r="F122">
        <v>0</v>
      </c>
      <c r="G122">
        <v>0</v>
      </c>
      <c r="T122" t="s">
        <v>418</v>
      </c>
      <c r="U122">
        <v>0</v>
      </c>
      <c r="V122">
        <v>0</v>
      </c>
      <c r="AI122" t="s">
        <v>41</v>
      </c>
      <c r="AJ122">
        <v>19000</v>
      </c>
      <c r="AK122">
        <v>0</v>
      </c>
    </row>
    <row r="123" spans="5:37" x14ac:dyDescent="0.25">
      <c r="E123" t="s">
        <v>418</v>
      </c>
      <c r="F123">
        <v>17000</v>
      </c>
      <c r="G123">
        <v>0</v>
      </c>
      <c r="T123" t="s">
        <v>418</v>
      </c>
      <c r="U123">
        <v>0</v>
      </c>
      <c r="V123">
        <v>0</v>
      </c>
      <c r="AI123" t="s">
        <v>41</v>
      </c>
      <c r="AJ123">
        <v>0</v>
      </c>
      <c r="AK123">
        <v>27000</v>
      </c>
    </row>
    <row r="124" spans="5:37" x14ac:dyDescent="0.25">
      <c r="E124" t="s">
        <v>418</v>
      </c>
      <c r="F124">
        <v>26000</v>
      </c>
      <c r="G124">
        <v>0</v>
      </c>
      <c r="T124" t="s">
        <v>418</v>
      </c>
      <c r="U124">
        <v>45000</v>
      </c>
      <c r="V124">
        <v>0</v>
      </c>
      <c r="AI124" t="s">
        <v>41</v>
      </c>
      <c r="AJ124">
        <v>0</v>
      </c>
      <c r="AK124">
        <v>29000</v>
      </c>
    </row>
    <row r="125" spans="5:37" x14ac:dyDescent="0.25">
      <c r="E125" t="s">
        <v>418</v>
      </c>
      <c r="F125">
        <v>17000</v>
      </c>
      <c r="G125">
        <v>0</v>
      </c>
      <c r="T125" t="s">
        <v>418</v>
      </c>
      <c r="U125">
        <v>0</v>
      </c>
      <c r="V125">
        <v>0</v>
      </c>
      <c r="AI125" t="s">
        <v>41</v>
      </c>
      <c r="AJ125">
        <v>0</v>
      </c>
      <c r="AK125">
        <v>0</v>
      </c>
    </row>
    <row r="126" spans="5:37" x14ac:dyDescent="0.25">
      <c r="E126" t="s">
        <v>418</v>
      </c>
      <c r="F126">
        <v>14000</v>
      </c>
      <c r="G126">
        <v>0</v>
      </c>
      <c r="T126" t="s">
        <v>418</v>
      </c>
      <c r="U126">
        <v>40000</v>
      </c>
      <c r="V126">
        <v>0</v>
      </c>
      <c r="AI126" t="s">
        <v>41</v>
      </c>
      <c r="AJ126">
        <v>0</v>
      </c>
      <c r="AK126">
        <v>0</v>
      </c>
    </row>
    <row r="127" spans="5:37" x14ac:dyDescent="0.25">
      <c r="E127" t="s">
        <v>418</v>
      </c>
      <c r="F127">
        <v>7000</v>
      </c>
      <c r="G127">
        <v>0</v>
      </c>
      <c r="T127" t="s">
        <v>418</v>
      </c>
      <c r="U127">
        <v>0</v>
      </c>
      <c r="V127">
        <v>0</v>
      </c>
      <c r="AI127" t="s">
        <v>41</v>
      </c>
      <c r="AJ127">
        <v>0</v>
      </c>
      <c r="AK127">
        <v>0</v>
      </c>
    </row>
    <row r="128" spans="5:37" x14ac:dyDescent="0.25">
      <c r="E128" t="s">
        <v>418</v>
      </c>
      <c r="F128">
        <v>0</v>
      </c>
      <c r="G128">
        <v>0</v>
      </c>
      <c r="T128" t="s">
        <v>418</v>
      </c>
      <c r="U128">
        <v>0</v>
      </c>
      <c r="V128">
        <v>0</v>
      </c>
      <c r="AI128" t="s">
        <v>41</v>
      </c>
      <c r="AJ128">
        <v>20000</v>
      </c>
      <c r="AK128">
        <v>0</v>
      </c>
    </row>
    <row r="129" spans="5:37" x14ac:dyDescent="0.25">
      <c r="E129" t="s">
        <v>418</v>
      </c>
      <c r="F129">
        <v>29000</v>
      </c>
      <c r="G129">
        <v>0</v>
      </c>
      <c r="T129" t="s">
        <v>418</v>
      </c>
      <c r="U129">
        <v>0</v>
      </c>
      <c r="V129">
        <v>0</v>
      </c>
      <c r="AI129" t="s">
        <v>41</v>
      </c>
      <c r="AJ129">
        <v>0</v>
      </c>
      <c r="AK129">
        <v>0</v>
      </c>
    </row>
    <row r="130" spans="5:37" x14ac:dyDescent="0.25">
      <c r="E130" t="s">
        <v>418</v>
      </c>
      <c r="F130">
        <v>3500</v>
      </c>
      <c r="G130">
        <v>0</v>
      </c>
      <c r="T130" t="s">
        <v>418</v>
      </c>
      <c r="U130">
        <v>0</v>
      </c>
      <c r="V130">
        <v>0</v>
      </c>
      <c r="AI130" t="s">
        <v>41</v>
      </c>
      <c r="AJ130">
        <v>0</v>
      </c>
      <c r="AK130">
        <v>0</v>
      </c>
    </row>
    <row r="131" spans="5:37" x14ac:dyDescent="0.25">
      <c r="E131" t="s">
        <v>418</v>
      </c>
      <c r="F131">
        <v>0</v>
      </c>
      <c r="G131">
        <v>0</v>
      </c>
      <c r="T131" t="s">
        <v>418</v>
      </c>
      <c r="U131">
        <v>0</v>
      </c>
      <c r="V131">
        <v>0</v>
      </c>
      <c r="AI131" t="s">
        <v>41</v>
      </c>
      <c r="AJ131">
        <v>0</v>
      </c>
      <c r="AK131">
        <v>0</v>
      </c>
    </row>
    <row r="132" spans="5:37" x14ac:dyDescent="0.25">
      <c r="E132" t="s">
        <v>418</v>
      </c>
      <c r="F132">
        <v>17000</v>
      </c>
      <c r="G132">
        <v>0</v>
      </c>
      <c r="T132" t="s">
        <v>418</v>
      </c>
      <c r="U132">
        <v>0</v>
      </c>
      <c r="V132">
        <v>0</v>
      </c>
      <c r="AI132" t="s">
        <v>41</v>
      </c>
      <c r="AJ132">
        <v>0</v>
      </c>
      <c r="AK132">
        <v>0</v>
      </c>
    </row>
    <row r="133" spans="5:37" x14ac:dyDescent="0.25">
      <c r="E133" t="s">
        <v>418</v>
      </c>
      <c r="F133">
        <v>6000</v>
      </c>
      <c r="G133">
        <v>0</v>
      </c>
      <c r="T133" t="s">
        <v>418</v>
      </c>
      <c r="U133">
        <v>0</v>
      </c>
      <c r="V133">
        <v>0</v>
      </c>
      <c r="AI133" t="s">
        <v>41</v>
      </c>
      <c r="AJ133">
        <v>18000</v>
      </c>
      <c r="AK133">
        <v>0</v>
      </c>
    </row>
    <row r="134" spans="5:37" x14ac:dyDescent="0.25">
      <c r="E134" t="s">
        <v>418</v>
      </c>
      <c r="F134">
        <v>14000</v>
      </c>
      <c r="G134">
        <v>0</v>
      </c>
      <c r="T134" t="s">
        <v>418</v>
      </c>
      <c r="U134">
        <v>0</v>
      </c>
      <c r="V134">
        <v>0</v>
      </c>
      <c r="AI134" t="s">
        <v>41</v>
      </c>
      <c r="AJ134">
        <v>0</v>
      </c>
      <c r="AK134">
        <v>0</v>
      </c>
    </row>
    <row r="135" spans="5:37" x14ac:dyDescent="0.25">
      <c r="E135" t="s">
        <v>418</v>
      </c>
      <c r="F135">
        <v>24000</v>
      </c>
      <c r="G135">
        <v>0</v>
      </c>
      <c r="T135" t="s">
        <v>418</v>
      </c>
      <c r="U135">
        <v>0</v>
      </c>
      <c r="V135">
        <v>0</v>
      </c>
      <c r="AI135" t="s">
        <v>41</v>
      </c>
      <c r="AJ135">
        <v>0</v>
      </c>
      <c r="AK135">
        <v>0</v>
      </c>
    </row>
    <row r="136" spans="5:37" x14ac:dyDescent="0.25">
      <c r="E136" t="s">
        <v>418</v>
      </c>
      <c r="F136">
        <v>14000</v>
      </c>
      <c r="G136">
        <v>0</v>
      </c>
      <c r="T136" t="s">
        <v>418</v>
      </c>
      <c r="U136">
        <v>40000</v>
      </c>
      <c r="V136">
        <v>0</v>
      </c>
      <c r="AI136" t="s">
        <v>41</v>
      </c>
      <c r="AJ136">
        <v>0</v>
      </c>
      <c r="AK136">
        <v>0</v>
      </c>
    </row>
    <row r="137" spans="5:37" x14ac:dyDescent="0.25">
      <c r="E137" t="s">
        <v>418</v>
      </c>
      <c r="F137">
        <v>3500</v>
      </c>
      <c r="G137">
        <v>0</v>
      </c>
      <c r="T137" t="s">
        <v>418</v>
      </c>
      <c r="U137">
        <v>40000</v>
      </c>
      <c r="V137">
        <v>0</v>
      </c>
      <c r="AI137" t="s">
        <v>41</v>
      </c>
      <c r="AJ137">
        <v>0</v>
      </c>
      <c r="AK137">
        <v>0</v>
      </c>
    </row>
    <row r="138" spans="5:37" x14ac:dyDescent="0.25">
      <c r="E138" t="s">
        <v>418</v>
      </c>
      <c r="F138">
        <v>22000</v>
      </c>
      <c r="G138">
        <v>0</v>
      </c>
      <c r="T138" t="s">
        <v>418</v>
      </c>
      <c r="U138">
        <v>15000</v>
      </c>
      <c r="V138">
        <v>0</v>
      </c>
      <c r="AI138" t="s">
        <v>41</v>
      </c>
      <c r="AJ138">
        <v>15000</v>
      </c>
      <c r="AK138">
        <v>0</v>
      </c>
    </row>
    <row r="139" spans="5:37" x14ac:dyDescent="0.25">
      <c r="E139" t="s">
        <v>418</v>
      </c>
      <c r="F139">
        <v>14000</v>
      </c>
      <c r="G139">
        <v>0</v>
      </c>
      <c r="T139" t="s">
        <v>418</v>
      </c>
      <c r="U139">
        <v>0</v>
      </c>
      <c r="V139">
        <v>0</v>
      </c>
      <c r="AI139" t="s">
        <v>41</v>
      </c>
      <c r="AJ139">
        <v>0</v>
      </c>
      <c r="AK139">
        <v>0</v>
      </c>
    </row>
    <row r="140" spans="5:37" x14ac:dyDescent="0.25">
      <c r="E140" t="s">
        <v>418</v>
      </c>
      <c r="F140">
        <v>14000</v>
      </c>
      <c r="G140">
        <v>0</v>
      </c>
      <c r="T140" t="s">
        <v>418</v>
      </c>
      <c r="U140">
        <v>0</v>
      </c>
      <c r="V140">
        <v>0</v>
      </c>
      <c r="AI140" t="s">
        <v>41</v>
      </c>
      <c r="AJ140">
        <v>0</v>
      </c>
      <c r="AK140">
        <v>0</v>
      </c>
    </row>
    <row r="141" spans="5:37" x14ac:dyDescent="0.25">
      <c r="E141" t="s">
        <v>418</v>
      </c>
      <c r="F141">
        <v>0</v>
      </c>
      <c r="G141">
        <v>0</v>
      </c>
      <c r="T141" t="s">
        <v>418</v>
      </c>
      <c r="U141">
        <v>45000</v>
      </c>
      <c r="V141">
        <v>0</v>
      </c>
      <c r="AI141" t="s">
        <v>41</v>
      </c>
      <c r="AJ141">
        <v>0</v>
      </c>
      <c r="AK141">
        <v>0</v>
      </c>
    </row>
    <row r="142" spans="5:37" x14ac:dyDescent="0.25">
      <c r="E142" t="s">
        <v>418</v>
      </c>
      <c r="F142">
        <v>0</v>
      </c>
      <c r="G142">
        <v>0</v>
      </c>
      <c r="T142" t="s">
        <v>418</v>
      </c>
      <c r="U142">
        <v>0</v>
      </c>
      <c r="V142">
        <v>0</v>
      </c>
      <c r="AI142" t="s">
        <v>41</v>
      </c>
      <c r="AJ142">
        <v>0</v>
      </c>
      <c r="AK142">
        <v>20000</v>
      </c>
    </row>
    <row r="143" spans="5:37" x14ac:dyDescent="0.25">
      <c r="E143" t="s">
        <v>418</v>
      </c>
      <c r="F143">
        <v>0</v>
      </c>
      <c r="G143">
        <v>0</v>
      </c>
      <c r="T143" t="s">
        <v>418</v>
      </c>
      <c r="U143">
        <v>0</v>
      </c>
      <c r="V143">
        <v>0</v>
      </c>
      <c r="AI143" t="s">
        <v>41</v>
      </c>
      <c r="AJ143">
        <v>0</v>
      </c>
      <c r="AK143">
        <v>21000</v>
      </c>
    </row>
    <row r="144" spans="5:37" x14ac:dyDescent="0.25">
      <c r="E144" t="s">
        <v>418</v>
      </c>
      <c r="F144">
        <v>24000</v>
      </c>
      <c r="G144">
        <v>0</v>
      </c>
      <c r="T144" t="s">
        <v>418</v>
      </c>
      <c r="U144">
        <v>0</v>
      </c>
      <c r="V144">
        <v>0</v>
      </c>
      <c r="AI144" t="s">
        <v>41</v>
      </c>
      <c r="AJ144">
        <v>0</v>
      </c>
      <c r="AK144">
        <v>41000</v>
      </c>
    </row>
    <row r="145" spans="5:37" x14ac:dyDescent="0.25">
      <c r="E145" t="s">
        <v>418</v>
      </c>
      <c r="F145">
        <v>17000</v>
      </c>
      <c r="G145">
        <v>0</v>
      </c>
      <c r="T145" t="s">
        <v>418</v>
      </c>
      <c r="U145">
        <v>0</v>
      </c>
      <c r="V145">
        <v>0</v>
      </c>
      <c r="AI145" t="s">
        <v>41</v>
      </c>
      <c r="AJ145">
        <v>0</v>
      </c>
      <c r="AK145">
        <v>0</v>
      </c>
    </row>
    <row r="146" spans="5:37" x14ac:dyDescent="0.25">
      <c r="E146" t="s">
        <v>418</v>
      </c>
      <c r="F146">
        <v>0</v>
      </c>
      <c r="G146">
        <v>0</v>
      </c>
      <c r="T146" t="s">
        <v>418</v>
      </c>
      <c r="U146">
        <v>0</v>
      </c>
      <c r="V146">
        <v>0</v>
      </c>
      <c r="AI146" t="s">
        <v>41</v>
      </c>
      <c r="AJ146">
        <v>0</v>
      </c>
      <c r="AK146">
        <v>0</v>
      </c>
    </row>
    <row r="147" spans="5:37" x14ac:dyDescent="0.25">
      <c r="E147" t="s">
        <v>418</v>
      </c>
      <c r="F147">
        <v>0</v>
      </c>
      <c r="G147">
        <v>0</v>
      </c>
      <c r="T147" t="s">
        <v>418</v>
      </c>
      <c r="U147">
        <v>30000</v>
      </c>
      <c r="V147">
        <v>0</v>
      </c>
      <c r="AI147" t="s">
        <v>41</v>
      </c>
      <c r="AJ147">
        <v>0</v>
      </c>
      <c r="AK147">
        <v>0</v>
      </c>
    </row>
    <row r="148" spans="5:37" x14ac:dyDescent="0.25">
      <c r="E148" t="s">
        <v>418</v>
      </c>
      <c r="F148">
        <v>6000</v>
      </c>
      <c r="G148">
        <v>0</v>
      </c>
      <c r="T148" t="s">
        <v>418</v>
      </c>
      <c r="U148">
        <v>0</v>
      </c>
      <c r="V148">
        <v>0</v>
      </c>
      <c r="AI148" t="s">
        <v>41</v>
      </c>
      <c r="AJ148">
        <v>0</v>
      </c>
      <c r="AK148">
        <v>33000</v>
      </c>
    </row>
    <row r="149" spans="5:37" x14ac:dyDescent="0.25">
      <c r="E149" t="s">
        <v>418</v>
      </c>
      <c r="F149">
        <v>14000</v>
      </c>
      <c r="G149">
        <v>0</v>
      </c>
      <c r="T149" t="s">
        <v>418</v>
      </c>
      <c r="U149">
        <v>30000</v>
      </c>
      <c r="V149">
        <v>0</v>
      </c>
      <c r="AI149" t="s">
        <v>41</v>
      </c>
      <c r="AJ149">
        <v>0</v>
      </c>
      <c r="AK149">
        <v>0</v>
      </c>
    </row>
    <row r="150" spans="5:37" x14ac:dyDescent="0.25">
      <c r="E150" t="s">
        <v>418</v>
      </c>
      <c r="F150">
        <v>0</v>
      </c>
      <c r="G150">
        <v>0</v>
      </c>
      <c r="T150" t="s">
        <v>418</v>
      </c>
      <c r="U150">
        <v>0</v>
      </c>
      <c r="V150">
        <v>0</v>
      </c>
      <c r="AI150" t="s">
        <v>41</v>
      </c>
      <c r="AJ150">
        <v>0</v>
      </c>
      <c r="AK150">
        <v>0</v>
      </c>
    </row>
    <row r="151" spans="5:37" x14ac:dyDescent="0.25">
      <c r="E151" t="s">
        <v>418</v>
      </c>
      <c r="F151">
        <v>17000</v>
      </c>
      <c r="G151">
        <v>0</v>
      </c>
      <c r="T151" t="s">
        <v>418</v>
      </c>
      <c r="U151">
        <v>0</v>
      </c>
      <c r="V151">
        <v>0</v>
      </c>
      <c r="AI151" t="s">
        <v>41</v>
      </c>
      <c r="AJ151">
        <v>0</v>
      </c>
      <c r="AK151">
        <v>0</v>
      </c>
    </row>
    <row r="152" spans="5:37" x14ac:dyDescent="0.25">
      <c r="E152" t="s">
        <v>418</v>
      </c>
      <c r="F152">
        <v>5500</v>
      </c>
      <c r="G152">
        <v>0</v>
      </c>
      <c r="T152" t="s">
        <v>418</v>
      </c>
      <c r="U152">
        <v>25000</v>
      </c>
      <c r="V152">
        <v>0</v>
      </c>
      <c r="AI152" t="s">
        <v>41</v>
      </c>
      <c r="AJ152">
        <v>0</v>
      </c>
      <c r="AK152">
        <v>0</v>
      </c>
    </row>
    <row r="153" spans="5:37" x14ac:dyDescent="0.25">
      <c r="E153" t="s">
        <v>418</v>
      </c>
      <c r="F153">
        <v>26000</v>
      </c>
      <c r="G153">
        <v>0</v>
      </c>
      <c r="T153" t="s">
        <v>418</v>
      </c>
      <c r="U153">
        <v>40000</v>
      </c>
      <c r="V153">
        <v>0</v>
      </c>
      <c r="AI153" t="s">
        <v>41</v>
      </c>
      <c r="AJ153">
        <v>0</v>
      </c>
      <c r="AK153">
        <v>0</v>
      </c>
    </row>
    <row r="154" spans="5:37" x14ac:dyDescent="0.25">
      <c r="E154" t="s">
        <v>418</v>
      </c>
      <c r="F154">
        <v>0</v>
      </c>
      <c r="G154">
        <v>0</v>
      </c>
      <c r="T154" t="s">
        <v>418</v>
      </c>
      <c r="U154">
        <v>40000</v>
      </c>
      <c r="V154">
        <v>0</v>
      </c>
      <c r="AI154" t="s">
        <v>41</v>
      </c>
      <c r="AJ154">
        <v>0</v>
      </c>
      <c r="AK154">
        <v>0</v>
      </c>
    </row>
    <row r="155" spans="5:37" x14ac:dyDescent="0.25">
      <c r="E155" t="s">
        <v>418</v>
      </c>
      <c r="F155">
        <v>0</v>
      </c>
      <c r="G155">
        <v>0</v>
      </c>
      <c r="T155" t="s">
        <v>418</v>
      </c>
      <c r="U155">
        <v>0</v>
      </c>
      <c r="V155">
        <v>0</v>
      </c>
      <c r="AI155" t="s">
        <v>41</v>
      </c>
      <c r="AJ155">
        <v>0</v>
      </c>
      <c r="AK155">
        <v>0</v>
      </c>
    </row>
    <row r="156" spans="5:37" x14ac:dyDescent="0.25">
      <c r="E156" t="s">
        <v>418</v>
      </c>
      <c r="F156">
        <v>22000</v>
      </c>
      <c r="G156">
        <v>0</v>
      </c>
      <c r="T156" t="s">
        <v>418</v>
      </c>
      <c r="U156">
        <v>0</v>
      </c>
      <c r="V156">
        <v>0</v>
      </c>
      <c r="AI156" t="s">
        <v>41</v>
      </c>
      <c r="AJ156">
        <v>0</v>
      </c>
      <c r="AK156">
        <v>0</v>
      </c>
    </row>
    <row r="157" spans="5:37" x14ac:dyDescent="0.25">
      <c r="E157" t="s">
        <v>418</v>
      </c>
      <c r="F157">
        <v>0</v>
      </c>
      <c r="G157">
        <v>0</v>
      </c>
      <c r="T157" t="s">
        <v>418</v>
      </c>
      <c r="U157">
        <v>0</v>
      </c>
      <c r="V157">
        <v>0</v>
      </c>
      <c r="AI157" t="s">
        <v>41</v>
      </c>
      <c r="AJ157">
        <v>0</v>
      </c>
      <c r="AK157">
        <v>0</v>
      </c>
    </row>
    <row r="158" spans="5:37" x14ac:dyDescent="0.25">
      <c r="E158" t="s">
        <v>418</v>
      </c>
      <c r="F158">
        <v>5500</v>
      </c>
      <c r="G158">
        <v>0</v>
      </c>
      <c r="T158" t="s">
        <v>418</v>
      </c>
      <c r="U158">
        <v>40000</v>
      </c>
      <c r="V158">
        <v>0</v>
      </c>
      <c r="AI158" t="s">
        <v>41</v>
      </c>
      <c r="AJ158">
        <v>0</v>
      </c>
      <c r="AK158">
        <v>0</v>
      </c>
    </row>
    <row r="159" spans="5:37" x14ac:dyDescent="0.25">
      <c r="E159" t="s">
        <v>418</v>
      </c>
      <c r="F159">
        <v>0</v>
      </c>
      <c r="G159">
        <v>0</v>
      </c>
      <c r="T159" t="s">
        <v>418</v>
      </c>
      <c r="U159">
        <v>40000</v>
      </c>
      <c r="V159">
        <v>0</v>
      </c>
      <c r="AI159" t="s">
        <v>7309</v>
      </c>
      <c r="AJ159">
        <v>0</v>
      </c>
      <c r="AK159">
        <v>0</v>
      </c>
    </row>
    <row r="160" spans="5:37" x14ac:dyDescent="0.25">
      <c r="E160" t="s">
        <v>418</v>
      </c>
      <c r="F160">
        <v>24000</v>
      </c>
      <c r="G160">
        <v>0</v>
      </c>
      <c r="T160" t="s">
        <v>418</v>
      </c>
      <c r="U160">
        <v>0</v>
      </c>
      <c r="V160">
        <v>0</v>
      </c>
      <c r="AI160" t="s">
        <v>7309</v>
      </c>
      <c r="AJ160">
        <v>0</v>
      </c>
      <c r="AK160">
        <v>0</v>
      </c>
    </row>
    <row r="161" spans="5:37" x14ac:dyDescent="0.25">
      <c r="E161" t="s">
        <v>418</v>
      </c>
      <c r="F161">
        <v>15500</v>
      </c>
      <c r="G161">
        <v>0</v>
      </c>
      <c r="T161" t="s">
        <v>418</v>
      </c>
      <c r="U161">
        <v>0</v>
      </c>
      <c r="V161">
        <v>0</v>
      </c>
      <c r="AI161" t="s">
        <v>7309</v>
      </c>
      <c r="AJ161">
        <v>0</v>
      </c>
      <c r="AK161">
        <v>0</v>
      </c>
    </row>
    <row r="162" spans="5:37" x14ac:dyDescent="0.25">
      <c r="E162" t="s">
        <v>418</v>
      </c>
      <c r="F162">
        <v>15500</v>
      </c>
      <c r="G162">
        <v>0</v>
      </c>
      <c r="T162" t="s">
        <v>418</v>
      </c>
      <c r="U162">
        <v>0</v>
      </c>
      <c r="V162">
        <v>0</v>
      </c>
      <c r="AI162" t="s">
        <v>7309</v>
      </c>
      <c r="AJ162">
        <v>0</v>
      </c>
      <c r="AK162">
        <v>40000</v>
      </c>
    </row>
    <row r="163" spans="5:37" x14ac:dyDescent="0.25">
      <c r="E163" t="s">
        <v>418</v>
      </c>
      <c r="F163">
        <v>0</v>
      </c>
      <c r="G163">
        <v>0</v>
      </c>
      <c r="T163" t="s">
        <v>418</v>
      </c>
      <c r="U163">
        <v>0</v>
      </c>
      <c r="V163">
        <v>0</v>
      </c>
      <c r="AI163" t="s">
        <v>7309</v>
      </c>
      <c r="AJ163">
        <v>0</v>
      </c>
      <c r="AK163">
        <v>0</v>
      </c>
    </row>
    <row r="164" spans="5:37" x14ac:dyDescent="0.25">
      <c r="E164" t="s">
        <v>418</v>
      </c>
      <c r="F164">
        <v>14000</v>
      </c>
      <c r="G164">
        <v>0</v>
      </c>
      <c r="T164" t="s">
        <v>418</v>
      </c>
      <c r="U164">
        <v>0</v>
      </c>
      <c r="V164">
        <v>0</v>
      </c>
      <c r="AI164" t="s">
        <v>7309</v>
      </c>
      <c r="AJ164">
        <v>0</v>
      </c>
      <c r="AK164">
        <v>0</v>
      </c>
    </row>
    <row r="165" spans="5:37" x14ac:dyDescent="0.25">
      <c r="E165" t="s">
        <v>418</v>
      </c>
      <c r="F165">
        <v>29000</v>
      </c>
      <c r="G165">
        <v>0</v>
      </c>
      <c r="T165" t="s">
        <v>418</v>
      </c>
      <c r="U165">
        <v>0</v>
      </c>
      <c r="V165">
        <v>0</v>
      </c>
      <c r="AI165" t="s">
        <v>7305</v>
      </c>
      <c r="AJ165">
        <v>0</v>
      </c>
      <c r="AK165">
        <v>0</v>
      </c>
    </row>
    <row r="166" spans="5:37" x14ac:dyDescent="0.25">
      <c r="E166" t="s">
        <v>418</v>
      </c>
      <c r="F166">
        <v>0</v>
      </c>
      <c r="G166">
        <v>0</v>
      </c>
      <c r="T166" t="s">
        <v>418</v>
      </c>
      <c r="U166">
        <v>35000</v>
      </c>
      <c r="V166">
        <v>0</v>
      </c>
      <c r="AI166" t="s">
        <v>7305</v>
      </c>
      <c r="AJ166">
        <v>0</v>
      </c>
      <c r="AK166">
        <v>0</v>
      </c>
    </row>
    <row r="167" spans="5:37" x14ac:dyDescent="0.25">
      <c r="E167" t="s">
        <v>418</v>
      </c>
      <c r="F167">
        <v>0</v>
      </c>
      <c r="G167">
        <v>0</v>
      </c>
      <c r="T167" t="s">
        <v>418</v>
      </c>
      <c r="U167">
        <v>0</v>
      </c>
      <c r="V167">
        <v>0</v>
      </c>
      <c r="AI167" t="s">
        <v>7305</v>
      </c>
      <c r="AJ167">
        <v>0</v>
      </c>
      <c r="AK167">
        <v>0</v>
      </c>
    </row>
    <row r="168" spans="5:37" x14ac:dyDescent="0.25">
      <c r="E168" t="s">
        <v>418</v>
      </c>
      <c r="F168">
        <v>0</v>
      </c>
      <c r="G168">
        <v>0</v>
      </c>
      <c r="T168" t="s">
        <v>418</v>
      </c>
      <c r="U168">
        <v>0</v>
      </c>
      <c r="V168">
        <v>0</v>
      </c>
      <c r="AI168" t="s">
        <v>7305</v>
      </c>
      <c r="AJ168">
        <v>0</v>
      </c>
      <c r="AK168">
        <v>0</v>
      </c>
    </row>
    <row r="169" spans="5:37" x14ac:dyDescent="0.25">
      <c r="E169" t="s">
        <v>418</v>
      </c>
      <c r="F169">
        <v>17000</v>
      </c>
      <c r="G169">
        <v>0</v>
      </c>
      <c r="T169" t="s">
        <v>418</v>
      </c>
      <c r="U169">
        <v>0</v>
      </c>
      <c r="V169">
        <v>0</v>
      </c>
      <c r="AI169" t="s">
        <v>7305</v>
      </c>
      <c r="AJ169">
        <v>0</v>
      </c>
      <c r="AK169">
        <v>0</v>
      </c>
    </row>
    <row r="170" spans="5:37" x14ac:dyDescent="0.25">
      <c r="E170" t="s">
        <v>418</v>
      </c>
      <c r="F170">
        <v>6000</v>
      </c>
      <c r="G170">
        <v>0</v>
      </c>
      <c r="T170" t="s">
        <v>418</v>
      </c>
      <c r="U170">
        <v>0</v>
      </c>
      <c r="V170">
        <v>0</v>
      </c>
      <c r="AI170" t="s">
        <v>7305</v>
      </c>
      <c r="AJ170">
        <v>0</v>
      </c>
      <c r="AK170">
        <v>0</v>
      </c>
    </row>
    <row r="171" spans="5:37" x14ac:dyDescent="0.25">
      <c r="E171" t="s">
        <v>418</v>
      </c>
      <c r="F171">
        <v>6500</v>
      </c>
      <c r="G171">
        <v>0</v>
      </c>
      <c r="T171" t="s">
        <v>418</v>
      </c>
      <c r="U171">
        <v>0</v>
      </c>
      <c r="V171">
        <v>0</v>
      </c>
      <c r="AI171" t="s">
        <v>7305</v>
      </c>
      <c r="AJ171">
        <v>0</v>
      </c>
      <c r="AK171">
        <v>0</v>
      </c>
    </row>
    <row r="172" spans="5:37" x14ac:dyDescent="0.25">
      <c r="E172" t="s">
        <v>418</v>
      </c>
      <c r="F172">
        <v>24000</v>
      </c>
      <c r="G172">
        <v>0</v>
      </c>
      <c r="T172" t="s">
        <v>418</v>
      </c>
      <c r="U172">
        <v>0</v>
      </c>
      <c r="V172">
        <v>0</v>
      </c>
      <c r="AI172" t="s">
        <v>7305</v>
      </c>
      <c r="AJ172">
        <v>0</v>
      </c>
      <c r="AK172">
        <v>0</v>
      </c>
    </row>
    <row r="173" spans="5:37" x14ac:dyDescent="0.25">
      <c r="E173" t="s">
        <v>418</v>
      </c>
      <c r="F173">
        <v>6000</v>
      </c>
      <c r="G173">
        <v>0</v>
      </c>
      <c r="T173" t="s">
        <v>418</v>
      </c>
      <c r="U173">
        <v>0</v>
      </c>
      <c r="V173">
        <v>0</v>
      </c>
      <c r="AI173" t="s">
        <v>7305</v>
      </c>
      <c r="AJ173">
        <v>0</v>
      </c>
      <c r="AK173">
        <v>0</v>
      </c>
    </row>
    <row r="174" spans="5:37" x14ac:dyDescent="0.25">
      <c r="E174" t="s">
        <v>418</v>
      </c>
      <c r="F174">
        <v>0</v>
      </c>
      <c r="G174">
        <v>0</v>
      </c>
      <c r="T174" t="s">
        <v>418</v>
      </c>
      <c r="U174">
        <v>0</v>
      </c>
      <c r="V174">
        <v>0</v>
      </c>
      <c r="AI174" t="s">
        <v>7305</v>
      </c>
      <c r="AJ174">
        <v>0</v>
      </c>
      <c r="AK174">
        <v>0</v>
      </c>
    </row>
    <row r="175" spans="5:37" x14ac:dyDescent="0.25">
      <c r="E175" t="s">
        <v>418</v>
      </c>
      <c r="F175">
        <v>0</v>
      </c>
      <c r="G175">
        <v>0</v>
      </c>
      <c r="T175" t="s">
        <v>418</v>
      </c>
      <c r="U175">
        <v>0</v>
      </c>
      <c r="V175">
        <v>0</v>
      </c>
      <c r="AI175" t="s">
        <v>7305</v>
      </c>
      <c r="AJ175">
        <v>0</v>
      </c>
      <c r="AK175">
        <v>0</v>
      </c>
    </row>
    <row r="176" spans="5:37" x14ac:dyDescent="0.25">
      <c r="E176" t="s">
        <v>418</v>
      </c>
      <c r="F176">
        <v>0</v>
      </c>
      <c r="G176">
        <v>0</v>
      </c>
      <c r="T176" t="s">
        <v>418</v>
      </c>
      <c r="U176">
        <v>38000</v>
      </c>
      <c r="V176">
        <v>0</v>
      </c>
      <c r="AI176" t="s">
        <v>7305</v>
      </c>
      <c r="AJ176">
        <v>0</v>
      </c>
      <c r="AK176">
        <v>0</v>
      </c>
    </row>
    <row r="177" spans="5:37" x14ac:dyDescent="0.25">
      <c r="E177" t="s">
        <v>418</v>
      </c>
      <c r="F177">
        <v>29000</v>
      </c>
      <c r="G177">
        <v>0</v>
      </c>
      <c r="T177" t="s">
        <v>418</v>
      </c>
      <c r="U177">
        <v>0</v>
      </c>
      <c r="V177">
        <v>0</v>
      </c>
      <c r="AI177" t="s">
        <v>7305</v>
      </c>
      <c r="AJ177">
        <v>0</v>
      </c>
      <c r="AK177">
        <v>0</v>
      </c>
    </row>
    <row r="178" spans="5:37" x14ac:dyDescent="0.25">
      <c r="E178" t="s">
        <v>418</v>
      </c>
      <c r="F178">
        <v>14000</v>
      </c>
      <c r="G178">
        <v>0</v>
      </c>
      <c r="T178" t="s">
        <v>418</v>
      </c>
      <c r="U178">
        <v>35000</v>
      </c>
      <c r="V178">
        <v>0</v>
      </c>
      <c r="AI178" t="s">
        <v>7305</v>
      </c>
      <c r="AJ178">
        <v>0</v>
      </c>
      <c r="AK178">
        <v>0</v>
      </c>
    </row>
    <row r="179" spans="5:37" x14ac:dyDescent="0.25">
      <c r="E179" t="s">
        <v>418</v>
      </c>
      <c r="F179">
        <v>5500</v>
      </c>
      <c r="G179">
        <v>0</v>
      </c>
      <c r="T179" t="s">
        <v>418</v>
      </c>
      <c r="U179">
        <v>0</v>
      </c>
      <c r="V179">
        <v>0</v>
      </c>
      <c r="AI179" t="s">
        <v>7305</v>
      </c>
      <c r="AJ179">
        <v>0</v>
      </c>
      <c r="AK179">
        <v>0</v>
      </c>
    </row>
    <row r="180" spans="5:37" x14ac:dyDescent="0.25">
      <c r="E180" t="s">
        <v>418</v>
      </c>
      <c r="F180">
        <v>24000</v>
      </c>
      <c r="G180">
        <v>0</v>
      </c>
      <c r="T180" t="s">
        <v>418</v>
      </c>
      <c r="U180">
        <v>0</v>
      </c>
      <c r="V180">
        <v>0</v>
      </c>
      <c r="AI180" t="s">
        <v>7305</v>
      </c>
      <c r="AJ180">
        <v>0</v>
      </c>
      <c r="AK180">
        <v>0</v>
      </c>
    </row>
    <row r="181" spans="5:37" x14ac:dyDescent="0.25">
      <c r="E181" t="s">
        <v>418</v>
      </c>
      <c r="F181">
        <v>0</v>
      </c>
      <c r="G181">
        <v>0</v>
      </c>
      <c r="T181" t="s">
        <v>418</v>
      </c>
      <c r="U181">
        <v>30000</v>
      </c>
      <c r="V181">
        <v>0</v>
      </c>
      <c r="AI181" t="s">
        <v>7305</v>
      </c>
      <c r="AJ181">
        <v>0</v>
      </c>
      <c r="AK181">
        <v>0</v>
      </c>
    </row>
    <row r="182" spans="5:37" x14ac:dyDescent="0.25">
      <c r="E182" t="s">
        <v>418</v>
      </c>
      <c r="F182">
        <v>0</v>
      </c>
      <c r="G182">
        <v>0</v>
      </c>
      <c r="T182" t="s">
        <v>418</v>
      </c>
      <c r="U182">
        <v>40000</v>
      </c>
      <c r="V182">
        <v>0</v>
      </c>
      <c r="AI182" t="s">
        <v>7305</v>
      </c>
      <c r="AJ182">
        <v>0</v>
      </c>
      <c r="AK182">
        <v>0</v>
      </c>
    </row>
    <row r="183" spans="5:37" x14ac:dyDescent="0.25">
      <c r="E183" t="s">
        <v>418</v>
      </c>
      <c r="F183">
        <v>0</v>
      </c>
      <c r="G183">
        <v>0</v>
      </c>
      <c r="T183" t="s">
        <v>418</v>
      </c>
      <c r="U183">
        <v>0</v>
      </c>
      <c r="V183">
        <v>0</v>
      </c>
      <c r="AI183" t="s">
        <v>7305</v>
      </c>
      <c r="AJ183">
        <v>0</v>
      </c>
      <c r="AK183">
        <v>0</v>
      </c>
    </row>
    <row r="184" spans="5:37" x14ac:dyDescent="0.25">
      <c r="E184" t="s">
        <v>418</v>
      </c>
      <c r="F184">
        <v>24000</v>
      </c>
      <c r="G184">
        <v>0</v>
      </c>
      <c r="T184" t="s">
        <v>418</v>
      </c>
      <c r="U184">
        <v>0</v>
      </c>
      <c r="V184">
        <v>0</v>
      </c>
      <c r="AI184" t="s">
        <v>7305</v>
      </c>
      <c r="AJ184">
        <v>0</v>
      </c>
      <c r="AK184">
        <v>0</v>
      </c>
    </row>
    <row r="185" spans="5:37" x14ac:dyDescent="0.25">
      <c r="E185" t="s">
        <v>418</v>
      </c>
      <c r="F185">
        <v>6000</v>
      </c>
      <c r="G185">
        <v>0</v>
      </c>
      <c r="T185" t="s">
        <v>418</v>
      </c>
      <c r="U185">
        <v>0</v>
      </c>
      <c r="V185">
        <v>0</v>
      </c>
      <c r="AI185" t="s">
        <v>7305</v>
      </c>
      <c r="AJ185">
        <v>0</v>
      </c>
      <c r="AK185">
        <v>0</v>
      </c>
    </row>
    <row r="186" spans="5:37" x14ac:dyDescent="0.25">
      <c r="E186" t="s">
        <v>418</v>
      </c>
      <c r="F186">
        <v>0</v>
      </c>
      <c r="G186">
        <v>0</v>
      </c>
      <c r="T186" t="s">
        <v>418</v>
      </c>
      <c r="U186">
        <v>0</v>
      </c>
      <c r="V186">
        <v>0</v>
      </c>
      <c r="AI186" t="s">
        <v>7305</v>
      </c>
      <c r="AJ186">
        <v>0</v>
      </c>
      <c r="AK186">
        <v>0</v>
      </c>
    </row>
    <row r="187" spans="5:37" x14ac:dyDescent="0.25">
      <c r="E187" t="s">
        <v>418</v>
      </c>
      <c r="F187">
        <v>26000</v>
      </c>
      <c r="G187">
        <v>0</v>
      </c>
      <c r="T187" t="s">
        <v>418</v>
      </c>
      <c r="U187">
        <v>0</v>
      </c>
      <c r="V187">
        <v>0</v>
      </c>
      <c r="AI187" t="s">
        <v>7305</v>
      </c>
      <c r="AJ187">
        <v>0</v>
      </c>
      <c r="AK187">
        <v>0</v>
      </c>
    </row>
    <row r="188" spans="5:37" x14ac:dyDescent="0.25">
      <c r="E188" t="s">
        <v>418</v>
      </c>
      <c r="F188">
        <v>26000</v>
      </c>
      <c r="G188">
        <v>0</v>
      </c>
      <c r="T188" t="s">
        <v>418</v>
      </c>
      <c r="U188">
        <v>42000</v>
      </c>
      <c r="V188">
        <v>0</v>
      </c>
      <c r="AI188" t="s">
        <v>7305</v>
      </c>
      <c r="AJ188">
        <v>0</v>
      </c>
      <c r="AK188">
        <v>0</v>
      </c>
    </row>
    <row r="189" spans="5:37" x14ac:dyDescent="0.25">
      <c r="E189" t="s">
        <v>418</v>
      </c>
      <c r="F189">
        <v>3500</v>
      </c>
      <c r="G189">
        <v>0</v>
      </c>
      <c r="T189" t="s">
        <v>418</v>
      </c>
      <c r="U189">
        <v>0</v>
      </c>
      <c r="V189">
        <v>0</v>
      </c>
      <c r="AI189" t="s">
        <v>7305</v>
      </c>
      <c r="AJ189">
        <v>0</v>
      </c>
      <c r="AK189">
        <v>0</v>
      </c>
    </row>
    <row r="190" spans="5:37" x14ac:dyDescent="0.25">
      <c r="E190" t="s">
        <v>418</v>
      </c>
      <c r="F190">
        <v>24000</v>
      </c>
      <c r="G190">
        <v>0</v>
      </c>
      <c r="T190" t="s">
        <v>418</v>
      </c>
      <c r="U190">
        <v>0</v>
      </c>
      <c r="V190">
        <v>0</v>
      </c>
      <c r="AI190" t="s">
        <v>7305</v>
      </c>
      <c r="AJ190">
        <v>0</v>
      </c>
      <c r="AK190">
        <v>0</v>
      </c>
    </row>
    <row r="191" spans="5:37" x14ac:dyDescent="0.25">
      <c r="E191" t="s">
        <v>418</v>
      </c>
      <c r="F191">
        <v>0</v>
      </c>
      <c r="G191">
        <v>0</v>
      </c>
      <c r="T191" t="s">
        <v>418</v>
      </c>
      <c r="U191">
        <v>0</v>
      </c>
      <c r="V191">
        <v>0</v>
      </c>
      <c r="AI191" t="s">
        <v>7305</v>
      </c>
      <c r="AJ191">
        <v>0</v>
      </c>
      <c r="AK191">
        <v>0</v>
      </c>
    </row>
    <row r="192" spans="5:37" x14ac:dyDescent="0.25">
      <c r="E192" t="s">
        <v>418</v>
      </c>
      <c r="F192">
        <v>0</v>
      </c>
      <c r="G192">
        <v>0</v>
      </c>
      <c r="T192" t="s">
        <v>418</v>
      </c>
      <c r="U192">
        <v>30000</v>
      </c>
      <c r="V192">
        <v>0</v>
      </c>
      <c r="AI192" t="s">
        <v>7305</v>
      </c>
      <c r="AJ192">
        <v>0</v>
      </c>
      <c r="AK192">
        <v>0</v>
      </c>
    </row>
    <row r="193" spans="5:37" x14ac:dyDescent="0.25">
      <c r="E193" t="s">
        <v>418</v>
      </c>
      <c r="F193">
        <v>0</v>
      </c>
      <c r="G193">
        <v>0</v>
      </c>
      <c r="T193" t="s">
        <v>418</v>
      </c>
      <c r="U193">
        <v>0</v>
      </c>
      <c r="V193">
        <v>0</v>
      </c>
      <c r="AI193" t="s">
        <v>7305</v>
      </c>
      <c r="AJ193">
        <v>0</v>
      </c>
      <c r="AK193">
        <v>0</v>
      </c>
    </row>
    <row r="194" spans="5:37" x14ac:dyDescent="0.25">
      <c r="E194" t="s">
        <v>418</v>
      </c>
      <c r="F194">
        <v>26000</v>
      </c>
      <c r="G194">
        <v>0</v>
      </c>
      <c r="T194" t="s">
        <v>418</v>
      </c>
      <c r="U194">
        <v>14000</v>
      </c>
      <c r="V194">
        <v>0</v>
      </c>
      <c r="AI194" t="s">
        <v>7305</v>
      </c>
      <c r="AJ194">
        <v>0</v>
      </c>
      <c r="AK194">
        <v>0</v>
      </c>
    </row>
    <row r="195" spans="5:37" x14ac:dyDescent="0.25">
      <c r="E195" t="s">
        <v>418</v>
      </c>
      <c r="F195">
        <v>29000</v>
      </c>
      <c r="G195">
        <v>0</v>
      </c>
      <c r="T195" t="s">
        <v>418</v>
      </c>
      <c r="U195">
        <v>0</v>
      </c>
      <c r="V195">
        <v>0</v>
      </c>
      <c r="AI195" t="s">
        <v>7305</v>
      </c>
      <c r="AJ195">
        <v>0</v>
      </c>
      <c r="AK195">
        <v>0</v>
      </c>
    </row>
    <row r="196" spans="5:37" x14ac:dyDescent="0.25">
      <c r="E196" t="s">
        <v>418</v>
      </c>
      <c r="F196">
        <v>0</v>
      </c>
      <c r="G196">
        <v>0</v>
      </c>
      <c r="T196" t="s">
        <v>418</v>
      </c>
      <c r="U196">
        <v>0</v>
      </c>
      <c r="V196">
        <v>0</v>
      </c>
      <c r="AI196" t="s">
        <v>7305</v>
      </c>
      <c r="AJ196">
        <v>0</v>
      </c>
      <c r="AK196">
        <v>0</v>
      </c>
    </row>
    <row r="197" spans="5:37" x14ac:dyDescent="0.25">
      <c r="E197" t="s">
        <v>434</v>
      </c>
      <c r="F197">
        <v>0</v>
      </c>
      <c r="G197">
        <v>0</v>
      </c>
      <c r="T197" t="s">
        <v>418</v>
      </c>
      <c r="U197">
        <v>30000</v>
      </c>
      <c r="V197">
        <v>0</v>
      </c>
      <c r="AI197" t="s">
        <v>7305</v>
      </c>
      <c r="AJ197">
        <v>0</v>
      </c>
      <c r="AK197">
        <v>0</v>
      </c>
    </row>
    <row r="198" spans="5:37" x14ac:dyDescent="0.25">
      <c r="E198" t="s">
        <v>434</v>
      </c>
      <c r="F198">
        <v>10000</v>
      </c>
      <c r="G198">
        <v>0</v>
      </c>
      <c r="T198" t="s">
        <v>418</v>
      </c>
      <c r="U198">
        <v>20000</v>
      </c>
      <c r="V198">
        <v>0</v>
      </c>
      <c r="AI198" t="s">
        <v>7305</v>
      </c>
      <c r="AJ198">
        <v>0</v>
      </c>
      <c r="AK198">
        <v>0</v>
      </c>
    </row>
    <row r="199" spans="5:37" x14ac:dyDescent="0.25">
      <c r="E199" t="s">
        <v>4</v>
      </c>
      <c r="F199">
        <v>0</v>
      </c>
      <c r="G199">
        <v>0</v>
      </c>
      <c r="T199" t="s">
        <v>418</v>
      </c>
      <c r="U199">
        <v>40000</v>
      </c>
      <c r="V199">
        <v>0</v>
      </c>
      <c r="AI199" t="s">
        <v>7305</v>
      </c>
      <c r="AJ199">
        <v>0</v>
      </c>
      <c r="AK199">
        <v>0</v>
      </c>
    </row>
    <row r="200" spans="5:37" x14ac:dyDescent="0.25">
      <c r="E200" t="s">
        <v>40</v>
      </c>
      <c r="F200">
        <v>6650</v>
      </c>
      <c r="G200">
        <v>0</v>
      </c>
      <c r="T200" t="s">
        <v>418</v>
      </c>
      <c r="U200">
        <v>0</v>
      </c>
      <c r="V200">
        <v>0</v>
      </c>
      <c r="AI200" t="s">
        <v>7305</v>
      </c>
      <c r="AJ200">
        <v>0</v>
      </c>
      <c r="AK200">
        <v>0</v>
      </c>
    </row>
    <row r="201" spans="5:37" x14ac:dyDescent="0.25">
      <c r="E201" t="s">
        <v>40</v>
      </c>
      <c r="F201">
        <v>6500</v>
      </c>
      <c r="G201">
        <v>0</v>
      </c>
      <c r="T201" t="s">
        <v>418</v>
      </c>
      <c r="U201">
        <v>24000</v>
      </c>
      <c r="V201">
        <v>0</v>
      </c>
      <c r="AI201" t="s">
        <v>7305</v>
      </c>
      <c r="AJ201">
        <v>0</v>
      </c>
      <c r="AK201">
        <v>0</v>
      </c>
    </row>
    <row r="202" spans="5:37" x14ac:dyDescent="0.25">
      <c r="E202" t="s">
        <v>40</v>
      </c>
      <c r="F202">
        <v>0</v>
      </c>
      <c r="G202">
        <v>0</v>
      </c>
      <c r="T202" t="s">
        <v>418</v>
      </c>
      <c r="U202">
        <v>0</v>
      </c>
      <c r="V202">
        <v>0</v>
      </c>
      <c r="AI202" t="s">
        <v>7305</v>
      </c>
      <c r="AJ202">
        <v>0</v>
      </c>
      <c r="AK202">
        <v>0</v>
      </c>
    </row>
    <row r="203" spans="5:37" x14ac:dyDescent="0.25">
      <c r="E203" t="s">
        <v>40</v>
      </c>
      <c r="F203">
        <v>0</v>
      </c>
      <c r="G203">
        <v>0</v>
      </c>
      <c r="T203" t="s">
        <v>418</v>
      </c>
      <c r="U203">
        <v>0</v>
      </c>
      <c r="V203">
        <v>0</v>
      </c>
      <c r="AI203" t="s">
        <v>7305</v>
      </c>
      <c r="AJ203">
        <v>0</v>
      </c>
      <c r="AK203">
        <v>0</v>
      </c>
    </row>
    <row r="204" spans="5:37" x14ac:dyDescent="0.25">
      <c r="E204" t="s">
        <v>40</v>
      </c>
      <c r="F204">
        <v>0</v>
      </c>
      <c r="G204">
        <v>0</v>
      </c>
      <c r="T204" t="s">
        <v>418</v>
      </c>
      <c r="U204">
        <v>40000</v>
      </c>
      <c r="V204">
        <v>0</v>
      </c>
      <c r="AI204" t="s">
        <v>7305</v>
      </c>
      <c r="AJ204">
        <v>0</v>
      </c>
      <c r="AK204">
        <v>0</v>
      </c>
    </row>
    <row r="205" spans="5:37" x14ac:dyDescent="0.25">
      <c r="E205" t="s">
        <v>40</v>
      </c>
      <c r="F205">
        <v>35000</v>
      </c>
      <c r="G205">
        <v>0</v>
      </c>
      <c r="T205" t="s">
        <v>418</v>
      </c>
      <c r="U205">
        <v>0</v>
      </c>
      <c r="V205">
        <v>0</v>
      </c>
      <c r="AI205" t="s">
        <v>634</v>
      </c>
      <c r="AJ205">
        <v>0</v>
      </c>
      <c r="AK205">
        <v>0</v>
      </c>
    </row>
    <row r="206" spans="5:37" x14ac:dyDescent="0.25">
      <c r="E206" t="s">
        <v>40</v>
      </c>
      <c r="F206">
        <v>15000</v>
      </c>
      <c r="G206">
        <v>0</v>
      </c>
      <c r="T206" t="s">
        <v>418</v>
      </c>
      <c r="U206">
        <v>0</v>
      </c>
      <c r="V206">
        <v>0</v>
      </c>
      <c r="AI206" t="s">
        <v>634</v>
      </c>
      <c r="AJ206">
        <v>0</v>
      </c>
      <c r="AK206">
        <v>0</v>
      </c>
    </row>
    <row r="207" spans="5:37" x14ac:dyDescent="0.25">
      <c r="E207" t="s">
        <v>40</v>
      </c>
      <c r="F207">
        <v>5650</v>
      </c>
      <c r="G207">
        <v>0</v>
      </c>
      <c r="T207" t="s">
        <v>418</v>
      </c>
      <c r="U207">
        <v>0</v>
      </c>
      <c r="V207">
        <v>0</v>
      </c>
      <c r="AI207" t="s">
        <v>634</v>
      </c>
      <c r="AJ207">
        <v>0</v>
      </c>
      <c r="AK207">
        <v>0</v>
      </c>
    </row>
    <row r="208" spans="5:37" x14ac:dyDescent="0.25">
      <c r="E208" t="s">
        <v>40</v>
      </c>
      <c r="F208">
        <v>4750</v>
      </c>
      <c r="G208">
        <v>0</v>
      </c>
      <c r="T208" t="s">
        <v>418</v>
      </c>
      <c r="U208">
        <v>0</v>
      </c>
      <c r="V208">
        <v>0</v>
      </c>
      <c r="AI208" t="s">
        <v>634</v>
      </c>
      <c r="AJ208">
        <v>0</v>
      </c>
      <c r="AK208">
        <v>0</v>
      </c>
    </row>
    <row r="209" spans="5:37" x14ac:dyDescent="0.25">
      <c r="E209" t="s">
        <v>40</v>
      </c>
      <c r="F209">
        <v>0</v>
      </c>
      <c r="G209">
        <v>0</v>
      </c>
      <c r="T209" t="s">
        <v>40</v>
      </c>
      <c r="U209">
        <v>0</v>
      </c>
      <c r="V209">
        <v>0</v>
      </c>
      <c r="AI209" t="s">
        <v>634</v>
      </c>
      <c r="AJ209">
        <v>0</v>
      </c>
      <c r="AK209">
        <v>0</v>
      </c>
    </row>
    <row r="210" spans="5:37" x14ac:dyDescent="0.25">
      <c r="E210" t="s">
        <v>40</v>
      </c>
      <c r="F210">
        <v>0</v>
      </c>
      <c r="G210">
        <v>0</v>
      </c>
      <c r="T210" t="s">
        <v>40</v>
      </c>
      <c r="U210">
        <v>0</v>
      </c>
      <c r="V210">
        <v>0</v>
      </c>
      <c r="AI210" t="s">
        <v>634</v>
      </c>
      <c r="AJ210">
        <v>0</v>
      </c>
      <c r="AK210">
        <v>0</v>
      </c>
    </row>
    <row r="211" spans="5:37" x14ac:dyDescent="0.25">
      <c r="E211" t="s">
        <v>40</v>
      </c>
      <c r="F211">
        <v>24000</v>
      </c>
      <c r="G211">
        <v>0</v>
      </c>
      <c r="T211" t="s">
        <v>40</v>
      </c>
      <c r="U211">
        <v>0</v>
      </c>
      <c r="V211">
        <v>0</v>
      </c>
      <c r="AI211" t="s">
        <v>634</v>
      </c>
      <c r="AJ211">
        <v>0</v>
      </c>
      <c r="AK211">
        <v>0</v>
      </c>
    </row>
    <row r="212" spans="5:37" x14ac:dyDescent="0.25">
      <c r="E212" t="s">
        <v>40</v>
      </c>
      <c r="F212">
        <v>0</v>
      </c>
      <c r="G212">
        <v>0</v>
      </c>
      <c r="T212" t="s">
        <v>40</v>
      </c>
      <c r="U212">
        <v>0</v>
      </c>
      <c r="V212">
        <v>0</v>
      </c>
      <c r="AI212" t="s">
        <v>634</v>
      </c>
      <c r="AJ212">
        <v>0</v>
      </c>
      <c r="AK212">
        <v>0</v>
      </c>
    </row>
    <row r="213" spans="5:37" x14ac:dyDescent="0.25">
      <c r="E213" t="s">
        <v>40</v>
      </c>
      <c r="F213">
        <v>0</v>
      </c>
      <c r="G213">
        <v>0</v>
      </c>
      <c r="T213" t="s">
        <v>40</v>
      </c>
      <c r="U213">
        <v>42000</v>
      </c>
      <c r="V213">
        <v>0</v>
      </c>
      <c r="AI213" t="s">
        <v>634</v>
      </c>
      <c r="AJ213">
        <v>0</v>
      </c>
      <c r="AK213">
        <v>0</v>
      </c>
    </row>
    <row r="214" spans="5:37" x14ac:dyDescent="0.25">
      <c r="E214" t="s">
        <v>40</v>
      </c>
      <c r="F214">
        <v>24000</v>
      </c>
      <c r="G214">
        <v>0</v>
      </c>
      <c r="T214" t="s">
        <v>40</v>
      </c>
      <c r="U214">
        <v>0</v>
      </c>
      <c r="V214">
        <v>0</v>
      </c>
      <c r="AI214" t="s">
        <v>7312</v>
      </c>
      <c r="AJ214">
        <v>0</v>
      </c>
      <c r="AK214">
        <v>0</v>
      </c>
    </row>
    <row r="215" spans="5:37" x14ac:dyDescent="0.25">
      <c r="E215" t="s">
        <v>40</v>
      </c>
      <c r="F215">
        <v>6000</v>
      </c>
      <c r="G215">
        <v>0</v>
      </c>
      <c r="T215" t="s">
        <v>40</v>
      </c>
      <c r="U215">
        <v>0</v>
      </c>
      <c r="V215">
        <v>0</v>
      </c>
      <c r="AI215" t="s">
        <v>7312</v>
      </c>
      <c r="AJ215">
        <v>0</v>
      </c>
      <c r="AK215">
        <v>0</v>
      </c>
    </row>
    <row r="216" spans="5:37" x14ac:dyDescent="0.25">
      <c r="E216" t="s">
        <v>40</v>
      </c>
      <c r="F216">
        <v>24000</v>
      </c>
      <c r="G216">
        <v>0</v>
      </c>
      <c r="T216" t="s">
        <v>40</v>
      </c>
      <c r="U216">
        <v>44000</v>
      </c>
      <c r="V216">
        <v>0</v>
      </c>
      <c r="AI216" t="s">
        <v>7312</v>
      </c>
      <c r="AJ216">
        <v>20000</v>
      </c>
      <c r="AK216">
        <v>0</v>
      </c>
    </row>
    <row r="217" spans="5:37" x14ac:dyDescent="0.25">
      <c r="E217" t="s">
        <v>40</v>
      </c>
      <c r="F217">
        <v>18500</v>
      </c>
      <c r="G217">
        <v>0</v>
      </c>
      <c r="T217" t="s">
        <v>40</v>
      </c>
      <c r="U217">
        <v>0</v>
      </c>
      <c r="V217">
        <v>0</v>
      </c>
      <c r="AI217" t="s">
        <v>7312</v>
      </c>
      <c r="AJ217">
        <v>0</v>
      </c>
      <c r="AK217">
        <v>0</v>
      </c>
    </row>
    <row r="218" spans="5:37" x14ac:dyDescent="0.25">
      <c r="E218" t="s">
        <v>40</v>
      </c>
      <c r="F218">
        <v>0</v>
      </c>
      <c r="G218">
        <v>0</v>
      </c>
      <c r="T218" t="s">
        <v>40</v>
      </c>
      <c r="U218">
        <v>0</v>
      </c>
      <c r="V218">
        <v>0</v>
      </c>
      <c r="AI218" t="s">
        <v>7312</v>
      </c>
      <c r="AJ218">
        <v>0</v>
      </c>
      <c r="AK218">
        <v>0</v>
      </c>
    </row>
    <row r="219" spans="5:37" x14ac:dyDescent="0.25">
      <c r="E219" t="s">
        <v>40</v>
      </c>
      <c r="F219">
        <v>0</v>
      </c>
      <c r="G219">
        <v>0</v>
      </c>
      <c r="T219" t="s">
        <v>40</v>
      </c>
      <c r="U219">
        <v>0</v>
      </c>
      <c r="V219">
        <v>0</v>
      </c>
      <c r="AI219" t="s">
        <v>7312</v>
      </c>
      <c r="AJ219">
        <v>0</v>
      </c>
      <c r="AK219">
        <v>0</v>
      </c>
    </row>
    <row r="220" spans="5:37" x14ac:dyDescent="0.25">
      <c r="E220" t="s">
        <v>40</v>
      </c>
      <c r="F220">
        <v>4650</v>
      </c>
      <c r="G220">
        <v>0</v>
      </c>
      <c r="T220" t="s">
        <v>40</v>
      </c>
      <c r="U220">
        <v>0</v>
      </c>
      <c r="V220">
        <v>0</v>
      </c>
      <c r="AI220" t="s">
        <v>7312</v>
      </c>
      <c r="AJ220">
        <v>0</v>
      </c>
      <c r="AK220">
        <v>0</v>
      </c>
    </row>
    <row r="221" spans="5:37" x14ac:dyDescent="0.25">
      <c r="E221" t="s">
        <v>40</v>
      </c>
      <c r="F221">
        <v>20000</v>
      </c>
      <c r="G221">
        <v>0</v>
      </c>
      <c r="T221" t="s">
        <v>40</v>
      </c>
      <c r="U221">
        <v>0</v>
      </c>
      <c r="V221">
        <v>0</v>
      </c>
      <c r="AI221" t="s">
        <v>7312</v>
      </c>
      <c r="AJ221">
        <v>0</v>
      </c>
      <c r="AK221">
        <v>0</v>
      </c>
    </row>
    <row r="222" spans="5:37" x14ac:dyDescent="0.25">
      <c r="E222" t="s">
        <v>40</v>
      </c>
      <c r="F222">
        <v>0</v>
      </c>
      <c r="G222">
        <v>0</v>
      </c>
      <c r="T222" t="s">
        <v>40</v>
      </c>
      <c r="U222">
        <v>0</v>
      </c>
      <c r="V222">
        <v>0</v>
      </c>
      <c r="AI222" t="s">
        <v>7312</v>
      </c>
      <c r="AJ222">
        <v>20000</v>
      </c>
      <c r="AK222">
        <v>0</v>
      </c>
    </row>
    <row r="223" spans="5:37" x14ac:dyDescent="0.25">
      <c r="E223" t="s">
        <v>40</v>
      </c>
      <c r="F223">
        <v>0</v>
      </c>
      <c r="G223">
        <v>0</v>
      </c>
      <c r="T223" t="s">
        <v>40</v>
      </c>
      <c r="U223">
        <v>26000</v>
      </c>
      <c r="V223">
        <v>0</v>
      </c>
      <c r="AI223" t="s">
        <v>7312</v>
      </c>
      <c r="AJ223">
        <v>0</v>
      </c>
      <c r="AK223">
        <v>0</v>
      </c>
    </row>
    <row r="224" spans="5:37" x14ac:dyDescent="0.25">
      <c r="E224" t="s">
        <v>40</v>
      </c>
      <c r="F224">
        <v>24000</v>
      </c>
      <c r="G224">
        <v>0</v>
      </c>
      <c r="T224" t="s">
        <v>40</v>
      </c>
      <c r="U224">
        <v>0</v>
      </c>
      <c r="V224">
        <v>0</v>
      </c>
      <c r="AI224" t="s">
        <v>7311</v>
      </c>
      <c r="AJ224">
        <v>0</v>
      </c>
      <c r="AK224">
        <v>0</v>
      </c>
    </row>
    <row r="225" spans="5:37" x14ac:dyDescent="0.25">
      <c r="E225" t="s">
        <v>40</v>
      </c>
      <c r="F225">
        <v>3650</v>
      </c>
      <c r="G225">
        <v>0</v>
      </c>
      <c r="T225" t="s">
        <v>40</v>
      </c>
      <c r="U225">
        <v>0</v>
      </c>
      <c r="V225">
        <v>0</v>
      </c>
      <c r="AI225" t="s">
        <v>7311</v>
      </c>
      <c r="AJ225">
        <v>0</v>
      </c>
      <c r="AK225">
        <v>0</v>
      </c>
    </row>
    <row r="226" spans="5:37" x14ac:dyDescent="0.25">
      <c r="E226" t="s">
        <v>40</v>
      </c>
      <c r="F226">
        <v>0</v>
      </c>
      <c r="G226">
        <v>0</v>
      </c>
      <c r="T226" t="s">
        <v>40</v>
      </c>
      <c r="U226">
        <v>0</v>
      </c>
      <c r="V226">
        <v>0</v>
      </c>
      <c r="AI226" t="s">
        <v>7311</v>
      </c>
      <c r="AJ226">
        <v>0</v>
      </c>
      <c r="AK226">
        <v>0</v>
      </c>
    </row>
    <row r="227" spans="5:37" x14ac:dyDescent="0.25">
      <c r="E227" t="s">
        <v>40</v>
      </c>
      <c r="F227">
        <v>0</v>
      </c>
      <c r="G227">
        <v>0</v>
      </c>
      <c r="T227" t="s">
        <v>40</v>
      </c>
      <c r="U227">
        <v>0</v>
      </c>
      <c r="V227">
        <v>0</v>
      </c>
      <c r="AI227" t="s">
        <v>7311</v>
      </c>
      <c r="AJ227">
        <v>0</v>
      </c>
      <c r="AK227">
        <v>0</v>
      </c>
    </row>
    <row r="228" spans="5:37" x14ac:dyDescent="0.25">
      <c r="E228" t="s">
        <v>40</v>
      </c>
      <c r="F228">
        <v>0</v>
      </c>
      <c r="G228">
        <v>0</v>
      </c>
      <c r="T228" t="s">
        <v>40</v>
      </c>
      <c r="U228">
        <v>0</v>
      </c>
      <c r="V228">
        <v>0</v>
      </c>
      <c r="AI228" t="s">
        <v>7311</v>
      </c>
      <c r="AJ228">
        <v>0</v>
      </c>
      <c r="AK228">
        <v>0</v>
      </c>
    </row>
    <row r="229" spans="5:37" x14ac:dyDescent="0.25">
      <c r="E229" t="s">
        <v>40</v>
      </c>
      <c r="F229">
        <v>0</v>
      </c>
      <c r="G229">
        <v>0</v>
      </c>
      <c r="T229" t="s">
        <v>40</v>
      </c>
      <c r="U229">
        <v>0</v>
      </c>
      <c r="V229">
        <v>0</v>
      </c>
      <c r="AI229" t="s">
        <v>7311</v>
      </c>
      <c r="AJ229">
        <v>0</v>
      </c>
      <c r="AK229">
        <v>0</v>
      </c>
    </row>
    <row r="230" spans="5:37" x14ac:dyDescent="0.25">
      <c r="E230" t="s">
        <v>40</v>
      </c>
      <c r="F230">
        <v>20000</v>
      </c>
      <c r="G230">
        <v>0</v>
      </c>
      <c r="T230" t="s">
        <v>40</v>
      </c>
      <c r="U230">
        <v>0</v>
      </c>
      <c r="V230">
        <v>0</v>
      </c>
      <c r="AI230" t="s">
        <v>7311</v>
      </c>
      <c r="AJ230">
        <v>0</v>
      </c>
      <c r="AK230">
        <v>0</v>
      </c>
    </row>
    <row r="231" spans="5:37" x14ac:dyDescent="0.25">
      <c r="E231" t="s">
        <v>40</v>
      </c>
      <c r="F231">
        <v>0</v>
      </c>
      <c r="G231">
        <v>0</v>
      </c>
      <c r="T231" t="s">
        <v>40</v>
      </c>
      <c r="U231">
        <v>0</v>
      </c>
      <c r="V231">
        <v>0</v>
      </c>
      <c r="AI231" t="s">
        <v>7311</v>
      </c>
      <c r="AJ231">
        <v>0</v>
      </c>
      <c r="AK231">
        <v>0</v>
      </c>
    </row>
    <row r="232" spans="5:37" x14ac:dyDescent="0.25">
      <c r="E232" t="s">
        <v>40</v>
      </c>
      <c r="F232">
        <v>24000</v>
      </c>
      <c r="G232">
        <v>0</v>
      </c>
      <c r="T232" t="s">
        <v>40</v>
      </c>
      <c r="U232">
        <v>0</v>
      </c>
      <c r="V232">
        <v>0</v>
      </c>
      <c r="AI232" t="s">
        <v>7311</v>
      </c>
      <c r="AJ232">
        <v>0</v>
      </c>
      <c r="AK232">
        <v>0</v>
      </c>
    </row>
    <row r="233" spans="5:37" x14ac:dyDescent="0.25">
      <c r="E233" t="s">
        <v>40</v>
      </c>
      <c r="F233">
        <v>0</v>
      </c>
      <c r="G233">
        <v>0</v>
      </c>
      <c r="T233" t="s">
        <v>40</v>
      </c>
      <c r="U233">
        <v>0</v>
      </c>
      <c r="V233">
        <v>0</v>
      </c>
      <c r="AI233" t="s">
        <v>7311</v>
      </c>
      <c r="AJ233">
        <v>0</v>
      </c>
      <c r="AK233">
        <v>0</v>
      </c>
    </row>
    <row r="234" spans="5:37" x14ac:dyDescent="0.25">
      <c r="E234" t="s">
        <v>40</v>
      </c>
      <c r="F234">
        <v>7500</v>
      </c>
      <c r="G234">
        <v>0</v>
      </c>
      <c r="T234" t="s">
        <v>40</v>
      </c>
      <c r="U234">
        <v>17000</v>
      </c>
      <c r="V234">
        <v>0</v>
      </c>
      <c r="AI234" t="s">
        <v>7311</v>
      </c>
      <c r="AJ234">
        <v>0</v>
      </c>
      <c r="AK234">
        <v>0</v>
      </c>
    </row>
    <row r="235" spans="5:37" x14ac:dyDescent="0.25">
      <c r="E235" t="s">
        <v>40</v>
      </c>
      <c r="F235">
        <v>20000</v>
      </c>
      <c r="G235">
        <v>0</v>
      </c>
      <c r="T235" t="s">
        <v>40</v>
      </c>
      <c r="U235">
        <v>14000</v>
      </c>
      <c r="V235">
        <v>0</v>
      </c>
      <c r="AI235" t="s">
        <v>7311</v>
      </c>
      <c r="AJ235">
        <v>0</v>
      </c>
      <c r="AK235">
        <v>0</v>
      </c>
    </row>
    <row r="236" spans="5:37" x14ac:dyDescent="0.25">
      <c r="E236" t="s">
        <v>40</v>
      </c>
      <c r="F236">
        <v>6750</v>
      </c>
      <c r="G236">
        <v>0</v>
      </c>
      <c r="T236" t="s">
        <v>40</v>
      </c>
      <c r="U236">
        <v>41000</v>
      </c>
      <c r="V236">
        <v>0</v>
      </c>
      <c r="AI236" t="s">
        <v>7311</v>
      </c>
      <c r="AJ236">
        <v>0</v>
      </c>
      <c r="AK236">
        <v>0</v>
      </c>
    </row>
    <row r="237" spans="5:37" x14ac:dyDescent="0.25">
      <c r="E237" t="s">
        <v>40</v>
      </c>
      <c r="F237">
        <v>0</v>
      </c>
      <c r="G237">
        <v>0</v>
      </c>
      <c r="T237" t="s">
        <v>40</v>
      </c>
      <c r="U237">
        <v>0</v>
      </c>
      <c r="V237">
        <v>0</v>
      </c>
      <c r="AI237" t="s">
        <v>7311</v>
      </c>
      <c r="AJ237">
        <v>0</v>
      </c>
      <c r="AK237">
        <v>0</v>
      </c>
    </row>
    <row r="238" spans="5:37" x14ac:dyDescent="0.25">
      <c r="E238" t="s">
        <v>40</v>
      </c>
      <c r="F238">
        <v>4000</v>
      </c>
      <c r="G238">
        <v>0</v>
      </c>
      <c r="T238" t="s">
        <v>40</v>
      </c>
      <c r="U238">
        <v>30000</v>
      </c>
      <c r="V238">
        <v>0</v>
      </c>
      <c r="AI238" t="s">
        <v>7311</v>
      </c>
      <c r="AJ238">
        <v>0</v>
      </c>
      <c r="AK238">
        <v>0</v>
      </c>
    </row>
    <row r="239" spans="5:37" x14ac:dyDescent="0.25">
      <c r="E239" t="s">
        <v>40</v>
      </c>
      <c r="F239">
        <v>6500</v>
      </c>
      <c r="G239">
        <v>0</v>
      </c>
      <c r="T239" t="s">
        <v>40</v>
      </c>
      <c r="U239">
        <v>15000</v>
      </c>
      <c r="V239">
        <v>0</v>
      </c>
      <c r="AI239" t="s">
        <v>7311</v>
      </c>
      <c r="AJ239">
        <v>0</v>
      </c>
      <c r="AK239">
        <v>0</v>
      </c>
    </row>
    <row r="240" spans="5:37" x14ac:dyDescent="0.25">
      <c r="E240" t="s">
        <v>40</v>
      </c>
      <c r="F240">
        <v>0</v>
      </c>
      <c r="G240">
        <v>0</v>
      </c>
      <c r="T240" t="s">
        <v>40</v>
      </c>
      <c r="U240">
        <v>0</v>
      </c>
      <c r="V240">
        <v>0</v>
      </c>
      <c r="AI240" t="s">
        <v>7311</v>
      </c>
      <c r="AJ240">
        <v>0</v>
      </c>
      <c r="AK240">
        <v>0</v>
      </c>
    </row>
    <row r="241" spans="5:37" x14ac:dyDescent="0.25">
      <c r="E241" t="s">
        <v>40</v>
      </c>
      <c r="F241">
        <v>0</v>
      </c>
      <c r="G241">
        <v>0</v>
      </c>
      <c r="T241" t="s">
        <v>40</v>
      </c>
      <c r="U241">
        <v>46000</v>
      </c>
      <c r="V241">
        <v>0</v>
      </c>
      <c r="AI241" t="s">
        <v>7311</v>
      </c>
      <c r="AJ241">
        <v>0</v>
      </c>
      <c r="AK241">
        <v>0</v>
      </c>
    </row>
    <row r="242" spans="5:37" x14ac:dyDescent="0.25">
      <c r="E242" t="s">
        <v>41</v>
      </c>
      <c r="F242">
        <v>0</v>
      </c>
      <c r="G242">
        <v>0</v>
      </c>
      <c r="T242" t="s">
        <v>40</v>
      </c>
      <c r="U242">
        <v>0</v>
      </c>
      <c r="V242">
        <v>0</v>
      </c>
      <c r="AI242" t="s">
        <v>7311</v>
      </c>
      <c r="AJ242">
        <v>0</v>
      </c>
      <c r="AK242">
        <v>0</v>
      </c>
    </row>
    <row r="243" spans="5:37" x14ac:dyDescent="0.25">
      <c r="E243" t="s">
        <v>41</v>
      </c>
      <c r="F243">
        <v>0</v>
      </c>
      <c r="G243">
        <v>0</v>
      </c>
      <c r="T243" t="s">
        <v>40</v>
      </c>
      <c r="U243">
        <v>0</v>
      </c>
      <c r="V243">
        <v>0</v>
      </c>
      <c r="AI243" t="s">
        <v>7311</v>
      </c>
      <c r="AJ243">
        <v>0</v>
      </c>
      <c r="AK243">
        <v>0</v>
      </c>
    </row>
    <row r="244" spans="5:37" x14ac:dyDescent="0.25">
      <c r="E244" t="s">
        <v>41</v>
      </c>
      <c r="F244">
        <v>0</v>
      </c>
      <c r="G244">
        <v>0</v>
      </c>
      <c r="T244" t="s">
        <v>40</v>
      </c>
      <c r="U244">
        <v>0</v>
      </c>
      <c r="V244">
        <v>0</v>
      </c>
      <c r="AI244" t="s">
        <v>7311</v>
      </c>
      <c r="AJ244">
        <v>0</v>
      </c>
      <c r="AK244">
        <v>0</v>
      </c>
    </row>
    <row r="245" spans="5:37" x14ac:dyDescent="0.25">
      <c r="E245" t="s">
        <v>41</v>
      </c>
      <c r="F245">
        <v>0</v>
      </c>
      <c r="G245">
        <v>0</v>
      </c>
      <c r="T245" t="s">
        <v>40</v>
      </c>
      <c r="U245">
        <v>30000</v>
      </c>
      <c r="V245">
        <v>0</v>
      </c>
      <c r="AI245" t="s">
        <v>7311</v>
      </c>
      <c r="AJ245">
        <v>0</v>
      </c>
      <c r="AK245">
        <v>0</v>
      </c>
    </row>
    <row r="246" spans="5:37" x14ac:dyDescent="0.25">
      <c r="E246" t="s">
        <v>41</v>
      </c>
      <c r="F246">
        <v>0</v>
      </c>
      <c r="G246">
        <v>0</v>
      </c>
      <c r="T246" t="s">
        <v>40</v>
      </c>
      <c r="U246">
        <v>23000</v>
      </c>
      <c r="V246">
        <v>0</v>
      </c>
      <c r="AI246" t="s">
        <v>7319</v>
      </c>
      <c r="AJ246">
        <v>0</v>
      </c>
      <c r="AK246">
        <v>0</v>
      </c>
    </row>
    <row r="247" spans="5:37" x14ac:dyDescent="0.25">
      <c r="E247" t="s">
        <v>41</v>
      </c>
      <c r="F247">
        <v>0</v>
      </c>
      <c r="G247">
        <v>0</v>
      </c>
      <c r="T247" t="s">
        <v>40</v>
      </c>
      <c r="U247">
        <v>17000</v>
      </c>
      <c r="V247">
        <v>0</v>
      </c>
      <c r="AI247" t="s">
        <v>7319</v>
      </c>
      <c r="AJ247">
        <v>0</v>
      </c>
      <c r="AK247">
        <v>0</v>
      </c>
    </row>
    <row r="248" spans="5:37" x14ac:dyDescent="0.25">
      <c r="E248" t="s">
        <v>41</v>
      </c>
      <c r="F248">
        <v>0</v>
      </c>
      <c r="G248">
        <v>18000</v>
      </c>
      <c r="T248" t="s">
        <v>40</v>
      </c>
      <c r="U248">
        <v>20000</v>
      </c>
      <c r="V248">
        <v>0</v>
      </c>
      <c r="AI248" t="s">
        <v>7319</v>
      </c>
      <c r="AJ248">
        <v>0</v>
      </c>
      <c r="AK248">
        <v>0</v>
      </c>
    </row>
    <row r="249" spans="5:37" x14ac:dyDescent="0.25">
      <c r="E249" t="s">
        <v>41</v>
      </c>
      <c r="F249">
        <v>0</v>
      </c>
      <c r="G249">
        <v>0</v>
      </c>
      <c r="T249" t="s">
        <v>40</v>
      </c>
      <c r="U249">
        <v>0</v>
      </c>
      <c r="V249">
        <v>0</v>
      </c>
      <c r="AI249" t="s">
        <v>7319</v>
      </c>
      <c r="AJ249">
        <v>0</v>
      </c>
      <c r="AK249">
        <v>0</v>
      </c>
    </row>
    <row r="250" spans="5:37" x14ac:dyDescent="0.25">
      <c r="E250" t="s">
        <v>41</v>
      </c>
      <c r="F250">
        <v>0</v>
      </c>
      <c r="G250">
        <v>0</v>
      </c>
      <c r="T250" t="s">
        <v>40</v>
      </c>
      <c r="U250">
        <v>0</v>
      </c>
      <c r="V250">
        <v>0</v>
      </c>
      <c r="AI250" t="s">
        <v>102</v>
      </c>
      <c r="AJ250">
        <v>0</v>
      </c>
      <c r="AK250">
        <v>27000</v>
      </c>
    </row>
    <row r="251" spans="5:37" x14ac:dyDescent="0.25">
      <c r="E251" t="s">
        <v>41</v>
      </c>
      <c r="F251">
        <v>0</v>
      </c>
      <c r="G251">
        <v>0</v>
      </c>
      <c r="T251" t="s">
        <v>40</v>
      </c>
      <c r="U251">
        <v>0</v>
      </c>
      <c r="V251">
        <v>0</v>
      </c>
      <c r="AI251" t="s">
        <v>102</v>
      </c>
      <c r="AJ251">
        <v>32000</v>
      </c>
      <c r="AK251">
        <v>0</v>
      </c>
    </row>
    <row r="252" spans="5:37" x14ac:dyDescent="0.25">
      <c r="E252" t="s">
        <v>41</v>
      </c>
      <c r="F252">
        <v>0</v>
      </c>
      <c r="G252">
        <v>0</v>
      </c>
      <c r="T252" t="s">
        <v>41</v>
      </c>
      <c r="U252">
        <v>0</v>
      </c>
      <c r="V252">
        <v>0</v>
      </c>
      <c r="AI252" t="s">
        <v>102</v>
      </c>
      <c r="AJ252">
        <v>0</v>
      </c>
      <c r="AK252">
        <v>34000</v>
      </c>
    </row>
    <row r="253" spans="5:37" x14ac:dyDescent="0.25">
      <c r="E253" t="s">
        <v>41</v>
      </c>
      <c r="F253">
        <v>0</v>
      </c>
      <c r="G253">
        <v>20000</v>
      </c>
      <c r="T253" t="s">
        <v>41</v>
      </c>
      <c r="U253">
        <v>0</v>
      </c>
      <c r="V253">
        <v>0</v>
      </c>
      <c r="AI253" t="s">
        <v>102</v>
      </c>
      <c r="AJ253">
        <v>40000</v>
      </c>
      <c r="AK253">
        <v>0</v>
      </c>
    </row>
    <row r="254" spans="5:37" x14ac:dyDescent="0.25">
      <c r="E254" t="s">
        <v>41</v>
      </c>
      <c r="F254">
        <v>0</v>
      </c>
      <c r="G254">
        <v>20000</v>
      </c>
      <c r="T254" t="s">
        <v>41</v>
      </c>
      <c r="U254">
        <v>14000</v>
      </c>
      <c r="V254">
        <v>0</v>
      </c>
      <c r="AI254" t="s">
        <v>102</v>
      </c>
      <c r="AJ254">
        <v>20000</v>
      </c>
      <c r="AK254">
        <v>0</v>
      </c>
    </row>
    <row r="255" spans="5:37" x14ac:dyDescent="0.25">
      <c r="E255" t="s">
        <v>41</v>
      </c>
      <c r="F255">
        <v>0</v>
      </c>
      <c r="G255">
        <v>0</v>
      </c>
      <c r="T255" t="s">
        <v>41</v>
      </c>
      <c r="U255">
        <v>0</v>
      </c>
      <c r="V255">
        <v>0</v>
      </c>
      <c r="AI255" t="s">
        <v>102</v>
      </c>
      <c r="AJ255">
        <v>15000</v>
      </c>
      <c r="AK255">
        <v>0</v>
      </c>
    </row>
    <row r="256" spans="5:37" x14ac:dyDescent="0.25">
      <c r="E256" t="s">
        <v>41</v>
      </c>
      <c r="F256">
        <v>0</v>
      </c>
      <c r="G256">
        <v>20000</v>
      </c>
      <c r="T256" t="s">
        <v>41</v>
      </c>
      <c r="U256">
        <v>0</v>
      </c>
      <c r="V256">
        <v>0</v>
      </c>
      <c r="AI256" t="s">
        <v>102</v>
      </c>
      <c r="AJ256">
        <v>0</v>
      </c>
      <c r="AK256">
        <v>0</v>
      </c>
    </row>
    <row r="257" spans="5:37" x14ac:dyDescent="0.25">
      <c r="E257" t="s">
        <v>41</v>
      </c>
      <c r="F257">
        <v>0</v>
      </c>
      <c r="G257">
        <v>0</v>
      </c>
      <c r="T257" t="s">
        <v>41</v>
      </c>
      <c r="U257">
        <v>0</v>
      </c>
      <c r="V257">
        <v>0</v>
      </c>
      <c r="AI257" t="s">
        <v>102</v>
      </c>
      <c r="AJ257">
        <v>0</v>
      </c>
      <c r="AK257">
        <v>0</v>
      </c>
    </row>
    <row r="258" spans="5:37" x14ac:dyDescent="0.25">
      <c r="E258" t="s">
        <v>41</v>
      </c>
      <c r="F258">
        <v>0</v>
      </c>
      <c r="G258">
        <v>14000</v>
      </c>
      <c r="T258" t="s">
        <v>41</v>
      </c>
      <c r="U258">
        <v>0</v>
      </c>
      <c r="V258">
        <v>0</v>
      </c>
      <c r="AI258" t="s">
        <v>102</v>
      </c>
      <c r="AJ258">
        <v>0</v>
      </c>
      <c r="AK258">
        <v>34000</v>
      </c>
    </row>
    <row r="259" spans="5:37" x14ac:dyDescent="0.25">
      <c r="E259" t="s">
        <v>41</v>
      </c>
      <c r="F259">
        <v>0</v>
      </c>
      <c r="G259">
        <v>0</v>
      </c>
      <c r="T259" t="s">
        <v>41</v>
      </c>
      <c r="U259">
        <v>0</v>
      </c>
      <c r="V259">
        <v>0</v>
      </c>
      <c r="AI259" t="s">
        <v>102</v>
      </c>
      <c r="AJ259">
        <v>0</v>
      </c>
      <c r="AK259">
        <v>0</v>
      </c>
    </row>
    <row r="260" spans="5:37" x14ac:dyDescent="0.25">
      <c r="E260" t="s">
        <v>41</v>
      </c>
      <c r="F260">
        <v>0</v>
      </c>
      <c r="G260">
        <v>20000</v>
      </c>
      <c r="T260" t="s">
        <v>41</v>
      </c>
      <c r="U260">
        <v>0</v>
      </c>
      <c r="V260">
        <v>0</v>
      </c>
      <c r="AI260" t="s">
        <v>102</v>
      </c>
      <c r="AJ260">
        <v>0</v>
      </c>
      <c r="AK260">
        <v>0</v>
      </c>
    </row>
    <row r="261" spans="5:37" x14ac:dyDescent="0.25">
      <c r="E261" t="s">
        <v>41</v>
      </c>
      <c r="F261">
        <v>0</v>
      </c>
      <c r="G261">
        <v>0</v>
      </c>
      <c r="T261" t="s">
        <v>41</v>
      </c>
      <c r="U261">
        <v>0</v>
      </c>
      <c r="V261">
        <v>0</v>
      </c>
      <c r="AI261" t="s">
        <v>102</v>
      </c>
      <c r="AJ261">
        <v>0</v>
      </c>
      <c r="AK261">
        <v>0</v>
      </c>
    </row>
    <row r="262" spans="5:37" x14ac:dyDescent="0.25">
      <c r="E262" t="s">
        <v>41</v>
      </c>
      <c r="F262">
        <v>0</v>
      </c>
      <c r="G262">
        <v>0</v>
      </c>
      <c r="T262" t="s">
        <v>41</v>
      </c>
      <c r="U262">
        <v>0</v>
      </c>
      <c r="V262">
        <v>0</v>
      </c>
      <c r="AI262" t="s">
        <v>102</v>
      </c>
      <c r="AJ262">
        <v>39000</v>
      </c>
      <c r="AK262">
        <v>49000</v>
      </c>
    </row>
    <row r="263" spans="5:37" x14ac:dyDescent="0.25">
      <c r="E263" t="s">
        <v>41</v>
      </c>
      <c r="F263">
        <v>0</v>
      </c>
      <c r="G263">
        <v>0</v>
      </c>
      <c r="T263" t="s">
        <v>41</v>
      </c>
      <c r="U263">
        <v>0</v>
      </c>
      <c r="V263">
        <v>0</v>
      </c>
      <c r="AI263" t="s">
        <v>102</v>
      </c>
      <c r="AJ263">
        <v>0</v>
      </c>
      <c r="AK263">
        <v>0</v>
      </c>
    </row>
    <row r="264" spans="5:37" x14ac:dyDescent="0.25">
      <c r="E264" t="s">
        <v>41</v>
      </c>
      <c r="F264">
        <v>0</v>
      </c>
      <c r="G264">
        <v>20000</v>
      </c>
      <c r="T264" t="s">
        <v>41</v>
      </c>
      <c r="U264">
        <v>0</v>
      </c>
      <c r="V264">
        <v>0</v>
      </c>
      <c r="AI264" t="s">
        <v>102</v>
      </c>
      <c r="AJ264">
        <v>0</v>
      </c>
      <c r="AK264">
        <v>0</v>
      </c>
    </row>
    <row r="265" spans="5:37" x14ac:dyDescent="0.25">
      <c r="E265" t="s">
        <v>41</v>
      </c>
      <c r="F265">
        <v>0</v>
      </c>
      <c r="G265">
        <v>0</v>
      </c>
      <c r="T265" t="s">
        <v>41</v>
      </c>
      <c r="U265">
        <v>0</v>
      </c>
      <c r="V265">
        <v>0</v>
      </c>
      <c r="AI265" t="s">
        <v>102</v>
      </c>
      <c r="AJ265">
        <v>0</v>
      </c>
      <c r="AK265">
        <v>0</v>
      </c>
    </row>
    <row r="266" spans="5:37" x14ac:dyDescent="0.25">
      <c r="E266" t="s">
        <v>41</v>
      </c>
      <c r="F266">
        <v>0</v>
      </c>
      <c r="G266">
        <v>0</v>
      </c>
      <c r="T266" t="s">
        <v>41</v>
      </c>
      <c r="U266">
        <v>12000</v>
      </c>
      <c r="V266">
        <v>0</v>
      </c>
      <c r="AI266" t="s">
        <v>102</v>
      </c>
      <c r="AJ266">
        <v>0</v>
      </c>
      <c r="AK266">
        <v>0</v>
      </c>
    </row>
    <row r="267" spans="5:37" x14ac:dyDescent="0.25">
      <c r="E267" t="s">
        <v>41</v>
      </c>
      <c r="F267">
        <v>0</v>
      </c>
      <c r="G267">
        <v>0</v>
      </c>
      <c r="T267" t="s">
        <v>41</v>
      </c>
      <c r="U267">
        <v>0</v>
      </c>
      <c r="V267">
        <v>0</v>
      </c>
      <c r="AI267" t="s">
        <v>102</v>
      </c>
      <c r="AJ267">
        <v>0</v>
      </c>
      <c r="AK267">
        <v>0</v>
      </c>
    </row>
    <row r="268" spans="5:37" x14ac:dyDescent="0.25">
      <c r="E268" t="s">
        <v>41</v>
      </c>
      <c r="F268">
        <v>0</v>
      </c>
      <c r="G268">
        <v>0</v>
      </c>
      <c r="T268" t="s">
        <v>41</v>
      </c>
      <c r="U268">
        <v>0</v>
      </c>
      <c r="V268">
        <v>0</v>
      </c>
      <c r="AI268" t="s">
        <v>102</v>
      </c>
      <c r="AJ268">
        <v>0</v>
      </c>
      <c r="AK268">
        <v>0</v>
      </c>
    </row>
    <row r="269" spans="5:37" x14ac:dyDescent="0.25">
      <c r="E269" t="s">
        <v>41</v>
      </c>
      <c r="F269">
        <v>0</v>
      </c>
      <c r="G269">
        <v>0</v>
      </c>
      <c r="T269" t="s">
        <v>41</v>
      </c>
      <c r="U269">
        <v>0</v>
      </c>
      <c r="V269">
        <v>0</v>
      </c>
      <c r="AI269" t="s">
        <v>102</v>
      </c>
      <c r="AJ269">
        <v>0</v>
      </c>
      <c r="AK269">
        <v>0</v>
      </c>
    </row>
    <row r="270" spans="5:37" x14ac:dyDescent="0.25">
      <c r="E270" t="s">
        <v>41</v>
      </c>
      <c r="F270">
        <v>0</v>
      </c>
      <c r="G270">
        <v>0</v>
      </c>
      <c r="T270" t="s">
        <v>41</v>
      </c>
      <c r="U270">
        <v>0</v>
      </c>
      <c r="V270">
        <v>0</v>
      </c>
      <c r="AI270" t="s">
        <v>102</v>
      </c>
      <c r="AJ270">
        <v>0</v>
      </c>
      <c r="AK270">
        <v>0</v>
      </c>
    </row>
    <row r="271" spans="5:37" x14ac:dyDescent="0.25">
      <c r="E271" t="s">
        <v>41</v>
      </c>
      <c r="F271">
        <v>0</v>
      </c>
      <c r="G271">
        <v>0</v>
      </c>
      <c r="T271" t="s">
        <v>41</v>
      </c>
      <c r="U271">
        <v>0</v>
      </c>
      <c r="V271">
        <v>0</v>
      </c>
      <c r="AI271" t="s">
        <v>102</v>
      </c>
      <c r="AJ271">
        <v>0</v>
      </c>
      <c r="AK271">
        <v>0</v>
      </c>
    </row>
    <row r="272" spans="5:37" x14ac:dyDescent="0.25">
      <c r="E272" t="s">
        <v>41</v>
      </c>
      <c r="F272">
        <v>0</v>
      </c>
      <c r="G272">
        <v>0</v>
      </c>
      <c r="T272" t="s">
        <v>41</v>
      </c>
      <c r="U272">
        <v>0</v>
      </c>
      <c r="V272">
        <v>0</v>
      </c>
      <c r="AI272" t="s">
        <v>102</v>
      </c>
      <c r="AJ272">
        <v>0</v>
      </c>
      <c r="AK272">
        <v>19000</v>
      </c>
    </row>
    <row r="273" spans="5:37" x14ac:dyDescent="0.25">
      <c r="E273" t="s">
        <v>41</v>
      </c>
      <c r="F273">
        <v>0</v>
      </c>
      <c r="G273">
        <v>0</v>
      </c>
      <c r="T273" t="s">
        <v>41</v>
      </c>
      <c r="U273">
        <v>0</v>
      </c>
      <c r="V273">
        <v>0</v>
      </c>
      <c r="AI273" t="s">
        <v>102</v>
      </c>
      <c r="AJ273">
        <v>0</v>
      </c>
      <c r="AK273">
        <v>0</v>
      </c>
    </row>
    <row r="274" spans="5:37" x14ac:dyDescent="0.25">
      <c r="E274" t="s">
        <v>41</v>
      </c>
      <c r="F274">
        <v>0</v>
      </c>
      <c r="G274">
        <v>0</v>
      </c>
      <c r="T274" t="s">
        <v>41</v>
      </c>
      <c r="U274">
        <v>0</v>
      </c>
      <c r="V274">
        <v>0</v>
      </c>
      <c r="AI274" t="s">
        <v>102</v>
      </c>
      <c r="AJ274">
        <v>0</v>
      </c>
      <c r="AK274">
        <v>0</v>
      </c>
    </row>
    <row r="275" spans="5:37" x14ac:dyDescent="0.25">
      <c r="E275" t="s">
        <v>41</v>
      </c>
      <c r="F275">
        <v>0</v>
      </c>
      <c r="G275">
        <v>0</v>
      </c>
      <c r="T275" t="s">
        <v>41</v>
      </c>
      <c r="U275">
        <v>0</v>
      </c>
      <c r="V275">
        <v>0</v>
      </c>
      <c r="AI275" t="s">
        <v>102</v>
      </c>
      <c r="AJ275">
        <v>43000</v>
      </c>
      <c r="AK275">
        <v>53000</v>
      </c>
    </row>
    <row r="276" spans="5:37" x14ac:dyDescent="0.25">
      <c r="E276" t="s">
        <v>41</v>
      </c>
      <c r="F276">
        <v>0</v>
      </c>
      <c r="G276">
        <v>0</v>
      </c>
      <c r="T276" t="s">
        <v>41</v>
      </c>
      <c r="U276">
        <v>0</v>
      </c>
      <c r="V276">
        <v>0</v>
      </c>
      <c r="AI276" t="s">
        <v>102</v>
      </c>
      <c r="AJ276">
        <v>0</v>
      </c>
      <c r="AK276">
        <v>0</v>
      </c>
    </row>
    <row r="277" spans="5:37" x14ac:dyDescent="0.25">
      <c r="E277" t="s">
        <v>41</v>
      </c>
      <c r="F277">
        <v>0</v>
      </c>
      <c r="G277">
        <v>0</v>
      </c>
      <c r="T277" t="s">
        <v>41</v>
      </c>
      <c r="U277">
        <v>0</v>
      </c>
      <c r="V277">
        <v>0</v>
      </c>
      <c r="AI277" t="s">
        <v>102</v>
      </c>
      <c r="AJ277">
        <v>0</v>
      </c>
      <c r="AK277">
        <v>0</v>
      </c>
    </row>
    <row r="278" spans="5:37" x14ac:dyDescent="0.25">
      <c r="E278" t="s">
        <v>42</v>
      </c>
      <c r="F278">
        <v>0</v>
      </c>
      <c r="G278">
        <v>0</v>
      </c>
      <c r="T278" t="s">
        <v>41</v>
      </c>
      <c r="U278">
        <v>0</v>
      </c>
      <c r="V278">
        <v>0</v>
      </c>
      <c r="AI278" t="s">
        <v>102</v>
      </c>
      <c r="AJ278">
        <v>0</v>
      </c>
      <c r="AK278">
        <v>0</v>
      </c>
    </row>
    <row r="279" spans="5:37" x14ac:dyDescent="0.25">
      <c r="E279" t="s">
        <v>42</v>
      </c>
      <c r="F279">
        <v>0</v>
      </c>
      <c r="G279">
        <v>0</v>
      </c>
      <c r="T279" t="s">
        <v>41</v>
      </c>
      <c r="U279">
        <v>0</v>
      </c>
      <c r="V279">
        <v>0</v>
      </c>
      <c r="AI279" t="s">
        <v>102</v>
      </c>
      <c r="AJ279">
        <v>40000</v>
      </c>
      <c r="AK279">
        <v>0</v>
      </c>
    </row>
    <row r="280" spans="5:37" x14ac:dyDescent="0.25">
      <c r="E280" t="s">
        <v>42</v>
      </c>
      <c r="F280">
        <v>0</v>
      </c>
      <c r="G280">
        <v>0</v>
      </c>
      <c r="T280" t="s">
        <v>41</v>
      </c>
      <c r="U280">
        <v>0</v>
      </c>
      <c r="V280">
        <v>0</v>
      </c>
      <c r="AI280" t="s">
        <v>102</v>
      </c>
      <c r="AJ280">
        <v>0</v>
      </c>
      <c r="AK280">
        <v>0</v>
      </c>
    </row>
    <row r="281" spans="5:37" x14ac:dyDescent="0.25">
      <c r="E281" t="s">
        <v>42</v>
      </c>
      <c r="F281">
        <v>0</v>
      </c>
      <c r="G281">
        <v>0</v>
      </c>
      <c r="T281" t="s">
        <v>41</v>
      </c>
      <c r="U281">
        <v>0</v>
      </c>
      <c r="V281">
        <v>0</v>
      </c>
      <c r="AI281" t="s">
        <v>102</v>
      </c>
      <c r="AJ281">
        <v>40000</v>
      </c>
      <c r="AK281">
        <v>0</v>
      </c>
    </row>
    <row r="282" spans="5:37" x14ac:dyDescent="0.25">
      <c r="E282" t="s">
        <v>25</v>
      </c>
      <c r="F282">
        <v>50000</v>
      </c>
      <c r="G282">
        <v>0</v>
      </c>
      <c r="T282" t="s">
        <v>41</v>
      </c>
      <c r="U282">
        <v>0</v>
      </c>
      <c r="V282">
        <v>0</v>
      </c>
      <c r="AI282" t="s">
        <v>102</v>
      </c>
      <c r="AJ282">
        <v>0</v>
      </c>
      <c r="AK282">
        <v>34000</v>
      </c>
    </row>
    <row r="283" spans="5:37" x14ac:dyDescent="0.25">
      <c r="E283" t="s">
        <v>25</v>
      </c>
      <c r="F283">
        <v>0</v>
      </c>
      <c r="G283">
        <v>0</v>
      </c>
      <c r="T283" t="s">
        <v>41</v>
      </c>
      <c r="U283">
        <v>0</v>
      </c>
      <c r="V283">
        <v>0</v>
      </c>
      <c r="AI283" t="s">
        <v>102</v>
      </c>
      <c r="AJ283">
        <v>0</v>
      </c>
      <c r="AK283">
        <v>0</v>
      </c>
    </row>
    <row r="284" spans="5:37" x14ac:dyDescent="0.25">
      <c r="E284" t="s">
        <v>25</v>
      </c>
      <c r="F284">
        <v>50000</v>
      </c>
      <c r="G284">
        <v>0</v>
      </c>
      <c r="T284" t="s">
        <v>41</v>
      </c>
      <c r="U284">
        <v>0</v>
      </c>
      <c r="V284">
        <v>0</v>
      </c>
      <c r="AI284" t="s">
        <v>102</v>
      </c>
      <c r="AJ284">
        <v>0</v>
      </c>
      <c r="AK284">
        <v>0</v>
      </c>
    </row>
    <row r="285" spans="5:37" x14ac:dyDescent="0.25">
      <c r="E285" t="s">
        <v>25</v>
      </c>
      <c r="F285">
        <v>0</v>
      </c>
      <c r="G285">
        <v>0</v>
      </c>
      <c r="T285" t="s">
        <v>41</v>
      </c>
      <c r="U285">
        <v>0</v>
      </c>
      <c r="V285">
        <v>0</v>
      </c>
      <c r="AI285" t="s">
        <v>102</v>
      </c>
      <c r="AJ285">
        <v>0</v>
      </c>
      <c r="AK285">
        <v>0</v>
      </c>
    </row>
    <row r="286" spans="5:37" x14ac:dyDescent="0.25">
      <c r="E286" t="s">
        <v>25</v>
      </c>
      <c r="F286">
        <v>50000</v>
      </c>
      <c r="G286">
        <v>0</v>
      </c>
      <c r="T286" t="s">
        <v>41</v>
      </c>
      <c r="U286">
        <v>0</v>
      </c>
      <c r="V286">
        <v>0</v>
      </c>
      <c r="AI286" t="s">
        <v>102</v>
      </c>
      <c r="AJ286">
        <v>0</v>
      </c>
      <c r="AK286">
        <v>0</v>
      </c>
    </row>
    <row r="287" spans="5:37" x14ac:dyDescent="0.25">
      <c r="E287" t="s">
        <v>25</v>
      </c>
      <c r="F287">
        <v>35000</v>
      </c>
      <c r="G287">
        <v>0</v>
      </c>
      <c r="T287" t="s">
        <v>41</v>
      </c>
      <c r="U287">
        <v>0</v>
      </c>
      <c r="V287">
        <v>0</v>
      </c>
      <c r="AI287" t="s">
        <v>102</v>
      </c>
      <c r="AJ287">
        <v>0</v>
      </c>
      <c r="AK287">
        <v>0</v>
      </c>
    </row>
    <row r="288" spans="5:37" x14ac:dyDescent="0.25">
      <c r="E288" t="s">
        <v>25</v>
      </c>
      <c r="F288">
        <v>0</v>
      </c>
      <c r="G288">
        <v>0</v>
      </c>
      <c r="T288" t="s">
        <v>41</v>
      </c>
      <c r="U288">
        <v>0</v>
      </c>
      <c r="V288">
        <v>0</v>
      </c>
      <c r="AI288" t="s">
        <v>102</v>
      </c>
      <c r="AJ288">
        <v>0</v>
      </c>
      <c r="AK288">
        <v>0</v>
      </c>
    </row>
    <row r="289" spans="5:37" x14ac:dyDescent="0.25">
      <c r="E289" t="s">
        <v>25</v>
      </c>
      <c r="F289">
        <v>50000</v>
      </c>
      <c r="G289">
        <v>0</v>
      </c>
      <c r="T289" t="s">
        <v>41</v>
      </c>
      <c r="U289">
        <v>0</v>
      </c>
      <c r="V289">
        <v>0</v>
      </c>
      <c r="AI289" t="s">
        <v>102</v>
      </c>
      <c r="AJ289">
        <v>0</v>
      </c>
      <c r="AK289">
        <v>0</v>
      </c>
    </row>
    <row r="290" spans="5:37" x14ac:dyDescent="0.25">
      <c r="E290" t="s">
        <v>25</v>
      </c>
      <c r="F290">
        <v>35000</v>
      </c>
      <c r="G290">
        <v>0</v>
      </c>
      <c r="T290" t="s">
        <v>41</v>
      </c>
      <c r="U290">
        <v>18000</v>
      </c>
      <c r="V290">
        <v>0</v>
      </c>
      <c r="AI290" t="s">
        <v>102</v>
      </c>
      <c r="AJ290">
        <v>0</v>
      </c>
      <c r="AK290">
        <v>0</v>
      </c>
    </row>
    <row r="291" spans="5:37" x14ac:dyDescent="0.25">
      <c r="E291" t="s">
        <v>25</v>
      </c>
      <c r="F291">
        <v>35000</v>
      </c>
      <c r="G291">
        <v>0</v>
      </c>
      <c r="T291" t="s">
        <v>41</v>
      </c>
      <c r="U291">
        <v>0</v>
      </c>
      <c r="V291">
        <v>0</v>
      </c>
      <c r="AI291" t="s">
        <v>102</v>
      </c>
      <c r="AJ291">
        <v>0</v>
      </c>
      <c r="AK291">
        <v>0</v>
      </c>
    </row>
    <row r="292" spans="5:37" x14ac:dyDescent="0.25">
      <c r="E292" t="s">
        <v>25</v>
      </c>
      <c r="F292">
        <v>0</v>
      </c>
      <c r="G292">
        <v>0</v>
      </c>
      <c r="T292" t="s">
        <v>41</v>
      </c>
      <c r="U292">
        <v>0</v>
      </c>
      <c r="V292">
        <v>0</v>
      </c>
      <c r="AI292" t="s">
        <v>102</v>
      </c>
      <c r="AJ292">
        <v>0</v>
      </c>
      <c r="AK292">
        <v>0</v>
      </c>
    </row>
    <row r="293" spans="5:37" x14ac:dyDescent="0.25">
      <c r="E293" t="s">
        <v>25</v>
      </c>
      <c r="F293">
        <v>0</v>
      </c>
      <c r="G293">
        <v>0</v>
      </c>
      <c r="T293" t="s">
        <v>41</v>
      </c>
      <c r="U293">
        <v>0</v>
      </c>
      <c r="V293">
        <v>0</v>
      </c>
      <c r="AI293" t="s">
        <v>102</v>
      </c>
      <c r="AJ293">
        <v>0</v>
      </c>
      <c r="AK293">
        <v>0</v>
      </c>
    </row>
    <row r="294" spans="5:37" x14ac:dyDescent="0.25">
      <c r="E294" t="s">
        <v>25</v>
      </c>
      <c r="F294">
        <v>0</v>
      </c>
      <c r="G294">
        <v>0</v>
      </c>
      <c r="T294" t="s">
        <v>41</v>
      </c>
      <c r="U294">
        <v>0</v>
      </c>
      <c r="V294">
        <v>0</v>
      </c>
      <c r="AI294" t="s">
        <v>102</v>
      </c>
      <c r="AJ294">
        <v>0</v>
      </c>
      <c r="AK294">
        <v>0</v>
      </c>
    </row>
    <row r="295" spans="5:37" x14ac:dyDescent="0.25">
      <c r="E295" t="s">
        <v>378</v>
      </c>
      <c r="F295">
        <v>0</v>
      </c>
      <c r="G295">
        <v>0</v>
      </c>
      <c r="T295" t="s">
        <v>41</v>
      </c>
      <c r="U295">
        <v>0</v>
      </c>
      <c r="V295">
        <v>0</v>
      </c>
      <c r="AI295" t="s">
        <v>102</v>
      </c>
      <c r="AJ295">
        <v>0</v>
      </c>
      <c r="AK295">
        <v>0</v>
      </c>
    </row>
    <row r="296" spans="5:37" x14ac:dyDescent="0.25">
      <c r="E296" t="s">
        <v>378</v>
      </c>
      <c r="F296">
        <v>0</v>
      </c>
      <c r="G296">
        <v>0</v>
      </c>
      <c r="T296" t="s">
        <v>41</v>
      </c>
      <c r="U296">
        <v>0</v>
      </c>
      <c r="V296">
        <v>0</v>
      </c>
      <c r="AI296" t="s">
        <v>102</v>
      </c>
      <c r="AJ296">
        <v>0</v>
      </c>
      <c r="AK296">
        <v>0</v>
      </c>
    </row>
    <row r="297" spans="5:37" x14ac:dyDescent="0.25">
      <c r="E297" t="s">
        <v>378</v>
      </c>
      <c r="F297">
        <v>0</v>
      </c>
      <c r="G297">
        <v>0</v>
      </c>
      <c r="T297" t="s">
        <v>41</v>
      </c>
      <c r="U297">
        <v>0</v>
      </c>
      <c r="V297">
        <v>0</v>
      </c>
      <c r="AI297" t="s">
        <v>102</v>
      </c>
      <c r="AJ297">
        <v>35000</v>
      </c>
      <c r="AK297">
        <v>0</v>
      </c>
    </row>
    <row r="298" spans="5:37" x14ac:dyDescent="0.25">
      <c r="E298" t="s">
        <v>266</v>
      </c>
      <c r="F298">
        <v>0</v>
      </c>
      <c r="G298">
        <v>0</v>
      </c>
      <c r="T298" t="s">
        <v>41</v>
      </c>
      <c r="U298">
        <v>0</v>
      </c>
      <c r="V298">
        <v>45000</v>
      </c>
      <c r="AI298" t="s">
        <v>102</v>
      </c>
      <c r="AJ298">
        <v>0</v>
      </c>
      <c r="AK298">
        <v>0</v>
      </c>
    </row>
    <row r="299" spans="5:37" x14ac:dyDescent="0.25">
      <c r="E299" t="s">
        <v>266</v>
      </c>
      <c r="F299">
        <v>0</v>
      </c>
      <c r="G299">
        <v>0</v>
      </c>
      <c r="T299" t="s">
        <v>41</v>
      </c>
      <c r="U299">
        <v>0</v>
      </c>
      <c r="V299">
        <v>0</v>
      </c>
      <c r="AI299" t="s">
        <v>102</v>
      </c>
      <c r="AJ299">
        <v>0</v>
      </c>
      <c r="AK299">
        <v>0</v>
      </c>
    </row>
    <row r="300" spans="5:37" x14ac:dyDescent="0.25">
      <c r="E300" t="s">
        <v>266</v>
      </c>
      <c r="F300">
        <v>0</v>
      </c>
      <c r="G300">
        <v>0</v>
      </c>
      <c r="T300" t="s">
        <v>41</v>
      </c>
      <c r="U300">
        <v>0</v>
      </c>
      <c r="V300">
        <v>0</v>
      </c>
      <c r="AI300" t="s">
        <v>102</v>
      </c>
      <c r="AJ300">
        <v>0</v>
      </c>
      <c r="AK300">
        <v>0</v>
      </c>
    </row>
    <row r="301" spans="5:37" x14ac:dyDescent="0.25">
      <c r="E301" t="s">
        <v>266</v>
      </c>
      <c r="F301">
        <v>0</v>
      </c>
      <c r="G301">
        <v>0</v>
      </c>
      <c r="T301" t="s">
        <v>41</v>
      </c>
      <c r="U301">
        <v>0</v>
      </c>
      <c r="V301">
        <v>0</v>
      </c>
      <c r="AI301" t="s">
        <v>102</v>
      </c>
      <c r="AJ301">
        <v>0</v>
      </c>
      <c r="AK301">
        <v>0</v>
      </c>
    </row>
    <row r="302" spans="5:37" x14ac:dyDescent="0.25">
      <c r="E302" t="s">
        <v>266</v>
      </c>
      <c r="F302">
        <v>0</v>
      </c>
      <c r="G302">
        <v>0</v>
      </c>
      <c r="T302" t="s">
        <v>41</v>
      </c>
      <c r="U302">
        <v>0</v>
      </c>
      <c r="V302">
        <v>0</v>
      </c>
      <c r="AI302" t="s">
        <v>102</v>
      </c>
      <c r="AJ302">
        <v>0</v>
      </c>
      <c r="AK302">
        <v>0</v>
      </c>
    </row>
    <row r="303" spans="5:37" x14ac:dyDescent="0.25">
      <c r="E303" t="s">
        <v>266</v>
      </c>
      <c r="F303">
        <v>0</v>
      </c>
      <c r="G303">
        <v>0</v>
      </c>
      <c r="T303" t="s">
        <v>41</v>
      </c>
      <c r="U303">
        <v>0</v>
      </c>
      <c r="V303">
        <v>0</v>
      </c>
      <c r="AI303" t="s">
        <v>102</v>
      </c>
      <c r="AJ303">
        <v>0</v>
      </c>
      <c r="AK303">
        <v>0</v>
      </c>
    </row>
    <row r="304" spans="5:37" x14ac:dyDescent="0.25">
      <c r="E304" t="s">
        <v>266</v>
      </c>
      <c r="F304">
        <v>0</v>
      </c>
      <c r="G304">
        <v>0</v>
      </c>
      <c r="T304" t="s">
        <v>41</v>
      </c>
      <c r="U304">
        <v>0</v>
      </c>
      <c r="V304">
        <v>0</v>
      </c>
      <c r="AI304" t="s">
        <v>102</v>
      </c>
      <c r="AJ304">
        <v>0</v>
      </c>
      <c r="AK304">
        <v>0</v>
      </c>
    </row>
    <row r="305" spans="5:37" x14ac:dyDescent="0.25">
      <c r="E305" t="s">
        <v>266</v>
      </c>
      <c r="F305">
        <v>0</v>
      </c>
      <c r="G305">
        <v>17000</v>
      </c>
      <c r="T305" t="s">
        <v>41</v>
      </c>
      <c r="U305">
        <v>0</v>
      </c>
      <c r="V305">
        <v>0</v>
      </c>
      <c r="AI305" t="s">
        <v>102</v>
      </c>
      <c r="AJ305">
        <v>0</v>
      </c>
      <c r="AK305">
        <v>0</v>
      </c>
    </row>
    <row r="306" spans="5:37" x14ac:dyDescent="0.25">
      <c r="E306" t="s">
        <v>266</v>
      </c>
      <c r="F306">
        <v>0</v>
      </c>
      <c r="G306">
        <v>0</v>
      </c>
      <c r="T306" t="s">
        <v>41</v>
      </c>
      <c r="U306">
        <v>0</v>
      </c>
      <c r="V306">
        <v>0</v>
      </c>
      <c r="AI306" t="s">
        <v>102</v>
      </c>
      <c r="AJ306">
        <v>0</v>
      </c>
      <c r="AK306">
        <v>0</v>
      </c>
    </row>
    <row r="307" spans="5:37" x14ac:dyDescent="0.25">
      <c r="E307" t="s">
        <v>266</v>
      </c>
      <c r="F307">
        <v>0</v>
      </c>
      <c r="G307">
        <v>0</v>
      </c>
      <c r="T307" t="s">
        <v>41</v>
      </c>
      <c r="U307">
        <v>0</v>
      </c>
      <c r="V307">
        <v>0</v>
      </c>
      <c r="AI307" t="s">
        <v>102</v>
      </c>
      <c r="AJ307">
        <v>0</v>
      </c>
      <c r="AK307">
        <v>23000</v>
      </c>
    </row>
    <row r="308" spans="5:37" x14ac:dyDescent="0.25">
      <c r="E308" t="s">
        <v>266</v>
      </c>
      <c r="F308">
        <v>0</v>
      </c>
      <c r="G308">
        <v>0</v>
      </c>
      <c r="T308" t="s">
        <v>41</v>
      </c>
      <c r="U308">
        <v>0</v>
      </c>
      <c r="V308">
        <v>0</v>
      </c>
      <c r="AI308" t="s">
        <v>102</v>
      </c>
      <c r="AJ308">
        <v>0</v>
      </c>
      <c r="AK308">
        <v>0</v>
      </c>
    </row>
    <row r="309" spans="5:37" x14ac:dyDescent="0.25">
      <c r="E309" t="s">
        <v>266</v>
      </c>
      <c r="F309">
        <v>0</v>
      </c>
      <c r="G309">
        <v>0</v>
      </c>
      <c r="T309" t="s">
        <v>41</v>
      </c>
      <c r="U309">
        <v>0</v>
      </c>
      <c r="V309">
        <v>0</v>
      </c>
      <c r="AI309" t="s">
        <v>102</v>
      </c>
      <c r="AJ309">
        <v>0</v>
      </c>
      <c r="AK309">
        <v>0</v>
      </c>
    </row>
    <row r="310" spans="5:37" x14ac:dyDescent="0.25">
      <c r="E310" t="s">
        <v>266</v>
      </c>
      <c r="F310">
        <v>0</v>
      </c>
      <c r="G310">
        <v>0</v>
      </c>
      <c r="T310" t="s">
        <v>41</v>
      </c>
      <c r="U310">
        <v>0</v>
      </c>
      <c r="V310">
        <v>0</v>
      </c>
      <c r="AI310" t="s">
        <v>102</v>
      </c>
      <c r="AJ310">
        <v>0</v>
      </c>
      <c r="AK310">
        <v>0</v>
      </c>
    </row>
    <row r="311" spans="5:37" x14ac:dyDescent="0.25">
      <c r="E311" t="s">
        <v>266</v>
      </c>
      <c r="F311">
        <v>0</v>
      </c>
      <c r="G311">
        <v>0</v>
      </c>
      <c r="T311" t="s">
        <v>41</v>
      </c>
      <c r="U311">
        <v>0</v>
      </c>
      <c r="V311">
        <v>0</v>
      </c>
      <c r="AI311" t="s">
        <v>102</v>
      </c>
      <c r="AJ311">
        <v>0</v>
      </c>
      <c r="AK311">
        <v>0</v>
      </c>
    </row>
    <row r="312" spans="5:37" x14ac:dyDescent="0.25">
      <c r="E312" t="s">
        <v>266</v>
      </c>
      <c r="F312">
        <v>0</v>
      </c>
      <c r="G312">
        <v>24000</v>
      </c>
      <c r="T312" t="s">
        <v>41</v>
      </c>
      <c r="U312">
        <v>0</v>
      </c>
      <c r="V312">
        <v>0</v>
      </c>
      <c r="AI312" t="s">
        <v>102</v>
      </c>
      <c r="AJ312">
        <v>0</v>
      </c>
      <c r="AK312">
        <v>0</v>
      </c>
    </row>
    <row r="313" spans="5:37" x14ac:dyDescent="0.25">
      <c r="E313" t="s">
        <v>266</v>
      </c>
      <c r="F313">
        <v>0</v>
      </c>
      <c r="G313">
        <v>11000</v>
      </c>
      <c r="T313" t="s">
        <v>41</v>
      </c>
      <c r="U313">
        <v>0</v>
      </c>
      <c r="V313">
        <v>0</v>
      </c>
      <c r="AI313" t="s">
        <v>102</v>
      </c>
      <c r="AJ313">
        <v>0</v>
      </c>
      <c r="AK313">
        <v>0</v>
      </c>
    </row>
    <row r="314" spans="5:37" x14ac:dyDescent="0.25">
      <c r="E314" t="s">
        <v>266</v>
      </c>
      <c r="F314">
        <v>0</v>
      </c>
      <c r="G314">
        <v>0</v>
      </c>
      <c r="T314" t="s">
        <v>41</v>
      </c>
      <c r="U314">
        <v>0</v>
      </c>
      <c r="V314">
        <v>0</v>
      </c>
      <c r="AI314" t="s">
        <v>102</v>
      </c>
      <c r="AJ314">
        <v>0</v>
      </c>
      <c r="AK314">
        <v>31000</v>
      </c>
    </row>
    <row r="315" spans="5:37" x14ac:dyDescent="0.25">
      <c r="E315" t="s">
        <v>266</v>
      </c>
      <c r="F315">
        <v>0</v>
      </c>
      <c r="G315">
        <v>0</v>
      </c>
      <c r="T315" t="s">
        <v>41</v>
      </c>
      <c r="U315">
        <v>0</v>
      </c>
      <c r="V315">
        <v>0</v>
      </c>
      <c r="AI315" t="s">
        <v>102</v>
      </c>
      <c r="AJ315">
        <v>0</v>
      </c>
      <c r="AK315">
        <v>0</v>
      </c>
    </row>
    <row r="316" spans="5:37" x14ac:dyDescent="0.25">
      <c r="E316" t="s">
        <v>266</v>
      </c>
      <c r="F316">
        <v>0</v>
      </c>
      <c r="G316">
        <v>0</v>
      </c>
      <c r="T316" t="s">
        <v>41</v>
      </c>
      <c r="U316">
        <v>20000</v>
      </c>
      <c r="V316">
        <v>0</v>
      </c>
      <c r="AI316" t="s">
        <v>102</v>
      </c>
      <c r="AJ316">
        <v>0</v>
      </c>
      <c r="AK316">
        <v>0</v>
      </c>
    </row>
    <row r="317" spans="5:37" x14ac:dyDescent="0.25">
      <c r="E317" t="s">
        <v>266</v>
      </c>
      <c r="F317">
        <v>0</v>
      </c>
      <c r="G317">
        <v>0</v>
      </c>
      <c r="T317" t="s">
        <v>41</v>
      </c>
      <c r="U317">
        <v>0</v>
      </c>
      <c r="V317">
        <v>0</v>
      </c>
      <c r="AI317" t="s">
        <v>102</v>
      </c>
      <c r="AJ317">
        <v>0</v>
      </c>
      <c r="AK317">
        <v>0</v>
      </c>
    </row>
    <row r="318" spans="5:37" x14ac:dyDescent="0.25">
      <c r="E318" t="s">
        <v>266</v>
      </c>
      <c r="F318">
        <v>0</v>
      </c>
      <c r="G318">
        <v>0</v>
      </c>
      <c r="T318" t="s">
        <v>41</v>
      </c>
      <c r="U318">
        <v>0</v>
      </c>
      <c r="V318">
        <v>40000</v>
      </c>
      <c r="AI318" t="s">
        <v>102</v>
      </c>
      <c r="AJ318">
        <v>0</v>
      </c>
      <c r="AK318">
        <v>0</v>
      </c>
    </row>
    <row r="319" spans="5:37" x14ac:dyDescent="0.25">
      <c r="E319" t="s">
        <v>266</v>
      </c>
      <c r="F319">
        <v>0</v>
      </c>
      <c r="G319">
        <v>0</v>
      </c>
      <c r="T319" t="s">
        <v>41</v>
      </c>
      <c r="U319">
        <v>0</v>
      </c>
      <c r="V319">
        <v>0</v>
      </c>
      <c r="AI319" t="s">
        <v>102</v>
      </c>
      <c r="AJ319">
        <v>0</v>
      </c>
      <c r="AK319">
        <v>0</v>
      </c>
    </row>
    <row r="320" spans="5:37" x14ac:dyDescent="0.25">
      <c r="E320" t="s">
        <v>266</v>
      </c>
      <c r="F320">
        <v>0</v>
      </c>
      <c r="G320">
        <v>0</v>
      </c>
      <c r="T320" t="s">
        <v>41</v>
      </c>
      <c r="U320">
        <v>0</v>
      </c>
      <c r="V320">
        <v>0</v>
      </c>
      <c r="AI320" t="s">
        <v>102</v>
      </c>
      <c r="AJ320">
        <v>0</v>
      </c>
      <c r="AK320">
        <v>0</v>
      </c>
    </row>
    <row r="321" spans="5:37" x14ac:dyDescent="0.25">
      <c r="E321" t="s">
        <v>266</v>
      </c>
      <c r="F321">
        <v>0</v>
      </c>
      <c r="G321">
        <v>0</v>
      </c>
      <c r="T321" t="s">
        <v>41</v>
      </c>
      <c r="U321">
        <v>0</v>
      </c>
      <c r="V321">
        <v>0</v>
      </c>
      <c r="AI321" t="s">
        <v>102</v>
      </c>
      <c r="AJ321">
        <v>0</v>
      </c>
      <c r="AK321">
        <v>0</v>
      </c>
    </row>
    <row r="322" spans="5:37" x14ac:dyDescent="0.25">
      <c r="E322" t="s">
        <v>266</v>
      </c>
      <c r="F322">
        <v>0</v>
      </c>
      <c r="G322">
        <v>0</v>
      </c>
      <c r="T322" t="s">
        <v>41</v>
      </c>
      <c r="U322">
        <v>0</v>
      </c>
      <c r="V322">
        <v>0</v>
      </c>
      <c r="AI322" t="s">
        <v>102</v>
      </c>
      <c r="AJ322">
        <v>0</v>
      </c>
      <c r="AK322">
        <v>0</v>
      </c>
    </row>
    <row r="323" spans="5:37" x14ac:dyDescent="0.25">
      <c r="E323" t="s">
        <v>266</v>
      </c>
      <c r="F323">
        <v>0</v>
      </c>
      <c r="G323">
        <v>10000</v>
      </c>
      <c r="T323" t="s">
        <v>41</v>
      </c>
      <c r="U323">
        <v>0</v>
      </c>
      <c r="V323">
        <v>0</v>
      </c>
      <c r="AI323" t="s">
        <v>102</v>
      </c>
      <c r="AJ323">
        <v>0</v>
      </c>
      <c r="AK323">
        <v>0</v>
      </c>
    </row>
    <row r="324" spans="5:37" x14ac:dyDescent="0.25">
      <c r="E324" t="s">
        <v>266</v>
      </c>
      <c r="F324">
        <v>0</v>
      </c>
      <c r="G324">
        <v>0</v>
      </c>
      <c r="T324" t="s">
        <v>41</v>
      </c>
      <c r="U324">
        <v>0</v>
      </c>
      <c r="V324">
        <v>0</v>
      </c>
      <c r="AI324" t="s">
        <v>102</v>
      </c>
      <c r="AJ324">
        <v>0</v>
      </c>
      <c r="AK324">
        <v>0</v>
      </c>
    </row>
    <row r="325" spans="5:37" x14ac:dyDescent="0.25">
      <c r="E325" t="s">
        <v>266</v>
      </c>
      <c r="F325">
        <v>0</v>
      </c>
      <c r="G325">
        <v>0</v>
      </c>
      <c r="T325" t="s">
        <v>41</v>
      </c>
      <c r="U325">
        <v>0</v>
      </c>
      <c r="V325">
        <v>0</v>
      </c>
      <c r="AI325" t="s">
        <v>102</v>
      </c>
      <c r="AJ325">
        <v>0</v>
      </c>
      <c r="AK325">
        <v>0</v>
      </c>
    </row>
    <row r="326" spans="5:37" x14ac:dyDescent="0.25">
      <c r="E326" t="s">
        <v>266</v>
      </c>
      <c r="F326">
        <v>0</v>
      </c>
      <c r="G326">
        <v>0</v>
      </c>
      <c r="T326" t="s">
        <v>41</v>
      </c>
      <c r="U326">
        <v>0</v>
      </c>
      <c r="V326">
        <v>0</v>
      </c>
      <c r="AI326" t="s">
        <v>53</v>
      </c>
      <c r="AJ326">
        <v>0</v>
      </c>
      <c r="AK326">
        <v>30000</v>
      </c>
    </row>
    <row r="327" spans="5:37" x14ac:dyDescent="0.25">
      <c r="E327" t="s">
        <v>266</v>
      </c>
      <c r="F327">
        <v>0</v>
      </c>
      <c r="G327">
        <v>0</v>
      </c>
      <c r="T327" t="s">
        <v>41</v>
      </c>
      <c r="U327">
        <v>0</v>
      </c>
      <c r="V327">
        <v>0</v>
      </c>
      <c r="AI327" t="s">
        <v>53</v>
      </c>
      <c r="AJ327">
        <v>40000</v>
      </c>
      <c r="AK327">
        <v>0</v>
      </c>
    </row>
    <row r="328" spans="5:37" x14ac:dyDescent="0.25">
      <c r="E328" t="s">
        <v>266</v>
      </c>
      <c r="F328">
        <v>0</v>
      </c>
      <c r="G328">
        <v>0</v>
      </c>
      <c r="T328" t="s">
        <v>41</v>
      </c>
      <c r="U328">
        <v>0</v>
      </c>
      <c r="V328">
        <v>0</v>
      </c>
      <c r="AI328" t="s">
        <v>53</v>
      </c>
      <c r="AJ328">
        <v>0</v>
      </c>
      <c r="AK328">
        <v>0</v>
      </c>
    </row>
    <row r="329" spans="5:37" x14ac:dyDescent="0.25">
      <c r="E329" t="s">
        <v>266</v>
      </c>
      <c r="F329">
        <v>0</v>
      </c>
      <c r="G329">
        <v>0</v>
      </c>
      <c r="T329" t="s">
        <v>41</v>
      </c>
      <c r="U329">
        <v>0</v>
      </c>
      <c r="V329">
        <v>0</v>
      </c>
      <c r="AI329" t="s">
        <v>54</v>
      </c>
      <c r="AJ329">
        <v>33000</v>
      </c>
      <c r="AK329">
        <v>0</v>
      </c>
    </row>
    <row r="330" spans="5:37" x14ac:dyDescent="0.25">
      <c r="E330" t="s">
        <v>266</v>
      </c>
      <c r="F330">
        <v>0</v>
      </c>
      <c r="G330">
        <v>0</v>
      </c>
      <c r="T330" t="s">
        <v>41</v>
      </c>
      <c r="U330">
        <v>0</v>
      </c>
      <c r="V330">
        <v>0</v>
      </c>
      <c r="AI330" t="s">
        <v>54</v>
      </c>
      <c r="AJ330">
        <v>33000</v>
      </c>
      <c r="AK330">
        <v>0</v>
      </c>
    </row>
    <row r="331" spans="5:37" x14ac:dyDescent="0.25">
      <c r="E331" t="s">
        <v>266</v>
      </c>
      <c r="F331">
        <v>0</v>
      </c>
      <c r="G331">
        <v>22000</v>
      </c>
      <c r="T331" t="s">
        <v>41</v>
      </c>
      <c r="U331">
        <v>0</v>
      </c>
      <c r="V331">
        <v>0</v>
      </c>
      <c r="AI331" t="s">
        <v>54</v>
      </c>
      <c r="AJ331">
        <v>20000</v>
      </c>
      <c r="AK331">
        <v>0</v>
      </c>
    </row>
    <row r="332" spans="5:37" x14ac:dyDescent="0.25">
      <c r="E332" t="s">
        <v>266</v>
      </c>
      <c r="F332">
        <v>0</v>
      </c>
      <c r="G332">
        <v>0</v>
      </c>
      <c r="T332" t="s">
        <v>41</v>
      </c>
      <c r="U332">
        <v>0</v>
      </c>
      <c r="V332">
        <v>0</v>
      </c>
      <c r="AI332" t="s">
        <v>54</v>
      </c>
      <c r="AJ332">
        <v>35000</v>
      </c>
      <c r="AK332">
        <v>0</v>
      </c>
    </row>
    <row r="333" spans="5:37" x14ac:dyDescent="0.25">
      <c r="E333" t="s">
        <v>266</v>
      </c>
      <c r="F333">
        <v>0</v>
      </c>
      <c r="G333">
        <v>0</v>
      </c>
      <c r="T333" t="s">
        <v>41</v>
      </c>
      <c r="U333">
        <v>0</v>
      </c>
      <c r="V333">
        <v>0</v>
      </c>
      <c r="AI333" t="s">
        <v>54</v>
      </c>
      <c r="AJ333">
        <v>0</v>
      </c>
      <c r="AK333">
        <v>0</v>
      </c>
    </row>
    <row r="334" spans="5:37" x14ac:dyDescent="0.25">
      <c r="E334" t="s">
        <v>266</v>
      </c>
      <c r="F334">
        <v>0</v>
      </c>
      <c r="G334">
        <v>19000</v>
      </c>
      <c r="T334" t="s">
        <v>41</v>
      </c>
      <c r="U334">
        <v>0</v>
      </c>
      <c r="V334">
        <v>0</v>
      </c>
      <c r="AI334" t="s">
        <v>54</v>
      </c>
      <c r="AJ334">
        <v>0</v>
      </c>
      <c r="AK334">
        <v>0</v>
      </c>
    </row>
    <row r="335" spans="5:37" x14ac:dyDescent="0.25">
      <c r="E335" t="s">
        <v>266</v>
      </c>
      <c r="F335">
        <v>0</v>
      </c>
      <c r="G335">
        <v>0</v>
      </c>
      <c r="T335" t="s">
        <v>41</v>
      </c>
      <c r="U335">
        <v>0</v>
      </c>
      <c r="V335">
        <v>0</v>
      </c>
      <c r="AI335" t="s">
        <v>54</v>
      </c>
      <c r="AJ335">
        <v>0</v>
      </c>
      <c r="AK335">
        <v>30000</v>
      </c>
    </row>
    <row r="336" spans="5:37" x14ac:dyDescent="0.25">
      <c r="E336" t="s">
        <v>266</v>
      </c>
      <c r="F336">
        <v>0</v>
      </c>
      <c r="G336">
        <v>0</v>
      </c>
      <c r="T336" t="s">
        <v>41</v>
      </c>
      <c r="U336">
        <v>0</v>
      </c>
      <c r="V336">
        <v>0</v>
      </c>
      <c r="AI336" t="s">
        <v>55</v>
      </c>
      <c r="AJ336">
        <v>40000</v>
      </c>
      <c r="AK336">
        <v>0</v>
      </c>
    </row>
    <row r="337" spans="5:37" x14ac:dyDescent="0.25">
      <c r="E337" t="s">
        <v>266</v>
      </c>
      <c r="F337">
        <v>4000</v>
      </c>
      <c r="G337">
        <v>0</v>
      </c>
      <c r="T337" t="s">
        <v>41</v>
      </c>
      <c r="U337">
        <v>0</v>
      </c>
      <c r="V337">
        <v>0</v>
      </c>
      <c r="AI337" t="s">
        <v>55</v>
      </c>
      <c r="AJ337">
        <v>40000</v>
      </c>
      <c r="AK337">
        <v>0</v>
      </c>
    </row>
    <row r="338" spans="5:37" x14ac:dyDescent="0.25">
      <c r="E338" t="s">
        <v>266</v>
      </c>
      <c r="F338">
        <v>0</v>
      </c>
      <c r="G338">
        <v>0</v>
      </c>
      <c r="T338" t="s">
        <v>41</v>
      </c>
      <c r="U338">
        <v>0</v>
      </c>
      <c r="V338">
        <v>0</v>
      </c>
      <c r="AI338" t="s">
        <v>55</v>
      </c>
      <c r="AJ338">
        <v>38000</v>
      </c>
      <c r="AK338">
        <v>0</v>
      </c>
    </row>
    <row r="339" spans="5:37" x14ac:dyDescent="0.25">
      <c r="E339" t="s">
        <v>266</v>
      </c>
      <c r="F339">
        <v>0</v>
      </c>
      <c r="G339">
        <v>0</v>
      </c>
      <c r="T339" t="s">
        <v>41</v>
      </c>
      <c r="U339">
        <v>0</v>
      </c>
      <c r="V339">
        <v>0</v>
      </c>
      <c r="AI339" t="s">
        <v>55</v>
      </c>
      <c r="AJ339">
        <v>40000</v>
      </c>
      <c r="AK339">
        <v>0</v>
      </c>
    </row>
    <row r="340" spans="5:37" x14ac:dyDescent="0.25">
      <c r="E340" t="s">
        <v>266</v>
      </c>
      <c r="F340">
        <v>0</v>
      </c>
      <c r="G340">
        <v>0</v>
      </c>
      <c r="T340" t="s">
        <v>41</v>
      </c>
      <c r="U340">
        <v>0</v>
      </c>
      <c r="V340">
        <v>0</v>
      </c>
      <c r="AI340" t="s">
        <v>420</v>
      </c>
      <c r="AJ340">
        <v>0</v>
      </c>
      <c r="AK340">
        <v>0</v>
      </c>
    </row>
    <row r="341" spans="5:37" x14ac:dyDescent="0.25">
      <c r="E341" t="s">
        <v>266</v>
      </c>
      <c r="F341">
        <v>0</v>
      </c>
      <c r="G341">
        <v>0</v>
      </c>
      <c r="T341" t="s">
        <v>41</v>
      </c>
      <c r="U341">
        <v>0</v>
      </c>
      <c r="V341">
        <v>0</v>
      </c>
      <c r="AI341" t="s">
        <v>420</v>
      </c>
      <c r="AJ341">
        <v>0</v>
      </c>
      <c r="AK341">
        <v>0</v>
      </c>
    </row>
    <row r="342" spans="5:37" x14ac:dyDescent="0.25">
      <c r="E342" t="s">
        <v>266</v>
      </c>
      <c r="F342">
        <v>0</v>
      </c>
      <c r="G342">
        <v>0</v>
      </c>
      <c r="T342" t="s">
        <v>41</v>
      </c>
      <c r="U342">
        <v>0</v>
      </c>
      <c r="V342">
        <v>0</v>
      </c>
      <c r="AI342" t="s">
        <v>420</v>
      </c>
      <c r="AJ342">
        <v>0</v>
      </c>
      <c r="AK342">
        <v>0</v>
      </c>
    </row>
    <row r="343" spans="5:37" x14ac:dyDescent="0.25">
      <c r="E343" t="s">
        <v>266</v>
      </c>
      <c r="F343">
        <v>0</v>
      </c>
      <c r="G343">
        <v>0</v>
      </c>
      <c r="T343" t="s">
        <v>41</v>
      </c>
      <c r="U343">
        <v>20000</v>
      </c>
      <c r="V343">
        <v>0</v>
      </c>
      <c r="AI343" t="s">
        <v>420</v>
      </c>
      <c r="AJ343">
        <v>0</v>
      </c>
      <c r="AK343">
        <v>0</v>
      </c>
    </row>
    <row r="344" spans="5:37" x14ac:dyDescent="0.25">
      <c r="E344" t="s">
        <v>266</v>
      </c>
      <c r="F344">
        <v>0</v>
      </c>
      <c r="G344">
        <v>0</v>
      </c>
      <c r="T344" t="s">
        <v>41</v>
      </c>
      <c r="U344">
        <v>0</v>
      </c>
      <c r="V344">
        <v>0</v>
      </c>
      <c r="AI344" t="s">
        <v>420</v>
      </c>
      <c r="AJ344">
        <v>0</v>
      </c>
      <c r="AK344">
        <v>0</v>
      </c>
    </row>
    <row r="345" spans="5:37" x14ac:dyDescent="0.25">
      <c r="E345" t="s">
        <v>266</v>
      </c>
      <c r="F345">
        <v>0</v>
      </c>
      <c r="G345">
        <v>0</v>
      </c>
      <c r="T345" t="s">
        <v>41</v>
      </c>
      <c r="U345">
        <v>0</v>
      </c>
      <c r="V345">
        <v>0</v>
      </c>
      <c r="AI345" t="s">
        <v>420</v>
      </c>
      <c r="AJ345">
        <v>0</v>
      </c>
      <c r="AK345">
        <v>0</v>
      </c>
    </row>
    <row r="346" spans="5:37" x14ac:dyDescent="0.25">
      <c r="E346" t="s">
        <v>266</v>
      </c>
      <c r="F346">
        <v>0</v>
      </c>
      <c r="G346">
        <v>0</v>
      </c>
      <c r="T346" t="s">
        <v>41</v>
      </c>
      <c r="U346">
        <v>0</v>
      </c>
      <c r="V346">
        <v>0</v>
      </c>
      <c r="AI346" t="s">
        <v>420</v>
      </c>
      <c r="AJ346">
        <v>0</v>
      </c>
      <c r="AK346">
        <v>0</v>
      </c>
    </row>
    <row r="347" spans="5:37" x14ac:dyDescent="0.25">
      <c r="E347" t="s">
        <v>266</v>
      </c>
      <c r="F347">
        <v>0</v>
      </c>
      <c r="G347">
        <v>0</v>
      </c>
      <c r="T347" t="s">
        <v>41</v>
      </c>
      <c r="U347">
        <v>0</v>
      </c>
      <c r="V347">
        <v>0</v>
      </c>
      <c r="AI347" t="s">
        <v>420</v>
      </c>
      <c r="AJ347">
        <v>0</v>
      </c>
      <c r="AK347">
        <v>0</v>
      </c>
    </row>
    <row r="348" spans="5:37" x14ac:dyDescent="0.25">
      <c r="E348" t="s">
        <v>266</v>
      </c>
      <c r="F348">
        <v>0</v>
      </c>
      <c r="G348">
        <v>0</v>
      </c>
      <c r="T348" t="s">
        <v>41</v>
      </c>
      <c r="U348">
        <v>0</v>
      </c>
      <c r="V348">
        <v>0</v>
      </c>
      <c r="AI348" t="s">
        <v>420</v>
      </c>
      <c r="AJ348">
        <v>0</v>
      </c>
      <c r="AK348">
        <v>0</v>
      </c>
    </row>
    <row r="349" spans="5:37" x14ac:dyDescent="0.25">
      <c r="E349" t="s">
        <v>266</v>
      </c>
      <c r="F349">
        <v>0</v>
      </c>
      <c r="G349">
        <v>0</v>
      </c>
      <c r="T349" t="s">
        <v>41</v>
      </c>
      <c r="U349">
        <v>0</v>
      </c>
      <c r="V349">
        <v>0</v>
      </c>
      <c r="AI349" t="s">
        <v>420</v>
      </c>
      <c r="AJ349">
        <v>0</v>
      </c>
      <c r="AK349">
        <v>0</v>
      </c>
    </row>
    <row r="350" spans="5:37" x14ac:dyDescent="0.25">
      <c r="E350" t="s">
        <v>266</v>
      </c>
      <c r="F350">
        <v>0</v>
      </c>
      <c r="G350">
        <v>0</v>
      </c>
      <c r="T350" t="s">
        <v>41</v>
      </c>
      <c r="U350">
        <v>0</v>
      </c>
      <c r="V350">
        <v>0</v>
      </c>
      <c r="AI350" t="s">
        <v>420</v>
      </c>
      <c r="AJ350">
        <v>0</v>
      </c>
      <c r="AK350">
        <v>0</v>
      </c>
    </row>
    <row r="351" spans="5:37" x14ac:dyDescent="0.25">
      <c r="E351" t="s">
        <v>266</v>
      </c>
      <c r="F351">
        <v>0</v>
      </c>
      <c r="G351">
        <v>0</v>
      </c>
      <c r="T351" t="s">
        <v>41</v>
      </c>
      <c r="U351">
        <v>0</v>
      </c>
      <c r="V351">
        <v>0</v>
      </c>
      <c r="AI351" t="s">
        <v>420</v>
      </c>
      <c r="AJ351">
        <v>0</v>
      </c>
      <c r="AK351">
        <v>0</v>
      </c>
    </row>
    <row r="352" spans="5:37" x14ac:dyDescent="0.25">
      <c r="E352" t="s">
        <v>266</v>
      </c>
      <c r="F352">
        <v>0</v>
      </c>
      <c r="G352">
        <v>0</v>
      </c>
      <c r="T352" t="s">
        <v>41</v>
      </c>
      <c r="U352">
        <v>0</v>
      </c>
      <c r="V352">
        <v>0</v>
      </c>
      <c r="AI352" t="s">
        <v>420</v>
      </c>
      <c r="AJ352">
        <v>0</v>
      </c>
      <c r="AK352">
        <v>0</v>
      </c>
    </row>
    <row r="353" spans="5:37" x14ac:dyDescent="0.25">
      <c r="E353" t="s">
        <v>266</v>
      </c>
      <c r="F353">
        <v>0</v>
      </c>
      <c r="G353">
        <v>0</v>
      </c>
      <c r="T353" t="s">
        <v>41</v>
      </c>
      <c r="U353">
        <v>0</v>
      </c>
      <c r="V353">
        <v>0</v>
      </c>
      <c r="AI353" t="s">
        <v>422</v>
      </c>
      <c r="AJ353">
        <v>0</v>
      </c>
      <c r="AK353">
        <v>0</v>
      </c>
    </row>
    <row r="354" spans="5:37" x14ac:dyDescent="0.25">
      <c r="E354" t="s">
        <v>266</v>
      </c>
      <c r="F354">
        <v>0</v>
      </c>
      <c r="G354">
        <v>0</v>
      </c>
      <c r="T354" t="s">
        <v>41</v>
      </c>
      <c r="U354">
        <v>0</v>
      </c>
      <c r="V354">
        <v>0</v>
      </c>
      <c r="AI354" t="s">
        <v>422</v>
      </c>
      <c r="AJ354">
        <v>0</v>
      </c>
      <c r="AK354">
        <v>0</v>
      </c>
    </row>
    <row r="355" spans="5:37" x14ac:dyDescent="0.25">
      <c r="E355" t="s">
        <v>266</v>
      </c>
      <c r="F355">
        <v>24000</v>
      </c>
      <c r="G355">
        <v>0</v>
      </c>
      <c r="T355" t="s">
        <v>41</v>
      </c>
      <c r="U355">
        <v>0</v>
      </c>
      <c r="V355">
        <v>0</v>
      </c>
      <c r="AI355" t="s">
        <v>422</v>
      </c>
      <c r="AJ355">
        <v>0</v>
      </c>
      <c r="AK355">
        <v>38000</v>
      </c>
    </row>
    <row r="356" spans="5:37" x14ac:dyDescent="0.25">
      <c r="E356" t="s">
        <v>266</v>
      </c>
      <c r="F356">
        <v>0</v>
      </c>
      <c r="G356">
        <v>0</v>
      </c>
      <c r="T356" t="s">
        <v>41</v>
      </c>
      <c r="U356">
        <v>0</v>
      </c>
      <c r="V356">
        <v>35000</v>
      </c>
      <c r="AI356" t="s">
        <v>422</v>
      </c>
      <c r="AJ356">
        <v>0</v>
      </c>
      <c r="AK356">
        <v>0</v>
      </c>
    </row>
    <row r="357" spans="5:37" x14ac:dyDescent="0.25">
      <c r="E357" t="s">
        <v>266</v>
      </c>
      <c r="F357">
        <v>3000</v>
      </c>
      <c r="G357">
        <v>0</v>
      </c>
      <c r="T357" t="s">
        <v>41</v>
      </c>
      <c r="U357">
        <v>0</v>
      </c>
      <c r="V357">
        <v>0</v>
      </c>
      <c r="AI357" t="s">
        <v>422</v>
      </c>
      <c r="AJ357">
        <v>0</v>
      </c>
      <c r="AK357">
        <v>0</v>
      </c>
    </row>
    <row r="358" spans="5:37" x14ac:dyDescent="0.25">
      <c r="E358" t="s">
        <v>266</v>
      </c>
      <c r="F358">
        <v>0</v>
      </c>
      <c r="G358">
        <v>0</v>
      </c>
      <c r="T358" t="s">
        <v>41</v>
      </c>
      <c r="U358">
        <v>0</v>
      </c>
      <c r="V358">
        <v>0</v>
      </c>
      <c r="AI358" t="s">
        <v>422</v>
      </c>
      <c r="AJ358">
        <v>0</v>
      </c>
      <c r="AK358">
        <v>0</v>
      </c>
    </row>
    <row r="359" spans="5:37" x14ac:dyDescent="0.25">
      <c r="E359" t="s">
        <v>266</v>
      </c>
      <c r="F359">
        <v>0</v>
      </c>
      <c r="G359">
        <v>0</v>
      </c>
      <c r="T359" t="s">
        <v>41</v>
      </c>
      <c r="U359">
        <v>0</v>
      </c>
      <c r="V359">
        <v>0</v>
      </c>
      <c r="AI359" t="s">
        <v>422</v>
      </c>
      <c r="AJ359">
        <v>0</v>
      </c>
      <c r="AK359">
        <v>0</v>
      </c>
    </row>
    <row r="360" spans="5:37" x14ac:dyDescent="0.25">
      <c r="E360" t="s">
        <v>266</v>
      </c>
      <c r="F360">
        <v>0</v>
      </c>
      <c r="G360">
        <v>0</v>
      </c>
      <c r="T360" t="s">
        <v>41</v>
      </c>
      <c r="U360">
        <v>0</v>
      </c>
      <c r="V360">
        <v>0</v>
      </c>
      <c r="AI360" t="s">
        <v>422</v>
      </c>
      <c r="AJ360">
        <v>0</v>
      </c>
      <c r="AK360">
        <v>0</v>
      </c>
    </row>
    <row r="361" spans="5:37" x14ac:dyDescent="0.25">
      <c r="E361" t="s">
        <v>266</v>
      </c>
      <c r="F361">
        <v>0</v>
      </c>
      <c r="G361">
        <v>0</v>
      </c>
      <c r="T361" t="s">
        <v>41</v>
      </c>
      <c r="U361">
        <v>0</v>
      </c>
      <c r="V361">
        <v>0</v>
      </c>
      <c r="AI361" t="s">
        <v>422</v>
      </c>
      <c r="AJ361">
        <v>0</v>
      </c>
      <c r="AK361">
        <v>35000</v>
      </c>
    </row>
    <row r="362" spans="5:37" x14ac:dyDescent="0.25">
      <c r="E362" t="s">
        <v>266</v>
      </c>
      <c r="F362">
        <v>0</v>
      </c>
      <c r="G362">
        <v>0</v>
      </c>
      <c r="T362" t="s">
        <v>41</v>
      </c>
      <c r="U362">
        <v>0</v>
      </c>
      <c r="V362">
        <v>0</v>
      </c>
      <c r="AI362" t="s">
        <v>422</v>
      </c>
      <c r="AJ362">
        <v>0</v>
      </c>
      <c r="AK362">
        <v>0</v>
      </c>
    </row>
    <row r="363" spans="5:37" x14ac:dyDescent="0.25">
      <c r="E363" t="s">
        <v>266</v>
      </c>
      <c r="F363">
        <v>0</v>
      </c>
      <c r="G363">
        <v>10000</v>
      </c>
      <c r="T363" t="s">
        <v>41</v>
      </c>
      <c r="U363">
        <v>0</v>
      </c>
      <c r="V363">
        <v>0</v>
      </c>
      <c r="AI363" t="s">
        <v>422</v>
      </c>
      <c r="AJ363">
        <v>0</v>
      </c>
      <c r="AK363">
        <v>0</v>
      </c>
    </row>
    <row r="364" spans="5:37" x14ac:dyDescent="0.25">
      <c r="E364" t="s">
        <v>266</v>
      </c>
      <c r="F364">
        <v>0</v>
      </c>
      <c r="G364">
        <v>0</v>
      </c>
      <c r="T364" t="s">
        <v>41</v>
      </c>
      <c r="U364">
        <v>0</v>
      </c>
      <c r="V364">
        <v>0</v>
      </c>
      <c r="AI364" t="s">
        <v>422</v>
      </c>
      <c r="AJ364">
        <v>0</v>
      </c>
      <c r="AK364">
        <v>0</v>
      </c>
    </row>
    <row r="365" spans="5:37" x14ac:dyDescent="0.25">
      <c r="E365" t="s">
        <v>266</v>
      </c>
      <c r="F365">
        <v>0</v>
      </c>
      <c r="G365">
        <v>0</v>
      </c>
      <c r="T365" t="s">
        <v>41</v>
      </c>
      <c r="U365">
        <v>0</v>
      </c>
      <c r="V365">
        <v>0</v>
      </c>
      <c r="AI365" t="s">
        <v>422</v>
      </c>
      <c r="AJ365">
        <v>0</v>
      </c>
      <c r="AK365">
        <v>0</v>
      </c>
    </row>
    <row r="366" spans="5:37" x14ac:dyDescent="0.25">
      <c r="E366" t="s">
        <v>266</v>
      </c>
      <c r="F366">
        <v>0</v>
      </c>
      <c r="G366">
        <v>20000</v>
      </c>
      <c r="T366" t="s">
        <v>41</v>
      </c>
      <c r="U366">
        <v>20000</v>
      </c>
      <c r="V366">
        <v>0</v>
      </c>
      <c r="AI366" t="s">
        <v>422</v>
      </c>
      <c r="AJ366">
        <v>0</v>
      </c>
      <c r="AK366">
        <v>0</v>
      </c>
    </row>
    <row r="367" spans="5:37" x14ac:dyDescent="0.25">
      <c r="E367" t="s">
        <v>266</v>
      </c>
      <c r="F367">
        <v>0</v>
      </c>
      <c r="G367">
        <v>0</v>
      </c>
      <c r="T367" t="s">
        <v>41</v>
      </c>
      <c r="U367">
        <v>0</v>
      </c>
      <c r="V367">
        <v>0</v>
      </c>
      <c r="AI367" t="s">
        <v>7302</v>
      </c>
      <c r="AJ367">
        <v>0</v>
      </c>
      <c r="AK367">
        <v>0</v>
      </c>
    </row>
    <row r="368" spans="5:37" x14ac:dyDescent="0.25">
      <c r="E368" t="s">
        <v>266</v>
      </c>
      <c r="F368">
        <v>0</v>
      </c>
      <c r="G368">
        <v>0</v>
      </c>
      <c r="T368" t="s">
        <v>41</v>
      </c>
      <c r="U368">
        <v>0</v>
      </c>
      <c r="V368">
        <v>0</v>
      </c>
      <c r="AI368" t="s">
        <v>7302</v>
      </c>
      <c r="AJ368">
        <v>0</v>
      </c>
      <c r="AK368">
        <v>0</v>
      </c>
    </row>
    <row r="369" spans="5:37" x14ac:dyDescent="0.25">
      <c r="E369" t="s">
        <v>266</v>
      </c>
      <c r="F369">
        <v>0</v>
      </c>
      <c r="G369">
        <v>0</v>
      </c>
      <c r="T369" t="s">
        <v>41</v>
      </c>
      <c r="U369">
        <v>0</v>
      </c>
      <c r="V369">
        <v>0</v>
      </c>
      <c r="AI369" t="s">
        <v>7302</v>
      </c>
      <c r="AJ369">
        <v>0</v>
      </c>
      <c r="AK369">
        <v>0</v>
      </c>
    </row>
    <row r="370" spans="5:37" x14ac:dyDescent="0.25">
      <c r="E370" t="s">
        <v>266</v>
      </c>
      <c r="F370">
        <v>0</v>
      </c>
      <c r="G370">
        <v>21000</v>
      </c>
      <c r="T370" t="s">
        <v>41</v>
      </c>
      <c r="U370">
        <v>0</v>
      </c>
      <c r="V370">
        <v>0</v>
      </c>
      <c r="AI370" t="s">
        <v>7302</v>
      </c>
      <c r="AJ370">
        <v>0</v>
      </c>
      <c r="AK370">
        <v>0</v>
      </c>
    </row>
    <row r="371" spans="5:37" x14ac:dyDescent="0.25">
      <c r="E371" t="s">
        <v>266</v>
      </c>
      <c r="F371">
        <v>0</v>
      </c>
      <c r="G371">
        <v>0</v>
      </c>
      <c r="T371" t="s">
        <v>41</v>
      </c>
      <c r="U371">
        <v>0</v>
      </c>
      <c r="V371">
        <v>0</v>
      </c>
      <c r="AI371" t="s">
        <v>7302</v>
      </c>
      <c r="AJ371">
        <v>0</v>
      </c>
      <c r="AK371">
        <v>0</v>
      </c>
    </row>
    <row r="372" spans="5:37" x14ac:dyDescent="0.25">
      <c r="E372" t="s">
        <v>266</v>
      </c>
      <c r="F372">
        <v>0</v>
      </c>
      <c r="G372">
        <v>0</v>
      </c>
      <c r="T372" t="s">
        <v>41</v>
      </c>
      <c r="U372">
        <v>0</v>
      </c>
      <c r="V372">
        <v>0</v>
      </c>
      <c r="AI372" t="s">
        <v>7302</v>
      </c>
      <c r="AJ372">
        <v>0</v>
      </c>
      <c r="AK372">
        <v>0</v>
      </c>
    </row>
    <row r="373" spans="5:37" x14ac:dyDescent="0.25">
      <c r="E373" t="s">
        <v>266</v>
      </c>
      <c r="F373">
        <v>0</v>
      </c>
      <c r="G373">
        <v>0</v>
      </c>
      <c r="T373" t="s">
        <v>41</v>
      </c>
      <c r="U373">
        <v>0</v>
      </c>
      <c r="V373">
        <v>0</v>
      </c>
      <c r="AI373" t="s">
        <v>7302</v>
      </c>
      <c r="AJ373">
        <v>30000</v>
      </c>
      <c r="AK373">
        <v>0</v>
      </c>
    </row>
    <row r="374" spans="5:37" x14ac:dyDescent="0.25">
      <c r="E374" t="s">
        <v>266</v>
      </c>
      <c r="F374">
        <v>0</v>
      </c>
      <c r="G374">
        <v>25000</v>
      </c>
      <c r="T374" t="s">
        <v>41</v>
      </c>
      <c r="U374">
        <v>0</v>
      </c>
      <c r="V374">
        <v>0</v>
      </c>
      <c r="AI374" t="s">
        <v>7302</v>
      </c>
      <c r="AJ374">
        <v>0</v>
      </c>
      <c r="AK374">
        <v>0</v>
      </c>
    </row>
    <row r="375" spans="5:37" x14ac:dyDescent="0.25">
      <c r="E375" t="s">
        <v>266</v>
      </c>
      <c r="F375">
        <v>0</v>
      </c>
      <c r="G375">
        <v>25000</v>
      </c>
      <c r="T375" t="s">
        <v>41</v>
      </c>
      <c r="U375">
        <v>0</v>
      </c>
      <c r="V375">
        <v>0</v>
      </c>
      <c r="AI375" t="s">
        <v>7302</v>
      </c>
      <c r="AJ375">
        <v>0</v>
      </c>
      <c r="AK375">
        <v>0</v>
      </c>
    </row>
    <row r="376" spans="5:37" x14ac:dyDescent="0.25">
      <c r="E376" t="s">
        <v>266</v>
      </c>
      <c r="F376">
        <v>0</v>
      </c>
      <c r="G376">
        <v>0</v>
      </c>
      <c r="T376" t="s">
        <v>41</v>
      </c>
      <c r="U376">
        <v>0</v>
      </c>
      <c r="V376">
        <v>0</v>
      </c>
      <c r="AI376" t="s">
        <v>7302</v>
      </c>
      <c r="AJ376">
        <v>0</v>
      </c>
      <c r="AK376">
        <v>0</v>
      </c>
    </row>
    <row r="377" spans="5:37" x14ac:dyDescent="0.25">
      <c r="E377" t="s">
        <v>266</v>
      </c>
      <c r="F377">
        <v>0</v>
      </c>
      <c r="G377">
        <v>10000</v>
      </c>
      <c r="T377" t="s">
        <v>41</v>
      </c>
      <c r="U377">
        <v>0</v>
      </c>
      <c r="V377">
        <v>0</v>
      </c>
      <c r="AI377" t="s">
        <v>7302</v>
      </c>
      <c r="AJ377">
        <v>0</v>
      </c>
      <c r="AK377">
        <v>0</v>
      </c>
    </row>
    <row r="378" spans="5:37" x14ac:dyDescent="0.25">
      <c r="E378" t="s">
        <v>266</v>
      </c>
      <c r="F378">
        <v>0</v>
      </c>
      <c r="G378">
        <v>10000</v>
      </c>
      <c r="T378" t="s">
        <v>41</v>
      </c>
      <c r="U378">
        <v>0</v>
      </c>
      <c r="V378">
        <v>0</v>
      </c>
      <c r="AI378" t="s">
        <v>7302</v>
      </c>
      <c r="AJ378">
        <v>30000</v>
      </c>
      <c r="AK378">
        <v>0</v>
      </c>
    </row>
    <row r="379" spans="5:37" x14ac:dyDescent="0.25">
      <c r="E379" t="s">
        <v>266</v>
      </c>
      <c r="F379">
        <v>0</v>
      </c>
      <c r="G379">
        <v>25000</v>
      </c>
      <c r="T379" t="s">
        <v>41</v>
      </c>
      <c r="U379">
        <v>0</v>
      </c>
      <c r="V379">
        <v>0</v>
      </c>
      <c r="AI379" t="s">
        <v>7302</v>
      </c>
      <c r="AJ379">
        <v>0</v>
      </c>
      <c r="AK379">
        <v>0</v>
      </c>
    </row>
    <row r="380" spans="5:37" x14ac:dyDescent="0.25">
      <c r="E380" t="s">
        <v>266</v>
      </c>
      <c r="F380">
        <v>0</v>
      </c>
      <c r="G380">
        <v>0</v>
      </c>
      <c r="T380" t="s">
        <v>41</v>
      </c>
      <c r="U380">
        <v>0</v>
      </c>
      <c r="V380">
        <v>0</v>
      </c>
      <c r="AI380" t="s">
        <v>7302</v>
      </c>
      <c r="AJ380">
        <v>0</v>
      </c>
      <c r="AK380">
        <v>0</v>
      </c>
    </row>
    <row r="381" spans="5:37" x14ac:dyDescent="0.25">
      <c r="E381" t="s">
        <v>266</v>
      </c>
      <c r="F381">
        <v>0</v>
      </c>
      <c r="G381">
        <v>0</v>
      </c>
      <c r="T381" t="s">
        <v>42</v>
      </c>
      <c r="U381">
        <v>0</v>
      </c>
      <c r="V381">
        <v>0</v>
      </c>
      <c r="AI381" t="s">
        <v>7302</v>
      </c>
      <c r="AJ381">
        <v>0</v>
      </c>
      <c r="AK381">
        <v>0</v>
      </c>
    </row>
    <row r="382" spans="5:37" x14ac:dyDescent="0.25">
      <c r="E382" t="s">
        <v>266</v>
      </c>
      <c r="F382">
        <v>0</v>
      </c>
      <c r="G382">
        <v>0</v>
      </c>
      <c r="T382" t="s">
        <v>42</v>
      </c>
      <c r="U382">
        <v>0</v>
      </c>
      <c r="V382">
        <v>0</v>
      </c>
      <c r="AI382" t="s">
        <v>7302</v>
      </c>
      <c r="AJ382">
        <v>0</v>
      </c>
      <c r="AK382">
        <v>0</v>
      </c>
    </row>
    <row r="383" spans="5:37" x14ac:dyDescent="0.25">
      <c r="E383" t="s">
        <v>266</v>
      </c>
      <c r="F383">
        <v>0</v>
      </c>
      <c r="G383">
        <v>0</v>
      </c>
      <c r="T383" t="s">
        <v>42</v>
      </c>
      <c r="U383">
        <v>0</v>
      </c>
      <c r="V383">
        <v>0</v>
      </c>
      <c r="AI383" t="s">
        <v>7302</v>
      </c>
      <c r="AJ383">
        <v>0</v>
      </c>
      <c r="AK383">
        <v>0</v>
      </c>
    </row>
    <row r="384" spans="5:37" x14ac:dyDescent="0.25">
      <c r="E384" t="s">
        <v>266</v>
      </c>
      <c r="F384">
        <v>4000</v>
      </c>
      <c r="G384">
        <v>0</v>
      </c>
      <c r="T384" t="s">
        <v>42</v>
      </c>
      <c r="U384">
        <v>0</v>
      </c>
      <c r="V384">
        <v>0</v>
      </c>
      <c r="AI384" t="s">
        <v>7302</v>
      </c>
      <c r="AJ384">
        <v>0</v>
      </c>
      <c r="AK384">
        <v>0</v>
      </c>
    </row>
    <row r="385" spans="5:37" x14ac:dyDescent="0.25">
      <c r="E385" t="s">
        <v>266</v>
      </c>
      <c r="F385">
        <v>0</v>
      </c>
      <c r="G385">
        <v>10000</v>
      </c>
      <c r="T385" t="s">
        <v>42</v>
      </c>
      <c r="U385">
        <v>0</v>
      </c>
      <c r="V385">
        <v>0</v>
      </c>
      <c r="AI385" t="s">
        <v>7302</v>
      </c>
      <c r="AJ385">
        <v>40000</v>
      </c>
      <c r="AK385">
        <v>0</v>
      </c>
    </row>
    <row r="386" spans="5:37" x14ac:dyDescent="0.25">
      <c r="E386" t="s">
        <v>266</v>
      </c>
      <c r="F386">
        <v>0</v>
      </c>
      <c r="G386">
        <v>0</v>
      </c>
      <c r="T386" t="s">
        <v>42</v>
      </c>
      <c r="U386">
        <v>0</v>
      </c>
      <c r="V386">
        <v>0</v>
      </c>
      <c r="AI386" t="s">
        <v>7302</v>
      </c>
      <c r="AJ386">
        <v>30000</v>
      </c>
      <c r="AK386">
        <v>0</v>
      </c>
    </row>
    <row r="387" spans="5:37" x14ac:dyDescent="0.25">
      <c r="E387" t="s">
        <v>266</v>
      </c>
      <c r="F387">
        <v>0</v>
      </c>
      <c r="G387">
        <v>0</v>
      </c>
      <c r="T387" t="s">
        <v>42</v>
      </c>
      <c r="U387">
        <v>0</v>
      </c>
      <c r="V387">
        <v>0</v>
      </c>
      <c r="AI387" t="s">
        <v>7302</v>
      </c>
      <c r="AJ387">
        <v>0</v>
      </c>
      <c r="AK387">
        <v>0</v>
      </c>
    </row>
    <row r="388" spans="5:37" x14ac:dyDescent="0.25">
      <c r="E388" t="s">
        <v>266</v>
      </c>
      <c r="F388">
        <v>0</v>
      </c>
      <c r="G388">
        <v>0</v>
      </c>
      <c r="T388" t="s">
        <v>58</v>
      </c>
      <c r="U388">
        <v>0</v>
      </c>
      <c r="V388">
        <v>0</v>
      </c>
      <c r="AI388" t="s">
        <v>7302</v>
      </c>
      <c r="AJ388">
        <v>30000</v>
      </c>
      <c r="AK388">
        <v>0</v>
      </c>
    </row>
    <row r="389" spans="5:37" x14ac:dyDescent="0.25">
      <c r="E389" t="s">
        <v>266</v>
      </c>
      <c r="F389">
        <v>0</v>
      </c>
      <c r="G389">
        <v>25000</v>
      </c>
      <c r="T389" t="s">
        <v>58</v>
      </c>
      <c r="U389">
        <v>0</v>
      </c>
      <c r="V389">
        <v>0</v>
      </c>
      <c r="AI389" t="s">
        <v>7302</v>
      </c>
      <c r="AJ389">
        <v>30000</v>
      </c>
      <c r="AK389">
        <v>0</v>
      </c>
    </row>
    <row r="390" spans="5:37" x14ac:dyDescent="0.25">
      <c r="E390" t="s">
        <v>266</v>
      </c>
      <c r="F390">
        <v>0</v>
      </c>
      <c r="G390">
        <v>15000</v>
      </c>
      <c r="T390" t="s">
        <v>25</v>
      </c>
      <c r="U390">
        <v>0</v>
      </c>
      <c r="V390">
        <v>46000</v>
      </c>
      <c r="AI390" t="s">
        <v>7302</v>
      </c>
      <c r="AJ390">
        <v>0</v>
      </c>
      <c r="AK390">
        <v>0</v>
      </c>
    </row>
    <row r="391" spans="5:37" x14ac:dyDescent="0.25">
      <c r="E391" t="s">
        <v>266</v>
      </c>
      <c r="F391">
        <v>0</v>
      </c>
      <c r="G391">
        <v>0</v>
      </c>
      <c r="T391" t="s">
        <v>25</v>
      </c>
      <c r="U391">
        <v>0</v>
      </c>
      <c r="V391">
        <v>0</v>
      </c>
      <c r="AI391" t="s">
        <v>7302</v>
      </c>
      <c r="AJ391">
        <v>0</v>
      </c>
      <c r="AK391">
        <v>0</v>
      </c>
    </row>
    <row r="392" spans="5:37" x14ac:dyDescent="0.25">
      <c r="E392" t="s">
        <v>266</v>
      </c>
      <c r="F392">
        <v>0</v>
      </c>
      <c r="G392">
        <v>25000</v>
      </c>
      <c r="T392" t="s">
        <v>25</v>
      </c>
      <c r="U392">
        <v>0</v>
      </c>
      <c r="V392">
        <v>0</v>
      </c>
      <c r="AI392" t="s">
        <v>7302</v>
      </c>
      <c r="AJ392">
        <v>0</v>
      </c>
      <c r="AK392">
        <v>0</v>
      </c>
    </row>
    <row r="393" spans="5:37" x14ac:dyDescent="0.25">
      <c r="E393" t="s">
        <v>266</v>
      </c>
      <c r="F393">
        <v>0</v>
      </c>
      <c r="G393">
        <v>25000</v>
      </c>
      <c r="T393" t="s">
        <v>25</v>
      </c>
      <c r="U393">
        <v>0</v>
      </c>
      <c r="V393">
        <v>0</v>
      </c>
      <c r="AI393" t="s">
        <v>7302</v>
      </c>
      <c r="AJ393">
        <v>30000</v>
      </c>
      <c r="AK393">
        <v>0</v>
      </c>
    </row>
    <row r="394" spans="5:37" x14ac:dyDescent="0.25">
      <c r="E394" t="s">
        <v>266</v>
      </c>
      <c r="F394">
        <v>0</v>
      </c>
      <c r="G394">
        <v>0</v>
      </c>
      <c r="T394" t="s">
        <v>25</v>
      </c>
      <c r="U394">
        <v>0</v>
      </c>
      <c r="V394">
        <v>0</v>
      </c>
      <c r="AI394" t="s">
        <v>7302</v>
      </c>
      <c r="AJ394">
        <v>0</v>
      </c>
      <c r="AK394">
        <v>0</v>
      </c>
    </row>
    <row r="395" spans="5:37" x14ac:dyDescent="0.25">
      <c r="E395" t="s">
        <v>266</v>
      </c>
      <c r="F395">
        <v>0</v>
      </c>
      <c r="G395">
        <v>0</v>
      </c>
      <c r="T395" t="s">
        <v>25</v>
      </c>
      <c r="U395">
        <v>0</v>
      </c>
      <c r="V395">
        <v>0</v>
      </c>
      <c r="AI395" t="s">
        <v>7302</v>
      </c>
      <c r="AJ395">
        <v>0</v>
      </c>
      <c r="AK395">
        <v>0</v>
      </c>
    </row>
    <row r="396" spans="5:37" x14ac:dyDescent="0.25">
      <c r="E396" t="s">
        <v>266</v>
      </c>
      <c r="F396">
        <v>0</v>
      </c>
      <c r="G396">
        <v>25000</v>
      </c>
      <c r="T396" t="s">
        <v>25</v>
      </c>
      <c r="U396">
        <v>35000</v>
      </c>
      <c r="V396">
        <v>0</v>
      </c>
      <c r="AI396" t="s">
        <v>7302</v>
      </c>
      <c r="AJ396">
        <v>0</v>
      </c>
      <c r="AK396">
        <v>20000</v>
      </c>
    </row>
    <row r="397" spans="5:37" x14ac:dyDescent="0.25">
      <c r="E397" t="s">
        <v>266</v>
      </c>
      <c r="F397">
        <v>0</v>
      </c>
      <c r="G397">
        <v>0</v>
      </c>
      <c r="T397" t="s">
        <v>25</v>
      </c>
      <c r="U397">
        <v>0</v>
      </c>
      <c r="V397">
        <v>0</v>
      </c>
      <c r="AI397" t="s">
        <v>7302</v>
      </c>
      <c r="AJ397">
        <v>0</v>
      </c>
      <c r="AK397">
        <v>0</v>
      </c>
    </row>
    <row r="398" spans="5:37" x14ac:dyDescent="0.25">
      <c r="E398" t="s">
        <v>266</v>
      </c>
      <c r="F398">
        <v>0</v>
      </c>
      <c r="G398">
        <v>0</v>
      </c>
      <c r="T398" t="s">
        <v>25</v>
      </c>
      <c r="U398">
        <v>0</v>
      </c>
      <c r="V398">
        <v>46000</v>
      </c>
      <c r="AI398" t="s">
        <v>7302</v>
      </c>
      <c r="AJ398">
        <v>0</v>
      </c>
      <c r="AK398">
        <v>0</v>
      </c>
    </row>
    <row r="399" spans="5:37" x14ac:dyDescent="0.25">
      <c r="E399" t="s">
        <v>266</v>
      </c>
      <c r="F399">
        <v>0</v>
      </c>
      <c r="G399">
        <v>0</v>
      </c>
      <c r="T399" t="s">
        <v>25</v>
      </c>
      <c r="U399">
        <v>0</v>
      </c>
      <c r="V399">
        <v>0</v>
      </c>
      <c r="AI399" t="s">
        <v>7302</v>
      </c>
      <c r="AJ399">
        <v>0</v>
      </c>
      <c r="AK399">
        <v>0</v>
      </c>
    </row>
    <row r="400" spans="5:37" x14ac:dyDescent="0.25">
      <c r="E400" t="s">
        <v>266</v>
      </c>
      <c r="F400">
        <v>0</v>
      </c>
      <c r="G400">
        <v>0</v>
      </c>
      <c r="T400" t="s">
        <v>25</v>
      </c>
      <c r="U400">
        <v>0</v>
      </c>
      <c r="V400">
        <v>0</v>
      </c>
      <c r="AI400" t="s">
        <v>7302</v>
      </c>
      <c r="AJ400">
        <v>0</v>
      </c>
      <c r="AK400">
        <v>0</v>
      </c>
    </row>
    <row r="401" spans="5:37" x14ac:dyDescent="0.25">
      <c r="E401" t="s">
        <v>266</v>
      </c>
      <c r="F401">
        <v>0</v>
      </c>
      <c r="G401">
        <v>35000</v>
      </c>
      <c r="T401" t="s">
        <v>25</v>
      </c>
      <c r="U401">
        <v>0</v>
      </c>
      <c r="V401">
        <v>0</v>
      </c>
      <c r="AI401" t="s">
        <v>7302</v>
      </c>
      <c r="AJ401">
        <v>0</v>
      </c>
      <c r="AK401">
        <v>0</v>
      </c>
    </row>
    <row r="402" spans="5:37" x14ac:dyDescent="0.25">
      <c r="E402" t="s">
        <v>266</v>
      </c>
      <c r="F402">
        <v>0</v>
      </c>
      <c r="G402">
        <v>0</v>
      </c>
      <c r="T402" t="s">
        <v>25</v>
      </c>
      <c r="U402">
        <v>0</v>
      </c>
      <c r="V402">
        <v>0</v>
      </c>
      <c r="AI402" t="s">
        <v>7302</v>
      </c>
      <c r="AJ402">
        <v>0</v>
      </c>
      <c r="AK402">
        <v>0</v>
      </c>
    </row>
    <row r="403" spans="5:37" x14ac:dyDescent="0.25">
      <c r="E403" t="s">
        <v>266</v>
      </c>
      <c r="F403">
        <v>0</v>
      </c>
      <c r="G403">
        <v>23000</v>
      </c>
      <c r="T403" t="s">
        <v>25</v>
      </c>
      <c r="U403">
        <v>27000</v>
      </c>
      <c r="V403">
        <v>0</v>
      </c>
      <c r="AI403" t="s">
        <v>7317</v>
      </c>
      <c r="AJ403">
        <v>30000</v>
      </c>
      <c r="AK403">
        <v>0</v>
      </c>
    </row>
    <row r="404" spans="5:37" x14ac:dyDescent="0.25">
      <c r="E404" t="s">
        <v>266</v>
      </c>
      <c r="F404">
        <v>0</v>
      </c>
      <c r="G404">
        <v>0</v>
      </c>
      <c r="T404" t="s">
        <v>25</v>
      </c>
      <c r="U404">
        <v>0</v>
      </c>
      <c r="V404">
        <v>0</v>
      </c>
      <c r="AI404" t="s">
        <v>7317</v>
      </c>
      <c r="AJ404">
        <v>0</v>
      </c>
      <c r="AK404">
        <v>0</v>
      </c>
    </row>
    <row r="405" spans="5:37" x14ac:dyDescent="0.25">
      <c r="E405" t="s">
        <v>266</v>
      </c>
      <c r="F405">
        <v>0</v>
      </c>
      <c r="G405">
        <v>0</v>
      </c>
      <c r="T405" t="s">
        <v>25</v>
      </c>
      <c r="U405">
        <v>40000</v>
      </c>
      <c r="V405">
        <v>0</v>
      </c>
      <c r="AI405" t="s">
        <v>7317</v>
      </c>
      <c r="AJ405">
        <v>0</v>
      </c>
      <c r="AK405">
        <v>0</v>
      </c>
    </row>
    <row r="406" spans="5:37" x14ac:dyDescent="0.25">
      <c r="E406" t="s">
        <v>266</v>
      </c>
      <c r="F406">
        <v>0</v>
      </c>
      <c r="G406">
        <v>0</v>
      </c>
      <c r="T406" t="s">
        <v>25</v>
      </c>
      <c r="U406">
        <v>0</v>
      </c>
      <c r="V406">
        <v>0</v>
      </c>
      <c r="AI406" t="s">
        <v>7317</v>
      </c>
      <c r="AJ406">
        <v>0</v>
      </c>
      <c r="AK406">
        <v>20000</v>
      </c>
    </row>
    <row r="407" spans="5:37" x14ac:dyDescent="0.25">
      <c r="E407" t="s">
        <v>266</v>
      </c>
      <c r="F407">
        <v>0</v>
      </c>
      <c r="G407">
        <v>0</v>
      </c>
      <c r="T407" t="s">
        <v>25</v>
      </c>
      <c r="U407">
        <v>0</v>
      </c>
      <c r="V407">
        <v>0</v>
      </c>
      <c r="AI407" t="s">
        <v>7317</v>
      </c>
      <c r="AJ407">
        <v>0</v>
      </c>
      <c r="AK407">
        <v>20000</v>
      </c>
    </row>
    <row r="408" spans="5:37" x14ac:dyDescent="0.25">
      <c r="E408" t="s">
        <v>266</v>
      </c>
      <c r="F408">
        <v>0</v>
      </c>
      <c r="G408">
        <v>0</v>
      </c>
      <c r="T408" t="s">
        <v>25</v>
      </c>
      <c r="U408">
        <v>24000</v>
      </c>
      <c r="V408">
        <v>0</v>
      </c>
      <c r="AI408" t="s">
        <v>7317</v>
      </c>
      <c r="AJ408">
        <v>0</v>
      </c>
      <c r="AK408">
        <v>20000</v>
      </c>
    </row>
    <row r="409" spans="5:37" x14ac:dyDescent="0.25">
      <c r="E409" t="s">
        <v>266</v>
      </c>
      <c r="F409">
        <v>0</v>
      </c>
      <c r="G409">
        <v>0</v>
      </c>
      <c r="T409" t="s">
        <v>25</v>
      </c>
      <c r="U409">
        <v>0</v>
      </c>
      <c r="V409">
        <v>0</v>
      </c>
      <c r="AI409" t="s">
        <v>7317</v>
      </c>
      <c r="AJ409">
        <v>0</v>
      </c>
      <c r="AK409">
        <v>0</v>
      </c>
    </row>
    <row r="410" spans="5:37" x14ac:dyDescent="0.25">
      <c r="E410" t="s">
        <v>266</v>
      </c>
      <c r="F410">
        <v>27000</v>
      </c>
      <c r="G410">
        <v>0</v>
      </c>
      <c r="T410" t="s">
        <v>25</v>
      </c>
      <c r="U410">
        <v>0</v>
      </c>
      <c r="V410">
        <v>0</v>
      </c>
      <c r="AI410" t="s">
        <v>7317</v>
      </c>
      <c r="AJ410">
        <v>0</v>
      </c>
      <c r="AK410">
        <v>0</v>
      </c>
    </row>
    <row r="411" spans="5:37" x14ac:dyDescent="0.25">
      <c r="E411" t="s">
        <v>266</v>
      </c>
      <c r="F411">
        <v>0</v>
      </c>
      <c r="G411">
        <v>0</v>
      </c>
      <c r="T411" t="s">
        <v>25</v>
      </c>
      <c r="U411">
        <v>22000</v>
      </c>
      <c r="V411">
        <v>0</v>
      </c>
      <c r="AI411" t="s">
        <v>7317</v>
      </c>
      <c r="AJ411">
        <v>0</v>
      </c>
      <c r="AK411">
        <v>0</v>
      </c>
    </row>
    <row r="412" spans="5:37" x14ac:dyDescent="0.25">
      <c r="E412" t="s">
        <v>266</v>
      </c>
      <c r="F412">
        <v>0</v>
      </c>
      <c r="G412">
        <v>0</v>
      </c>
      <c r="T412" t="s">
        <v>575</v>
      </c>
      <c r="U412">
        <v>38000</v>
      </c>
      <c r="V412">
        <v>0</v>
      </c>
      <c r="AI412" t="s">
        <v>7317</v>
      </c>
      <c r="AJ412">
        <v>0</v>
      </c>
      <c r="AK412">
        <v>0</v>
      </c>
    </row>
    <row r="413" spans="5:37" x14ac:dyDescent="0.25">
      <c r="E413" t="s">
        <v>266</v>
      </c>
      <c r="F413">
        <v>0</v>
      </c>
      <c r="G413">
        <v>0</v>
      </c>
      <c r="T413" t="s">
        <v>575</v>
      </c>
      <c r="U413">
        <v>0</v>
      </c>
      <c r="V413">
        <v>0</v>
      </c>
      <c r="AI413" t="s">
        <v>7317</v>
      </c>
      <c r="AJ413">
        <v>0</v>
      </c>
      <c r="AK413">
        <v>0</v>
      </c>
    </row>
    <row r="414" spans="5:37" x14ac:dyDescent="0.25">
      <c r="E414" t="s">
        <v>266</v>
      </c>
      <c r="F414">
        <v>0</v>
      </c>
      <c r="G414">
        <v>0</v>
      </c>
      <c r="T414" t="s">
        <v>575</v>
      </c>
      <c r="U414">
        <v>0</v>
      </c>
      <c r="V414">
        <v>0</v>
      </c>
      <c r="AI414" t="s">
        <v>7317</v>
      </c>
      <c r="AJ414">
        <v>0</v>
      </c>
      <c r="AK414">
        <v>0</v>
      </c>
    </row>
    <row r="415" spans="5:37" x14ac:dyDescent="0.25">
      <c r="E415" t="s">
        <v>266</v>
      </c>
      <c r="F415">
        <v>0</v>
      </c>
      <c r="G415">
        <v>0</v>
      </c>
      <c r="T415" t="s">
        <v>266</v>
      </c>
      <c r="U415">
        <v>21000</v>
      </c>
      <c r="V415">
        <v>0</v>
      </c>
      <c r="AI415" t="s">
        <v>7317</v>
      </c>
      <c r="AJ415">
        <v>0</v>
      </c>
      <c r="AK415">
        <v>0</v>
      </c>
    </row>
    <row r="416" spans="5:37" x14ac:dyDescent="0.25">
      <c r="E416" t="s">
        <v>266</v>
      </c>
      <c r="F416">
        <v>0</v>
      </c>
      <c r="G416">
        <v>0</v>
      </c>
      <c r="T416" t="s">
        <v>266</v>
      </c>
      <c r="U416">
        <v>0</v>
      </c>
      <c r="V416">
        <v>25000</v>
      </c>
      <c r="AI416" t="s">
        <v>7320</v>
      </c>
      <c r="AJ416">
        <v>0</v>
      </c>
      <c r="AK416">
        <v>0</v>
      </c>
    </row>
    <row r="417" spans="5:37" x14ac:dyDescent="0.25">
      <c r="E417" t="s">
        <v>266</v>
      </c>
      <c r="F417">
        <v>0</v>
      </c>
      <c r="G417">
        <v>0</v>
      </c>
      <c r="T417" t="s">
        <v>266</v>
      </c>
      <c r="U417">
        <v>0</v>
      </c>
      <c r="V417">
        <v>0</v>
      </c>
      <c r="AI417" t="s">
        <v>7320</v>
      </c>
      <c r="AJ417">
        <v>0</v>
      </c>
      <c r="AK417">
        <v>20000</v>
      </c>
    </row>
    <row r="418" spans="5:37" x14ac:dyDescent="0.25">
      <c r="E418" t="s">
        <v>266</v>
      </c>
      <c r="F418">
        <v>0</v>
      </c>
      <c r="G418">
        <v>0</v>
      </c>
      <c r="T418" t="s">
        <v>266</v>
      </c>
      <c r="U418">
        <v>0</v>
      </c>
      <c r="V418">
        <v>0</v>
      </c>
      <c r="AI418" t="s">
        <v>7320</v>
      </c>
      <c r="AJ418">
        <v>0</v>
      </c>
      <c r="AK418">
        <v>0</v>
      </c>
    </row>
    <row r="419" spans="5:37" x14ac:dyDescent="0.25">
      <c r="E419" t="s">
        <v>266</v>
      </c>
      <c r="F419">
        <v>0</v>
      </c>
      <c r="G419">
        <v>0</v>
      </c>
      <c r="T419" t="s">
        <v>266</v>
      </c>
      <c r="U419">
        <v>0</v>
      </c>
      <c r="V419">
        <v>0</v>
      </c>
      <c r="AI419" t="s">
        <v>7320</v>
      </c>
      <c r="AJ419">
        <v>0</v>
      </c>
      <c r="AK419">
        <v>0</v>
      </c>
    </row>
    <row r="420" spans="5:37" x14ac:dyDescent="0.25">
      <c r="E420" t="s">
        <v>266</v>
      </c>
      <c r="F420">
        <v>0</v>
      </c>
      <c r="G420">
        <v>14000</v>
      </c>
      <c r="T420" t="s">
        <v>266</v>
      </c>
      <c r="U420">
        <v>0</v>
      </c>
      <c r="V420">
        <v>0</v>
      </c>
      <c r="AI420" t="s">
        <v>7315</v>
      </c>
      <c r="AJ420">
        <v>0</v>
      </c>
      <c r="AK420">
        <v>0</v>
      </c>
    </row>
    <row r="421" spans="5:37" x14ac:dyDescent="0.25">
      <c r="E421" t="s">
        <v>266</v>
      </c>
      <c r="F421">
        <v>0</v>
      </c>
      <c r="G421">
        <v>25000</v>
      </c>
      <c r="T421" t="s">
        <v>266</v>
      </c>
      <c r="U421">
        <v>0</v>
      </c>
      <c r="V421">
        <v>0</v>
      </c>
      <c r="AI421" t="s">
        <v>7315</v>
      </c>
      <c r="AJ421">
        <v>0</v>
      </c>
      <c r="AK421">
        <v>0</v>
      </c>
    </row>
    <row r="422" spans="5:37" x14ac:dyDescent="0.25">
      <c r="E422" t="s">
        <v>266</v>
      </c>
      <c r="F422">
        <v>0</v>
      </c>
      <c r="G422">
        <v>0</v>
      </c>
      <c r="T422" t="s">
        <v>266</v>
      </c>
      <c r="U422">
        <v>0</v>
      </c>
      <c r="V422">
        <v>0</v>
      </c>
      <c r="AI422" t="s">
        <v>7315</v>
      </c>
      <c r="AJ422">
        <v>0</v>
      </c>
      <c r="AK422">
        <v>0</v>
      </c>
    </row>
    <row r="423" spans="5:37" x14ac:dyDescent="0.25">
      <c r="E423" t="s">
        <v>266</v>
      </c>
      <c r="F423">
        <v>8000</v>
      </c>
      <c r="G423">
        <v>0</v>
      </c>
      <c r="T423" t="s">
        <v>266</v>
      </c>
      <c r="U423">
        <v>0</v>
      </c>
      <c r="V423">
        <v>0</v>
      </c>
      <c r="AI423" t="s">
        <v>7315</v>
      </c>
      <c r="AJ423">
        <v>0</v>
      </c>
      <c r="AK423">
        <v>0</v>
      </c>
    </row>
    <row r="424" spans="5:37" x14ac:dyDescent="0.25">
      <c r="E424" t="s">
        <v>266</v>
      </c>
      <c r="F424">
        <v>0</v>
      </c>
      <c r="G424">
        <v>0</v>
      </c>
      <c r="T424" t="s">
        <v>266</v>
      </c>
      <c r="U424">
        <v>0</v>
      </c>
      <c r="V424">
        <v>0</v>
      </c>
      <c r="AI424" t="s">
        <v>7315</v>
      </c>
      <c r="AJ424">
        <v>0</v>
      </c>
      <c r="AK424">
        <v>0</v>
      </c>
    </row>
    <row r="425" spans="5:37" x14ac:dyDescent="0.25">
      <c r="E425" t="s">
        <v>266</v>
      </c>
      <c r="F425">
        <v>0</v>
      </c>
      <c r="G425">
        <v>0</v>
      </c>
      <c r="T425" t="s">
        <v>266</v>
      </c>
      <c r="U425">
        <v>0</v>
      </c>
      <c r="V425">
        <v>0</v>
      </c>
      <c r="AI425" t="s">
        <v>7315</v>
      </c>
      <c r="AJ425">
        <v>0</v>
      </c>
      <c r="AK425">
        <v>0</v>
      </c>
    </row>
    <row r="426" spans="5:37" x14ac:dyDescent="0.25">
      <c r="E426" t="s">
        <v>266</v>
      </c>
      <c r="F426">
        <v>0</v>
      </c>
      <c r="G426">
        <v>0</v>
      </c>
      <c r="T426" t="s">
        <v>266</v>
      </c>
      <c r="U426">
        <v>0</v>
      </c>
      <c r="V426">
        <v>0</v>
      </c>
      <c r="AI426" t="s">
        <v>7315</v>
      </c>
      <c r="AJ426">
        <v>0</v>
      </c>
      <c r="AK426">
        <v>20000</v>
      </c>
    </row>
    <row r="427" spans="5:37" x14ac:dyDescent="0.25">
      <c r="E427" t="s">
        <v>266</v>
      </c>
      <c r="F427">
        <v>0</v>
      </c>
      <c r="G427">
        <v>0</v>
      </c>
      <c r="T427" t="s">
        <v>266</v>
      </c>
      <c r="U427">
        <v>0</v>
      </c>
      <c r="V427">
        <v>0</v>
      </c>
      <c r="AI427" t="s">
        <v>7315</v>
      </c>
      <c r="AJ427">
        <v>0</v>
      </c>
      <c r="AK427">
        <v>0</v>
      </c>
    </row>
    <row r="428" spans="5:37" x14ac:dyDescent="0.25">
      <c r="E428" t="s">
        <v>266</v>
      </c>
      <c r="F428">
        <v>0</v>
      </c>
      <c r="G428">
        <v>0</v>
      </c>
      <c r="T428" t="s">
        <v>266</v>
      </c>
      <c r="U428">
        <v>0</v>
      </c>
      <c r="V428">
        <v>0</v>
      </c>
      <c r="AI428" t="s">
        <v>425</v>
      </c>
      <c r="AJ428">
        <v>0</v>
      </c>
      <c r="AK428">
        <v>0</v>
      </c>
    </row>
    <row r="429" spans="5:37" x14ac:dyDescent="0.25">
      <c r="E429" t="s">
        <v>266</v>
      </c>
      <c r="F429">
        <v>0</v>
      </c>
      <c r="G429">
        <v>0</v>
      </c>
      <c r="T429" t="s">
        <v>266</v>
      </c>
      <c r="U429">
        <v>0</v>
      </c>
      <c r="V429">
        <v>0</v>
      </c>
      <c r="AI429" t="s">
        <v>425</v>
      </c>
      <c r="AJ429">
        <v>0</v>
      </c>
      <c r="AK429">
        <v>0</v>
      </c>
    </row>
    <row r="430" spans="5:37" x14ac:dyDescent="0.25">
      <c r="E430" t="s">
        <v>266</v>
      </c>
      <c r="F430">
        <v>0</v>
      </c>
      <c r="G430">
        <v>16000</v>
      </c>
      <c r="T430" t="s">
        <v>266</v>
      </c>
      <c r="U430">
        <v>0</v>
      </c>
      <c r="V430">
        <v>0</v>
      </c>
      <c r="AI430" t="s">
        <v>425</v>
      </c>
      <c r="AJ430">
        <v>0</v>
      </c>
      <c r="AK430">
        <v>0</v>
      </c>
    </row>
    <row r="431" spans="5:37" x14ac:dyDescent="0.25">
      <c r="E431" t="s">
        <v>266</v>
      </c>
      <c r="F431">
        <v>0</v>
      </c>
      <c r="G431">
        <v>0</v>
      </c>
      <c r="T431" t="s">
        <v>266</v>
      </c>
      <c r="U431">
        <v>0</v>
      </c>
      <c r="V431">
        <v>0</v>
      </c>
      <c r="AI431" t="s">
        <v>425</v>
      </c>
      <c r="AJ431">
        <v>0</v>
      </c>
      <c r="AK431">
        <v>0</v>
      </c>
    </row>
    <row r="432" spans="5:37" x14ac:dyDescent="0.25">
      <c r="E432" t="s">
        <v>266</v>
      </c>
      <c r="F432">
        <v>0</v>
      </c>
      <c r="G432">
        <v>0</v>
      </c>
      <c r="T432" t="s">
        <v>266</v>
      </c>
      <c r="U432">
        <v>0</v>
      </c>
      <c r="V432">
        <v>0</v>
      </c>
      <c r="AI432" t="s">
        <v>425</v>
      </c>
      <c r="AJ432">
        <v>0</v>
      </c>
      <c r="AK432">
        <v>0</v>
      </c>
    </row>
    <row r="433" spans="5:37" x14ac:dyDescent="0.25">
      <c r="E433" t="s">
        <v>266</v>
      </c>
      <c r="F433">
        <v>0</v>
      </c>
      <c r="G433">
        <v>0</v>
      </c>
      <c r="T433" t="s">
        <v>267</v>
      </c>
      <c r="U433">
        <v>0</v>
      </c>
      <c r="V433">
        <v>14000</v>
      </c>
      <c r="AI433" t="s">
        <v>425</v>
      </c>
      <c r="AJ433">
        <v>0</v>
      </c>
      <c r="AK433">
        <v>0</v>
      </c>
    </row>
    <row r="434" spans="5:37" x14ac:dyDescent="0.25">
      <c r="E434" t="s">
        <v>266</v>
      </c>
      <c r="F434">
        <v>0</v>
      </c>
      <c r="G434">
        <v>0</v>
      </c>
      <c r="T434" t="s">
        <v>267</v>
      </c>
      <c r="U434">
        <v>0</v>
      </c>
      <c r="V434">
        <v>18000</v>
      </c>
      <c r="AI434" t="s">
        <v>425</v>
      </c>
      <c r="AJ434">
        <v>0</v>
      </c>
      <c r="AK434">
        <v>0</v>
      </c>
    </row>
    <row r="435" spans="5:37" x14ac:dyDescent="0.25">
      <c r="E435" t="s">
        <v>266</v>
      </c>
      <c r="F435">
        <v>0</v>
      </c>
      <c r="G435">
        <v>0</v>
      </c>
      <c r="T435" t="s">
        <v>267</v>
      </c>
      <c r="U435">
        <v>0</v>
      </c>
      <c r="V435">
        <v>0</v>
      </c>
      <c r="AI435" t="s">
        <v>425</v>
      </c>
      <c r="AJ435">
        <v>0</v>
      </c>
      <c r="AK435">
        <v>0</v>
      </c>
    </row>
    <row r="436" spans="5:37" x14ac:dyDescent="0.25">
      <c r="E436" t="s">
        <v>266</v>
      </c>
      <c r="F436">
        <v>0</v>
      </c>
      <c r="G436">
        <v>0</v>
      </c>
      <c r="T436" t="s">
        <v>267</v>
      </c>
      <c r="U436">
        <v>0</v>
      </c>
      <c r="V436">
        <v>0</v>
      </c>
      <c r="AI436" t="s">
        <v>425</v>
      </c>
      <c r="AJ436">
        <v>0</v>
      </c>
      <c r="AK436">
        <v>0</v>
      </c>
    </row>
    <row r="437" spans="5:37" x14ac:dyDescent="0.25">
      <c r="E437" t="s">
        <v>266</v>
      </c>
      <c r="F437">
        <v>0</v>
      </c>
      <c r="G437">
        <v>0</v>
      </c>
      <c r="T437" t="s">
        <v>267</v>
      </c>
      <c r="U437">
        <v>0</v>
      </c>
      <c r="V437">
        <v>0</v>
      </c>
      <c r="AI437" t="s">
        <v>425</v>
      </c>
      <c r="AJ437">
        <v>0</v>
      </c>
      <c r="AK437">
        <v>0</v>
      </c>
    </row>
    <row r="438" spans="5:37" x14ac:dyDescent="0.25">
      <c r="E438" t="s">
        <v>266</v>
      </c>
      <c r="F438">
        <v>0</v>
      </c>
      <c r="G438">
        <v>0</v>
      </c>
      <c r="T438" t="s">
        <v>267</v>
      </c>
      <c r="U438">
        <v>0</v>
      </c>
      <c r="V438">
        <v>0</v>
      </c>
      <c r="AI438" t="s">
        <v>50</v>
      </c>
      <c r="AJ438">
        <v>0</v>
      </c>
      <c r="AK438">
        <v>0</v>
      </c>
    </row>
    <row r="439" spans="5:37" x14ac:dyDescent="0.25">
      <c r="E439" t="s">
        <v>266</v>
      </c>
      <c r="F439">
        <v>0</v>
      </c>
      <c r="G439">
        <v>0</v>
      </c>
      <c r="T439" t="s">
        <v>267</v>
      </c>
      <c r="U439">
        <v>0</v>
      </c>
      <c r="V439">
        <v>0</v>
      </c>
      <c r="AI439" t="s">
        <v>50</v>
      </c>
      <c r="AJ439">
        <v>0</v>
      </c>
      <c r="AK439">
        <v>0</v>
      </c>
    </row>
    <row r="440" spans="5:37" x14ac:dyDescent="0.25">
      <c r="E440" t="s">
        <v>266</v>
      </c>
      <c r="F440">
        <v>8000</v>
      </c>
      <c r="G440">
        <v>0</v>
      </c>
      <c r="T440" t="s">
        <v>267</v>
      </c>
      <c r="U440">
        <v>0</v>
      </c>
      <c r="V440">
        <v>0</v>
      </c>
      <c r="AI440" t="s">
        <v>50</v>
      </c>
      <c r="AJ440">
        <v>0</v>
      </c>
      <c r="AK440">
        <v>0</v>
      </c>
    </row>
    <row r="441" spans="5:37" x14ac:dyDescent="0.25">
      <c r="E441" t="s">
        <v>266</v>
      </c>
      <c r="F441">
        <v>0</v>
      </c>
      <c r="G441">
        <v>20000</v>
      </c>
      <c r="T441" t="s">
        <v>267</v>
      </c>
      <c r="U441">
        <v>0</v>
      </c>
      <c r="V441">
        <v>0</v>
      </c>
      <c r="AI441" t="s">
        <v>50</v>
      </c>
      <c r="AJ441">
        <v>0</v>
      </c>
      <c r="AK441">
        <v>0</v>
      </c>
    </row>
    <row r="442" spans="5:37" x14ac:dyDescent="0.25">
      <c r="E442" t="s">
        <v>266</v>
      </c>
      <c r="F442">
        <v>0</v>
      </c>
      <c r="G442">
        <v>25000</v>
      </c>
      <c r="T442" t="s">
        <v>267</v>
      </c>
      <c r="U442">
        <v>0</v>
      </c>
      <c r="V442">
        <v>0</v>
      </c>
      <c r="AI442" t="s">
        <v>50</v>
      </c>
      <c r="AJ442">
        <v>0</v>
      </c>
      <c r="AK442">
        <v>0</v>
      </c>
    </row>
    <row r="443" spans="5:37" x14ac:dyDescent="0.25">
      <c r="E443" t="s">
        <v>267</v>
      </c>
      <c r="F443">
        <v>0</v>
      </c>
      <c r="G443">
        <v>0</v>
      </c>
      <c r="T443" t="s">
        <v>267</v>
      </c>
      <c r="U443">
        <v>0</v>
      </c>
      <c r="V443">
        <v>0</v>
      </c>
      <c r="AI443" t="s">
        <v>50</v>
      </c>
      <c r="AJ443">
        <v>0</v>
      </c>
      <c r="AK443">
        <v>0</v>
      </c>
    </row>
    <row r="444" spans="5:37" x14ac:dyDescent="0.25">
      <c r="E444" t="s">
        <v>267</v>
      </c>
      <c r="F444">
        <v>0</v>
      </c>
      <c r="G444">
        <v>13000</v>
      </c>
      <c r="T444" t="s">
        <v>267</v>
      </c>
      <c r="U444">
        <v>0</v>
      </c>
      <c r="V444">
        <v>0</v>
      </c>
      <c r="AI444" t="s">
        <v>50</v>
      </c>
      <c r="AJ444">
        <v>0</v>
      </c>
      <c r="AK444">
        <v>0</v>
      </c>
    </row>
    <row r="445" spans="5:37" x14ac:dyDescent="0.25">
      <c r="E445" t="s">
        <v>267</v>
      </c>
      <c r="F445">
        <v>0</v>
      </c>
      <c r="G445">
        <v>0</v>
      </c>
      <c r="T445" t="s">
        <v>267</v>
      </c>
      <c r="U445">
        <v>0</v>
      </c>
      <c r="V445">
        <v>0</v>
      </c>
      <c r="AI445" t="s">
        <v>50</v>
      </c>
      <c r="AJ445">
        <v>0</v>
      </c>
      <c r="AK445">
        <v>0</v>
      </c>
    </row>
    <row r="446" spans="5:37" x14ac:dyDescent="0.25">
      <c r="E446" t="s">
        <v>267</v>
      </c>
      <c r="F446">
        <v>2700</v>
      </c>
      <c r="G446">
        <v>0</v>
      </c>
      <c r="T446" t="s">
        <v>267</v>
      </c>
      <c r="U446">
        <v>0</v>
      </c>
      <c r="V446">
        <v>0</v>
      </c>
      <c r="AI446" t="s">
        <v>50</v>
      </c>
      <c r="AJ446">
        <v>0</v>
      </c>
      <c r="AK446">
        <v>0</v>
      </c>
    </row>
    <row r="447" spans="5:37" x14ac:dyDescent="0.25">
      <c r="E447" t="s">
        <v>267</v>
      </c>
      <c r="F447">
        <v>0</v>
      </c>
      <c r="G447">
        <v>0</v>
      </c>
      <c r="T447" t="s">
        <v>267</v>
      </c>
      <c r="U447">
        <v>0</v>
      </c>
      <c r="V447">
        <v>0</v>
      </c>
      <c r="AI447" t="s">
        <v>50</v>
      </c>
      <c r="AJ447">
        <v>0</v>
      </c>
      <c r="AK447">
        <v>0</v>
      </c>
    </row>
    <row r="448" spans="5:37" x14ac:dyDescent="0.25">
      <c r="E448" t="s">
        <v>267</v>
      </c>
      <c r="F448">
        <v>0</v>
      </c>
      <c r="G448">
        <v>0</v>
      </c>
      <c r="T448" t="s">
        <v>267</v>
      </c>
      <c r="U448">
        <v>0</v>
      </c>
      <c r="V448">
        <v>0</v>
      </c>
      <c r="AI448" t="s">
        <v>50</v>
      </c>
      <c r="AJ448">
        <v>0</v>
      </c>
      <c r="AK448">
        <v>0</v>
      </c>
    </row>
    <row r="449" spans="5:37" x14ac:dyDescent="0.25">
      <c r="E449" t="s">
        <v>267</v>
      </c>
      <c r="F449">
        <v>0</v>
      </c>
      <c r="G449">
        <v>0</v>
      </c>
      <c r="T449" t="s">
        <v>267</v>
      </c>
      <c r="U449">
        <v>0</v>
      </c>
      <c r="V449">
        <v>0</v>
      </c>
      <c r="AI449" t="s">
        <v>50</v>
      </c>
      <c r="AJ449">
        <v>0</v>
      </c>
      <c r="AK449">
        <v>0</v>
      </c>
    </row>
    <row r="450" spans="5:37" x14ac:dyDescent="0.25">
      <c r="E450" t="s">
        <v>267</v>
      </c>
      <c r="F450">
        <v>0</v>
      </c>
      <c r="G450">
        <v>0</v>
      </c>
      <c r="T450" t="s">
        <v>267</v>
      </c>
      <c r="U450">
        <v>0</v>
      </c>
      <c r="V450">
        <v>0</v>
      </c>
      <c r="AI450" t="s">
        <v>50</v>
      </c>
      <c r="AJ450">
        <v>0</v>
      </c>
      <c r="AK450">
        <v>0</v>
      </c>
    </row>
    <row r="451" spans="5:37" x14ac:dyDescent="0.25">
      <c r="E451" t="s">
        <v>267</v>
      </c>
      <c r="F451">
        <v>0</v>
      </c>
      <c r="G451">
        <v>0</v>
      </c>
      <c r="T451" t="s">
        <v>267</v>
      </c>
      <c r="U451">
        <v>0</v>
      </c>
      <c r="V451">
        <v>0</v>
      </c>
      <c r="AI451" t="s">
        <v>50</v>
      </c>
      <c r="AJ451">
        <v>0</v>
      </c>
      <c r="AK451">
        <v>0</v>
      </c>
    </row>
    <row r="452" spans="5:37" x14ac:dyDescent="0.25">
      <c r="E452" t="s">
        <v>267</v>
      </c>
      <c r="F452">
        <v>3700</v>
      </c>
      <c r="G452">
        <v>0</v>
      </c>
      <c r="T452" t="s">
        <v>267</v>
      </c>
      <c r="U452">
        <v>0</v>
      </c>
      <c r="V452">
        <v>0</v>
      </c>
      <c r="AI452" t="s">
        <v>50</v>
      </c>
      <c r="AJ452">
        <v>0</v>
      </c>
      <c r="AK452">
        <v>0</v>
      </c>
    </row>
    <row r="453" spans="5:37" x14ac:dyDescent="0.25">
      <c r="E453" t="s">
        <v>267</v>
      </c>
      <c r="F453">
        <v>0</v>
      </c>
      <c r="G453">
        <v>0</v>
      </c>
      <c r="T453" t="s">
        <v>267</v>
      </c>
      <c r="U453">
        <v>0</v>
      </c>
      <c r="V453">
        <v>0</v>
      </c>
      <c r="AI453" t="s">
        <v>50</v>
      </c>
      <c r="AJ453">
        <v>0</v>
      </c>
      <c r="AK453">
        <v>0</v>
      </c>
    </row>
    <row r="454" spans="5:37" x14ac:dyDescent="0.25">
      <c r="E454" t="s">
        <v>267</v>
      </c>
      <c r="F454">
        <v>8000</v>
      </c>
      <c r="G454">
        <v>0</v>
      </c>
      <c r="T454" t="s">
        <v>267</v>
      </c>
      <c r="U454">
        <v>0</v>
      </c>
      <c r="V454">
        <v>0</v>
      </c>
      <c r="AI454" t="s">
        <v>50</v>
      </c>
      <c r="AJ454">
        <v>40000</v>
      </c>
      <c r="AK454">
        <v>0</v>
      </c>
    </row>
    <row r="455" spans="5:37" x14ac:dyDescent="0.25">
      <c r="E455" t="s">
        <v>267</v>
      </c>
      <c r="F455">
        <v>0</v>
      </c>
      <c r="G455">
        <v>0</v>
      </c>
      <c r="T455" t="s">
        <v>267</v>
      </c>
      <c r="U455">
        <v>0</v>
      </c>
      <c r="V455">
        <v>0</v>
      </c>
      <c r="AI455" t="s">
        <v>50</v>
      </c>
      <c r="AJ455">
        <v>0</v>
      </c>
      <c r="AK455">
        <v>0</v>
      </c>
    </row>
    <row r="456" spans="5:37" x14ac:dyDescent="0.25">
      <c r="E456" t="s">
        <v>267</v>
      </c>
      <c r="F456">
        <v>0</v>
      </c>
      <c r="G456">
        <v>0</v>
      </c>
      <c r="T456" t="s">
        <v>267</v>
      </c>
      <c r="U456">
        <v>0</v>
      </c>
      <c r="V456">
        <v>40000</v>
      </c>
      <c r="AI456" t="s">
        <v>50</v>
      </c>
      <c r="AJ456">
        <v>30000</v>
      </c>
      <c r="AK456">
        <v>0</v>
      </c>
    </row>
    <row r="457" spans="5:37" x14ac:dyDescent="0.25">
      <c r="E457" t="s">
        <v>267</v>
      </c>
      <c r="F457">
        <v>0</v>
      </c>
      <c r="G457">
        <v>0</v>
      </c>
      <c r="T457" t="s">
        <v>267</v>
      </c>
      <c r="U457">
        <v>0</v>
      </c>
      <c r="V457">
        <v>0</v>
      </c>
      <c r="AI457" t="s">
        <v>50</v>
      </c>
      <c r="AJ457">
        <v>0</v>
      </c>
      <c r="AK457">
        <v>0</v>
      </c>
    </row>
    <row r="458" spans="5:37" x14ac:dyDescent="0.25">
      <c r="E458" t="s">
        <v>267</v>
      </c>
      <c r="F458">
        <v>0</v>
      </c>
      <c r="G458">
        <v>17000</v>
      </c>
      <c r="T458" t="s">
        <v>267</v>
      </c>
      <c r="U458">
        <v>0</v>
      </c>
      <c r="V458">
        <v>0</v>
      </c>
      <c r="AI458" t="s">
        <v>50</v>
      </c>
      <c r="AJ458">
        <v>0</v>
      </c>
      <c r="AK458">
        <v>0</v>
      </c>
    </row>
    <row r="459" spans="5:37" x14ac:dyDescent="0.25">
      <c r="E459" t="s">
        <v>267</v>
      </c>
      <c r="F459">
        <v>0</v>
      </c>
      <c r="G459">
        <v>0</v>
      </c>
      <c r="T459" t="s">
        <v>267</v>
      </c>
      <c r="U459">
        <v>0</v>
      </c>
      <c r="V459">
        <v>0</v>
      </c>
      <c r="AI459" t="s">
        <v>50</v>
      </c>
      <c r="AJ459">
        <v>0</v>
      </c>
      <c r="AK459">
        <v>0</v>
      </c>
    </row>
    <row r="460" spans="5:37" x14ac:dyDescent="0.25">
      <c r="E460" t="s">
        <v>267</v>
      </c>
      <c r="F460">
        <v>0</v>
      </c>
      <c r="G460">
        <v>0</v>
      </c>
      <c r="T460" t="s">
        <v>267</v>
      </c>
      <c r="U460">
        <v>0</v>
      </c>
      <c r="V460">
        <v>0</v>
      </c>
      <c r="AI460" t="s">
        <v>50</v>
      </c>
      <c r="AJ460">
        <v>0</v>
      </c>
      <c r="AK460">
        <v>0</v>
      </c>
    </row>
    <row r="461" spans="5:37" x14ac:dyDescent="0.25">
      <c r="E461" t="s">
        <v>267</v>
      </c>
      <c r="F461">
        <v>6000</v>
      </c>
      <c r="G461">
        <v>0</v>
      </c>
      <c r="T461" t="s">
        <v>267</v>
      </c>
      <c r="U461">
        <v>0</v>
      </c>
      <c r="V461">
        <v>0</v>
      </c>
      <c r="AI461" t="s">
        <v>50</v>
      </c>
      <c r="AJ461">
        <v>35000</v>
      </c>
      <c r="AK461">
        <v>0</v>
      </c>
    </row>
    <row r="462" spans="5:37" x14ac:dyDescent="0.25">
      <c r="E462" t="s">
        <v>267</v>
      </c>
      <c r="F462">
        <v>0</v>
      </c>
      <c r="G462">
        <v>0</v>
      </c>
      <c r="T462" t="s">
        <v>267</v>
      </c>
      <c r="U462">
        <v>0</v>
      </c>
      <c r="V462">
        <v>0</v>
      </c>
      <c r="AI462" t="s">
        <v>50</v>
      </c>
      <c r="AJ462">
        <v>0</v>
      </c>
      <c r="AK462">
        <v>0</v>
      </c>
    </row>
    <row r="463" spans="5:37" x14ac:dyDescent="0.25">
      <c r="E463" t="s">
        <v>267</v>
      </c>
      <c r="F463">
        <v>0</v>
      </c>
      <c r="G463">
        <v>0</v>
      </c>
      <c r="T463" t="s">
        <v>267</v>
      </c>
      <c r="U463">
        <v>0</v>
      </c>
      <c r="V463">
        <v>0</v>
      </c>
      <c r="AI463" t="s">
        <v>50</v>
      </c>
      <c r="AJ463">
        <v>0</v>
      </c>
      <c r="AK463">
        <v>0</v>
      </c>
    </row>
    <row r="464" spans="5:37" x14ac:dyDescent="0.25">
      <c r="E464" t="s">
        <v>267</v>
      </c>
      <c r="F464">
        <v>8000</v>
      </c>
      <c r="G464">
        <v>0</v>
      </c>
      <c r="T464" t="s">
        <v>267</v>
      </c>
      <c r="U464">
        <v>0</v>
      </c>
      <c r="V464">
        <v>0</v>
      </c>
      <c r="AI464" t="s">
        <v>581</v>
      </c>
      <c r="AJ464">
        <v>0</v>
      </c>
      <c r="AK464">
        <v>0</v>
      </c>
    </row>
    <row r="465" spans="5:37" x14ac:dyDescent="0.25">
      <c r="E465" t="s">
        <v>267</v>
      </c>
      <c r="F465">
        <v>1400</v>
      </c>
      <c r="G465">
        <v>0</v>
      </c>
      <c r="T465" t="s">
        <v>267</v>
      </c>
      <c r="U465">
        <v>0</v>
      </c>
      <c r="V465">
        <v>0</v>
      </c>
      <c r="AI465" t="s">
        <v>581</v>
      </c>
      <c r="AJ465">
        <v>0</v>
      </c>
      <c r="AK465">
        <v>0</v>
      </c>
    </row>
    <row r="466" spans="5:37" x14ac:dyDescent="0.25">
      <c r="E466" t="s">
        <v>267</v>
      </c>
      <c r="F466">
        <v>0</v>
      </c>
      <c r="G466">
        <v>0</v>
      </c>
      <c r="T466" t="s">
        <v>267</v>
      </c>
      <c r="U466">
        <v>18100</v>
      </c>
      <c r="V466">
        <v>0</v>
      </c>
      <c r="AI466" t="s">
        <v>581</v>
      </c>
      <c r="AJ466">
        <v>0</v>
      </c>
      <c r="AK466">
        <v>0</v>
      </c>
    </row>
    <row r="467" spans="5:37" x14ac:dyDescent="0.25">
      <c r="E467" t="s">
        <v>267</v>
      </c>
      <c r="F467">
        <v>0</v>
      </c>
      <c r="G467">
        <v>0</v>
      </c>
      <c r="T467" t="s">
        <v>267</v>
      </c>
      <c r="U467">
        <v>0</v>
      </c>
      <c r="V467">
        <v>0</v>
      </c>
      <c r="AI467" t="s">
        <v>581</v>
      </c>
      <c r="AJ467">
        <v>0</v>
      </c>
      <c r="AK467">
        <v>0</v>
      </c>
    </row>
    <row r="468" spans="5:37" x14ac:dyDescent="0.25">
      <c r="E468" t="s">
        <v>267</v>
      </c>
      <c r="F468">
        <v>0</v>
      </c>
      <c r="G468">
        <v>0</v>
      </c>
      <c r="T468" t="s">
        <v>267</v>
      </c>
      <c r="U468">
        <v>0</v>
      </c>
      <c r="V468">
        <v>0</v>
      </c>
      <c r="AI468" t="s">
        <v>43</v>
      </c>
      <c r="AJ468">
        <v>0</v>
      </c>
      <c r="AK468">
        <v>0</v>
      </c>
    </row>
    <row r="469" spans="5:37" x14ac:dyDescent="0.25">
      <c r="E469" t="s">
        <v>267</v>
      </c>
      <c r="F469">
        <v>0</v>
      </c>
      <c r="G469">
        <v>0</v>
      </c>
      <c r="T469" t="s">
        <v>267</v>
      </c>
      <c r="U469">
        <v>0</v>
      </c>
      <c r="V469">
        <v>0</v>
      </c>
      <c r="AI469" t="s">
        <v>43</v>
      </c>
      <c r="AJ469">
        <v>0</v>
      </c>
      <c r="AK469">
        <v>0</v>
      </c>
    </row>
    <row r="470" spans="5:37" x14ac:dyDescent="0.25">
      <c r="E470" t="s">
        <v>267</v>
      </c>
      <c r="F470">
        <v>0</v>
      </c>
      <c r="G470">
        <v>0</v>
      </c>
      <c r="T470" t="s">
        <v>267</v>
      </c>
      <c r="U470">
        <v>0</v>
      </c>
      <c r="V470">
        <v>0</v>
      </c>
      <c r="AI470" t="s">
        <v>43</v>
      </c>
      <c r="AJ470">
        <v>0</v>
      </c>
      <c r="AK470">
        <v>0</v>
      </c>
    </row>
    <row r="471" spans="5:37" x14ac:dyDescent="0.25">
      <c r="E471" t="s">
        <v>267</v>
      </c>
      <c r="F471">
        <v>0</v>
      </c>
      <c r="G471">
        <v>0</v>
      </c>
      <c r="T471" t="s">
        <v>267</v>
      </c>
      <c r="U471">
        <v>0</v>
      </c>
      <c r="V471">
        <v>0</v>
      </c>
      <c r="AI471" t="s">
        <v>44</v>
      </c>
      <c r="AJ471">
        <v>0</v>
      </c>
      <c r="AK471">
        <v>28000</v>
      </c>
    </row>
    <row r="472" spans="5:37" x14ac:dyDescent="0.25">
      <c r="E472" t="s">
        <v>267</v>
      </c>
      <c r="F472">
        <v>0</v>
      </c>
      <c r="G472">
        <v>0</v>
      </c>
      <c r="T472" t="s">
        <v>267</v>
      </c>
      <c r="U472">
        <v>0</v>
      </c>
      <c r="V472">
        <v>0</v>
      </c>
      <c r="AI472" t="s">
        <v>44</v>
      </c>
      <c r="AJ472">
        <v>32000</v>
      </c>
      <c r="AK472">
        <v>0</v>
      </c>
    </row>
    <row r="473" spans="5:37" x14ac:dyDescent="0.25">
      <c r="E473" t="s">
        <v>267</v>
      </c>
      <c r="F473">
        <v>0</v>
      </c>
      <c r="G473">
        <v>5000</v>
      </c>
      <c r="T473" t="s">
        <v>267</v>
      </c>
      <c r="U473">
        <v>0</v>
      </c>
      <c r="V473">
        <v>0</v>
      </c>
      <c r="AI473" t="s">
        <v>44</v>
      </c>
      <c r="AJ473">
        <v>0</v>
      </c>
      <c r="AK473">
        <v>43000</v>
      </c>
    </row>
    <row r="474" spans="5:37" x14ac:dyDescent="0.25">
      <c r="E474" t="s">
        <v>267</v>
      </c>
      <c r="F474">
        <v>0</v>
      </c>
      <c r="G474">
        <v>0</v>
      </c>
      <c r="T474" t="s">
        <v>267</v>
      </c>
      <c r="U474">
        <v>0</v>
      </c>
      <c r="V474">
        <v>0</v>
      </c>
      <c r="AI474" t="s">
        <v>44</v>
      </c>
      <c r="AJ474">
        <v>0</v>
      </c>
      <c r="AK474">
        <v>0</v>
      </c>
    </row>
    <row r="475" spans="5:37" x14ac:dyDescent="0.25">
      <c r="E475" t="s">
        <v>267</v>
      </c>
      <c r="F475">
        <v>0</v>
      </c>
      <c r="G475">
        <v>0</v>
      </c>
      <c r="T475" t="s">
        <v>267</v>
      </c>
      <c r="U475">
        <v>0</v>
      </c>
      <c r="V475">
        <v>0</v>
      </c>
      <c r="AI475" t="s">
        <v>44</v>
      </c>
      <c r="AJ475">
        <v>0</v>
      </c>
      <c r="AK475">
        <v>0</v>
      </c>
    </row>
    <row r="476" spans="5:37" x14ac:dyDescent="0.25">
      <c r="E476" t="s">
        <v>267</v>
      </c>
      <c r="F476">
        <v>0</v>
      </c>
      <c r="G476">
        <v>0</v>
      </c>
      <c r="T476" t="s">
        <v>267</v>
      </c>
      <c r="U476">
        <v>0</v>
      </c>
      <c r="V476">
        <v>0</v>
      </c>
      <c r="AI476" t="s">
        <v>44</v>
      </c>
      <c r="AJ476">
        <v>0</v>
      </c>
      <c r="AK476">
        <v>41000</v>
      </c>
    </row>
    <row r="477" spans="5:37" x14ac:dyDescent="0.25">
      <c r="E477" t="s">
        <v>267</v>
      </c>
      <c r="F477">
        <v>0</v>
      </c>
      <c r="G477">
        <v>0</v>
      </c>
      <c r="T477" t="s">
        <v>267</v>
      </c>
      <c r="U477">
        <v>0</v>
      </c>
      <c r="V477">
        <v>0</v>
      </c>
      <c r="AI477" t="s">
        <v>44</v>
      </c>
      <c r="AJ477">
        <v>0</v>
      </c>
      <c r="AK477">
        <v>37000</v>
      </c>
    </row>
    <row r="478" spans="5:37" x14ac:dyDescent="0.25">
      <c r="E478" t="s">
        <v>267</v>
      </c>
      <c r="F478">
        <v>6000</v>
      </c>
      <c r="G478">
        <v>0</v>
      </c>
      <c r="T478" t="s">
        <v>267</v>
      </c>
      <c r="U478">
        <v>0</v>
      </c>
      <c r="V478">
        <v>0</v>
      </c>
      <c r="AI478" t="s">
        <v>44</v>
      </c>
      <c r="AJ478">
        <v>0</v>
      </c>
      <c r="AK478">
        <v>0</v>
      </c>
    </row>
    <row r="479" spans="5:37" x14ac:dyDescent="0.25">
      <c r="E479" t="s">
        <v>267</v>
      </c>
      <c r="F479">
        <v>0</v>
      </c>
      <c r="G479">
        <v>0</v>
      </c>
      <c r="T479" t="s">
        <v>267</v>
      </c>
      <c r="U479">
        <v>0</v>
      </c>
      <c r="V479">
        <v>0</v>
      </c>
      <c r="AI479" t="s">
        <v>44</v>
      </c>
      <c r="AJ479">
        <v>0</v>
      </c>
      <c r="AK479">
        <v>0</v>
      </c>
    </row>
    <row r="480" spans="5:37" x14ac:dyDescent="0.25">
      <c r="E480" t="s">
        <v>267</v>
      </c>
      <c r="F480">
        <v>0</v>
      </c>
      <c r="G480">
        <v>17000</v>
      </c>
      <c r="T480" t="s">
        <v>267</v>
      </c>
      <c r="U480">
        <v>0</v>
      </c>
      <c r="V480">
        <v>0</v>
      </c>
      <c r="AI480" t="s">
        <v>44</v>
      </c>
      <c r="AJ480">
        <v>0</v>
      </c>
      <c r="AK480">
        <v>0</v>
      </c>
    </row>
    <row r="481" spans="5:37" x14ac:dyDescent="0.25">
      <c r="E481" t="s">
        <v>267</v>
      </c>
      <c r="F481">
        <v>0</v>
      </c>
      <c r="G481">
        <v>0</v>
      </c>
      <c r="T481" t="s">
        <v>267</v>
      </c>
      <c r="U481">
        <v>0</v>
      </c>
      <c r="V481">
        <v>0</v>
      </c>
      <c r="AI481" t="s">
        <v>44</v>
      </c>
      <c r="AJ481">
        <v>0</v>
      </c>
      <c r="AK481">
        <v>0</v>
      </c>
    </row>
    <row r="482" spans="5:37" x14ac:dyDescent="0.25">
      <c r="E482" t="s">
        <v>267</v>
      </c>
      <c r="F482">
        <v>0</v>
      </c>
      <c r="G482">
        <v>27000</v>
      </c>
      <c r="T482" t="s">
        <v>267</v>
      </c>
      <c r="U482">
        <v>0</v>
      </c>
      <c r="V482">
        <v>0</v>
      </c>
      <c r="AI482" t="s">
        <v>44</v>
      </c>
      <c r="AJ482">
        <v>0</v>
      </c>
      <c r="AK482">
        <v>35000</v>
      </c>
    </row>
    <row r="483" spans="5:37" x14ac:dyDescent="0.25">
      <c r="E483" t="s">
        <v>267</v>
      </c>
      <c r="F483">
        <v>0</v>
      </c>
      <c r="G483">
        <v>0</v>
      </c>
      <c r="T483" t="s">
        <v>267</v>
      </c>
      <c r="U483">
        <v>0</v>
      </c>
      <c r="V483">
        <v>0</v>
      </c>
      <c r="AI483" t="s">
        <v>44</v>
      </c>
      <c r="AJ483">
        <v>0</v>
      </c>
      <c r="AK483">
        <v>39000</v>
      </c>
    </row>
    <row r="484" spans="5:37" x14ac:dyDescent="0.25">
      <c r="E484" t="s">
        <v>267</v>
      </c>
      <c r="F484">
        <v>1700</v>
      </c>
      <c r="G484">
        <v>0</v>
      </c>
      <c r="T484" t="s">
        <v>267</v>
      </c>
      <c r="U484">
        <v>0</v>
      </c>
      <c r="V484">
        <v>40000</v>
      </c>
      <c r="AI484" t="s">
        <v>270</v>
      </c>
      <c r="AJ484">
        <v>0</v>
      </c>
      <c r="AK484">
        <v>0</v>
      </c>
    </row>
    <row r="485" spans="5:37" x14ac:dyDescent="0.25">
      <c r="E485" t="s">
        <v>267</v>
      </c>
      <c r="F485">
        <v>0</v>
      </c>
      <c r="G485">
        <v>0</v>
      </c>
      <c r="T485" t="s">
        <v>267</v>
      </c>
      <c r="U485">
        <v>0</v>
      </c>
      <c r="V485">
        <v>0</v>
      </c>
      <c r="AI485" t="s">
        <v>270</v>
      </c>
      <c r="AJ485">
        <v>0</v>
      </c>
      <c r="AK485">
        <v>42000</v>
      </c>
    </row>
    <row r="486" spans="5:37" x14ac:dyDescent="0.25">
      <c r="E486" t="s">
        <v>267</v>
      </c>
      <c r="F486">
        <v>0</v>
      </c>
      <c r="G486">
        <v>0</v>
      </c>
      <c r="T486" t="s">
        <v>267</v>
      </c>
      <c r="U486">
        <v>0</v>
      </c>
      <c r="V486">
        <v>0</v>
      </c>
      <c r="AI486" t="s">
        <v>270</v>
      </c>
      <c r="AJ486">
        <v>0</v>
      </c>
      <c r="AK486">
        <v>0</v>
      </c>
    </row>
    <row r="487" spans="5:37" x14ac:dyDescent="0.25">
      <c r="E487" t="s">
        <v>267</v>
      </c>
      <c r="F487">
        <v>0</v>
      </c>
      <c r="G487">
        <v>0</v>
      </c>
      <c r="T487" t="s">
        <v>267</v>
      </c>
      <c r="U487">
        <v>0</v>
      </c>
      <c r="V487">
        <v>0</v>
      </c>
      <c r="AI487" t="s">
        <v>270</v>
      </c>
      <c r="AJ487">
        <v>0</v>
      </c>
      <c r="AK487">
        <v>0</v>
      </c>
    </row>
    <row r="488" spans="5:37" x14ac:dyDescent="0.25">
      <c r="E488" t="s">
        <v>267</v>
      </c>
      <c r="F488">
        <v>0</v>
      </c>
      <c r="G488">
        <v>0</v>
      </c>
      <c r="T488" t="s">
        <v>267</v>
      </c>
      <c r="U488">
        <v>0</v>
      </c>
      <c r="V488">
        <v>0</v>
      </c>
      <c r="AI488" t="s">
        <v>270</v>
      </c>
      <c r="AJ488">
        <v>0</v>
      </c>
      <c r="AK488">
        <v>40000</v>
      </c>
    </row>
    <row r="489" spans="5:37" x14ac:dyDescent="0.25">
      <c r="E489" t="s">
        <v>267</v>
      </c>
      <c r="F489">
        <v>0</v>
      </c>
      <c r="G489">
        <v>0</v>
      </c>
      <c r="T489" t="s">
        <v>267</v>
      </c>
      <c r="U489">
        <v>0</v>
      </c>
      <c r="V489">
        <v>0</v>
      </c>
      <c r="AI489" t="s">
        <v>270</v>
      </c>
      <c r="AJ489">
        <v>0</v>
      </c>
      <c r="AK489">
        <v>40000</v>
      </c>
    </row>
    <row r="490" spans="5:37" x14ac:dyDescent="0.25">
      <c r="E490" t="s">
        <v>267</v>
      </c>
      <c r="F490">
        <v>0</v>
      </c>
      <c r="G490">
        <v>20000</v>
      </c>
      <c r="T490" t="s">
        <v>267</v>
      </c>
      <c r="U490">
        <v>0</v>
      </c>
      <c r="V490">
        <v>0</v>
      </c>
      <c r="AI490" t="s">
        <v>270</v>
      </c>
      <c r="AJ490">
        <v>0</v>
      </c>
      <c r="AK490">
        <v>0</v>
      </c>
    </row>
    <row r="491" spans="5:37" x14ac:dyDescent="0.25">
      <c r="E491" t="s">
        <v>267</v>
      </c>
      <c r="F491">
        <v>0</v>
      </c>
      <c r="G491">
        <v>0</v>
      </c>
      <c r="T491" t="s">
        <v>267</v>
      </c>
      <c r="U491">
        <v>0</v>
      </c>
      <c r="V491">
        <v>0</v>
      </c>
      <c r="AI491" t="s">
        <v>270</v>
      </c>
      <c r="AJ491">
        <v>0</v>
      </c>
      <c r="AK491">
        <v>44000</v>
      </c>
    </row>
    <row r="492" spans="5:37" x14ac:dyDescent="0.25">
      <c r="E492" t="s">
        <v>267</v>
      </c>
      <c r="F492">
        <v>0</v>
      </c>
      <c r="G492">
        <v>0</v>
      </c>
      <c r="T492" t="s">
        <v>267</v>
      </c>
      <c r="U492">
        <v>0</v>
      </c>
      <c r="V492">
        <v>0</v>
      </c>
      <c r="AI492" t="s">
        <v>45</v>
      </c>
      <c r="AJ492">
        <v>38000</v>
      </c>
      <c r="AK492">
        <v>0</v>
      </c>
    </row>
    <row r="493" spans="5:37" x14ac:dyDescent="0.25">
      <c r="E493" t="s">
        <v>267</v>
      </c>
      <c r="F493">
        <v>0</v>
      </c>
      <c r="G493">
        <v>0</v>
      </c>
      <c r="T493" t="s">
        <v>267</v>
      </c>
      <c r="U493">
        <v>15000</v>
      </c>
      <c r="V493">
        <v>0</v>
      </c>
      <c r="AI493" t="s">
        <v>45</v>
      </c>
      <c r="AJ493">
        <v>30000</v>
      </c>
      <c r="AK493">
        <v>0</v>
      </c>
    </row>
    <row r="494" spans="5:37" x14ac:dyDescent="0.25">
      <c r="E494" t="s">
        <v>267</v>
      </c>
      <c r="F494">
        <v>0</v>
      </c>
      <c r="G494">
        <v>13000</v>
      </c>
      <c r="T494" t="s">
        <v>267</v>
      </c>
      <c r="U494">
        <v>0</v>
      </c>
      <c r="V494">
        <v>0</v>
      </c>
      <c r="AI494" t="s">
        <v>45</v>
      </c>
      <c r="AJ494">
        <v>29000</v>
      </c>
      <c r="AK494">
        <v>0</v>
      </c>
    </row>
    <row r="495" spans="5:37" x14ac:dyDescent="0.25">
      <c r="E495" t="s">
        <v>267</v>
      </c>
      <c r="F495">
        <v>0</v>
      </c>
      <c r="G495">
        <v>3500</v>
      </c>
      <c r="T495" t="s">
        <v>267</v>
      </c>
      <c r="U495">
        <v>0</v>
      </c>
      <c r="V495">
        <v>0</v>
      </c>
      <c r="AI495" t="s">
        <v>45</v>
      </c>
      <c r="AJ495">
        <v>0</v>
      </c>
      <c r="AK495">
        <v>0</v>
      </c>
    </row>
    <row r="496" spans="5:37" x14ac:dyDescent="0.25">
      <c r="E496" t="s">
        <v>267</v>
      </c>
      <c r="F496">
        <v>0</v>
      </c>
      <c r="G496">
        <v>9500</v>
      </c>
      <c r="T496" t="s">
        <v>267</v>
      </c>
      <c r="U496">
        <v>0</v>
      </c>
      <c r="V496">
        <v>0</v>
      </c>
      <c r="AI496" t="s">
        <v>45</v>
      </c>
      <c r="AJ496">
        <v>40000</v>
      </c>
      <c r="AK496">
        <v>0</v>
      </c>
    </row>
    <row r="497" spans="5:37" x14ac:dyDescent="0.25">
      <c r="E497" t="s">
        <v>267</v>
      </c>
      <c r="F497">
        <v>0</v>
      </c>
      <c r="G497">
        <v>0</v>
      </c>
      <c r="T497" t="s">
        <v>267</v>
      </c>
      <c r="U497">
        <v>0</v>
      </c>
      <c r="V497">
        <v>0</v>
      </c>
      <c r="AI497" t="s">
        <v>45</v>
      </c>
      <c r="AJ497">
        <v>0</v>
      </c>
      <c r="AK497">
        <v>0</v>
      </c>
    </row>
    <row r="498" spans="5:37" x14ac:dyDescent="0.25">
      <c r="E498" t="s">
        <v>267</v>
      </c>
      <c r="F498">
        <v>0</v>
      </c>
      <c r="G498">
        <v>0</v>
      </c>
      <c r="T498" t="s">
        <v>267</v>
      </c>
      <c r="U498">
        <v>0</v>
      </c>
      <c r="V498">
        <v>0</v>
      </c>
      <c r="AI498" t="s">
        <v>45</v>
      </c>
      <c r="AJ498">
        <v>42000</v>
      </c>
      <c r="AK498">
        <v>0</v>
      </c>
    </row>
    <row r="499" spans="5:37" x14ac:dyDescent="0.25">
      <c r="E499" t="s">
        <v>267</v>
      </c>
      <c r="F499">
        <v>0</v>
      </c>
      <c r="G499">
        <v>0</v>
      </c>
      <c r="T499" t="s">
        <v>267</v>
      </c>
      <c r="U499">
        <v>16100</v>
      </c>
      <c r="V499">
        <v>0</v>
      </c>
      <c r="AI499" t="s">
        <v>45</v>
      </c>
      <c r="AJ499">
        <v>36000</v>
      </c>
      <c r="AK499">
        <v>0</v>
      </c>
    </row>
    <row r="500" spans="5:37" x14ac:dyDescent="0.25">
      <c r="E500" t="s">
        <v>267</v>
      </c>
      <c r="F500">
        <v>0</v>
      </c>
      <c r="G500">
        <v>21000</v>
      </c>
      <c r="T500" t="s">
        <v>267</v>
      </c>
      <c r="U500">
        <v>0</v>
      </c>
      <c r="V500">
        <v>0</v>
      </c>
      <c r="AI500" t="s">
        <v>45</v>
      </c>
      <c r="AJ500">
        <v>44000</v>
      </c>
      <c r="AK500">
        <v>0</v>
      </c>
    </row>
    <row r="501" spans="5:37" x14ac:dyDescent="0.25">
      <c r="E501" t="s">
        <v>267</v>
      </c>
      <c r="F501">
        <v>0</v>
      </c>
      <c r="G501">
        <v>0</v>
      </c>
      <c r="T501" t="s">
        <v>267</v>
      </c>
      <c r="U501">
        <v>0</v>
      </c>
      <c r="V501">
        <v>0</v>
      </c>
      <c r="AI501" t="s">
        <v>271</v>
      </c>
      <c r="AJ501">
        <v>43000</v>
      </c>
      <c r="AK501">
        <v>0</v>
      </c>
    </row>
    <row r="502" spans="5:37" x14ac:dyDescent="0.25">
      <c r="E502" t="s">
        <v>267</v>
      </c>
      <c r="F502">
        <v>0</v>
      </c>
      <c r="G502">
        <v>0</v>
      </c>
      <c r="T502" t="s">
        <v>267</v>
      </c>
      <c r="U502">
        <v>0</v>
      </c>
      <c r="V502">
        <v>0</v>
      </c>
      <c r="AI502" t="s">
        <v>271</v>
      </c>
      <c r="AJ502">
        <v>37000</v>
      </c>
      <c r="AK502">
        <v>0</v>
      </c>
    </row>
    <row r="503" spans="5:37" x14ac:dyDescent="0.25">
      <c r="E503" t="s">
        <v>267</v>
      </c>
      <c r="F503">
        <v>4000</v>
      </c>
      <c r="G503">
        <v>10000</v>
      </c>
      <c r="T503" t="s">
        <v>267</v>
      </c>
      <c r="U503">
        <v>0</v>
      </c>
      <c r="V503">
        <v>0</v>
      </c>
      <c r="AI503" t="s">
        <v>271</v>
      </c>
      <c r="AJ503">
        <v>37000</v>
      </c>
      <c r="AK503">
        <v>0</v>
      </c>
    </row>
    <row r="504" spans="5:37" x14ac:dyDescent="0.25">
      <c r="E504" t="s">
        <v>267</v>
      </c>
      <c r="F504">
        <v>0</v>
      </c>
      <c r="G504">
        <v>0</v>
      </c>
      <c r="T504" t="s">
        <v>267</v>
      </c>
      <c r="U504">
        <v>0</v>
      </c>
      <c r="V504">
        <v>0</v>
      </c>
      <c r="AI504" t="s">
        <v>271</v>
      </c>
      <c r="AJ504">
        <v>37000</v>
      </c>
      <c r="AK504">
        <v>0</v>
      </c>
    </row>
    <row r="505" spans="5:37" x14ac:dyDescent="0.25">
      <c r="E505" t="s">
        <v>267</v>
      </c>
      <c r="F505">
        <v>0</v>
      </c>
      <c r="G505">
        <v>0</v>
      </c>
      <c r="T505" t="s">
        <v>267</v>
      </c>
      <c r="U505">
        <v>0</v>
      </c>
      <c r="V505">
        <v>0</v>
      </c>
      <c r="AI505" t="s">
        <v>271</v>
      </c>
      <c r="AJ505">
        <v>42000</v>
      </c>
      <c r="AK505">
        <v>0</v>
      </c>
    </row>
    <row r="506" spans="5:37" x14ac:dyDescent="0.25">
      <c r="E506" t="s">
        <v>267</v>
      </c>
      <c r="F506">
        <v>8000</v>
      </c>
      <c r="G506">
        <v>0</v>
      </c>
      <c r="T506" t="s">
        <v>267</v>
      </c>
      <c r="U506">
        <v>0</v>
      </c>
      <c r="V506">
        <v>0</v>
      </c>
      <c r="AI506" t="s">
        <v>271</v>
      </c>
      <c r="AJ506">
        <v>45000</v>
      </c>
      <c r="AK506">
        <v>0</v>
      </c>
    </row>
    <row r="507" spans="5:37" x14ac:dyDescent="0.25">
      <c r="E507" t="s">
        <v>267</v>
      </c>
      <c r="F507">
        <v>7000</v>
      </c>
      <c r="G507">
        <v>0</v>
      </c>
      <c r="T507" t="s">
        <v>267</v>
      </c>
      <c r="U507">
        <v>0</v>
      </c>
      <c r="V507">
        <v>0</v>
      </c>
      <c r="AI507" t="s">
        <v>271</v>
      </c>
      <c r="AJ507">
        <v>35000</v>
      </c>
      <c r="AK507">
        <v>0</v>
      </c>
    </row>
    <row r="508" spans="5:37" x14ac:dyDescent="0.25">
      <c r="E508" t="s">
        <v>267</v>
      </c>
      <c r="F508">
        <v>0</v>
      </c>
      <c r="G508">
        <v>0</v>
      </c>
      <c r="T508" t="s">
        <v>267</v>
      </c>
      <c r="U508">
        <v>0</v>
      </c>
      <c r="V508">
        <v>0</v>
      </c>
      <c r="AI508" t="s">
        <v>271</v>
      </c>
      <c r="AJ508">
        <v>37000</v>
      </c>
      <c r="AK508">
        <v>0</v>
      </c>
    </row>
    <row r="509" spans="5:37" x14ac:dyDescent="0.25">
      <c r="E509" t="s">
        <v>267</v>
      </c>
      <c r="F509">
        <v>0</v>
      </c>
      <c r="G509">
        <v>30000</v>
      </c>
      <c r="T509" t="s">
        <v>267</v>
      </c>
      <c r="U509">
        <v>0</v>
      </c>
      <c r="V509">
        <v>0</v>
      </c>
      <c r="AI509" t="s">
        <v>271</v>
      </c>
      <c r="AJ509">
        <v>45000</v>
      </c>
      <c r="AK509">
        <v>0</v>
      </c>
    </row>
    <row r="510" spans="5:37" x14ac:dyDescent="0.25">
      <c r="E510" t="s">
        <v>267</v>
      </c>
      <c r="F510">
        <v>0</v>
      </c>
      <c r="G510">
        <v>0</v>
      </c>
      <c r="T510" t="s">
        <v>267</v>
      </c>
      <c r="U510">
        <v>0</v>
      </c>
      <c r="V510">
        <v>0</v>
      </c>
      <c r="AI510" t="s">
        <v>271</v>
      </c>
      <c r="AJ510">
        <v>35000</v>
      </c>
      <c r="AK510">
        <v>0</v>
      </c>
    </row>
    <row r="511" spans="5:37" x14ac:dyDescent="0.25">
      <c r="E511" t="s">
        <v>267</v>
      </c>
      <c r="F511">
        <v>2000</v>
      </c>
      <c r="G511">
        <v>0</v>
      </c>
      <c r="T511" t="s">
        <v>267</v>
      </c>
      <c r="U511">
        <v>0</v>
      </c>
      <c r="V511">
        <v>0</v>
      </c>
      <c r="AI511" t="s">
        <v>271</v>
      </c>
      <c r="AJ511">
        <v>37000</v>
      </c>
      <c r="AK511">
        <v>0</v>
      </c>
    </row>
    <row r="512" spans="5:37" x14ac:dyDescent="0.25">
      <c r="E512" t="s">
        <v>267</v>
      </c>
      <c r="F512">
        <v>0</v>
      </c>
      <c r="G512">
        <v>0</v>
      </c>
      <c r="T512" t="s">
        <v>267</v>
      </c>
      <c r="U512">
        <v>0</v>
      </c>
      <c r="V512">
        <v>0</v>
      </c>
      <c r="AI512" t="s">
        <v>271</v>
      </c>
      <c r="AJ512">
        <v>45000</v>
      </c>
      <c r="AK512">
        <v>0</v>
      </c>
    </row>
    <row r="513" spans="5:37" x14ac:dyDescent="0.25">
      <c r="E513" t="s">
        <v>267</v>
      </c>
      <c r="F513">
        <v>0</v>
      </c>
      <c r="G513">
        <v>0</v>
      </c>
      <c r="T513" t="s">
        <v>267</v>
      </c>
      <c r="U513">
        <v>12100</v>
      </c>
      <c r="V513">
        <v>30000</v>
      </c>
      <c r="AI513" t="s">
        <v>271</v>
      </c>
      <c r="AJ513">
        <v>35000</v>
      </c>
      <c r="AK513">
        <v>0</v>
      </c>
    </row>
    <row r="514" spans="5:37" x14ac:dyDescent="0.25">
      <c r="E514" t="s">
        <v>267</v>
      </c>
      <c r="F514">
        <v>0</v>
      </c>
      <c r="G514">
        <v>0</v>
      </c>
      <c r="T514" t="s">
        <v>267</v>
      </c>
      <c r="U514">
        <v>0</v>
      </c>
      <c r="V514">
        <v>0</v>
      </c>
      <c r="AI514" t="s">
        <v>271</v>
      </c>
      <c r="AJ514">
        <v>45000</v>
      </c>
      <c r="AK514">
        <v>0</v>
      </c>
    </row>
    <row r="515" spans="5:37" x14ac:dyDescent="0.25">
      <c r="E515" t="s">
        <v>267</v>
      </c>
      <c r="F515">
        <v>0</v>
      </c>
      <c r="G515">
        <v>20000</v>
      </c>
      <c r="T515" t="s">
        <v>267</v>
      </c>
      <c r="U515">
        <v>0</v>
      </c>
      <c r="V515">
        <v>16000</v>
      </c>
      <c r="AI515" t="s">
        <v>271</v>
      </c>
      <c r="AJ515">
        <v>45000</v>
      </c>
      <c r="AK515">
        <v>0</v>
      </c>
    </row>
    <row r="516" spans="5:37" x14ac:dyDescent="0.25">
      <c r="E516" t="s">
        <v>267</v>
      </c>
      <c r="F516">
        <v>0</v>
      </c>
      <c r="G516">
        <v>0</v>
      </c>
      <c r="T516" t="s">
        <v>267</v>
      </c>
      <c r="U516">
        <v>0</v>
      </c>
      <c r="V516">
        <v>0</v>
      </c>
      <c r="AI516" t="s">
        <v>271</v>
      </c>
      <c r="AJ516">
        <v>47000</v>
      </c>
      <c r="AK516">
        <v>0</v>
      </c>
    </row>
    <row r="517" spans="5:37" x14ac:dyDescent="0.25">
      <c r="E517" t="s">
        <v>267</v>
      </c>
      <c r="F517">
        <v>0</v>
      </c>
      <c r="G517">
        <v>18000</v>
      </c>
      <c r="T517" t="s">
        <v>267</v>
      </c>
      <c r="U517">
        <v>0</v>
      </c>
      <c r="V517">
        <v>0</v>
      </c>
      <c r="AI517" t="s">
        <v>271</v>
      </c>
      <c r="AJ517">
        <v>35000</v>
      </c>
      <c r="AK517">
        <v>0</v>
      </c>
    </row>
    <row r="518" spans="5:37" x14ac:dyDescent="0.25">
      <c r="E518" t="s">
        <v>267</v>
      </c>
      <c r="F518">
        <v>0</v>
      </c>
      <c r="G518">
        <v>27000</v>
      </c>
      <c r="T518" t="s">
        <v>267</v>
      </c>
      <c r="U518">
        <v>0</v>
      </c>
      <c r="V518">
        <v>0</v>
      </c>
      <c r="AI518" t="s">
        <v>271</v>
      </c>
      <c r="AJ518">
        <v>46000</v>
      </c>
      <c r="AK518">
        <v>0</v>
      </c>
    </row>
    <row r="519" spans="5:37" x14ac:dyDescent="0.25">
      <c r="E519" t="s">
        <v>267</v>
      </c>
      <c r="F519">
        <v>0</v>
      </c>
      <c r="G519">
        <v>0</v>
      </c>
      <c r="T519" t="s">
        <v>267</v>
      </c>
      <c r="U519">
        <v>0</v>
      </c>
      <c r="V519">
        <v>0</v>
      </c>
      <c r="AI519" t="s">
        <v>271</v>
      </c>
      <c r="AJ519">
        <v>0</v>
      </c>
      <c r="AK519">
        <v>0</v>
      </c>
    </row>
    <row r="520" spans="5:37" x14ac:dyDescent="0.25">
      <c r="E520" t="s">
        <v>267</v>
      </c>
      <c r="F520">
        <v>0</v>
      </c>
      <c r="G520">
        <v>0</v>
      </c>
      <c r="T520" t="s">
        <v>267</v>
      </c>
      <c r="U520">
        <v>0</v>
      </c>
      <c r="V520">
        <v>0</v>
      </c>
      <c r="AI520" t="s">
        <v>271</v>
      </c>
      <c r="AJ520">
        <v>35000</v>
      </c>
      <c r="AK520">
        <v>0</v>
      </c>
    </row>
    <row r="521" spans="5:37" x14ac:dyDescent="0.25">
      <c r="E521" t="s">
        <v>267</v>
      </c>
      <c r="F521">
        <v>0</v>
      </c>
      <c r="G521">
        <v>0</v>
      </c>
      <c r="T521" t="s">
        <v>267</v>
      </c>
      <c r="U521">
        <v>0</v>
      </c>
      <c r="V521">
        <v>0</v>
      </c>
      <c r="AI521" t="s">
        <v>271</v>
      </c>
      <c r="AJ521">
        <v>41000</v>
      </c>
      <c r="AK521">
        <v>0</v>
      </c>
    </row>
    <row r="522" spans="5:37" x14ac:dyDescent="0.25">
      <c r="E522" t="s">
        <v>267</v>
      </c>
      <c r="F522">
        <v>0</v>
      </c>
      <c r="G522">
        <v>0</v>
      </c>
      <c r="T522" t="s">
        <v>267</v>
      </c>
      <c r="U522">
        <v>0</v>
      </c>
      <c r="V522">
        <v>0</v>
      </c>
      <c r="AI522" t="s">
        <v>271</v>
      </c>
      <c r="AJ522">
        <v>46000</v>
      </c>
      <c r="AK522">
        <v>0</v>
      </c>
    </row>
    <row r="523" spans="5:37" x14ac:dyDescent="0.25">
      <c r="E523" t="s">
        <v>267</v>
      </c>
      <c r="F523">
        <v>0</v>
      </c>
      <c r="G523">
        <v>0</v>
      </c>
      <c r="T523" t="s">
        <v>267</v>
      </c>
      <c r="U523">
        <v>0</v>
      </c>
      <c r="V523">
        <v>0</v>
      </c>
      <c r="AI523" t="s">
        <v>271</v>
      </c>
      <c r="AJ523">
        <v>47000</v>
      </c>
      <c r="AK523">
        <v>0</v>
      </c>
    </row>
    <row r="524" spans="5:37" x14ac:dyDescent="0.25">
      <c r="E524" t="s">
        <v>267</v>
      </c>
      <c r="F524">
        <v>0</v>
      </c>
      <c r="G524">
        <v>6000</v>
      </c>
      <c r="T524" t="s">
        <v>267</v>
      </c>
      <c r="U524">
        <v>0</v>
      </c>
      <c r="V524">
        <v>0</v>
      </c>
      <c r="AI524" t="s">
        <v>129</v>
      </c>
      <c r="AJ524">
        <v>0</v>
      </c>
      <c r="AK524">
        <v>0</v>
      </c>
    </row>
    <row r="525" spans="5:37" x14ac:dyDescent="0.25">
      <c r="E525" t="s">
        <v>267</v>
      </c>
      <c r="F525">
        <v>0</v>
      </c>
      <c r="G525">
        <v>0</v>
      </c>
      <c r="T525" t="s">
        <v>267</v>
      </c>
      <c r="U525">
        <v>0</v>
      </c>
      <c r="V525">
        <v>0</v>
      </c>
      <c r="AI525" t="s">
        <v>129</v>
      </c>
      <c r="AJ525">
        <v>35000</v>
      </c>
      <c r="AK525">
        <v>0</v>
      </c>
    </row>
    <row r="526" spans="5:37" x14ac:dyDescent="0.25">
      <c r="E526" t="s">
        <v>267</v>
      </c>
      <c r="F526">
        <v>0</v>
      </c>
      <c r="G526">
        <v>0</v>
      </c>
      <c r="T526" t="s">
        <v>267</v>
      </c>
      <c r="U526">
        <v>0</v>
      </c>
      <c r="V526">
        <v>0</v>
      </c>
      <c r="AI526" t="s">
        <v>129</v>
      </c>
      <c r="AJ526">
        <v>0</v>
      </c>
      <c r="AK526">
        <v>0</v>
      </c>
    </row>
    <row r="527" spans="5:37" x14ac:dyDescent="0.25">
      <c r="E527" t="s">
        <v>267</v>
      </c>
      <c r="F527">
        <v>0</v>
      </c>
      <c r="G527">
        <v>27000</v>
      </c>
      <c r="T527" t="s">
        <v>267</v>
      </c>
      <c r="U527">
        <v>0</v>
      </c>
      <c r="V527">
        <v>12000</v>
      </c>
      <c r="AI527" t="s">
        <v>129</v>
      </c>
      <c r="AJ527">
        <v>0</v>
      </c>
      <c r="AK527">
        <v>0</v>
      </c>
    </row>
    <row r="528" spans="5:37" x14ac:dyDescent="0.25">
      <c r="E528" t="s">
        <v>267</v>
      </c>
      <c r="F528">
        <v>0</v>
      </c>
      <c r="G528">
        <v>0</v>
      </c>
      <c r="T528" t="s">
        <v>267</v>
      </c>
      <c r="U528">
        <v>0</v>
      </c>
      <c r="V528">
        <v>0</v>
      </c>
      <c r="AI528" t="s">
        <v>129</v>
      </c>
      <c r="AJ528">
        <v>0</v>
      </c>
      <c r="AK528">
        <v>0</v>
      </c>
    </row>
    <row r="529" spans="5:37" x14ac:dyDescent="0.25">
      <c r="E529" t="s">
        <v>267</v>
      </c>
      <c r="F529">
        <v>0</v>
      </c>
      <c r="G529">
        <v>0</v>
      </c>
      <c r="T529" t="s">
        <v>267</v>
      </c>
      <c r="U529">
        <v>0</v>
      </c>
      <c r="V529">
        <v>0</v>
      </c>
      <c r="AI529" t="s">
        <v>129</v>
      </c>
      <c r="AJ529">
        <v>0</v>
      </c>
      <c r="AK529">
        <v>0</v>
      </c>
    </row>
    <row r="530" spans="5:37" x14ac:dyDescent="0.25">
      <c r="E530" t="s">
        <v>267</v>
      </c>
      <c r="F530">
        <v>0</v>
      </c>
      <c r="G530">
        <v>0</v>
      </c>
      <c r="T530" t="s">
        <v>267</v>
      </c>
      <c r="U530">
        <v>0</v>
      </c>
      <c r="V530">
        <v>0</v>
      </c>
      <c r="AI530" t="s">
        <v>129</v>
      </c>
      <c r="AJ530">
        <v>0</v>
      </c>
      <c r="AK530">
        <v>0</v>
      </c>
    </row>
    <row r="531" spans="5:37" x14ac:dyDescent="0.25">
      <c r="E531" t="s">
        <v>267</v>
      </c>
      <c r="F531">
        <v>0</v>
      </c>
      <c r="G531">
        <v>0</v>
      </c>
      <c r="T531" t="s">
        <v>267</v>
      </c>
      <c r="U531">
        <v>0</v>
      </c>
      <c r="V531">
        <v>0</v>
      </c>
      <c r="AI531" t="s">
        <v>129</v>
      </c>
      <c r="AJ531">
        <v>0</v>
      </c>
      <c r="AK531">
        <v>0</v>
      </c>
    </row>
    <row r="532" spans="5:37" x14ac:dyDescent="0.25">
      <c r="E532" t="s">
        <v>267</v>
      </c>
      <c r="F532">
        <v>0</v>
      </c>
      <c r="G532">
        <v>0</v>
      </c>
      <c r="T532" t="s">
        <v>267</v>
      </c>
      <c r="U532">
        <v>0</v>
      </c>
      <c r="V532">
        <v>0</v>
      </c>
      <c r="AI532" t="s">
        <v>129</v>
      </c>
      <c r="AJ532">
        <v>0</v>
      </c>
      <c r="AK532">
        <v>0</v>
      </c>
    </row>
    <row r="533" spans="5:37" x14ac:dyDescent="0.25">
      <c r="E533" t="s">
        <v>267</v>
      </c>
      <c r="F533">
        <v>0</v>
      </c>
      <c r="G533">
        <v>0</v>
      </c>
      <c r="T533" t="s">
        <v>267</v>
      </c>
      <c r="U533">
        <v>0</v>
      </c>
      <c r="V533">
        <v>0</v>
      </c>
      <c r="AI533" t="s">
        <v>129</v>
      </c>
      <c r="AJ533">
        <v>0</v>
      </c>
      <c r="AK533">
        <v>0</v>
      </c>
    </row>
    <row r="534" spans="5:37" x14ac:dyDescent="0.25">
      <c r="E534" t="s">
        <v>267</v>
      </c>
      <c r="F534">
        <v>0</v>
      </c>
      <c r="G534">
        <v>0</v>
      </c>
      <c r="T534" t="s">
        <v>267</v>
      </c>
      <c r="U534">
        <v>0</v>
      </c>
      <c r="V534">
        <v>0</v>
      </c>
      <c r="AI534" t="s">
        <v>129</v>
      </c>
      <c r="AJ534">
        <v>0</v>
      </c>
      <c r="AK534">
        <v>0</v>
      </c>
    </row>
    <row r="535" spans="5:37" x14ac:dyDescent="0.25">
      <c r="E535" t="s">
        <v>267</v>
      </c>
      <c r="F535">
        <v>0</v>
      </c>
      <c r="G535">
        <v>0</v>
      </c>
      <c r="T535" t="s">
        <v>267</v>
      </c>
      <c r="U535">
        <v>0</v>
      </c>
      <c r="V535">
        <v>0</v>
      </c>
      <c r="AI535" t="s">
        <v>129</v>
      </c>
      <c r="AJ535">
        <v>0</v>
      </c>
      <c r="AK535">
        <v>0</v>
      </c>
    </row>
    <row r="536" spans="5:37" x14ac:dyDescent="0.25">
      <c r="E536" t="s">
        <v>267</v>
      </c>
      <c r="F536">
        <v>0</v>
      </c>
      <c r="G536">
        <v>0</v>
      </c>
      <c r="T536" t="s">
        <v>267</v>
      </c>
      <c r="U536">
        <v>0</v>
      </c>
      <c r="V536">
        <v>0</v>
      </c>
      <c r="AI536" t="s">
        <v>129</v>
      </c>
      <c r="AJ536">
        <v>0</v>
      </c>
      <c r="AK536">
        <v>0</v>
      </c>
    </row>
    <row r="537" spans="5:37" x14ac:dyDescent="0.25">
      <c r="E537" t="s">
        <v>267</v>
      </c>
      <c r="F537">
        <v>0</v>
      </c>
      <c r="G537">
        <v>22000</v>
      </c>
      <c r="T537" t="s">
        <v>267</v>
      </c>
      <c r="U537">
        <v>0</v>
      </c>
      <c r="V537">
        <v>0</v>
      </c>
      <c r="AI537" t="s">
        <v>129</v>
      </c>
      <c r="AJ537">
        <v>0</v>
      </c>
      <c r="AK537">
        <v>0</v>
      </c>
    </row>
    <row r="538" spans="5:37" x14ac:dyDescent="0.25">
      <c r="E538" t="s">
        <v>267</v>
      </c>
      <c r="F538">
        <v>0</v>
      </c>
      <c r="G538">
        <v>0</v>
      </c>
      <c r="T538" t="s">
        <v>267</v>
      </c>
      <c r="U538">
        <v>0</v>
      </c>
      <c r="V538">
        <v>0</v>
      </c>
      <c r="AI538" t="s">
        <v>129</v>
      </c>
      <c r="AJ538">
        <v>0</v>
      </c>
      <c r="AK538">
        <v>0</v>
      </c>
    </row>
    <row r="539" spans="5:37" x14ac:dyDescent="0.25">
      <c r="E539" t="s">
        <v>267</v>
      </c>
      <c r="F539">
        <v>1800</v>
      </c>
      <c r="G539">
        <v>0</v>
      </c>
      <c r="T539" t="s">
        <v>267</v>
      </c>
      <c r="U539">
        <v>0</v>
      </c>
      <c r="V539">
        <v>0</v>
      </c>
      <c r="AI539" t="s">
        <v>129</v>
      </c>
      <c r="AJ539">
        <v>40000</v>
      </c>
      <c r="AK539">
        <v>0</v>
      </c>
    </row>
    <row r="540" spans="5:37" x14ac:dyDescent="0.25">
      <c r="E540" t="s">
        <v>267</v>
      </c>
      <c r="F540">
        <v>0</v>
      </c>
      <c r="G540">
        <v>0</v>
      </c>
      <c r="T540" t="s">
        <v>267</v>
      </c>
      <c r="U540">
        <v>0</v>
      </c>
      <c r="V540">
        <v>0</v>
      </c>
      <c r="AI540" t="s">
        <v>129</v>
      </c>
      <c r="AJ540">
        <v>40000</v>
      </c>
      <c r="AK540">
        <v>0</v>
      </c>
    </row>
    <row r="541" spans="5:37" x14ac:dyDescent="0.25">
      <c r="E541" t="s">
        <v>267</v>
      </c>
      <c r="F541">
        <v>0</v>
      </c>
      <c r="G541">
        <v>0</v>
      </c>
      <c r="T541" t="s">
        <v>267</v>
      </c>
      <c r="U541">
        <v>0</v>
      </c>
      <c r="V541">
        <v>0</v>
      </c>
      <c r="AI541" t="s">
        <v>129</v>
      </c>
      <c r="AJ541">
        <v>35000</v>
      </c>
      <c r="AK541">
        <v>0</v>
      </c>
    </row>
    <row r="542" spans="5:37" x14ac:dyDescent="0.25">
      <c r="E542" t="s">
        <v>267</v>
      </c>
      <c r="F542">
        <v>0</v>
      </c>
      <c r="G542">
        <v>0</v>
      </c>
      <c r="T542" t="s">
        <v>267</v>
      </c>
      <c r="U542">
        <v>0</v>
      </c>
      <c r="V542">
        <v>0</v>
      </c>
      <c r="AI542" t="s">
        <v>129</v>
      </c>
      <c r="AJ542">
        <v>0</v>
      </c>
      <c r="AK542">
        <v>0</v>
      </c>
    </row>
    <row r="543" spans="5:37" x14ac:dyDescent="0.25">
      <c r="E543" t="s">
        <v>267</v>
      </c>
      <c r="F543">
        <v>0</v>
      </c>
      <c r="G543">
        <v>0</v>
      </c>
      <c r="T543" t="s">
        <v>267</v>
      </c>
      <c r="U543">
        <v>0</v>
      </c>
      <c r="V543">
        <v>0</v>
      </c>
      <c r="AI543" t="s">
        <v>129</v>
      </c>
      <c r="AJ543">
        <v>0</v>
      </c>
      <c r="AK543">
        <v>0</v>
      </c>
    </row>
    <row r="544" spans="5:37" x14ac:dyDescent="0.25">
      <c r="E544" t="s">
        <v>267</v>
      </c>
      <c r="F544">
        <v>0</v>
      </c>
      <c r="G544">
        <v>0</v>
      </c>
      <c r="T544" t="s">
        <v>267</v>
      </c>
      <c r="U544">
        <v>13000</v>
      </c>
      <c r="V544">
        <v>0</v>
      </c>
      <c r="AI544" t="s">
        <v>129</v>
      </c>
      <c r="AJ544">
        <v>0</v>
      </c>
      <c r="AK544">
        <v>0</v>
      </c>
    </row>
    <row r="545" spans="5:37" x14ac:dyDescent="0.25">
      <c r="E545" t="s">
        <v>267</v>
      </c>
      <c r="F545">
        <v>5000</v>
      </c>
      <c r="G545">
        <v>0</v>
      </c>
      <c r="T545" t="s">
        <v>267</v>
      </c>
      <c r="U545">
        <v>0</v>
      </c>
      <c r="V545">
        <v>20000</v>
      </c>
      <c r="AI545" t="s">
        <v>129</v>
      </c>
      <c r="AJ545">
        <v>0</v>
      </c>
      <c r="AK545">
        <v>0</v>
      </c>
    </row>
    <row r="546" spans="5:37" x14ac:dyDescent="0.25">
      <c r="E546" t="s">
        <v>267</v>
      </c>
      <c r="F546">
        <v>0</v>
      </c>
      <c r="G546">
        <v>0</v>
      </c>
      <c r="T546" t="s">
        <v>267</v>
      </c>
      <c r="U546">
        <v>0</v>
      </c>
      <c r="V546">
        <v>0</v>
      </c>
      <c r="AI546" t="s">
        <v>129</v>
      </c>
      <c r="AJ546">
        <v>0</v>
      </c>
      <c r="AK546">
        <v>0</v>
      </c>
    </row>
    <row r="547" spans="5:37" x14ac:dyDescent="0.25">
      <c r="E547" t="s">
        <v>267</v>
      </c>
      <c r="F547">
        <v>0</v>
      </c>
      <c r="G547">
        <v>0</v>
      </c>
      <c r="T547" t="s">
        <v>267</v>
      </c>
      <c r="U547">
        <v>0</v>
      </c>
      <c r="V547">
        <v>0</v>
      </c>
      <c r="AI547" t="s">
        <v>129</v>
      </c>
      <c r="AJ547">
        <v>0</v>
      </c>
      <c r="AK547">
        <v>0</v>
      </c>
    </row>
    <row r="548" spans="5:37" x14ac:dyDescent="0.25">
      <c r="E548" t="s">
        <v>267</v>
      </c>
      <c r="F548">
        <v>0</v>
      </c>
      <c r="G548">
        <v>0</v>
      </c>
      <c r="T548" t="s">
        <v>267</v>
      </c>
      <c r="U548">
        <v>0</v>
      </c>
      <c r="V548">
        <v>0</v>
      </c>
      <c r="AI548" t="s">
        <v>129</v>
      </c>
      <c r="AJ548">
        <v>35000</v>
      </c>
      <c r="AK548">
        <v>0</v>
      </c>
    </row>
    <row r="549" spans="5:37" x14ac:dyDescent="0.25">
      <c r="E549" t="s">
        <v>267</v>
      </c>
      <c r="F549">
        <v>0</v>
      </c>
      <c r="G549">
        <v>13000</v>
      </c>
      <c r="T549" t="s">
        <v>267</v>
      </c>
      <c r="U549">
        <v>14100</v>
      </c>
      <c r="V549">
        <v>0</v>
      </c>
      <c r="AI549" t="s">
        <v>129</v>
      </c>
      <c r="AJ549">
        <v>40000</v>
      </c>
      <c r="AK549">
        <v>0</v>
      </c>
    </row>
    <row r="550" spans="5:37" x14ac:dyDescent="0.25">
      <c r="E550" t="s">
        <v>267</v>
      </c>
      <c r="F550">
        <v>0</v>
      </c>
      <c r="G550">
        <v>0</v>
      </c>
      <c r="T550" t="s">
        <v>267</v>
      </c>
      <c r="U550">
        <v>0</v>
      </c>
      <c r="V550">
        <v>0</v>
      </c>
      <c r="AI550" t="s">
        <v>129</v>
      </c>
      <c r="AJ550">
        <v>0</v>
      </c>
      <c r="AK550">
        <v>0</v>
      </c>
    </row>
    <row r="551" spans="5:37" x14ac:dyDescent="0.25">
      <c r="E551" t="s">
        <v>267</v>
      </c>
      <c r="F551">
        <v>0</v>
      </c>
      <c r="G551">
        <v>0</v>
      </c>
      <c r="T551" t="s">
        <v>267</v>
      </c>
      <c r="U551">
        <v>0</v>
      </c>
      <c r="V551">
        <v>0</v>
      </c>
      <c r="AI551" t="s">
        <v>129</v>
      </c>
      <c r="AJ551">
        <v>0</v>
      </c>
      <c r="AK551">
        <v>0</v>
      </c>
    </row>
    <row r="552" spans="5:37" x14ac:dyDescent="0.25">
      <c r="E552" t="s">
        <v>267</v>
      </c>
      <c r="F552">
        <v>0</v>
      </c>
      <c r="G552">
        <v>0</v>
      </c>
      <c r="T552" t="s">
        <v>267</v>
      </c>
      <c r="U552">
        <v>0</v>
      </c>
      <c r="V552">
        <v>0</v>
      </c>
      <c r="AI552" t="s">
        <v>129</v>
      </c>
      <c r="AJ552">
        <v>0</v>
      </c>
      <c r="AK552">
        <v>0</v>
      </c>
    </row>
    <row r="553" spans="5:37" x14ac:dyDescent="0.25">
      <c r="E553" t="s">
        <v>267</v>
      </c>
      <c r="F553">
        <v>0</v>
      </c>
      <c r="G553">
        <v>0</v>
      </c>
      <c r="T553" t="s">
        <v>267</v>
      </c>
      <c r="U553">
        <v>0</v>
      </c>
      <c r="V553">
        <v>0</v>
      </c>
      <c r="AI553" t="s">
        <v>129</v>
      </c>
      <c r="AJ553">
        <v>35000</v>
      </c>
      <c r="AK553">
        <v>0</v>
      </c>
    </row>
    <row r="554" spans="5:37" x14ac:dyDescent="0.25">
      <c r="E554" t="s">
        <v>267</v>
      </c>
      <c r="F554">
        <v>0</v>
      </c>
      <c r="G554">
        <v>13000</v>
      </c>
      <c r="T554" t="s">
        <v>267</v>
      </c>
      <c r="U554">
        <v>0</v>
      </c>
      <c r="V554">
        <v>45000</v>
      </c>
      <c r="AI554" t="s">
        <v>129</v>
      </c>
      <c r="AJ554">
        <v>35000</v>
      </c>
      <c r="AK554">
        <v>0</v>
      </c>
    </row>
    <row r="555" spans="5:37" x14ac:dyDescent="0.25">
      <c r="E555" t="s">
        <v>267</v>
      </c>
      <c r="F555">
        <v>0</v>
      </c>
      <c r="G555">
        <v>5000</v>
      </c>
      <c r="T555" t="s">
        <v>267</v>
      </c>
      <c r="U555">
        <v>0</v>
      </c>
      <c r="V555">
        <v>0</v>
      </c>
      <c r="AI555" t="s">
        <v>129</v>
      </c>
      <c r="AJ555">
        <v>0</v>
      </c>
      <c r="AK555">
        <v>0</v>
      </c>
    </row>
    <row r="556" spans="5:37" x14ac:dyDescent="0.25">
      <c r="E556" t="s">
        <v>267</v>
      </c>
      <c r="F556">
        <v>8000</v>
      </c>
      <c r="G556">
        <v>0</v>
      </c>
      <c r="T556" t="s">
        <v>267</v>
      </c>
      <c r="U556">
        <v>0</v>
      </c>
      <c r="V556">
        <v>0</v>
      </c>
      <c r="AI556" t="s">
        <v>600</v>
      </c>
      <c r="AJ556">
        <v>0</v>
      </c>
      <c r="AK556">
        <v>0</v>
      </c>
    </row>
    <row r="557" spans="5:37" x14ac:dyDescent="0.25">
      <c r="E557" t="s">
        <v>267</v>
      </c>
      <c r="F557">
        <v>0</v>
      </c>
      <c r="G557">
        <v>0</v>
      </c>
      <c r="T557" t="s">
        <v>267</v>
      </c>
      <c r="U557">
        <v>0</v>
      </c>
      <c r="V557">
        <v>0</v>
      </c>
      <c r="AI557" t="s">
        <v>600</v>
      </c>
      <c r="AJ557">
        <v>0</v>
      </c>
      <c r="AK557">
        <v>0</v>
      </c>
    </row>
    <row r="558" spans="5:37" x14ac:dyDescent="0.25">
      <c r="E558" t="s">
        <v>267</v>
      </c>
      <c r="F558">
        <v>1600</v>
      </c>
      <c r="G558">
        <v>0</v>
      </c>
      <c r="T558" t="s">
        <v>267</v>
      </c>
      <c r="U558">
        <v>0</v>
      </c>
      <c r="V558">
        <v>0</v>
      </c>
      <c r="AI558" t="s">
        <v>600</v>
      </c>
      <c r="AJ558">
        <v>0</v>
      </c>
      <c r="AK558">
        <v>0</v>
      </c>
    </row>
    <row r="559" spans="5:37" x14ac:dyDescent="0.25">
      <c r="E559" t="s">
        <v>267</v>
      </c>
      <c r="F559">
        <v>0</v>
      </c>
      <c r="G559">
        <v>24000</v>
      </c>
      <c r="T559" t="s">
        <v>267</v>
      </c>
      <c r="U559">
        <v>0</v>
      </c>
      <c r="V559">
        <v>0</v>
      </c>
      <c r="AI559" t="s">
        <v>600</v>
      </c>
      <c r="AJ559">
        <v>0</v>
      </c>
      <c r="AK559">
        <v>0</v>
      </c>
    </row>
    <row r="560" spans="5:37" x14ac:dyDescent="0.25">
      <c r="E560" t="s">
        <v>267</v>
      </c>
      <c r="F560">
        <v>0</v>
      </c>
      <c r="G560">
        <v>0</v>
      </c>
      <c r="T560" t="s">
        <v>267</v>
      </c>
      <c r="U560">
        <v>0</v>
      </c>
      <c r="V560">
        <v>0</v>
      </c>
      <c r="AI560" t="s">
        <v>600</v>
      </c>
      <c r="AJ560">
        <v>0</v>
      </c>
      <c r="AK560">
        <v>0</v>
      </c>
    </row>
    <row r="561" spans="5:37" x14ac:dyDescent="0.25">
      <c r="E561" t="s">
        <v>267</v>
      </c>
      <c r="F561">
        <v>0</v>
      </c>
      <c r="G561">
        <v>0</v>
      </c>
      <c r="T561" t="s">
        <v>267</v>
      </c>
      <c r="U561">
        <v>0</v>
      </c>
      <c r="V561">
        <v>0</v>
      </c>
      <c r="AI561" t="s">
        <v>600</v>
      </c>
      <c r="AJ561">
        <v>0</v>
      </c>
      <c r="AK561">
        <v>0</v>
      </c>
    </row>
    <row r="562" spans="5:37" x14ac:dyDescent="0.25">
      <c r="E562" t="s">
        <v>267</v>
      </c>
      <c r="F562">
        <v>0</v>
      </c>
      <c r="G562">
        <v>0</v>
      </c>
      <c r="T562" t="s">
        <v>65</v>
      </c>
      <c r="U562">
        <v>20000</v>
      </c>
      <c r="V562">
        <v>0</v>
      </c>
      <c r="AI562" t="s">
        <v>600</v>
      </c>
      <c r="AJ562">
        <v>0</v>
      </c>
      <c r="AK562">
        <v>0</v>
      </c>
    </row>
    <row r="563" spans="5:37" x14ac:dyDescent="0.25">
      <c r="E563" t="s">
        <v>267</v>
      </c>
      <c r="F563">
        <v>0</v>
      </c>
      <c r="G563">
        <v>0</v>
      </c>
      <c r="T563" t="s">
        <v>65</v>
      </c>
      <c r="U563">
        <v>18000</v>
      </c>
      <c r="V563">
        <v>0</v>
      </c>
      <c r="AI563" t="s">
        <v>600</v>
      </c>
      <c r="AJ563">
        <v>0</v>
      </c>
      <c r="AK563">
        <v>0</v>
      </c>
    </row>
    <row r="564" spans="5:37" x14ac:dyDescent="0.25">
      <c r="E564" t="s">
        <v>267</v>
      </c>
      <c r="F564">
        <v>0</v>
      </c>
      <c r="G564">
        <v>0</v>
      </c>
      <c r="T564" t="s">
        <v>65</v>
      </c>
      <c r="U564">
        <v>0</v>
      </c>
      <c r="V564">
        <v>0</v>
      </c>
      <c r="AI564" t="s">
        <v>600</v>
      </c>
      <c r="AJ564">
        <v>0</v>
      </c>
      <c r="AK564">
        <v>0</v>
      </c>
    </row>
    <row r="565" spans="5:37" x14ac:dyDescent="0.25">
      <c r="E565" t="s">
        <v>267</v>
      </c>
      <c r="F565">
        <v>0</v>
      </c>
      <c r="G565">
        <v>12000</v>
      </c>
      <c r="T565" t="s">
        <v>65</v>
      </c>
      <c r="U565">
        <v>0</v>
      </c>
      <c r="V565">
        <v>0</v>
      </c>
      <c r="AI565" t="s">
        <v>600</v>
      </c>
      <c r="AJ565">
        <v>0</v>
      </c>
      <c r="AK565">
        <v>0</v>
      </c>
    </row>
    <row r="566" spans="5:37" x14ac:dyDescent="0.25">
      <c r="E566" t="s">
        <v>267</v>
      </c>
      <c r="F566">
        <v>0</v>
      </c>
      <c r="G566">
        <v>20000</v>
      </c>
      <c r="T566" t="s">
        <v>65</v>
      </c>
      <c r="U566">
        <v>29000</v>
      </c>
      <c r="V566">
        <v>0</v>
      </c>
      <c r="AI566" t="s">
        <v>600</v>
      </c>
      <c r="AJ566">
        <v>0</v>
      </c>
      <c r="AK566">
        <v>0</v>
      </c>
    </row>
    <row r="567" spans="5:37" x14ac:dyDescent="0.25">
      <c r="E567" t="s">
        <v>267</v>
      </c>
      <c r="F567">
        <v>0</v>
      </c>
      <c r="G567">
        <v>0</v>
      </c>
      <c r="T567" t="s">
        <v>65</v>
      </c>
      <c r="U567">
        <v>22000</v>
      </c>
      <c r="V567">
        <v>0</v>
      </c>
      <c r="AI567" t="s">
        <v>600</v>
      </c>
      <c r="AJ567">
        <v>0</v>
      </c>
      <c r="AK567">
        <v>0</v>
      </c>
    </row>
    <row r="568" spans="5:37" x14ac:dyDescent="0.25">
      <c r="E568" t="s">
        <v>267</v>
      </c>
      <c r="F568">
        <v>0</v>
      </c>
      <c r="G568">
        <v>27000</v>
      </c>
      <c r="T568" t="s">
        <v>65</v>
      </c>
      <c r="U568">
        <v>0</v>
      </c>
      <c r="V568">
        <v>0</v>
      </c>
      <c r="AI568" t="s">
        <v>600</v>
      </c>
      <c r="AJ568">
        <v>0</v>
      </c>
      <c r="AK568">
        <v>0</v>
      </c>
    </row>
    <row r="569" spans="5:37" x14ac:dyDescent="0.25">
      <c r="E569" t="s">
        <v>267</v>
      </c>
      <c r="F569">
        <v>0</v>
      </c>
      <c r="G569">
        <v>28000</v>
      </c>
      <c r="T569" t="s">
        <v>65</v>
      </c>
      <c r="U569">
        <v>35000</v>
      </c>
      <c r="V569">
        <v>0</v>
      </c>
      <c r="AI569" t="s">
        <v>600</v>
      </c>
      <c r="AJ569">
        <v>0</v>
      </c>
      <c r="AK569">
        <v>0</v>
      </c>
    </row>
    <row r="570" spans="5:37" x14ac:dyDescent="0.25">
      <c r="E570" t="s">
        <v>267</v>
      </c>
      <c r="F570">
        <v>0</v>
      </c>
      <c r="G570">
        <v>0</v>
      </c>
      <c r="T570" t="s">
        <v>65</v>
      </c>
      <c r="U570">
        <v>0</v>
      </c>
      <c r="V570">
        <v>0</v>
      </c>
      <c r="AI570" t="s">
        <v>600</v>
      </c>
      <c r="AJ570">
        <v>0</v>
      </c>
      <c r="AK570">
        <v>0</v>
      </c>
    </row>
    <row r="571" spans="5:37" x14ac:dyDescent="0.25">
      <c r="E571" t="s">
        <v>267</v>
      </c>
      <c r="F571">
        <v>0</v>
      </c>
      <c r="G571">
        <v>0</v>
      </c>
      <c r="T571" t="s">
        <v>65</v>
      </c>
      <c r="U571">
        <v>36000</v>
      </c>
      <c r="V571">
        <v>0</v>
      </c>
      <c r="AI571" t="s">
        <v>600</v>
      </c>
      <c r="AJ571">
        <v>0</v>
      </c>
      <c r="AK571">
        <v>0</v>
      </c>
    </row>
    <row r="572" spans="5:37" x14ac:dyDescent="0.25">
      <c r="E572" t="s">
        <v>267</v>
      </c>
      <c r="F572">
        <v>0</v>
      </c>
      <c r="G572">
        <v>7500</v>
      </c>
      <c r="T572" t="s">
        <v>65</v>
      </c>
      <c r="U572">
        <v>15000</v>
      </c>
      <c r="V572">
        <v>0</v>
      </c>
      <c r="AI572" t="s">
        <v>600</v>
      </c>
      <c r="AJ572">
        <v>0</v>
      </c>
      <c r="AK572">
        <v>0</v>
      </c>
    </row>
    <row r="573" spans="5:37" x14ac:dyDescent="0.25">
      <c r="E573" t="s">
        <v>267</v>
      </c>
      <c r="F573">
        <v>0</v>
      </c>
      <c r="G573">
        <v>0</v>
      </c>
      <c r="T573" t="s">
        <v>65</v>
      </c>
      <c r="U573">
        <v>25000</v>
      </c>
      <c r="V573">
        <v>0</v>
      </c>
      <c r="AI573" t="s">
        <v>600</v>
      </c>
      <c r="AJ573">
        <v>0</v>
      </c>
      <c r="AK573">
        <v>0</v>
      </c>
    </row>
    <row r="574" spans="5:37" x14ac:dyDescent="0.25">
      <c r="E574" t="s">
        <v>267</v>
      </c>
      <c r="F574">
        <v>0</v>
      </c>
      <c r="G574">
        <v>0</v>
      </c>
      <c r="T574" t="s">
        <v>65</v>
      </c>
      <c r="U574">
        <v>27000</v>
      </c>
      <c r="V574">
        <v>0</v>
      </c>
      <c r="AI574" t="s">
        <v>600</v>
      </c>
      <c r="AJ574">
        <v>0</v>
      </c>
      <c r="AK574">
        <v>0</v>
      </c>
    </row>
    <row r="575" spans="5:37" x14ac:dyDescent="0.25">
      <c r="E575" t="s">
        <v>267</v>
      </c>
      <c r="F575">
        <v>0</v>
      </c>
      <c r="G575">
        <v>0</v>
      </c>
      <c r="T575" t="s">
        <v>66</v>
      </c>
      <c r="U575">
        <v>0</v>
      </c>
      <c r="V575">
        <v>0</v>
      </c>
      <c r="AI575" t="s">
        <v>600</v>
      </c>
      <c r="AJ575">
        <v>0</v>
      </c>
      <c r="AK575">
        <v>0</v>
      </c>
    </row>
    <row r="576" spans="5:37" x14ac:dyDescent="0.25">
      <c r="E576" t="s">
        <v>267</v>
      </c>
      <c r="F576">
        <v>0</v>
      </c>
      <c r="G576">
        <v>0</v>
      </c>
      <c r="T576" t="s">
        <v>102</v>
      </c>
      <c r="U576">
        <v>24000</v>
      </c>
      <c r="V576">
        <v>0</v>
      </c>
      <c r="AI576" t="s">
        <v>600</v>
      </c>
      <c r="AJ576">
        <v>0</v>
      </c>
      <c r="AK576">
        <v>0</v>
      </c>
    </row>
    <row r="577" spans="5:37" x14ac:dyDescent="0.25">
      <c r="E577" t="s">
        <v>267</v>
      </c>
      <c r="F577">
        <v>0</v>
      </c>
      <c r="G577">
        <v>0</v>
      </c>
      <c r="T577" t="s">
        <v>102</v>
      </c>
      <c r="U577">
        <v>0</v>
      </c>
      <c r="V577">
        <v>0</v>
      </c>
      <c r="AI577" t="s">
        <v>600</v>
      </c>
      <c r="AJ577">
        <v>0</v>
      </c>
      <c r="AK577">
        <v>0</v>
      </c>
    </row>
    <row r="578" spans="5:37" x14ac:dyDescent="0.25">
      <c r="E578" t="s">
        <v>267</v>
      </c>
      <c r="F578">
        <v>0</v>
      </c>
      <c r="G578">
        <v>0</v>
      </c>
      <c r="T578" t="s">
        <v>102</v>
      </c>
      <c r="U578">
        <v>0</v>
      </c>
      <c r="V578">
        <v>0</v>
      </c>
      <c r="AI578" t="s">
        <v>600</v>
      </c>
      <c r="AJ578">
        <v>0</v>
      </c>
      <c r="AK578">
        <v>0</v>
      </c>
    </row>
    <row r="579" spans="5:37" x14ac:dyDescent="0.25">
      <c r="E579" t="s">
        <v>267</v>
      </c>
      <c r="F579">
        <v>0</v>
      </c>
      <c r="G579">
        <v>0</v>
      </c>
      <c r="T579" t="s">
        <v>102</v>
      </c>
      <c r="U579">
        <v>0</v>
      </c>
      <c r="V579">
        <v>0</v>
      </c>
      <c r="AI579" t="s">
        <v>600</v>
      </c>
      <c r="AJ579">
        <v>0</v>
      </c>
      <c r="AK579">
        <v>0</v>
      </c>
    </row>
    <row r="580" spans="5:37" x14ac:dyDescent="0.25">
      <c r="E580" t="s">
        <v>267</v>
      </c>
      <c r="F580">
        <v>0</v>
      </c>
      <c r="G580">
        <v>0</v>
      </c>
      <c r="T580" t="s">
        <v>102</v>
      </c>
      <c r="U580">
        <v>20000</v>
      </c>
      <c r="V580">
        <v>0</v>
      </c>
      <c r="AI580" t="s">
        <v>600</v>
      </c>
      <c r="AJ580">
        <v>0</v>
      </c>
      <c r="AK580">
        <v>0</v>
      </c>
    </row>
    <row r="581" spans="5:37" x14ac:dyDescent="0.25">
      <c r="E581" t="s">
        <v>267</v>
      </c>
      <c r="F581">
        <v>0</v>
      </c>
      <c r="G581">
        <v>0</v>
      </c>
      <c r="T581" t="s">
        <v>102</v>
      </c>
      <c r="U581">
        <v>24000</v>
      </c>
      <c r="V581">
        <v>0</v>
      </c>
      <c r="AI581" t="s">
        <v>600</v>
      </c>
      <c r="AJ581">
        <v>0</v>
      </c>
      <c r="AK581">
        <v>0</v>
      </c>
    </row>
    <row r="582" spans="5:37" x14ac:dyDescent="0.25">
      <c r="E582" t="s">
        <v>267</v>
      </c>
      <c r="F582">
        <v>0</v>
      </c>
      <c r="G582">
        <v>0</v>
      </c>
      <c r="T582" t="s">
        <v>102</v>
      </c>
      <c r="U582">
        <v>0</v>
      </c>
      <c r="V582">
        <v>0</v>
      </c>
      <c r="AI582" t="s">
        <v>438</v>
      </c>
      <c r="AJ582">
        <v>0</v>
      </c>
      <c r="AK582">
        <v>36000</v>
      </c>
    </row>
    <row r="583" spans="5:37" x14ac:dyDescent="0.25">
      <c r="E583" t="s">
        <v>267</v>
      </c>
      <c r="F583">
        <v>0</v>
      </c>
      <c r="G583">
        <v>0</v>
      </c>
      <c r="T583" t="s">
        <v>102</v>
      </c>
      <c r="U583">
        <v>0</v>
      </c>
      <c r="V583">
        <v>0</v>
      </c>
      <c r="AI583" t="s">
        <v>438</v>
      </c>
      <c r="AJ583">
        <v>0</v>
      </c>
      <c r="AK583">
        <v>0</v>
      </c>
    </row>
    <row r="584" spans="5:37" x14ac:dyDescent="0.25">
      <c r="E584" t="s">
        <v>267</v>
      </c>
      <c r="F584">
        <v>0</v>
      </c>
      <c r="G584">
        <v>17000</v>
      </c>
      <c r="T584" t="s">
        <v>102</v>
      </c>
      <c r="U584">
        <v>0</v>
      </c>
      <c r="V584">
        <v>35000</v>
      </c>
      <c r="AI584" t="s">
        <v>438</v>
      </c>
      <c r="AJ584">
        <v>0</v>
      </c>
      <c r="AK584">
        <v>26000</v>
      </c>
    </row>
    <row r="585" spans="5:37" x14ac:dyDescent="0.25">
      <c r="E585" t="s">
        <v>267</v>
      </c>
      <c r="F585">
        <v>0</v>
      </c>
      <c r="G585">
        <v>0</v>
      </c>
      <c r="T585" t="s">
        <v>102</v>
      </c>
      <c r="U585">
        <v>0</v>
      </c>
      <c r="V585">
        <v>35000</v>
      </c>
      <c r="AI585" t="s">
        <v>438</v>
      </c>
      <c r="AJ585">
        <v>0</v>
      </c>
      <c r="AK585">
        <v>0</v>
      </c>
    </row>
    <row r="586" spans="5:37" x14ac:dyDescent="0.25">
      <c r="E586" t="s">
        <v>267</v>
      </c>
      <c r="F586">
        <v>0</v>
      </c>
      <c r="G586">
        <v>0</v>
      </c>
      <c r="T586" t="s">
        <v>102</v>
      </c>
      <c r="U586">
        <v>0</v>
      </c>
      <c r="V586">
        <v>0</v>
      </c>
      <c r="AI586" t="s">
        <v>438</v>
      </c>
      <c r="AJ586">
        <v>0</v>
      </c>
      <c r="AK586">
        <v>28000</v>
      </c>
    </row>
    <row r="587" spans="5:37" x14ac:dyDescent="0.25">
      <c r="E587" t="s">
        <v>267</v>
      </c>
      <c r="F587">
        <v>6000</v>
      </c>
      <c r="G587">
        <v>0</v>
      </c>
      <c r="T587" t="s">
        <v>467</v>
      </c>
      <c r="U587">
        <v>38000</v>
      </c>
      <c r="V587">
        <v>0</v>
      </c>
      <c r="AI587" t="s">
        <v>438</v>
      </c>
      <c r="AJ587">
        <v>0</v>
      </c>
      <c r="AK587">
        <v>32000</v>
      </c>
    </row>
    <row r="588" spans="5:37" x14ac:dyDescent="0.25">
      <c r="E588" t="s">
        <v>267</v>
      </c>
      <c r="F588">
        <v>4000</v>
      </c>
      <c r="G588">
        <v>0</v>
      </c>
      <c r="T588" t="s">
        <v>467</v>
      </c>
      <c r="U588">
        <v>0</v>
      </c>
      <c r="V588">
        <v>0</v>
      </c>
      <c r="AI588" t="s">
        <v>438</v>
      </c>
      <c r="AJ588">
        <v>0</v>
      </c>
      <c r="AK588">
        <v>30000</v>
      </c>
    </row>
    <row r="589" spans="5:37" x14ac:dyDescent="0.25">
      <c r="E589" t="s">
        <v>267</v>
      </c>
      <c r="F589">
        <v>0</v>
      </c>
      <c r="G589">
        <v>0</v>
      </c>
      <c r="T589" t="s">
        <v>467</v>
      </c>
      <c r="U589">
        <v>32000</v>
      </c>
      <c r="V589">
        <v>0</v>
      </c>
      <c r="AI589" t="s">
        <v>438</v>
      </c>
      <c r="AJ589">
        <v>0</v>
      </c>
      <c r="AK589">
        <v>0</v>
      </c>
    </row>
    <row r="590" spans="5:37" x14ac:dyDescent="0.25">
      <c r="E590" t="s">
        <v>267</v>
      </c>
      <c r="F590">
        <v>0</v>
      </c>
      <c r="G590">
        <v>0</v>
      </c>
      <c r="T590" t="s">
        <v>467</v>
      </c>
      <c r="U590">
        <v>0</v>
      </c>
      <c r="V590">
        <v>0</v>
      </c>
      <c r="AI590" t="s">
        <v>438</v>
      </c>
      <c r="AJ590">
        <v>0</v>
      </c>
      <c r="AK590">
        <v>34000</v>
      </c>
    </row>
    <row r="591" spans="5:37" x14ac:dyDescent="0.25">
      <c r="E591" t="s">
        <v>267</v>
      </c>
      <c r="F591">
        <v>0</v>
      </c>
      <c r="G591">
        <v>0</v>
      </c>
      <c r="T591" t="s">
        <v>467</v>
      </c>
      <c r="U591">
        <v>0</v>
      </c>
      <c r="V591">
        <v>0</v>
      </c>
      <c r="AI591" t="s">
        <v>438</v>
      </c>
      <c r="AJ591">
        <v>0</v>
      </c>
      <c r="AK591">
        <v>0</v>
      </c>
    </row>
    <row r="592" spans="5:37" x14ac:dyDescent="0.25">
      <c r="E592" t="s">
        <v>267</v>
      </c>
      <c r="F592">
        <v>0</v>
      </c>
      <c r="G592">
        <v>13000</v>
      </c>
      <c r="T592" t="s">
        <v>467</v>
      </c>
      <c r="U592">
        <v>0</v>
      </c>
      <c r="V592">
        <v>0</v>
      </c>
      <c r="AI592" t="s">
        <v>438</v>
      </c>
      <c r="AJ592">
        <v>0</v>
      </c>
      <c r="AK592">
        <v>0</v>
      </c>
    </row>
    <row r="593" spans="5:37" x14ac:dyDescent="0.25">
      <c r="E593" t="s">
        <v>267</v>
      </c>
      <c r="F593">
        <v>0</v>
      </c>
      <c r="G593">
        <v>0</v>
      </c>
      <c r="T593" t="s">
        <v>467</v>
      </c>
      <c r="U593">
        <v>0</v>
      </c>
      <c r="V593">
        <v>0</v>
      </c>
      <c r="AI593" t="s">
        <v>605</v>
      </c>
      <c r="AJ593">
        <v>0</v>
      </c>
      <c r="AK593">
        <v>0</v>
      </c>
    </row>
    <row r="594" spans="5:37" x14ac:dyDescent="0.25">
      <c r="E594" t="s">
        <v>267</v>
      </c>
      <c r="F594">
        <v>0</v>
      </c>
      <c r="G594">
        <v>0</v>
      </c>
      <c r="T594" t="s">
        <v>467</v>
      </c>
      <c r="U594">
        <v>0</v>
      </c>
      <c r="V594">
        <v>0</v>
      </c>
      <c r="AI594" t="s">
        <v>605</v>
      </c>
      <c r="AJ594">
        <v>0</v>
      </c>
      <c r="AK594">
        <v>0</v>
      </c>
    </row>
    <row r="595" spans="5:37" x14ac:dyDescent="0.25">
      <c r="E595" t="s">
        <v>267</v>
      </c>
      <c r="F595">
        <v>0</v>
      </c>
      <c r="G595">
        <v>0</v>
      </c>
      <c r="T595" t="s">
        <v>467</v>
      </c>
      <c r="U595">
        <v>0</v>
      </c>
      <c r="V595">
        <v>0</v>
      </c>
      <c r="AI595" t="s">
        <v>605</v>
      </c>
      <c r="AJ595">
        <v>0</v>
      </c>
      <c r="AK595">
        <v>25000</v>
      </c>
    </row>
    <row r="596" spans="5:37" x14ac:dyDescent="0.25">
      <c r="E596" t="s">
        <v>267</v>
      </c>
      <c r="F596">
        <v>0</v>
      </c>
      <c r="G596">
        <v>0</v>
      </c>
      <c r="T596" t="s">
        <v>467</v>
      </c>
      <c r="U596">
        <v>0</v>
      </c>
      <c r="V596">
        <v>0</v>
      </c>
      <c r="AI596" t="s">
        <v>605</v>
      </c>
      <c r="AJ596">
        <v>0</v>
      </c>
      <c r="AK596">
        <v>0</v>
      </c>
    </row>
    <row r="597" spans="5:37" x14ac:dyDescent="0.25">
      <c r="E597" t="s">
        <v>267</v>
      </c>
      <c r="F597">
        <v>0</v>
      </c>
      <c r="G597">
        <v>0</v>
      </c>
      <c r="T597" t="s">
        <v>467</v>
      </c>
      <c r="U597">
        <v>0</v>
      </c>
      <c r="V597">
        <v>0</v>
      </c>
      <c r="AI597" t="s">
        <v>605</v>
      </c>
      <c r="AJ597">
        <v>0</v>
      </c>
      <c r="AK597">
        <v>0</v>
      </c>
    </row>
    <row r="598" spans="5:37" x14ac:dyDescent="0.25">
      <c r="E598" t="s">
        <v>267</v>
      </c>
      <c r="F598">
        <v>0</v>
      </c>
      <c r="G598">
        <v>0</v>
      </c>
      <c r="T598" t="s">
        <v>467</v>
      </c>
      <c r="U598">
        <v>0</v>
      </c>
      <c r="V598">
        <v>0</v>
      </c>
      <c r="AI598" t="s">
        <v>605</v>
      </c>
      <c r="AJ598">
        <v>0</v>
      </c>
      <c r="AK598">
        <v>0</v>
      </c>
    </row>
    <row r="599" spans="5:37" x14ac:dyDescent="0.25">
      <c r="E599" t="s">
        <v>267</v>
      </c>
      <c r="F599">
        <v>0</v>
      </c>
      <c r="G599">
        <v>0</v>
      </c>
      <c r="T599" t="s">
        <v>467</v>
      </c>
      <c r="U599">
        <v>40000</v>
      </c>
      <c r="V599">
        <v>0</v>
      </c>
      <c r="AI599" t="s">
        <v>605</v>
      </c>
      <c r="AJ599">
        <v>0</v>
      </c>
      <c r="AK599">
        <v>20000</v>
      </c>
    </row>
    <row r="600" spans="5:37" x14ac:dyDescent="0.25">
      <c r="E600" t="s">
        <v>267</v>
      </c>
      <c r="F600">
        <v>0</v>
      </c>
      <c r="G600">
        <v>0</v>
      </c>
      <c r="T600" t="s">
        <v>10</v>
      </c>
      <c r="U600">
        <v>0</v>
      </c>
      <c r="V600">
        <v>25000</v>
      </c>
      <c r="AI600" t="s">
        <v>605</v>
      </c>
      <c r="AJ600">
        <v>0</v>
      </c>
      <c r="AK600">
        <v>0</v>
      </c>
    </row>
    <row r="601" spans="5:37" x14ac:dyDescent="0.25">
      <c r="E601" t="s">
        <v>267</v>
      </c>
      <c r="F601">
        <v>0</v>
      </c>
      <c r="G601">
        <v>0</v>
      </c>
      <c r="T601" t="s">
        <v>10</v>
      </c>
      <c r="U601">
        <v>0</v>
      </c>
      <c r="V601">
        <v>21000</v>
      </c>
      <c r="AI601" t="s">
        <v>605</v>
      </c>
      <c r="AJ601">
        <v>0</v>
      </c>
      <c r="AK601">
        <v>0</v>
      </c>
    </row>
    <row r="602" spans="5:37" x14ac:dyDescent="0.25">
      <c r="E602" t="s">
        <v>267</v>
      </c>
      <c r="F602">
        <v>0</v>
      </c>
      <c r="G602">
        <v>0</v>
      </c>
      <c r="T602" t="s">
        <v>10</v>
      </c>
      <c r="U602">
        <v>0</v>
      </c>
      <c r="V602">
        <v>17000</v>
      </c>
      <c r="AI602" t="s">
        <v>605</v>
      </c>
      <c r="AJ602">
        <v>0</v>
      </c>
      <c r="AK602">
        <v>30000</v>
      </c>
    </row>
    <row r="603" spans="5:37" x14ac:dyDescent="0.25">
      <c r="E603" t="s">
        <v>267</v>
      </c>
      <c r="F603">
        <v>0</v>
      </c>
      <c r="G603">
        <v>0</v>
      </c>
      <c r="T603" t="s">
        <v>10</v>
      </c>
      <c r="U603">
        <v>0</v>
      </c>
      <c r="V603">
        <v>16000</v>
      </c>
      <c r="AI603" t="s">
        <v>605</v>
      </c>
      <c r="AJ603">
        <v>0</v>
      </c>
      <c r="AK603">
        <v>0</v>
      </c>
    </row>
    <row r="604" spans="5:37" x14ac:dyDescent="0.25">
      <c r="E604" t="s">
        <v>267</v>
      </c>
      <c r="F604">
        <v>0</v>
      </c>
      <c r="G604">
        <v>0</v>
      </c>
      <c r="T604" t="s">
        <v>10</v>
      </c>
      <c r="U604">
        <v>0</v>
      </c>
      <c r="V604">
        <v>21000</v>
      </c>
      <c r="AI604" t="s">
        <v>605</v>
      </c>
      <c r="AJ604">
        <v>0</v>
      </c>
      <c r="AK604">
        <v>0</v>
      </c>
    </row>
    <row r="605" spans="5:37" x14ac:dyDescent="0.25">
      <c r="E605" t="s">
        <v>267</v>
      </c>
      <c r="F605">
        <v>0</v>
      </c>
      <c r="G605">
        <v>0</v>
      </c>
      <c r="T605" t="s">
        <v>10</v>
      </c>
      <c r="U605">
        <v>0</v>
      </c>
      <c r="V605">
        <v>0</v>
      </c>
      <c r="AI605" t="s">
        <v>605</v>
      </c>
      <c r="AJ605">
        <v>0</v>
      </c>
      <c r="AK605">
        <v>0</v>
      </c>
    </row>
    <row r="606" spans="5:37" x14ac:dyDescent="0.25">
      <c r="E606" t="s">
        <v>267</v>
      </c>
      <c r="F606">
        <v>8000</v>
      </c>
      <c r="G606">
        <v>0</v>
      </c>
      <c r="T606" t="s">
        <v>51</v>
      </c>
      <c r="U606">
        <v>0</v>
      </c>
      <c r="V606">
        <v>0</v>
      </c>
      <c r="AI606" t="s">
        <v>144</v>
      </c>
      <c r="AJ606">
        <v>0</v>
      </c>
      <c r="AK606">
        <v>0</v>
      </c>
    </row>
    <row r="607" spans="5:37" x14ac:dyDescent="0.25">
      <c r="E607" t="s">
        <v>267</v>
      </c>
      <c r="F607">
        <v>0</v>
      </c>
      <c r="G607">
        <v>0</v>
      </c>
      <c r="T607" t="s">
        <v>51</v>
      </c>
      <c r="U607">
        <v>0</v>
      </c>
      <c r="V607">
        <v>0</v>
      </c>
      <c r="AI607" t="s">
        <v>144</v>
      </c>
      <c r="AJ607">
        <v>0</v>
      </c>
      <c r="AK607">
        <v>0</v>
      </c>
    </row>
    <row r="608" spans="5:37" x14ac:dyDescent="0.25">
      <c r="E608" t="s">
        <v>267</v>
      </c>
      <c r="F608">
        <v>0</v>
      </c>
      <c r="G608">
        <v>19000</v>
      </c>
      <c r="T608" t="s">
        <v>51</v>
      </c>
      <c r="U608">
        <v>0</v>
      </c>
      <c r="V608">
        <v>0</v>
      </c>
      <c r="AI608" t="s">
        <v>144</v>
      </c>
      <c r="AJ608">
        <v>0</v>
      </c>
      <c r="AK608">
        <v>0</v>
      </c>
    </row>
    <row r="609" spans="5:37" x14ac:dyDescent="0.25">
      <c r="E609" t="s">
        <v>267</v>
      </c>
      <c r="F609">
        <v>0</v>
      </c>
      <c r="G609">
        <v>0</v>
      </c>
      <c r="T609" t="s">
        <v>51</v>
      </c>
      <c r="U609">
        <v>0</v>
      </c>
      <c r="V609">
        <v>0</v>
      </c>
      <c r="AI609" t="s">
        <v>144</v>
      </c>
      <c r="AJ609">
        <v>0</v>
      </c>
      <c r="AK609">
        <v>0</v>
      </c>
    </row>
    <row r="610" spans="5:37" x14ac:dyDescent="0.25">
      <c r="E610" t="s">
        <v>267</v>
      </c>
      <c r="F610">
        <v>0</v>
      </c>
      <c r="G610">
        <v>0</v>
      </c>
      <c r="T610" t="s">
        <v>51</v>
      </c>
      <c r="U610">
        <v>0</v>
      </c>
      <c r="V610">
        <v>0</v>
      </c>
      <c r="AI610" t="s">
        <v>144</v>
      </c>
      <c r="AJ610">
        <v>0</v>
      </c>
      <c r="AK610">
        <v>0</v>
      </c>
    </row>
    <row r="611" spans="5:37" x14ac:dyDescent="0.25">
      <c r="E611" t="s">
        <v>267</v>
      </c>
      <c r="F611">
        <v>0</v>
      </c>
      <c r="G611">
        <v>0</v>
      </c>
      <c r="T611" t="s">
        <v>52</v>
      </c>
      <c r="U611">
        <v>0</v>
      </c>
      <c r="V611">
        <v>14000</v>
      </c>
      <c r="AI611" t="s">
        <v>144</v>
      </c>
      <c r="AJ611">
        <v>0</v>
      </c>
      <c r="AK611">
        <v>0</v>
      </c>
    </row>
    <row r="612" spans="5:37" x14ac:dyDescent="0.25">
      <c r="E612" t="s">
        <v>267</v>
      </c>
      <c r="F612">
        <v>0</v>
      </c>
      <c r="G612">
        <v>0</v>
      </c>
      <c r="T612" t="s">
        <v>52</v>
      </c>
      <c r="U612">
        <v>0</v>
      </c>
      <c r="V612">
        <v>0</v>
      </c>
      <c r="AI612" t="s">
        <v>144</v>
      </c>
      <c r="AJ612">
        <v>0</v>
      </c>
      <c r="AK612">
        <v>0</v>
      </c>
    </row>
    <row r="613" spans="5:37" x14ac:dyDescent="0.25">
      <c r="E613" t="s">
        <v>267</v>
      </c>
      <c r="F613">
        <v>0</v>
      </c>
      <c r="G613">
        <v>0</v>
      </c>
      <c r="T613" t="s">
        <v>52</v>
      </c>
      <c r="U613">
        <v>0</v>
      </c>
      <c r="V613">
        <v>0</v>
      </c>
      <c r="AI613" t="s">
        <v>7321</v>
      </c>
      <c r="AJ613">
        <v>0</v>
      </c>
      <c r="AK613">
        <v>0</v>
      </c>
    </row>
    <row r="614" spans="5:37" x14ac:dyDescent="0.25">
      <c r="E614" t="s">
        <v>267</v>
      </c>
      <c r="F614">
        <v>0</v>
      </c>
      <c r="G614">
        <v>0</v>
      </c>
      <c r="T614" t="s">
        <v>52</v>
      </c>
      <c r="U614">
        <v>0</v>
      </c>
      <c r="V614">
        <v>0</v>
      </c>
      <c r="AI614" t="s">
        <v>7321</v>
      </c>
      <c r="AJ614">
        <v>0</v>
      </c>
      <c r="AK614">
        <v>0</v>
      </c>
    </row>
    <row r="615" spans="5:37" x14ac:dyDescent="0.25">
      <c r="E615" t="s">
        <v>267</v>
      </c>
      <c r="F615">
        <v>0</v>
      </c>
      <c r="G615">
        <v>0</v>
      </c>
      <c r="T615" t="s">
        <v>53</v>
      </c>
      <c r="U615">
        <v>35000</v>
      </c>
      <c r="V615">
        <v>0</v>
      </c>
      <c r="AI615" t="s">
        <v>7321</v>
      </c>
      <c r="AJ615">
        <v>0</v>
      </c>
      <c r="AK615">
        <v>0</v>
      </c>
    </row>
    <row r="616" spans="5:37" x14ac:dyDescent="0.25">
      <c r="E616" t="s">
        <v>267</v>
      </c>
      <c r="F616">
        <v>0</v>
      </c>
      <c r="G616">
        <v>0</v>
      </c>
      <c r="T616" t="s">
        <v>53</v>
      </c>
      <c r="U616">
        <v>0</v>
      </c>
      <c r="V616">
        <v>0</v>
      </c>
      <c r="AI616" t="s">
        <v>7321</v>
      </c>
      <c r="AJ616">
        <v>0</v>
      </c>
      <c r="AK616">
        <v>0</v>
      </c>
    </row>
    <row r="617" spans="5:37" x14ac:dyDescent="0.25">
      <c r="E617" t="s">
        <v>267</v>
      </c>
      <c r="F617">
        <v>0</v>
      </c>
      <c r="G617">
        <v>0</v>
      </c>
      <c r="T617" t="s">
        <v>53</v>
      </c>
      <c r="U617">
        <v>25000</v>
      </c>
      <c r="V617">
        <v>0</v>
      </c>
      <c r="AI617" t="s">
        <v>7321</v>
      </c>
      <c r="AJ617">
        <v>0</v>
      </c>
      <c r="AK617">
        <v>20000</v>
      </c>
    </row>
    <row r="618" spans="5:37" x14ac:dyDescent="0.25">
      <c r="E618" t="s">
        <v>267</v>
      </c>
      <c r="F618">
        <v>2400</v>
      </c>
      <c r="G618">
        <v>0</v>
      </c>
      <c r="T618" t="s">
        <v>53</v>
      </c>
      <c r="U618">
        <v>18000</v>
      </c>
      <c r="V618">
        <v>0</v>
      </c>
      <c r="AI618" t="s">
        <v>7321</v>
      </c>
      <c r="AJ618">
        <v>0</v>
      </c>
      <c r="AK618">
        <v>0</v>
      </c>
    </row>
    <row r="619" spans="5:37" x14ac:dyDescent="0.25">
      <c r="E619" t="s">
        <v>267</v>
      </c>
      <c r="F619">
        <v>0</v>
      </c>
      <c r="G619">
        <v>0</v>
      </c>
      <c r="T619" t="s">
        <v>53</v>
      </c>
      <c r="U619">
        <v>0</v>
      </c>
      <c r="V619">
        <v>0</v>
      </c>
      <c r="AI619" t="s">
        <v>7321</v>
      </c>
      <c r="AJ619">
        <v>0</v>
      </c>
      <c r="AK619">
        <v>0</v>
      </c>
    </row>
    <row r="620" spans="5:37" x14ac:dyDescent="0.25">
      <c r="E620" t="s">
        <v>267</v>
      </c>
      <c r="F620">
        <v>0</v>
      </c>
      <c r="G620">
        <v>0</v>
      </c>
      <c r="T620" t="s">
        <v>53</v>
      </c>
      <c r="U620">
        <v>0</v>
      </c>
      <c r="V620">
        <v>0</v>
      </c>
      <c r="AI620" t="s">
        <v>7321</v>
      </c>
      <c r="AJ620">
        <v>0</v>
      </c>
      <c r="AK620">
        <v>0</v>
      </c>
    </row>
    <row r="621" spans="5:37" x14ac:dyDescent="0.25">
      <c r="E621" t="s">
        <v>267</v>
      </c>
      <c r="F621">
        <v>0</v>
      </c>
      <c r="G621">
        <v>0</v>
      </c>
      <c r="T621" t="s">
        <v>53</v>
      </c>
      <c r="U621">
        <v>45000</v>
      </c>
      <c r="V621">
        <v>0</v>
      </c>
      <c r="AI621" t="s">
        <v>7321</v>
      </c>
      <c r="AJ621">
        <v>0</v>
      </c>
      <c r="AK621">
        <v>20000</v>
      </c>
    </row>
    <row r="622" spans="5:37" x14ac:dyDescent="0.25">
      <c r="E622" t="s">
        <v>267</v>
      </c>
      <c r="F622">
        <v>2500</v>
      </c>
      <c r="G622">
        <v>0</v>
      </c>
      <c r="T622" t="s">
        <v>53</v>
      </c>
      <c r="U622">
        <v>45000</v>
      </c>
      <c r="V622">
        <v>0</v>
      </c>
      <c r="AI622" t="s">
        <v>7321</v>
      </c>
      <c r="AJ622">
        <v>0</v>
      </c>
      <c r="AK622">
        <v>0</v>
      </c>
    </row>
    <row r="623" spans="5:37" x14ac:dyDescent="0.25">
      <c r="E623" t="s">
        <v>267</v>
      </c>
      <c r="F623">
        <v>0</v>
      </c>
      <c r="G623">
        <v>0</v>
      </c>
      <c r="T623" t="s">
        <v>54</v>
      </c>
      <c r="U623">
        <v>15000</v>
      </c>
      <c r="V623">
        <v>0</v>
      </c>
      <c r="AI623" t="s">
        <v>7321</v>
      </c>
      <c r="AJ623">
        <v>0</v>
      </c>
      <c r="AK623">
        <v>0</v>
      </c>
    </row>
    <row r="624" spans="5:37" x14ac:dyDescent="0.25">
      <c r="E624" t="s">
        <v>267</v>
      </c>
      <c r="F624">
        <v>0</v>
      </c>
      <c r="G624">
        <v>28000</v>
      </c>
      <c r="T624" t="s">
        <v>54</v>
      </c>
      <c r="U624">
        <v>38000</v>
      </c>
      <c r="V624">
        <v>0</v>
      </c>
      <c r="AI624" t="s">
        <v>7321</v>
      </c>
      <c r="AJ624">
        <v>0</v>
      </c>
      <c r="AK624">
        <v>0</v>
      </c>
    </row>
    <row r="625" spans="5:37" x14ac:dyDescent="0.25">
      <c r="E625" t="s">
        <v>267</v>
      </c>
      <c r="F625">
        <v>0</v>
      </c>
      <c r="G625">
        <v>0</v>
      </c>
      <c r="T625" t="s">
        <v>54</v>
      </c>
      <c r="U625">
        <v>0</v>
      </c>
      <c r="V625">
        <v>0</v>
      </c>
      <c r="AI625" t="s">
        <v>7321</v>
      </c>
      <c r="AJ625">
        <v>0</v>
      </c>
      <c r="AK625">
        <v>0</v>
      </c>
    </row>
    <row r="626" spans="5:37" x14ac:dyDescent="0.25">
      <c r="E626" t="s">
        <v>267</v>
      </c>
      <c r="F626">
        <v>8000</v>
      </c>
      <c r="G626">
        <v>0</v>
      </c>
      <c r="T626" t="s">
        <v>54</v>
      </c>
      <c r="U626">
        <v>0</v>
      </c>
      <c r="V626">
        <v>0</v>
      </c>
      <c r="AI626" t="s">
        <v>7321</v>
      </c>
      <c r="AJ626">
        <v>0</v>
      </c>
      <c r="AK626">
        <v>0</v>
      </c>
    </row>
    <row r="627" spans="5:37" x14ac:dyDescent="0.25">
      <c r="E627" t="s">
        <v>267</v>
      </c>
      <c r="F627">
        <v>0</v>
      </c>
      <c r="G627">
        <v>0</v>
      </c>
      <c r="T627" t="s">
        <v>54</v>
      </c>
      <c r="U627">
        <v>38000</v>
      </c>
      <c r="V627">
        <v>0</v>
      </c>
      <c r="AI627" t="s">
        <v>7321</v>
      </c>
      <c r="AJ627">
        <v>0</v>
      </c>
      <c r="AK627">
        <v>0</v>
      </c>
    </row>
    <row r="628" spans="5:37" x14ac:dyDescent="0.25">
      <c r="E628" t="s">
        <v>267</v>
      </c>
      <c r="F628">
        <v>0</v>
      </c>
      <c r="G628">
        <v>0</v>
      </c>
      <c r="T628" t="s">
        <v>54</v>
      </c>
      <c r="U628">
        <v>22000</v>
      </c>
      <c r="V628">
        <v>0</v>
      </c>
      <c r="AI628" t="s">
        <v>7308</v>
      </c>
      <c r="AJ628">
        <v>0</v>
      </c>
      <c r="AK628">
        <v>0</v>
      </c>
    </row>
    <row r="629" spans="5:37" x14ac:dyDescent="0.25">
      <c r="E629" t="s">
        <v>267</v>
      </c>
      <c r="F629">
        <v>0</v>
      </c>
      <c r="G629">
        <v>0</v>
      </c>
      <c r="T629" t="s">
        <v>54</v>
      </c>
      <c r="U629">
        <v>0</v>
      </c>
      <c r="V629">
        <v>0</v>
      </c>
      <c r="AI629" t="s">
        <v>7308</v>
      </c>
      <c r="AJ629">
        <v>0</v>
      </c>
      <c r="AK629">
        <v>0</v>
      </c>
    </row>
    <row r="630" spans="5:37" x14ac:dyDescent="0.25">
      <c r="E630" t="s">
        <v>267</v>
      </c>
      <c r="F630">
        <v>0</v>
      </c>
      <c r="G630">
        <v>0</v>
      </c>
      <c r="T630" t="s">
        <v>55</v>
      </c>
      <c r="U630">
        <v>42000</v>
      </c>
      <c r="V630">
        <v>0</v>
      </c>
      <c r="AI630" t="s">
        <v>7308</v>
      </c>
      <c r="AJ630">
        <v>0</v>
      </c>
      <c r="AK630">
        <v>0</v>
      </c>
    </row>
    <row r="631" spans="5:37" x14ac:dyDescent="0.25">
      <c r="E631" t="s">
        <v>267</v>
      </c>
      <c r="F631">
        <v>0</v>
      </c>
      <c r="G631">
        <v>0</v>
      </c>
      <c r="T631" t="s">
        <v>55</v>
      </c>
      <c r="U631">
        <v>42000</v>
      </c>
      <c r="V631">
        <v>0</v>
      </c>
      <c r="AI631" t="s">
        <v>7308</v>
      </c>
      <c r="AJ631">
        <v>0</v>
      </c>
      <c r="AK631">
        <v>0</v>
      </c>
    </row>
    <row r="632" spans="5:37" x14ac:dyDescent="0.25">
      <c r="E632" t="s">
        <v>267</v>
      </c>
      <c r="F632">
        <v>0</v>
      </c>
      <c r="G632">
        <v>0</v>
      </c>
      <c r="T632" t="s">
        <v>55</v>
      </c>
      <c r="U632">
        <v>35000</v>
      </c>
      <c r="V632">
        <v>0</v>
      </c>
      <c r="AI632" t="s">
        <v>7308</v>
      </c>
      <c r="AJ632">
        <v>0</v>
      </c>
      <c r="AK632">
        <v>0</v>
      </c>
    </row>
    <row r="633" spans="5:37" x14ac:dyDescent="0.25">
      <c r="E633" t="s">
        <v>267</v>
      </c>
      <c r="F633">
        <v>0</v>
      </c>
      <c r="G633">
        <v>0</v>
      </c>
      <c r="T633" t="s">
        <v>420</v>
      </c>
      <c r="U633">
        <v>0</v>
      </c>
      <c r="V633">
        <v>0</v>
      </c>
      <c r="AI633" t="s">
        <v>7308</v>
      </c>
      <c r="AJ633">
        <v>0</v>
      </c>
      <c r="AK633">
        <v>0</v>
      </c>
    </row>
    <row r="634" spans="5:37" x14ac:dyDescent="0.25">
      <c r="E634" t="s">
        <v>267</v>
      </c>
      <c r="F634">
        <v>4500</v>
      </c>
      <c r="G634">
        <v>0</v>
      </c>
      <c r="T634" t="s">
        <v>420</v>
      </c>
      <c r="U634">
        <v>0</v>
      </c>
      <c r="V634">
        <v>0</v>
      </c>
      <c r="AI634" t="s">
        <v>7308</v>
      </c>
      <c r="AJ634">
        <v>0</v>
      </c>
      <c r="AK634">
        <v>0</v>
      </c>
    </row>
    <row r="635" spans="5:37" x14ac:dyDescent="0.25">
      <c r="E635" t="s">
        <v>267</v>
      </c>
      <c r="F635">
        <v>0</v>
      </c>
      <c r="G635">
        <v>0</v>
      </c>
      <c r="T635" t="s">
        <v>420</v>
      </c>
      <c r="U635">
        <v>0</v>
      </c>
      <c r="V635">
        <v>0</v>
      </c>
      <c r="AI635" t="s">
        <v>7308</v>
      </c>
      <c r="AJ635">
        <v>0</v>
      </c>
      <c r="AK635">
        <v>0</v>
      </c>
    </row>
    <row r="636" spans="5:37" x14ac:dyDescent="0.25">
      <c r="E636" t="s">
        <v>267</v>
      </c>
      <c r="F636">
        <v>0</v>
      </c>
      <c r="G636">
        <v>0</v>
      </c>
      <c r="T636" t="s">
        <v>420</v>
      </c>
      <c r="U636">
        <v>0</v>
      </c>
      <c r="V636">
        <v>0</v>
      </c>
      <c r="AI636" t="s">
        <v>7308</v>
      </c>
      <c r="AJ636">
        <v>0</v>
      </c>
      <c r="AK636">
        <v>0</v>
      </c>
    </row>
    <row r="637" spans="5:37" x14ac:dyDescent="0.25">
      <c r="E637" t="s">
        <v>267</v>
      </c>
      <c r="F637">
        <v>3000</v>
      </c>
      <c r="G637">
        <v>0</v>
      </c>
      <c r="T637" t="s">
        <v>420</v>
      </c>
      <c r="U637">
        <v>0</v>
      </c>
      <c r="V637">
        <v>0</v>
      </c>
      <c r="AI637" t="s">
        <v>7308</v>
      </c>
      <c r="AJ637">
        <v>0</v>
      </c>
      <c r="AK637">
        <v>0</v>
      </c>
    </row>
    <row r="638" spans="5:37" x14ac:dyDescent="0.25">
      <c r="E638" t="s">
        <v>267</v>
      </c>
      <c r="F638">
        <v>0</v>
      </c>
      <c r="G638">
        <v>0</v>
      </c>
      <c r="T638" t="s">
        <v>420</v>
      </c>
      <c r="U638">
        <v>0</v>
      </c>
      <c r="V638">
        <v>0</v>
      </c>
      <c r="AI638" t="s">
        <v>7308</v>
      </c>
      <c r="AJ638">
        <v>0</v>
      </c>
      <c r="AK638">
        <v>0</v>
      </c>
    </row>
    <row r="639" spans="5:37" x14ac:dyDescent="0.25">
      <c r="E639" t="s">
        <v>267</v>
      </c>
      <c r="F639">
        <v>0</v>
      </c>
      <c r="G639">
        <v>0</v>
      </c>
      <c r="T639" t="s">
        <v>420</v>
      </c>
      <c r="U639">
        <v>0</v>
      </c>
      <c r="V639">
        <v>0</v>
      </c>
      <c r="AI639" t="s">
        <v>7308</v>
      </c>
      <c r="AJ639">
        <v>0</v>
      </c>
      <c r="AK639">
        <v>0</v>
      </c>
    </row>
    <row r="640" spans="5:37" x14ac:dyDescent="0.25">
      <c r="E640" t="s">
        <v>267</v>
      </c>
      <c r="F640">
        <v>0</v>
      </c>
      <c r="G640">
        <v>0</v>
      </c>
      <c r="T640" t="s">
        <v>420</v>
      </c>
      <c r="U640">
        <v>0</v>
      </c>
      <c r="V640">
        <v>0</v>
      </c>
      <c r="AI640" t="s">
        <v>7308</v>
      </c>
      <c r="AJ640">
        <v>0</v>
      </c>
      <c r="AK640">
        <v>0</v>
      </c>
    </row>
    <row r="641" spans="5:37" x14ac:dyDescent="0.25">
      <c r="E641" t="s">
        <v>267</v>
      </c>
      <c r="F641">
        <v>0</v>
      </c>
      <c r="G641">
        <v>5000</v>
      </c>
      <c r="T641" t="s">
        <v>420</v>
      </c>
      <c r="U641">
        <v>0</v>
      </c>
      <c r="V641">
        <v>0</v>
      </c>
      <c r="AI641" t="s">
        <v>7308</v>
      </c>
      <c r="AJ641">
        <v>0</v>
      </c>
      <c r="AK641">
        <v>0</v>
      </c>
    </row>
    <row r="642" spans="5:37" x14ac:dyDescent="0.25">
      <c r="E642" t="s">
        <v>267</v>
      </c>
      <c r="F642">
        <v>0</v>
      </c>
      <c r="G642">
        <v>0</v>
      </c>
      <c r="T642" t="s">
        <v>420</v>
      </c>
      <c r="U642">
        <v>0</v>
      </c>
      <c r="V642">
        <v>0</v>
      </c>
      <c r="AI642" t="s">
        <v>7308</v>
      </c>
      <c r="AJ642">
        <v>0</v>
      </c>
      <c r="AK642">
        <v>0</v>
      </c>
    </row>
    <row r="643" spans="5:37" x14ac:dyDescent="0.25">
      <c r="E643" t="s">
        <v>267</v>
      </c>
      <c r="F643">
        <v>0</v>
      </c>
      <c r="G643">
        <v>0</v>
      </c>
      <c r="T643" t="s">
        <v>420</v>
      </c>
      <c r="U643">
        <v>0</v>
      </c>
      <c r="V643">
        <v>0</v>
      </c>
      <c r="AI643" t="s">
        <v>7308</v>
      </c>
      <c r="AJ643">
        <v>0</v>
      </c>
      <c r="AK643">
        <v>0</v>
      </c>
    </row>
    <row r="644" spans="5:37" x14ac:dyDescent="0.25">
      <c r="E644" t="s">
        <v>267</v>
      </c>
      <c r="F644">
        <v>0</v>
      </c>
      <c r="G644">
        <v>0</v>
      </c>
      <c r="T644" t="s">
        <v>420</v>
      </c>
      <c r="U644">
        <v>0</v>
      </c>
      <c r="V644">
        <v>0</v>
      </c>
      <c r="AI644" t="s">
        <v>7308</v>
      </c>
      <c r="AJ644">
        <v>0</v>
      </c>
      <c r="AK644">
        <v>0</v>
      </c>
    </row>
    <row r="645" spans="5:37" x14ac:dyDescent="0.25">
      <c r="E645" t="s">
        <v>267</v>
      </c>
      <c r="F645">
        <v>0</v>
      </c>
      <c r="G645">
        <v>0</v>
      </c>
      <c r="T645" t="s">
        <v>422</v>
      </c>
      <c r="U645">
        <v>14000</v>
      </c>
      <c r="V645">
        <v>0</v>
      </c>
      <c r="AI645" t="s">
        <v>7308</v>
      </c>
      <c r="AJ645">
        <v>0</v>
      </c>
      <c r="AK645">
        <v>0</v>
      </c>
    </row>
    <row r="646" spans="5:37" x14ac:dyDescent="0.25">
      <c r="E646" t="s">
        <v>267</v>
      </c>
      <c r="F646">
        <v>0</v>
      </c>
      <c r="G646">
        <v>0</v>
      </c>
      <c r="T646" t="s">
        <v>422</v>
      </c>
      <c r="U646">
        <v>0</v>
      </c>
      <c r="V646">
        <v>0</v>
      </c>
      <c r="AI646" t="s">
        <v>7308</v>
      </c>
      <c r="AJ646">
        <v>0</v>
      </c>
      <c r="AK646">
        <v>0</v>
      </c>
    </row>
    <row r="647" spans="5:37" x14ac:dyDescent="0.25">
      <c r="E647" t="s">
        <v>267</v>
      </c>
      <c r="F647">
        <v>0</v>
      </c>
      <c r="G647">
        <v>16000</v>
      </c>
      <c r="T647" t="s">
        <v>422</v>
      </c>
      <c r="U647">
        <v>0</v>
      </c>
      <c r="V647">
        <v>0</v>
      </c>
      <c r="AI647" t="s">
        <v>7308</v>
      </c>
      <c r="AJ647">
        <v>0</v>
      </c>
      <c r="AK647">
        <v>0</v>
      </c>
    </row>
    <row r="648" spans="5:37" x14ac:dyDescent="0.25">
      <c r="E648" t="s">
        <v>267</v>
      </c>
      <c r="F648">
        <v>0</v>
      </c>
      <c r="G648">
        <v>0</v>
      </c>
      <c r="T648" t="s">
        <v>422</v>
      </c>
      <c r="U648">
        <v>0</v>
      </c>
      <c r="V648">
        <v>0</v>
      </c>
      <c r="AI648" t="s">
        <v>7308</v>
      </c>
      <c r="AJ648">
        <v>0</v>
      </c>
      <c r="AK648">
        <v>0</v>
      </c>
    </row>
    <row r="649" spans="5:37" x14ac:dyDescent="0.25">
      <c r="E649" t="s">
        <v>267</v>
      </c>
      <c r="F649">
        <v>0</v>
      </c>
      <c r="G649">
        <v>0</v>
      </c>
      <c r="T649" t="s">
        <v>422</v>
      </c>
      <c r="U649">
        <v>0</v>
      </c>
      <c r="V649">
        <v>0</v>
      </c>
      <c r="AI649" t="s">
        <v>7308</v>
      </c>
      <c r="AJ649">
        <v>0</v>
      </c>
      <c r="AK649">
        <v>0</v>
      </c>
    </row>
    <row r="650" spans="5:37" x14ac:dyDescent="0.25">
      <c r="E650" t="s">
        <v>267</v>
      </c>
      <c r="F650">
        <v>0</v>
      </c>
      <c r="G650">
        <v>0</v>
      </c>
      <c r="T650" t="s">
        <v>422</v>
      </c>
      <c r="U650">
        <v>0</v>
      </c>
      <c r="V650">
        <v>0</v>
      </c>
      <c r="AI650" t="s">
        <v>7308</v>
      </c>
      <c r="AJ650">
        <v>0</v>
      </c>
      <c r="AK650">
        <v>0</v>
      </c>
    </row>
    <row r="651" spans="5:37" x14ac:dyDescent="0.25">
      <c r="E651" t="s">
        <v>267</v>
      </c>
      <c r="F651">
        <v>0</v>
      </c>
      <c r="G651">
        <v>0</v>
      </c>
      <c r="T651" t="s">
        <v>422</v>
      </c>
      <c r="U651">
        <v>14000</v>
      </c>
      <c r="V651">
        <v>0</v>
      </c>
      <c r="AI651" t="s">
        <v>7308</v>
      </c>
      <c r="AJ651">
        <v>0</v>
      </c>
      <c r="AK651">
        <v>0</v>
      </c>
    </row>
    <row r="652" spans="5:37" x14ac:dyDescent="0.25">
      <c r="E652" t="s">
        <v>267</v>
      </c>
      <c r="F652">
        <v>0</v>
      </c>
      <c r="G652">
        <v>27000</v>
      </c>
      <c r="T652" t="s">
        <v>422</v>
      </c>
      <c r="U652">
        <v>0</v>
      </c>
      <c r="V652">
        <v>0</v>
      </c>
      <c r="AI652" t="s">
        <v>7308</v>
      </c>
      <c r="AJ652">
        <v>0</v>
      </c>
      <c r="AK652">
        <v>0</v>
      </c>
    </row>
    <row r="653" spans="5:37" x14ac:dyDescent="0.25">
      <c r="E653" t="s">
        <v>267</v>
      </c>
      <c r="F653">
        <v>0</v>
      </c>
      <c r="G653">
        <v>0</v>
      </c>
      <c r="T653" t="s">
        <v>422</v>
      </c>
      <c r="U653">
        <v>0</v>
      </c>
      <c r="V653">
        <v>0</v>
      </c>
      <c r="AI653" t="s">
        <v>7308</v>
      </c>
      <c r="AJ653">
        <v>0</v>
      </c>
      <c r="AK653">
        <v>0</v>
      </c>
    </row>
    <row r="654" spans="5:37" x14ac:dyDescent="0.25">
      <c r="E654" t="s">
        <v>267</v>
      </c>
      <c r="F654">
        <v>0</v>
      </c>
      <c r="G654">
        <v>0</v>
      </c>
      <c r="T654" t="s">
        <v>422</v>
      </c>
      <c r="U654">
        <v>25000</v>
      </c>
      <c r="V654">
        <v>0</v>
      </c>
      <c r="AI654" t="s">
        <v>7308</v>
      </c>
      <c r="AJ654">
        <v>0</v>
      </c>
      <c r="AK654">
        <v>0</v>
      </c>
    </row>
    <row r="655" spans="5:37" x14ac:dyDescent="0.25">
      <c r="E655" t="s">
        <v>267</v>
      </c>
      <c r="F655">
        <v>0</v>
      </c>
      <c r="G655">
        <v>0</v>
      </c>
      <c r="T655" t="s">
        <v>422</v>
      </c>
      <c r="U655">
        <v>25000</v>
      </c>
      <c r="V655">
        <v>0</v>
      </c>
      <c r="AI655" t="s">
        <v>7308</v>
      </c>
      <c r="AJ655">
        <v>0</v>
      </c>
      <c r="AK655">
        <v>0</v>
      </c>
    </row>
    <row r="656" spans="5:37" x14ac:dyDescent="0.25">
      <c r="E656" t="s">
        <v>267</v>
      </c>
      <c r="F656">
        <v>0</v>
      </c>
      <c r="G656">
        <v>0</v>
      </c>
      <c r="T656" t="s">
        <v>422</v>
      </c>
      <c r="U656">
        <v>0</v>
      </c>
      <c r="V656">
        <v>0</v>
      </c>
      <c r="AI656" t="s">
        <v>7308</v>
      </c>
      <c r="AJ656">
        <v>0</v>
      </c>
      <c r="AK656">
        <v>0</v>
      </c>
    </row>
    <row r="657" spans="5:37" x14ac:dyDescent="0.25">
      <c r="E657" t="s">
        <v>267</v>
      </c>
      <c r="F657">
        <v>8000</v>
      </c>
      <c r="G657">
        <v>0</v>
      </c>
      <c r="T657" t="s">
        <v>422</v>
      </c>
      <c r="U657">
        <v>0</v>
      </c>
      <c r="V657">
        <v>0</v>
      </c>
      <c r="AI657" t="s">
        <v>7308</v>
      </c>
      <c r="AJ657">
        <v>0</v>
      </c>
      <c r="AK657">
        <v>0</v>
      </c>
    </row>
    <row r="658" spans="5:37" x14ac:dyDescent="0.25">
      <c r="E658" t="s">
        <v>267</v>
      </c>
      <c r="F658">
        <v>0</v>
      </c>
      <c r="G658">
        <v>0</v>
      </c>
      <c r="T658" t="s">
        <v>422</v>
      </c>
      <c r="U658">
        <v>0</v>
      </c>
      <c r="V658">
        <v>0</v>
      </c>
      <c r="AI658" t="s">
        <v>7308</v>
      </c>
      <c r="AJ658">
        <v>0</v>
      </c>
      <c r="AK658">
        <v>0</v>
      </c>
    </row>
    <row r="659" spans="5:37" x14ac:dyDescent="0.25">
      <c r="E659" t="s">
        <v>267</v>
      </c>
      <c r="F659">
        <v>0</v>
      </c>
      <c r="G659">
        <v>0</v>
      </c>
      <c r="T659" t="s">
        <v>422</v>
      </c>
      <c r="U659">
        <v>0</v>
      </c>
      <c r="V659">
        <v>0</v>
      </c>
      <c r="AI659" t="s">
        <v>7308</v>
      </c>
      <c r="AJ659">
        <v>0</v>
      </c>
      <c r="AK659">
        <v>0</v>
      </c>
    </row>
    <row r="660" spans="5:37" x14ac:dyDescent="0.25">
      <c r="E660" t="s">
        <v>267</v>
      </c>
      <c r="F660">
        <v>4000</v>
      </c>
      <c r="G660">
        <v>0</v>
      </c>
      <c r="T660" t="s">
        <v>422</v>
      </c>
      <c r="U660">
        <v>0</v>
      </c>
      <c r="V660">
        <v>0</v>
      </c>
      <c r="AI660" t="s">
        <v>7308</v>
      </c>
      <c r="AJ660">
        <v>0</v>
      </c>
      <c r="AK660">
        <v>0</v>
      </c>
    </row>
    <row r="661" spans="5:37" x14ac:dyDescent="0.25">
      <c r="E661" t="s">
        <v>267</v>
      </c>
      <c r="F661">
        <v>0</v>
      </c>
      <c r="G661">
        <v>23000</v>
      </c>
      <c r="T661" t="s">
        <v>422</v>
      </c>
      <c r="U661">
        <v>25000</v>
      </c>
      <c r="V661">
        <v>0</v>
      </c>
      <c r="AI661" t="s">
        <v>7308</v>
      </c>
      <c r="AJ661">
        <v>0</v>
      </c>
      <c r="AK661">
        <v>0</v>
      </c>
    </row>
    <row r="662" spans="5:37" x14ac:dyDescent="0.25">
      <c r="E662" t="s">
        <v>267</v>
      </c>
      <c r="F662">
        <v>0</v>
      </c>
      <c r="G662">
        <v>0</v>
      </c>
      <c r="T662" t="s">
        <v>422</v>
      </c>
      <c r="U662">
        <v>0</v>
      </c>
      <c r="V662">
        <v>0</v>
      </c>
      <c r="AI662" t="s">
        <v>7308</v>
      </c>
      <c r="AJ662">
        <v>0</v>
      </c>
      <c r="AK662">
        <v>0</v>
      </c>
    </row>
    <row r="663" spans="5:37" x14ac:dyDescent="0.25">
      <c r="E663" t="s">
        <v>267</v>
      </c>
      <c r="F663">
        <v>0</v>
      </c>
      <c r="G663">
        <v>0</v>
      </c>
      <c r="T663" t="s">
        <v>422</v>
      </c>
      <c r="U663">
        <v>0</v>
      </c>
      <c r="V663">
        <v>0</v>
      </c>
      <c r="AI663" t="s">
        <v>7304</v>
      </c>
      <c r="AJ663">
        <v>0</v>
      </c>
      <c r="AK663">
        <v>0</v>
      </c>
    </row>
    <row r="664" spans="5:37" x14ac:dyDescent="0.25">
      <c r="E664" t="s">
        <v>267</v>
      </c>
      <c r="F664">
        <v>0</v>
      </c>
      <c r="G664">
        <v>0</v>
      </c>
      <c r="T664" t="s">
        <v>422</v>
      </c>
      <c r="U664">
        <v>14000</v>
      </c>
      <c r="V664">
        <v>0</v>
      </c>
      <c r="AI664" t="s">
        <v>7304</v>
      </c>
      <c r="AJ664">
        <v>0</v>
      </c>
      <c r="AK664">
        <v>30000</v>
      </c>
    </row>
    <row r="665" spans="5:37" x14ac:dyDescent="0.25">
      <c r="E665" t="s">
        <v>267</v>
      </c>
      <c r="F665">
        <v>0</v>
      </c>
      <c r="G665">
        <v>0</v>
      </c>
      <c r="T665" t="s">
        <v>422</v>
      </c>
      <c r="U665">
        <v>0</v>
      </c>
      <c r="V665">
        <v>0</v>
      </c>
      <c r="AI665" t="s">
        <v>7304</v>
      </c>
      <c r="AJ665">
        <v>0</v>
      </c>
      <c r="AK665">
        <v>20000</v>
      </c>
    </row>
    <row r="666" spans="5:37" x14ac:dyDescent="0.25">
      <c r="E666" t="s">
        <v>267</v>
      </c>
      <c r="F666">
        <v>0</v>
      </c>
      <c r="G666">
        <v>0</v>
      </c>
      <c r="T666" t="s">
        <v>422</v>
      </c>
      <c r="U666">
        <v>0</v>
      </c>
      <c r="V666">
        <v>0</v>
      </c>
      <c r="AI666" t="s">
        <v>7304</v>
      </c>
      <c r="AJ666">
        <v>0</v>
      </c>
      <c r="AK666">
        <v>0</v>
      </c>
    </row>
    <row r="667" spans="5:37" x14ac:dyDescent="0.25">
      <c r="E667" t="s">
        <v>267</v>
      </c>
      <c r="F667">
        <v>0</v>
      </c>
      <c r="G667">
        <v>15000</v>
      </c>
      <c r="T667" t="s">
        <v>422</v>
      </c>
      <c r="U667">
        <v>0</v>
      </c>
      <c r="V667">
        <v>0</v>
      </c>
      <c r="AI667" t="s">
        <v>7304</v>
      </c>
      <c r="AJ667">
        <v>0</v>
      </c>
      <c r="AK667">
        <v>0</v>
      </c>
    </row>
    <row r="668" spans="5:37" x14ac:dyDescent="0.25">
      <c r="E668" t="s">
        <v>267</v>
      </c>
      <c r="F668">
        <v>0</v>
      </c>
      <c r="G668">
        <v>0</v>
      </c>
      <c r="T668" t="s">
        <v>422</v>
      </c>
      <c r="U668">
        <v>0</v>
      </c>
      <c r="V668">
        <v>0</v>
      </c>
      <c r="AI668" t="s">
        <v>7304</v>
      </c>
      <c r="AJ668">
        <v>0</v>
      </c>
      <c r="AK668">
        <v>0</v>
      </c>
    </row>
    <row r="669" spans="5:37" x14ac:dyDescent="0.25">
      <c r="E669" t="s">
        <v>267</v>
      </c>
      <c r="F669">
        <v>0</v>
      </c>
      <c r="G669">
        <v>0</v>
      </c>
      <c r="T669" t="s">
        <v>422</v>
      </c>
      <c r="U669">
        <v>0</v>
      </c>
      <c r="V669">
        <v>0</v>
      </c>
      <c r="AI669" t="s">
        <v>7304</v>
      </c>
      <c r="AJ669">
        <v>30000</v>
      </c>
      <c r="AK669">
        <v>0</v>
      </c>
    </row>
    <row r="670" spans="5:37" x14ac:dyDescent="0.25">
      <c r="E670" t="s">
        <v>267</v>
      </c>
      <c r="F670">
        <v>0</v>
      </c>
      <c r="G670">
        <v>0</v>
      </c>
      <c r="T670" t="s">
        <v>422</v>
      </c>
      <c r="U670">
        <v>0</v>
      </c>
      <c r="V670">
        <v>0</v>
      </c>
      <c r="AI670" t="s">
        <v>7304</v>
      </c>
      <c r="AJ670">
        <v>40000</v>
      </c>
      <c r="AK670">
        <v>0</v>
      </c>
    </row>
    <row r="671" spans="5:37" x14ac:dyDescent="0.25">
      <c r="E671" t="s">
        <v>267</v>
      </c>
      <c r="F671">
        <v>3000</v>
      </c>
      <c r="G671">
        <v>0</v>
      </c>
      <c r="T671" t="s">
        <v>422</v>
      </c>
      <c r="U671">
        <v>0</v>
      </c>
      <c r="V671">
        <v>0</v>
      </c>
      <c r="AI671" t="s">
        <v>7304</v>
      </c>
      <c r="AJ671">
        <v>0</v>
      </c>
      <c r="AK671">
        <v>0</v>
      </c>
    </row>
    <row r="672" spans="5:37" x14ac:dyDescent="0.25">
      <c r="E672" t="s">
        <v>267</v>
      </c>
      <c r="F672">
        <v>0</v>
      </c>
      <c r="G672">
        <v>0</v>
      </c>
      <c r="T672" t="s">
        <v>422</v>
      </c>
      <c r="U672">
        <v>0</v>
      </c>
      <c r="V672">
        <v>0</v>
      </c>
      <c r="AI672" t="s">
        <v>7304</v>
      </c>
      <c r="AJ672">
        <v>0</v>
      </c>
      <c r="AK672">
        <v>0</v>
      </c>
    </row>
    <row r="673" spans="5:37" x14ac:dyDescent="0.25">
      <c r="E673" t="s">
        <v>267</v>
      </c>
      <c r="F673">
        <v>0</v>
      </c>
      <c r="G673">
        <v>0</v>
      </c>
      <c r="T673" t="s">
        <v>412</v>
      </c>
      <c r="U673">
        <v>0</v>
      </c>
      <c r="V673">
        <v>0</v>
      </c>
      <c r="AI673" t="s">
        <v>7304</v>
      </c>
      <c r="AJ673">
        <v>0</v>
      </c>
      <c r="AK673">
        <v>30000</v>
      </c>
    </row>
    <row r="674" spans="5:37" x14ac:dyDescent="0.25">
      <c r="E674" t="s">
        <v>267</v>
      </c>
      <c r="F674">
        <v>0</v>
      </c>
      <c r="G674">
        <v>0</v>
      </c>
      <c r="T674" t="s">
        <v>412</v>
      </c>
      <c r="U674">
        <v>0</v>
      </c>
      <c r="V674">
        <v>0</v>
      </c>
      <c r="AI674" t="s">
        <v>7304</v>
      </c>
      <c r="AJ674">
        <v>0</v>
      </c>
      <c r="AK674">
        <v>0</v>
      </c>
    </row>
    <row r="675" spans="5:37" x14ac:dyDescent="0.25">
      <c r="E675" t="s">
        <v>267</v>
      </c>
      <c r="F675">
        <v>0</v>
      </c>
      <c r="G675">
        <v>0</v>
      </c>
      <c r="T675" t="s">
        <v>412</v>
      </c>
      <c r="U675">
        <v>24000</v>
      </c>
      <c r="V675">
        <v>0</v>
      </c>
      <c r="AI675" t="s">
        <v>7304</v>
      </c>
      <c r="AJ675">
        <v>0</v>
      </c>
      <c r="AK675">
        <v>0</v>
      </c>
    </row>
    <row r="676" spans="5:37" x14ac:dyDescent="0.25">
      <c r="E676" t="s">
        <v>267</v>
      </c>
      <c r="F676">
        <v>0</v>
      </c>
      <c r="G676">
        <v>0</v>
      </c>
      <c r="T676" t="s">
        <v>412</v>
      </c>
      <c r="U676">
        <v>0</v>
      </c>
      <c r="V676">
        <v>0</v>
      </c>
      <c r="AI676" t="s">
        <v>7304</v>
      </c>
      <c r="AJ676">
        <v>0</v>
      </c>
      <c r="AK676">
        <v>0</v>
      </c>
    </row>
    <row r="677" spans="5:37" x14ac:dyDescent="0.25">
      <c r="E677" t="s">
        <v>267</v>
      </c>
      <c r="F677">
        <v>0</v>
      </c>
      <c r="G677">
        <v>0</v>
      </c>
      <c r="T677" t="s">
        <v>412</v>
      </c>
      <c r="U677">
        <v>0</v>
      </c>
      <c r="V677">
        <v>0</v>
      </c>
      <c r="AI677" t="s">
        <v>7318</v>
      </c>
      <c r="AJ677">
        <v>0</v>
      </c>
      <c r="AK677">
        <v>0</v>
      </c>
    </row>
    <row r="678" spans="5:37" x14ac:dyDescent="0.25">
      <c r="E678" t="s">
        <v>267</v>
      </c>
      <c r="F678">
        <v>7000</v>
      </c>
      <c r="G678">
        <v>0</v>
      </c>
      <c r="T678" t="s">
        <v>412</v>
      </c>
      <c r="U678">
        <v>26000</v>
      </c>
      <c r="V678">
        <v>0</v>
      </c>
      <c r="AI678" t="s">
        <v>7318</v>
      </c>
      <c r="AJ678">
        <v>20000</v>
      </c>
      <c r="AK678">
        <v>0</v>
      </c>
    </row>
    <row r="679" spans="5:37" x14ac:dyDescent="0.25">
      <c r="E679" t="s">
        <v>267</v>
      </c>
      <c r="F679">
        <v>0</v>
      </c>
      <c r="G679">
        <v>0</v>
      </c>
      <c r="T679" t="s">
        <v>412</v>
      </c>
      <c r="U679">
        <v>0</v>
      </c>
      <c r="V679">
        <v>0</v>
      </c>
      <c r="AI679" t="s">
        <v>7318</v>
      </c>
      <c r="AJ679">
        <v>40000</v>
      </c>
      <c r="AK679">
        <v>0</v>
      </c>
    </row>
    <row r="680" spans="5:37" x14ac:dyDescent="0.25">
      <c r="E680" t="s">
        <v>267</v>
      </c>
      <c r="F680">
        <v>4000</v>
      </c>
      <c r="G680">
        <v>0</v>
      </c>
      <c r="T680" t="s">
        <v>412</v>
      </c>
      <c r="U680">
        <v>0</v>
      </c>
      <c r="V680">
        <v>0</v>
      </c>
      <c r="AI680" t="s">
        <v>7318</v>
      </c>
      <c r="AJ680">
        <v>25000</v>
      </c>
      <c r="AK680">
        <v>0</v>
      </c>
    </row>
    <row r="681" spans="5:37" x14ac:dyDescent="0.25">
      <c r="E681" t="s">
        <v>267</v>
      </c>
      <c r="F681">
        <v>0</v>
      </c>
      <c r="G681">
        <v>0</v>
      </c>
      <c r="T681" t="s">
        <v>412</v>
      </c>
      <c r="U681">
        <v>0</v>
      </c>
      <c r="V681">
        <v>0</v>
      </c>
      <c r="AI681" t="s">
        <v>7318</v>
      </c>
      <c r="AJ681">
        <v>40000</v>
      </c>
      <c r="AK681">
        <v>0</v>
      </c>
    </row>
    <row r="682" spans="5:37" x14ac:dyDescent="0.25">
      <c r="E682" t="s">
        <v>267</v>
      </c>
      <c r="F682">
        <v>0</v>
      </c>
      <c r="G682">
        <v>0</v>
      </c>
      <c r="T682" t="s">
        <v>412</v>
      </c>
      <c r="U682">
        <v>16000</v>
      </c>
      <c r="V682">
        <v>0</v>
      </c>
      <c r="AI682" t="s">
        <v>7318</v>
      </c>
      <c r="AJ682">
        <v>0</v>
      </c>
      <c r="AK682">
        <v>0</v>
      </c>
    </row>
    <row r="683" spans="5:37" x14ac:dyDescent="0.25">
      <c r="E683" t="s">
        <v>267</v>
      </c>
      <c r="F683">
        <v>0</v>
      </c>
      <c r="G683">
        <v>0</v>
      </c>
      <c r="T683" t="s">
        <v>412</v>
      </c>
      <c r="U683">
        <v>0</v>
      </c>
      <c r="V683">
        <v>0</v>
      </c>
      <c r="AI683" t="s">
        <v>7318</v>
      </c>
      <c r="AJ683">
        <v>35000</v>
      </c>
      <c r="AK683">
        <v>0</v>
      </c>
    </row>
    <row r="684" spans="5:37" x14ac:dyDescent="0.25">
      <c r="E684" t="s">
        <v>267</v>
      </c>
      <c r="F684">
        <v>0</v>
      </c>
      <c r="G684">
        <v>0</v>
      </c>
      <c r="T684" t="s">
        <v>412</v>
      </c>
      <c r="U684">
        <v>0</v>
      </c>
      <c r="V684">
        <v>0</v>
      </c>
      <c r="AI684" t="s">
        <v>7314</v>
      </c>
      <c r="AJ684">
        <v>0</v>
      </c>
      <c r="AK684">
        <v>0</v>
      </c>
    </row>
    <row r="685" spans="5:37" x14ac:dyDescent="0.25">
      <c r="E685" t="s">
        <v>267</v>
      </c>
      <c r="F685">
        <v>0</v>
      </c>
      <c r="G685">
        <v>0</v>
      </c>
      <c r="T685" t="s">
        <v>412</v>
      </c>
      <c r="U685">
        <v>0</v>
      </c>
      <c r="V685">
        <v>0</v>
      </c>
      <c r="AI685" t="s">
        <v>7314</v>
      </c>
      <c r="AJ685">
        <v>0</v>
      </c>
      <c r="AK685">
        <v>0</v>
      </c>
    </row>
    <row r="686" spans="5:37" x14ac:dyDescent="0.25">
      <c r="E686" t="s">
        <v>267</v>
      </c>
      <c r="F686">
        <v>0</v>
      </c>
      <c r="G686">
        <v>0</v>
      </c>
      <c r="T686" t="s">
        <v>412</v>
      </c>
      <c r="U686">
        <v>0</v>
      </c>
      <c r="V686">
        <v>0</v>
      </c>
      <c r="AI686" t="s">
        <v>7314</v>
      </c>
      <c r="AJ686">
        <v>20000</v>
      </c>
      <c r="AK686">
        <v>0</v>
      </c>
    </row>
    <row r="687" spans="5:37" x14ac:dyDescent="0.25">
      <c r="E687" t="s">
        <v>267</v>
      </c>
      <c r="F687">
        <v>0</v>
      </c>
      <c r="G687">
        <v>0</v>
      </c>
      <c r="T687" t="s">
        <v>412</v>
      </c>
      <c r="U687">
        <v>0</v>
      </c>
      <c r="V687">
        <v>0</v>
      </c>
      <c r="AI687" t="s">
        <v>7314</v>
      </c>
      <c r="AJ687">
        <v>0</v>
      </c>
      <c r="AK687">
        <v>0</v>
      </c>
    </row>
    <row r="688" spans="5:37" x14ac:dyDescent="0.25">
      <c r="E688" t="s">
        <v>267</v>
      </c>
      <c r="F688">
        <v>0</v>
      </c>
      <c r="G688">
        <v>0</v>
      </c>
      <c r="T688" t="s">
        <v>412</v>
      </c>
      <c r="U688">
        <v>0</v>
      </c>
      <c r="V688">
        <v>0</v>
      </c>
      <c r="AI688" t="s">
        <v>7314</v>
      </c>
      <c r="AJ688">
        <v>20000</v>
      </c>
      <c r="AK688">
        <v>0</v>
      </c>
    </row>
    <row r="689" spans="5:37" x14ac:dyDescent="0.25">
      <c r="E689" t="s">
        <v>267</v>
      </c>
      <c r="F689">
        <v>0</v>
      </c>
      <c r="G689">
        <v>0</v>
      </c>
      <c r="T689" t="s">
        <v>412</v>
      </c>
      <c r="U689">
        <v>14000</v>
      </c>
      <c r="V689">
        <v>0</v>
      </c>
      <c r="AI689" t="s">
        <v>7314</v>
      </c>
      <c r="AJ689">
        <v>0</v>
      </c>
      <c r="AK689">
        <v>0</v>
      </c>
    </row>
    <row r="690" spans="5:37" x14ac:dyDescent="0.25">
      <c r="E690" t="s">
        <v>267</v>
      </c>
      <c r="F690">
        <v>0</v>
      </c>
      <c r="G690">
        <v>18000</v>
      </c>
      <c r="T690" t="s">
        <v>412</v>
      </c>
      <c r="U690">
        <v>0</v>
      </c>
      <c r="V690">
        <v>0</v>
      </c>
      <c r="AI690" t="s">
        <v>7314</v>
      </c>
      <c r="AJ690">
        <v>0</v>
      </c>
      <c r="AK690">
        <v>0</v>
      </c>
    </row>
    <row r="691" spans="5:37" x14ac:dyDescent="0.25">
      <c r="E691" t="s">
        <v>267</v>
      </c>
      <c r="F691">
        <v>0</v>
      </c>
      <c r="G691">
        <v>0</v>
      </c>
      <c r="T691" t="s">
        <v>412</v>
      </c>
      <c r="U691">
        <v>0</v>
      </c>
      <c r="V691">
        <v>0</v>
      </c>
      <c r="AI691" t="s">
        <v>7314</v>
      </c>
      <c r="AJ691">
        <v>0</v>
      </c>
      <c r="AK691">
        <v>0</v>
      </c>
    </row>
    <row r="692" spans="5:37" x14ac:dyDescent="0.25">
      <c r="E692" t="s">
        <v>267</v>
      </c>
      <c r="F692">
        <v>0</v>
      </c>
      <c r="G692">
        <v>0</v>
      </c>
      <c r="T692" t="s">
        <v>412</v>
      </c>
      <c r="U692">
        <v>22000</v>
      </c>
      <c r="V692">
        <v>0</v>
      </c>
      <c r="AI692" t="s">
        <v>7314</v>
      </c>
      <c r="AJ692">
        <v>0</v>
      </c>
      <c r="AK692">
        <v>0</v>
      </c>
    </row>
    <row r="693" spans="5:37" x14ac:dyDescent="0.25">
      <c r="E693" t="s">
        <v>267</v>
      </c>
      <c r="F693">
        <v>0</v>
      </c>
      <c r="G693">
        <v>0</v>
      </c>
      <c r="T693" t="s">
        <v>412</v>
      </c>
      <c r="U693">
        <v>0</v>
      </c>
      <c r="V693">
        <v>0</v>
      </c>
      <c r="AI693" t="s">
        <v>7314</v>
      </c>
      <c r="AJ693">
        <v>0</v>
      </c>
      <c r="AK693">
        <v>0</v>
      </c>
    </row>
    <row r="694" spans="5:37" x14ac:dyDescent="0.25">
      <c r="E694" t="s">
        <v>267</v>
      </c>
      <c r="F694">
        <v>0</v>
      </c>
      <c r="G694">
        <v>0</v>
      </c>
      <c r="T694" t="s">
        <v>412</v>
      </c>
      <c r="U694">
        <v>0</v>
      </c>
      <c r="V694">
        <v>0</v>
      </c>
      <c r="AI694" t="s">
        <v>7314</v>
      </c>
      <c r="AJ694">
        <v>0</v>
      </c>
      <c r="AK694">
        <v>0</v>
      </c>
    </row>
    <row r="695" spans="5:37" x14ac:dyDescent="0.25">
      <c r="E695" t="s">
        <v>267</v>
      </c>
      <c r="F695">
        <v>0</v>
      </c>
      <c r="G695">
        <v>0</v>
      </c>
      <c r="T695" t="s">
        <v>412</v>
      </c>
      <c r="U695">
        <v>22000</v>
      </c>
      <c r="V695">
        <v>0</v>
      </c>
      <c r="AI695" t="s">
        <v>7314</v>
      </c>
      <c r="AJ695">
        <v>20000</v>
      </c>
      <c r="AK695">
        <v>0</v>
      </c>
    </row>
    <row r="696" spans="5:37" x14ac:dyDescent="0.25">
      <c r="E696" t="s">
        <v>267</v>
      </c>
      <c r="F696">
        <v>0</v>
      </c>
      <c r="G696">
        <v>0</v>
      </c>
      <c r="T696" t="s">
        <v>412</v>
      </c>
      <c r="U696">
        <v>0</v>
      </c>
      <c r="V696">
        <v>0</v>
      </c>
      <c r="AI696" t="s">
        <v>7314</v>
      </c>
      <c r="AJ696">
        <v>0</v>
      </c>
      <c r="AK696">
        <v>0</v>
      </c>
    </row>
    <row r="697" spans="5:37" x14ac:dyDescent="0.25">
      <c r="E697" t="s">
        <v>267</v>
      </c>
      <c r="F697">
        <v>0</v>
      </c>
      <c r="G697">
        <v>0</v>
      </c>
      <c r="T697" t="s">
        <v>412</v>
      </c>
      <c r="U697">
        <v>0</v>
      </c>
      <c r="V697">
        <v>0</v>
      </c>
      <c r="AI697" t="s">
        <v>7314</v>
      </c>
      <c r="AJ697">
        <v>0</v>
      </c>
      <c r="AK697">
        <v>0</v>
      </c>
    </row>
    <row r="698" spans="5:37" x14ac:dyDescent="0.25">
      <c r="E698" t="s">
        <v>267</v>
      </c>
      <c r="F698">
        <v>0</v>
      </c>
      <c r="G698">
        <v>0</v>
      </c>
      <c r="T698" t="s">
        <v>412</v>
      </c>
      <c r="U698">
        <v>13000</v>
      </c>
      <c r="V698">
        <v>35000</v>
      </c>
      <c r="AI698" t="s">
        <v>7314</v>
      </c>
      <c r="AJ698">
        <v>40000</v>
      </c>
      <c r="AK698">
        <v>0</v>
      </c>
    </row>
    <row r="699" spans="5:37" x14ac:dyDescent="0.25">
      <c r="E699" t="s">
        <v>267</v>
      </c>
      <c r="F699">
        <v>0</v>
      </c>
      <c r="G699">
        <v>0</v>
      </c>
      <c r="T699" t="s">
        <v>412</v>
      </c>
      <c r="U699">
        <v>12000</v>
      </c>
      <c r="V699">
        <v>0</v>
      </c>
      <c r="AI699" t="s">
        <v>7314</v>
      </c>
      <c r="AJ699">
        <v>0</v>
      </c>
      <c r="AK699">
        <v>0</v>
      </c>
    </row>
    <row r="700" spans="5:37" x14ac:dyDescent="0.25">
      <c r="E700" t="s">
        <v>267</v>
      </c>
      <c r="F700">
        <v>1100</v>
      </c>
      <c r="G700">
        <v>0</v>
      </c>
      <c r="T700" t="s">
        <v>412</v>
      </c>
      <c r="U700">
        <v>0</v>
      </c>
      <c r="V700">
        <v>0</v>
      </c>
      <c r="AI700" t="s">
        <v>7314</v>
      </c>
      <c r="AJ700">
        <v>0</v>
      </c>
      <c r="AK700">
        <v>0</v>
      </c>
    </row>
    <row r="701" spans="5:37" x14ac:dyDescent="0.25">
      <c r="E701" t="s">
        <v>267</v>
      </c>
      <c r="F701">
        <v>0</v>
      </c>
      <c r="G701">
        <v>0</v>
      </c>
      <c r="T701" t="s">
        <v>412</v>
      </c>
      <c r="U701">
        <v>0</v>
      </c>
      <c r="V701">
        <v>45000</v>
      </c>
      <c r="AI701" t="s">
        <v>7314</v>
      </c>
      <c r="AJ701">
        <v>0</v>
      </c>
      <c r="AK701">
        <v>0</v>
      </c>
    </row>
    <row r="702" spans="5:37" x14ac:dyDescent="0.25">
      <c r="E702" t="s">
        <v>267</v>
      </c>
      <c r="F702">
        <v>0</v>
      </c>
      <c r="G702">
        <v>0</v>
      </c>
      <c r="T702" t="s">
        <v>412</v>
      </c>
      <c r="U702">
        <v>0</v>
      </c>
      <c r="V702">
        <v>0</v>
      </c>
      <c r="AI702" t="s">
        <v>7314</v>
      </c>
      <c r="AJ702">
        <v>0</v>
      </c>
      <c r="AK702">
        <v>0</v>
      </c>
    </row>
    <row r="703" spans="5:37" x14ac:dyDescent="0.25">
      <c r="E703" t="s">
        <v>267</v>
      </c>
      <c r="F703">
        <v>0</v>
      </c>
      <c r="G703">
        <v>0</v>
      </c>
      <c r="T703" t="s">
        <v>412</v>
      </c>
      <c r="U703">
        <v>0</v>
      </c>
      <c r="V703">
        <v>0</v>
      </c>
      <c r="AI703" t="s">
        <v>7314</v>
      </c>
      <c r="AJ703">
        <v>0</v>
      </c>
      <c r="AK703">
        <v>0</v>
      </c>
    </row>
    <row r="704" spans="5:37" x14ac:dyDescent="0.25">
      <c r="E704" t="s">
        <v>267</v>
      </c>
      <c r="F704">
        <v>0</v>
      </c>
      <c r="G704">
        <v>0</v>
      </c>
      <c r="T704" t="s">
        <v>412</v>
      </c>
      <c r="U704">
        <v>0</v>
      </c>
      <c r="V704">
        <v>0</v>
      </c>
      <c r="AI704" t="s">
        <v>7314</v>
      </c>
      <c r="AJ704">
        <v>0</v>
      </c>
      <c r="AK704">
        <v>0</v>
      </c>
    </row>
    <row r="705" spans="5:37" x14ac:dyDescent="0.25">
      <c r="E705" t="s">
        <v>267</v>
      </c>
      <c r="F705">
        <v>6000</v>
      </c>
      <c r="G705">
        <v>0</v>
      </c>
      <c r="T705" t="s">
        <v>412</v>
      </c>
      <c r="U705">
        <v>32000</v>
      </c>
      <c r="V705">
        <v>0</v>
      </c>
      <c r="AI705" t="s">
        <v>7314</v>
      </c>
      <c r="AJ705">
        <v>0</v>
      </c>
      <c r="AK705">
        <v>0</v>
      </c>
    </row>
    <row r="706" spans="5:37" x14ac:dyDescent="0.25">
      <c r="E706" t="s">
        <v>267</v>
      </c>
      <c r="F706">
        <v>0</v>
      </c>
      <c r="G706">
        <v>0</v>
      </c>
      <c r="T706" t="s">
        <v>412</v>
      </c>
      <c r="U706">
        <v>0</v>
      </c>
      <c r="V706">
        <v>0</v>
      </c>
      <c r="AI706" t="s">
        <v>7314</v>
      </c>
      <c r="AJ706">
        <v>0</v>
      </c>
      <c r="AK706">
        <v>0</v>
      </c>
    </row>
    <row r="707" spans="5:37" x14ac:dyDescent="0.25">
      <c r="E707" t="s">
        <v>267</v>
      </c>
      <c r="F707">
        <v>0</v>
      </c>
      <c r="G707">
        <v>0</v>
      </c>
      <c r="T707" t="s">
        <v>412</v>
      </c>
      <c r="U707">
        <v>0</v>
      </c>
      <c r="V707">
        <v>0</v>
      </c>
      <c r="AI707" t="s">
        <v>7314</v>
      </c>
      <c r="AJ707">
        <v>40000</v>
      </c>
      <c r="AK707">
        <v>0</v>
      </c>
    </row>
    <row r="708" spans="5:37" x14ac:dyDescent="0.25">
      <c r="E708" t="s">
        <v>267</v>
      </c>
      <c r="F708">
        <v>0</v>
      </c>
      <c r="G708">
        <v>0</v>
      </c>
      <c r="T708" t="s">
        <v>412</v>
      </c>
      <c r="U708">
        <v>0</v>
      </c>
      <c r="V708">
        <v>0</v>
      </c>
      <c r="AI708" t="s">
        <v>7306</v>
      </c>
      <c r="AJ708">
        <v>0</v>
      </c>
      <c r="AK708">
        <v>0</v>
      </c>
    </row>
    <row r="709" spans="5:37" x14ac:dyDescent="0.25">
      <c r="E709" t="s">
        <v>267</v>
      </c>
      <c r="F709">
        <v>0</v>
      </c>
      <c r="G709">
        <v>0</v>
      </c>
      <c r="T709" t="s">
        <v>412</v>
      </c>
      <c r="U709">
        <v>18000</v>
      </c>
      <c r="V709">
        <v>0</v>
      </c>
      <c r="AI709" t="s">
        <v>7306</v>
      </c>
      <c r="AJ709">
        <v>0</v>
      </c>
      <c r="AK709">
        <v>0</v>
      </c>
    </row>
    <row r="710" spans="5:37" x14ac:dyDescent="0.25">
      <c r="E710" t="s">
        <v>267</v>
      </c>
      <c r="F710">
        <v>0</v>
      </c>
      <c r="G710">
        <v>0</v>
      </c>
      <c r="T710" t="s">
        <v>412</v>
      </c>
      <c r="U710">
        <v>0</v>
      </c>
      <c r="V710">
        <v>0</v>
      </c>
      <c r="AI710" t="s">
        <v>7306</v>
      </c>
      <c r="AJ710">
        <v>0</v>
      </c>
      <c r="AK710">
        <v>0</v>
      </c>
    </row>
    <row r="711" spans="5:37" x14ac:dyDescent="0.25">
      <c r="E711" t="s">
        <v>267</v>
      </c>
      <c r="F711">
        <v>0</v>
      </c>
      <c r="G711">
        <v>0</v>
      </c>
      <c r="T711" t="s">
        <v>412</v>
      </c>
      <c r="U711">
        <v>0</v>
      </c>
      <c r="V711">
        <v>0</v>
      </c>
      <c r="AI711" t="s">
        <v>7306</v>
      </c>
      <c r="AJ711">
        <v>0</v>
      </c>
      <c r="AK711">
        <v>0</v>
      </c>
    </row>
    <row r="712" spans="5:37" x14ac:dyDescent="0.25">
      <c r="E712" t="s">
        <v>267</v>
      </c>
      <c r="F712">
        <v>0</v>
      </c>
      <c r="G712">
        <v>0</v>
      </c>
      <c r="T712" t="s">
        <v>412</v>
      </c>
      <c r="U712">
        <v>0</v>
      </c>
      <c r="V712">
        <v>0</v>
      </c>
      <c r="AI712" t="s">
        <v>7306</v>
      </c>
      <c r="AJ712">
        <v>0</v>
      </c>
      <c r="AK712">
        <v>0</v>
      </c>
    </row>
    <row r="713" spans="5:37" x14ac:dyDescent="0.25">
      <c r="E713" t="s">
        <v>267</v>
      </c>
      <c r="F713">
        <v>2000</v>
      </c>
      <c r="G713">
        <v>0</v>
      </c>
      <c r="T713" t="s">
        <v>412</v>
      </c>
      <c r="U713">
        <v>17000</v>
      </c>
      <c r="V713">
        <v>0</v>
      </c>
      <c r="AI713" t="s">
        <v>7306</v>
      </c>
      <c r="AJ713">
        <v>0</v>
      </c>
      <c r="AK713">
        <v>0</v>
      </c>
    </row>
    <row r="714" spans="5:37" x14ac:dyDescent="0.25">
      <c r="E714" t="s">
        <v>267</v>
      </c>
      <c r="F714">
        <v>0</v>
      </c>
      <c r="G714">
        <v>0</v>
      </c>
      <c r="T714" t="s">
        <v>412</v>
      </c>
      <c r="U714">
        <v>0</v>
      </c>
      <c r="V714">
        <v>0</v>
      </c>
      <c r="AI714" t="s">
        <v>7306</v>
      </c>
      <c r="AJ714">
        <v>0</v>
      </c>
      <c r="AK714">
        <v>0</v>
      </c>
    </row>
    <row r="715" spans="5:37" x14ac:dyDescent="0.25">
      <c r="E715" t="s">
        <v>267</v>
      </c>
      <c r="F715">
        <v>0</v>
      </c>
      <c r="G715">
        <v>0</v>
      </c>
      <c r="T715" t="s">
        <v>412</v>
      </c>
      <c r="U715">
        <v>0</v>
      </c>
      <c r="V715">
        <v>0</v>
      </c>
      <c r="AI715" t="s">
        <v>7313</v>
      </c>
      <c r="AJ715">
        <v>50000</v>
      </c>
      <c r="AK715">
        <v>0</v>
      </c>
    </row>
    <row r="716" spans="5:37" x14ac:dyDescent="0.25">
      <c r="E716" t="s">
        <v>267</v>
      </c>
      <c r="F716">
        <v>0</v>
      </c>
      <c r="G716">
        <v>0</v>
      </c>
      <c r="T716" t="s">
        <v>412</v>
      </c>
      <c r="U716">
        <v>0</v>
      </c>
      <c r="V716">
        <v>0</v>
      </c>
      <c r="AI716" t="s">
        <v>7313</v>
      </c>
      <c r="AJ716">
        <v>0</v>
      </c>
      <c r="AK716">
        <v>0</v>
      </c>
    </row>
    <row r="717" spans="5:37" x14ac:dyDescent="0.25">
      <c r="E717" t="s">
        <v>267</v>
      </c>
      <c r="F717">
        <v>4000</v>
      </c>
      <c r="G717">
        <v>0</v>
      </c>
      <c r="T717" t="s">
        <v>412</v>
      </c>
      <c r="U717">
        <v>0</v>
      </c>
      <c r="V717">
        <v>0</v>
      </c>
      <c r="AI717" t="s">
        <v>7313</v>
      </c>
      <c r="AJ717">
        <v>0</v>
      </c>
      <c r="AK717">
        <v>0</v>
      </c>
    </row>
    <row r="718" spans="5:37" x14ac:dyDescent="0.25">
      <c r="E718" t="s">
        <v>267</v>
      </c>
      <c r="F718">
        <v>0</v>
      </c>
      <c r="G718">
        <v>25000</v>
      </c>
      <c r="T718" t="s">
        <v>412</v>
      </c>
      <c r="U718">
        <v>30000</v>
      </c>
      <c r="V718">
        <v>0</v>
      </c>
      <c r="AI718" t="s">
        <v>7313</v>
      </c>
      <c r="AJ718">
        <v>0</v>
      </c>
      <c r="AK718">
        <v>0</v>
      </c>
    </row>
    <row r="719" spans="5:37" x14ac:dyDescent="0.25">
      <c r="E719" t="s">
        <v>267</v>
      </c>
      <c r="F719">
        <v>0</v>
      </c>
      <c r="G719">
        <v>0</v>
      </c>
      <c r="T719" t="s">
        <v>412</v>
      </c>
      <c r="U719">
        <v>0</v>
      </c>
      <c r="V719">
        <v>0</v>
      </c>
      <c r="AI719" t="s">
        <v>7313</v>
      </c>
      <c r="AJ719">
        <v>0</v>
      </c>
      <c r="AK719">
        <v>0</v>
      </c>
    </row>
    <row r="720" spans="5:37" x14ac:dyDescent="0.25">
      <c r="E720" t="s">
        <v>267</v>
      </c>
      <c r="F720">
        <v>5000</v>
      </c>
      <c r="G720">
        <v>0</v>
      </c>
      <c r="T720" t="s">
        <v>412</v>
      </c>
      <c r="U720">
        <v>20000</v>
      </c>
      <c r="V720">
        <v>0</v>
      </c>
      <c r="AI720" t="s">
        <v>7313</v>
      </c>
      <c r="AJ720">
        <v>0</v>
      </c>
      <c r="AK720">
        <v>0</v>
      </c>
    </row>
    <row r="721" spans="5:37" x14ac:dyDescent="0.25">
      <c r="E721" t="s">
        <v>97</v>
      </c>
      <c r="F721">
        <v>0</v>
      </c>
      <c r="G721">
        <v>25000</v>
      </c>
      <c r="T721" t="s">
        <v>412</v>
      </c>
      <c r="U721">
        <v>28000</v>
      </c>
      <c r="V721">
        <v>0</v>
      </c>
      <c r="AI721" t="s">
        <v>7313</v>
      </c>
      <c r="AJ721">
        <v>40000</v>
      </c>
      <c r="AK721">
        <v>0</v>
      </c>
    </row>
    <row r="722" spans="5:37" x14ac:dyDescent="0.25">
      <c r="E722" t="s">
        <v>97</v>
      </c>
      <c r="F722">
        <v>0</v>
      </c>
      <c r="G722">
        <v>16000</v>
      </c>
      <c r="T722" t="s">
        <v>412</v>
      </c>
      <c r="U722">
        <v>0</v>
      </c>
      <c r="V722">
        <v>0</v>
      </c>
      <c r="AI722" t="s">
        <v>7313</v>
      </c>
      <c r="AJ722">
        <v>0</v>
      </c>
      <c r="AK722">
        <v>0</v>
      </c>
    </row>
    <row r="723" spans="5:37" x14ac:dyDescent="0.25">
      <c r="E723" t="s">
        <v>97</v>
      </c>
      <c r="F723">
        <v>0</v>
      </c>
      <c r="G723">
        <v>20000</v>
      </c>
      <c r="T723" t="s">
        <v>412</v>
      </c>
      <c r="U723">
        <v>0</v>
      </c>
      <c r="V723">
        <v>0</v>
      </c>
      <c r="AI723" t="s">
        <v>7313</v>
      </c>
      <c r="AJ723">
        <v>0</v>
      </c>
      <c r="AK723">
        <v>0</v>
      </c>
    </row>
    <row r="724" spans="5:37" x14ac:dyDescent="0.25">
      <c r="E724" t="s">
        <v>97</v>
      </c>
      <c r="F724">
        <v>0</v>
      </c>
      <c r="G724">
        <v>0</v>
      </c>
      <c r="T724" t="s">
        <v>412</v>
      </c>
      <c r="U724">
        <v>0</v>
      </c>
      <c r="V724">
        <v>0</v>
      </c>
      <c r="AI724" t="s">
        <v>7313</v>
      </c>
      <c r="AJ724">
        <v>45000</v>
      </c>
      <c r="AK724">
        <v>0</v>
      </c>
    </row>
    <row r="725" spans="5:37" x14ac:dyDescent="0.25">
      <c r="E725" t="s">
        <v>97</v>
      </c>
      <c r="F725">
        <v>0</v>
      </c>
      <c r="G725">
        <v>0</v>
      </c>
      <c r="T725" t="s">
        <v>412</v>
      </c>
      <c r="U725">
        <v>0</v>
      </c>
      <c r="V725">
        <v>0</v>
      </c>
      <c r="AI725" t="s">
        <v>7313</v>
      </c>
      <c r="AJ725">
        <v>40000</v>
      </c>
      <c r="AK725">
        <v>0</v>
      </c>
    </row>
    <row r="726" spans="5:37" x14ac:dyDescent="0.25">
      <c r="E726" t="s">
        <v>97</v>
      </c>
      <c r="F726">
        <v>0</v>
      </c>
      <c r="G726">
        <v>0</v>
      </c>
      <c r="T726" t="s">
        <v>412</v>
      </c>
      <c r="U726">
        <v>0</v>
      </c>
      <c r="V726">
        <v>0</v>
      </c>
      <c r="AI726" t="s">
        <v>7332</v>
      </c>
      <c r="AJ726">
        <v>0</v>
      </c>
      <c r="AK726">
        <v>0</v>
      </c>
    </row>
    <row r="727" spans="5:37" x14ac:dyDescent="0.25">
      <c r="E727" t="s">
        <v>97</v>
      </c>
      <c r="F727">
        <v>0</v>
      </c>
      <c r="G727">
        <v>0</v>
      </c>
      <c r="T727" t="s">
        <v>412</v>
      </c>
      <c r="U727">
        <v>0</v>
      </c>
      <c r="V727">
        <v>0</v>
      </c>
      <c r="AI727" t="s">
        <v>589</v>
      </c>
      <c r="AJ727">
        <v>41000</v>
      </c>
      <c r="AK727">
        <v>0</v>
      </c>
    </row>
    <row r="728" spans="5:37" x14ac:dyDescent="0.25">
      <c r="E728" t="s">
        <v>97</v>
      </c>
      <c r="F728">
        <v>0</v>
      </c>
      <c r="G728">
        <v>0</v>
      </c>
      <c r="T728" t="s">
        <v>412</v>
      </c>
      <c r="U728">
        <v>0</v>
      </c>
      <c r="V728">
        <v>0</v>
      </c>
      <c r="AI728" t="s">
        <v>589</v>
      </c>
      <c r="AJ728">
        <v>27000</v>
      </c>
      <c r="AK728">
        <v>0</v>
      </c>
    </row>
    <row r="729" spans="5:37" x14ac:dyDescent="0.25">
      <c r="E729" t="s">
        <v>97</v>
      </c>
      <c r="F729">
        <v>0</v>
      </c>
      <c r="G729">
        <v>0</v>
      </c>
      <c r="T729" t="s">
        <v>412</v>
      </c>
      <c r="U729">
        <v>0</v>
      </c>
      <c r="V729">
        <v>0</v>
      </c>
      <c r="AI729" t="s">
        <v>589</v>
      </c>
      <c r="AJ729">
        <v>33000</v>
      </c>
      <c r="AK729">
        <v>0</v>
      </c>
    </row>
    <row r="730" spans="5:37" x14ac:dyDescent="0.25">
      <c r="E730" t="s">
        <v>97</v>
      </c>
      <c r="F730">
        <v>0</v>
      </c>
      <c r="G730">
        <v>0</v>
      </c>
      <c r="T730" t="s">
        <v>412</v>
      </c>
      <c r="U730">
        <v>21000</v>
      </c>
      <c r="V730">
        <v>0</v>
      </c>
      <c r="AI730" t="s">
        <v>589</v>
      </c>
      <c r="AJ730">
        <v>39000</v>
      </c>
      <c r="AK730">
        <v>0</v>
      </c>
    </row>
    <row r="731" spans="5:37" x14ac:dyDescent="0.25">
      <c r="E731" t="s">
        <v>97</v>
      </c>
      <c r="F731">
        <v>0</v>
      </c>
      <c r="G731">
        <v>16000</v>
      </c>
      <c r="T731" t="s">
        <v>412</v>
      </c>
      <c r="U731">
        <v>0</v>
      </c>
      <c r="V731">
        <v>0</v>
      </c>
      <c r="AI731" t="s">
        <v>589</v>
      </c>
      <c r="AJ731">
        <v>31000</v>
      </c>
      <c r="AK731">
        <v>0</v>
      </c>
    </row>
    <row r="732" spans="5:37" x14ac:dyDescent="0.25">
      <c r="E732" t="s">
        <v>97</v>
      </c>
      <c r="F732">
        <v>2100</v>
      </c>
      <c r="G732">
        <v>0</v>
      </c>
      <c r="T732" t="s">
        <v>412</v>
      </c>
      <c r="U732">
        <v>0</v>
      </c>
      <c r="V732">
        <v>0</v>
      </c>
      <c r="AI732" t="s">
        <v>589</v>
      </c>
      <c r="AJ732">
        <v>0</v>
      </c>
      <c r="AK732">
        <v>0</v>
      </c>
    </row>
    <row r="733" spans="5:37" x14ac:dyDescent="0.25">
      <c r="E733" t="s">
        <v>97</v>
      </c>
      <c r="F733">
        <v>0</v>
      </c>
      <c r="G733">
        <v>0</v>
      </c>
      <c r="T733" t="s">
        <v>412</v>
      </c>
      <c r="U733">
        <v>15000</v>
      </c>
      <c r="V733">
        <v>0</v>
      </c>
      <c r="AI733" t="s">
        <v>589</v>
      </c>
      <c r="AJ733">
        <v>29000</v>
      </c>
      <c r="AK733">
        <v>0</v>
      </c>
    </row>
    <row r="734" spans="5:37" x14ac:dyDescent="0.25">
      <c r="E734" t="s">
        <v>97</v>
      </c>
      <c r="F734">
        <v>0</v>
      </c>
      <c r="G734">
        <v>0</v>
      </c>
      <c r="T734" t="s">
        <v>412</v>
      </c>
      <c r="U734">
        <v>0</v>
      </c>
      <c r="V734">
        <v>0</v>
      </c>
      <c r="AI734" t="s">
        <v>589</v>
      </c>
      <c r="AJ734">
        <v>37000</v>
      </c>
      <c r="AK734">
        <v>0</v>
      </c>
    </row>
    <row r="735" spans="5:37" x14ac:dyDescent="0.25">
      <c r="E735" t="s">
        <v>97</v>
      </c>
      <c r="F735">
        <v>0</v>
      </c>
      <c r="G735">
        <v>0</v>
      </c>
      <c r="T735" t="s">
        <v>412</v>
      </c>
      <c r="U735">
        <v>0</v>
      </c>
      <c r="V735">
        <v>0</v>
      </c>
      <c r="AI735" t="s">
        <v>589</v>
      </c>
      <c r="AJ735">
        <v>0</v>
      </c>
      <c r="AK735">
        <v>0</v>
      </c>
    </row>
    <row r="736" spans="5:37" x14ac:dyDescent="0.25">
      <c r="E736" t="s">
        <v>97</v>
      </c>
      <c r="F736">
        <v>0</v>
      </c>
      <c r="G736">
        <v>0</v>
      </c>
      <c r="T736" t="s">
        <v>412</v>
      </c>
      <c r="U736">
        <v>0</v>
      </c>
      <c r="V736">
        <v>0</v>
      </c>
      <c r="AI736" t="s">
        <v>589</v>
      </c>
      <c r="AJ736">
        <v>35000</v>
      </c>
      <c r="AK736">
        <v>0</v>
      </c>
    </row>
    <row r="737" spans="5:37" x14ac:dyDescent="0.25">
      <c r="E737" t="s">
        <v>97</v>
      </c>
      <c r="F737">
        <v>2500</v>
      </c>
      <c r="G737">
        <v>0</v>
      </c>
      <c r="T737" t="s">
        <v>412</v>
      </c>
      <c r="U737">
        <v>0</v>
      </c>
      <c r="V737">
        <v>45000</v>
      </c>
      <c r="AI737" t="s">
        <v>589</v>
      </c>
      <c r="AJ737">
        <v>43000</v>
      </c>
      <c r="AK737">
        <v>0</v>
      </c>
    </row>
    <row r="738" spans="5:37" x14ac:dyDescent="0.25">
      <c r="E738" t="s">
        <v>97</v>
      </c>
      <c r="F738">
        <v>0</v>
      </c>
      <c r="G738">
        <v>0</v>
      </c>
      <c r="T738" t="s">
        <v>412</v>
      </c>
      <c r="U738">
        <v>0</v>
      </c>
      <c r="V738">
        <v>0</v>
      </c>
      <c r="AI738" t="s">
        <v>589</v>
      </c>
      <c r="AJ738">
        <v>0</v>
      </c>
      <c r="AK738">
        <v>0</v>
      </c>
    </row>
    <row r="739" spans="5:37" x14ac:dyDescent="0.25">
      <c r="E739" t="s">
        <v>97</v>
      </c>
      <c r="F739">
        <v>0</v>
      </c>
      <c r="G739">
        <v>0</v>
      </c>
      <c r="T739" t="s">
        <v>412</v>
      </c>
      <c r="U739">
        <v>19000</v>
      </c>
      <c r="V739">
        <v>0</v>
      </c>
      <c r="AI739" t="s">
        <v>589</v>
      </c>
      <c r="AJ739">
        <v>45000</v>
      </c>
      <c r="AK739">
        <v>0</v>
      </c>
    </row>
    <row r="740" spans="5:37" x14ac:dyDescent="0.25">
      <c r="E740" t="s">
        <v>97</v>
      </c>
      <c r="F740">
        <v>0</v>
      </c>
      <c r="G740">
        <v>20000</v>
      </c>
      <c r="T740" t="s">
        <v>412</v>
      </c>
      <c r="U740">
        <v>0</v>
      </c>
      <c r="V740">
        <v>0</v>
      </c>
      <c r="AI740" t="s">
        <v>7316</v>
      </c>
      <c r="AJ740">
        <v>0</v>
      </c>
      <c r="AK740">
        <v>0</v>
      </c>
    </row>
    <row r="741" spans="5:37" x14ac:dyDescent="0.25">
      <c r="E741" t="s">
        <v>97</v>
      </c>
      <c r="F741">
        <v>0</v>
      </c>
      <c r="G741">
        <v>20000</v>
      </c>
      <c r="T741" t="s">
        <v>412</v>
      </c>
      <c r="U741">
        <v>0</v>
      </c>
      <c r="V741">
        <v>0</v>
      </c>
      <c r="AI741" t="s">
        <v>7316</v>
      </c>
      <c r="AJ741">
        <v>0</v>
      </c>
      <c r="AK741">
        <v>0</v>
      </c>
    </row>
    <row r="742" spans="5:37" x14ac:dyDescent="0.25">
      <c r="E742" t="s">
        <v>97</v>
      </c>
      <c r="F742">
        <v>0</v>
      </c>
      <c r="G742">
        <v>11000</v>
      </c>
      <c r="T742" t="s">
        <v>412</v>
      </c>
      <c r="U742">
        <v>0</v>
      </c>
      <c r="V742">
        <v>0</v>
      </c>
      <c r="AI742" t="s">
        <v>7316</v>
      </c>
      <c r="AJ742">
        <v>0</v>
      </c>
      <c r="AK742">
        <v>30000</v>
      </c>
    </row>
    <row r="743" spans="5:37" x14ac:dyDescent="0.25">
      <c r="E743" t="s">
        <v>97</v>
      </c>
      <c r="F743">
        <v>0</v>
      </c>
      <c r="G743">
        <v>15000</v>
      </c>
      <c r="T743" t="s">
        <v>412</v>
      </c>
      <c r="U743">
        <v>0</v>
      </c>
      <c r="V743">
        <v>0</v>
      </c>
      <c r="AI743" t="s">
        <v>293</v>
      </c>
      <c r="AJ743">
        <v>0</v>
      </c>
      <c r="AK743">
        <v>0</v>
      </c>
    </row>
    <row r="744" spans="5:37" x14ac:dyDescent="0.25">
      <c r="E744" t="s">
        <v>97</v>
      </c>
      <c r="F744">
        <v>0</v>
      </c>
      <c r="G744">
        <v>0</v>
      </c>
      <c r="T744" t="s">
        <v>412</v>
      </c>
      <c r="U744">
        <v>0</v>
      </c>
      <c r="V744">
        <v>0</v>
      </c>
      <c r="AI744" t="s">
        <v>293</v>
      </c>
      <c r="AJ744">
        <v>0</v>
      </c>
      <c r="AK744">
        <v>0</v>
      </c>
    </row>
    <row r="745" spans="5:37" x14ac:dyDescent="0.25">
      <c r="E745" t="s">
        <v>97</v>
      </c>
      <c r="F745">
        <v>0</v>
      </c>
      <c r="G745">
        <v>0</v>
      </c>
      <c r="T745" t="s">
        <v>412</v>
      </c>
      <c r="U745">
        <v>0</v>
      </c>
      <c r="V745">
        <v>0</v>
      </c>
      <c r="AI745" t="s">
        <v>293</v>
      </c>
      <c r="AJ745">
        <v>0</v>
      </c>
      <c r="AK745">
        <v>0</v>
      </c>
    </row>
    <row r="746" spans="5:37" x14ac:dyDescent="0.25">
      <c r="E746" t="s">
        <v>97</v>
      </c>
      <c r="F746">
        <v>0</v>
      </c>
      <c r="G746">
        <v>19000</v>
      </c>
      <c r="T746" t="s">
        <v>412</v>
      </c>
      <c r="U746">
        <v>0</v>
      </c>
      <c r="V746">
        <v>0</v>
      </c>
      <c r="AI746" t="s">
        <v>7307</v>
      </c>
      <c r="AJ746">
        <v>0</v>
      </c>
      <c r="AK746">
        <v>30000</v>
      </c>
    </row>
    <row r="747" spans="5:37" x14ac:dyDescent="0.25">
      <c r="E747" t="s">
        <v>97</v>
      </c>
      <c r="F747">
        <v>0</v>
      </c>
      <c r="G747">
        <v>15000</v>
      </c>
      <c r="T747" t="s">
        <v>412</v>
      </c>
      <c r="U747">
        <v>0</v>
      </c>
      <c r="V747">
        <v>0</v>
      </c>
      <c r="AI747" t="s">
        <v>7307</v>
      </c>
      <c r="AJ747">
        <v>0</v>
      </c>
      <c r="AK747">
        <v>0</v>
      </c>
    </row>
    <row r="748" spans="5:37" x14ac:dyDescent="0.25">
      <c r="E748" t="s">
        <v>97</v>
      </c>
      <c r="F748">
        <v>0</v>
      </c>
      <c r="G748">
        <v>13000</v>
      </c>
      <c r="T748" t="s">
        <v>412</v>
      </c>
      <c r="U748">
        <v>0</v>
      </c>
      <c r="V748">
        <v>0</v>
      </c>
      <c r="AI748" t="s">
        <v>7307</v>
      </c>
      <c r="AJ748">
        <v>30000</v>
      </c>
      <c r="AK748">
        <v>0</v>
      </c>
    </row>
    <row r="749" spans="5:37" x14ac:dyDescent="0.25">
      <c r="E749" t="s">
        <v>97</v>
      </c>
      <c r="F749">
        <v>0</v>
      </c>
      <c r="G749">
        <v>0</v>
      </c>
      <c r="T749" t="s">
        <v>412</v>
      </c>
      <c r="U749">
        <v>0</v>
      </c>
      <c r="V749">
        <v>0</v>
      </c>
      <c r="AI749" t="s">
        <v>7307</v>
      </c>
      <c r="AJ749">
        <v>0</v>
      </c>
      <c r="AK749">
        <v>0</v>
      </c>
    </row>
    <row r="750" spans="5:37" x14ac:dyDescent="0.25">
      <c r="E750" t="s">
        <v>97</v>
      </c>
      <c r="F750">
        <v>0</v>
      </c>
      <c r="G750">
        <v>15000</v>
      </c>
      <c r="T750" t="s">
        <v>412</v>
      </c>
      <c r="U750">
        <v>0</v>
      </c>
      <c r="V750">
        <v>0</v>
      </c>
      <c r="AI750" t="s">
        <v>7307</v>
      </c>
      <c r="AJ750">
        <v>0</v>
      </c>
      <c r="AK750">
        <v>0</v>
      </c>
    </row>
    <row r="751" spans="5:37" x14ac:dyDescent="0.25">
      <c r="E751" t="s">
        <v>97</v>
      </c>
      <c r="F751">
        <v>0</v>
      </c>
      <c r="G751">
        <v>18000</v>
      </c>
      <c r="T751" t="s">
        <v>412</v>
      </c>
      <c r="U751">
        <v>0</v>
      </c>
      <c r="V751">
        <v>0</v>
      </c>
      <c r="AI751" t="s">
        <v>302</v>
      </c>
      <c r="AJ751">
        <v>0</v>
      </c>
      <c r="AK751">
        <v>0</v>
      </c>
    </row>
    <row r="752" spans="5:37" x14ac:dyDescent="0.25">
      <c r="E752" t="s">
        <v>97</v>
      </c>
      <c r="F752">
        <v>0</v>
      </c>
      <c r="G752">
        <v>15000</v>
      </c>
      <c r="T752" t="s">
        <v>412</v>
      </c>
      <c r="U752">
        <v>0</v>
      </c>
      <c r="V752">
        <v>0</v>
      </c>
      <c r="AI752" t="s">
        <v>302</v>
      </c>
      <c r="AJ752">
        <v>0</v>
      </c>
      <c r="AK752">
        <v>0</v>
      </c>
    </row>
    <row r="753" spans="5:37" x14ac:dyDescent="0.25">
      <c r="E753" t="s">
        <v>97</v>
      </c>
      <c r="F753">
        <v>0</v>
      </c>
      <c r="G753">
        <v>0</v>
      </c>
      <c r="T753" t="s">
        <v>412</v>
      </c>
      <c r="U753">
        <v>0</v>
      </c>
      <c r="V753">
        <v>0</v>
      </c>
      <c r="AI753" t="s">
        <v>302</v>
      </c>
      <c r="AJ753">
        <v>0</v>
      </c>
      <c r="AK753">
        <v>0</v>
      </c>
    </row>
    <row r="754" spans="5:37" x14ac:dyDescent="0.25">
      <c r="E754" t="s">
        <v>97</v>
      </c>
      <c r="F754">
        <v>0</v>
      </c>
      <c r="G754">
        <v>0</v>
      </c>
      <c r="T754" t="s">
        <v>412</v>
      </c>
      <c r="U754">
        <v>20000</v>
      </c>
      <c r="V754">
        <v>0</v>
      </c>
      <c r="AI754" t="s">
        <v>302</v>
      </c>
      <c r="AJ754">
        <v>0</v>
      </c>
      <c r="AK754">
        <v>0</v>
      </c>
    </row>
    <row r="755" spans="5:37" x14ac:dyDescent="0.25">
      <c r="E755" t="s">
        <v>97</v>
      </c>
      <c r="F755">
        <v>0</v>
      </c>
      <c r="G755">
        <v>22000</v>
      </c>
      <c r="T755" t="s">
        <v>412</v>
      </c>
      <c r="U755">
        <v>0</v>
      </c>
      <c r="V755">
        <v>0</v>
      </c>
      <c r="AI755" t="s">
        <v>302</v>
      </c>
      <c r="AJ755">
        <v>0</v>
      </c>
      <c r="AK755">
        <v>0</v>
      </c>
    </row>
    <row r="756" spans="5:37" x14ac:dyDescent="0.25">
      <c r="E756" t="s">
        <v>97</v>
      </c>
      <c r="F756">
        <v>0</v>
      </c>
      <c r="G756">
        <v>0</v>
      </c>
      <c r="T756" t="s">
        <v>412</v>
      </c>
      <c r="U756">
        <v>0</v>
      </c>
      <c r="V756">
        <v>0</v>
      </c>
      <c r="AI756" t="s">
        <v>302</v>
      </c>
      <c r="AJ756">
        <v>0</v>
      </c>
      <c r="AK756">
        <v>0</v>
      </c>
    </row>
    <row r="757" spans="5:37" x14ac:dyDescent="0.25">
      <c r="E757" t="s">
        <v>97</v>
      </c>
      <c r="F757">
        <v>0</v>
      </c>
      <c r="G757">
        <v>0</v>
      </c>
      <c r="T757" t="s">
        <v>67</v>
      </c>
      <c r="U757">
        <v>0</v>
      </c>
      <c r="V757">
        <v>0</v>
      </c>
      <c r="AI757" t="s">
        <v>302</v>
      </c>
      <c r="AJ757">
        <v>0</v>
      </c>
      <c r="AK757">
        <v>0</v>
      </c>
    </row>
    <row r="758" spans="5:37" x14ac:dyDescent="0.25">
      <c r="E758" t="s">
        <v>97</v>
      </c>
      <c r="F758">
        <v>9000</v>
      </c>
      <c r="G758">
        <v>0</v>
      </c>
      <c r="T758" t="s">
        <v>67</v>
      </c>
      <c r="U758">
        <v>0</v>
      </c>
      <c r="V758">
        <v>0</v>
      </c>
      <c r="AI758" t="s">
        <v>302</v>
      </c>
      <c r="AJ758">
        <v>0</v>
      </c>
      <c r="AK758">
        <v>0</v>
      </c>
    </row>
    <row r="759" spans="5:37" x14ac:dyDescent="0.25">
      <c r="E759" t="s">
        <v>97</v>
      </c>
      <c r="F759">
        <v>2200</v>
      </c>
      <c r="G759">
        <v>0</v>
      </c>
      <c r="T759" t="s">
        <v>68</v>
      </c>
      <c r="U759">
        <v>0</v>
      </c>
      <c r="V759">
        <v>0</v>
      </c>
      <c r="AI759" t="s">
        <v>302</v>
      </c>
      <c r="AJ759">
        <v>0</v>
      </c>
      <c r="AK759">
        <v>0</v>
      </c>
    </row>
    <row r="760" spans="5:37" x14ac:dyDescent="0.25">
      <c r="E760" t="s">
        <v>97</v>
      </c>
      <c r="F760">
        <v>0</v>
      </c>
      <c r="G760">
        <v>0</v>
      </c>
      <c r="T760" t="s">
        <v>68</v>
      </c>
      <c r="U760">
        <v>0</v>
      </c>
      <c r="V760">
        <v>0</v>
      </c>
      <c r="AI760" t="s">
        <v>302</v>
      </c>
      <c r="AJ760">
        <v>0</v>
      </c>
      <c r="AK760">
        <v>0</v>
      </c>
    </row>
    <row r="761" spans="5:37" x14ac:dyDescent="0.25">
      <c r="E761" t="s">
        <v>97</v>
      </c>
      <c r="F761">
        <v>6000</v>
      </c>
      <c r="G761">
        <v>0</v>
      </c>
      <c r="T761" t="s">
        <v>69</v>
      </c>
      <c r="U761">
        <v>0</v>
      </c>
      <c r="V761">
        <v>0</v>
      </c>
      <c r="AI761" t="s">
        <v>302</v>
      </c>
      <c r="AJ761">
        <v>0</v>
      </c>
      <c r="AK761">
        <v>0</v>
      </c>
    </row>
    <row r="762" spans="5:37" x14ac:dyDescent="0.25">
      <c r="E762" t="s">
        <v>97</v>
      </c>
      <c r="F762">
        <v>0</v>
      </c>
      <c r="G762">
        <v>0</v>
      </c>
      <c r="T762" t="s">
        <v>425</v>
      </c>
      <c r="U762">
        <v>0</v>
      </c>
      <c r="V762">
        <v>0</v>
      </c>
      <c r="AI762" t="s">
        <v>302</v>
      </c>
      <c r="AJ762">
        <v>0</v>
      </c>
      <c r="AK762">
        <v>0</v>
      </c>
    </row>
    <row r="763" spans="5:37" x14ac:dyDescent="0.25">
      <c r="E763" t="s">
        <v>97</v>
      </c>
      <c r="F763">
        <v>0</v>
      </c>
      <c r="G763">
        <v>0</v>
      </c>
      <c r="T763" t="s">
        <v>425</v>
      </c>
      <c r="U763">
        <v>0</v>
      </c>
      <c r="V763">
        <v>0</v>
      </c>
      <c r="AI763" t="s">
        <v>302</v>
      </c>
      <c r="AJ763">
        <v>0</v>
      </c>
      <c r="AK763">
        <v>0</v>
      </c>
    </row>
    <row r="764" spans="5:37" x14ac:dyDescent="0.25">
      <c r="E764" t="s">
        <v>97</v>
      </c>
      <c r="F764">
        <v>0</v>
      </c>
      <c r="G764">
        <v>0</v>
      </c>
      <c r="T764" t="s">
        <v>425</v>
      </c>
      <c r="U764">
        <v>0</v>
      </c>
      <c r="V764">
        <v>0</v>
      </c>
      <c r="AI764" t="s">
        <v>302</v>
      </c>
      <c r="AJ764">
        <v>0</v>
      </c>
      <c r="AK764">
        <v>0</v>
      </c>
    </row>
    <row r="765" spans="5:37" x14ac:dyDescent="0.25">
      <c r="E765" t="s">
        <v>97</v>
      </c>
      <c r="F765">
        <v>0</v>
      </c>
      <c r="G765">
        <v>0</v>
      </c>
      <c r="T765" t="s">
        <v>425</v>
      </c>
      <c r="U765">
        <v>0</v>
      </c>
      <c r="V765">
        <v>0</v>
      </c>
      <c r="AI765" t="s">
        <v>302</v>
      </c>
      <c r="AJ765">
        <v>0</v>
      </c>
      <c r="AK765">
        <v>0</v>
      </c>
    </row>
    <row r="766" spans="5:37" x14ac:dyDescent="0.25">
      <c r="E766" t="s">
        <v>97</v>
      </c>
      <c r="F766">
        <v>0</v>
      </c>
      <c r="G766">
        <v>0</v>
      </c>
      <c r="T766" t="s">
        <v>425</v>
      </c>
      <c r="U766">
        <v>0</v>
      </c>
      <c r="V766">
        <v>0</v>
      </c>
      <c r="AI766" t="s">
        <v>302</v>
      </c>
      <c r="AJ766">
        <v>0</v>
      </c>
      <c r="AK766">
        <v>0</v>
      </c>
    </row>
    <row r="767" spans="5:37" x14ac:dyDescent="0.25">
      <c r="E767" t="s">
        <v>97</v>
      </c>
      <c r="F767">
        <v>0</v>
      </c>
      <c r="G767">
        <v>25000</v>
      </c>
      <c r="T767" t="s">
        <v>425</v>
      </c>
      <c r="U767">
        <v>0</v>
      </c>
      <c r="V767">
        <v>0</v>
      </c>
      <c r="AI767" t="s">
        <v>302</v>
      </c>
      <c r="AJ767">
        <v>0</v>
      </c>
      <c r="AK767">
        <v>0</v>
      </c>
    </row>
    <row r="768" spans="5:37" x14ac:dyDescent="0.25">
      <c r="E768" t="s">
        <v>97</v>
      </c>
      <c r="F768">
        <v>0</v>
      </c>
      <c r="G768">
        <v>0</v>
      </c>
      <c r="T768" t="s">
        <v>50</v>
      </c>
      <c r="U768">
        <v>0</v>
      </c>
      <c r="V768">
        <v>0</v>
      </c>
      <c r="AI768" t="s">
        <v>302</v>
      </c>
      <c r="AJ768">
        <v>0</v>
      </c>
      <c r="AK768">
        <v>0</v>
      </c>
    </row>
    <row r="769" spans="5:37" x14ac:dyDescent="0.25">
      <c r="E769" t="s">
        <v>97</v>
      </c>
      <c r="F769">
        <v>0</v>
      </c>
      <c r="G769">
        <v>0</v>
      </c>
      <c r="T769" t="s">
        <v>50</v>
      </c>
      <c r="U769">
        <v>0</v>
      </c>
      <c r="V769">
        <v>0</v>
      </c>
      <c r="AI769" t="s">
        <v>302</v>
      </c>
      <c r="AJ769">
        <v>0</v>
      </c>
      <c r="AK769">
        <v>0</v>
      </c>
    </row>
    <row r="770" spans="5:37" x14ac:dyDescent="0.25">
      <c r="E770" t="s">
        <v>97</v>
      </c>
      <c r="F770">
        <v>0</v>
      </c>
      <c r="G770">
        <v>15000</v>
      </c>
      <c r="T770" t="s">
        <v>50</v>
      </c>
      <c r="U770">
        <v>0</v>
      </c>
      <c r="V770">
        <v>0</v>
      </c>
      <c r="AI770" t="s">
        <v>302</v>
      </c>
      <c r="AJ770">
        <v>0</v>
      </c>
      <c r="AK770">
        <v>0</v>
      </c>
    </row>
    <row r="771" spans="5:37" x14ac:dyDescent="0.25">
      <c r="E771" t="s">
        <v>97</v>
      </c>
      <c r="F771">
        <v>0</v>
      </c>
      <c r="G771">
        <v>0</v>
      </c>
      <c r="T771" t="s">
        <v>50</v>
      </c>
      <c r="U771">
        <v>0</v>
      </c>
      <c r="V771">
        <v>0</v>
      </c>
      <c r="AI771" t="s">
        <v>302</v>
      </c>
      <c r="AJ771">
        <v>0</v>
      </c>
      <c r="AK771">
        <v>0</v>
      </c>
    </row>
    <row r="772" spans="5:37" x14ac:dyDescent="0.25">
      <c r="E772" t="s">
        <v>97</v>
      </c>
      <c r="F772">
        <v>0</v>
      </c>
      <c r="G772">
        <v>25000</v>
      </c>
      <c r="T772" t="s">
        <v>50</v>
      </c>
      <c r="U772">
        <v>0</v>
      </c>
      <c r="V772">
        <v>0</v>
      </c>
      <c r="AI772" t="s">
        <v>302</v>
      </c>
      <c r="AJ772">
        <v>0</v>
      </c>
      <c r="AK772">
        <v>0</v>
      </c>
    </row>
    <row r="773" spans="5:37" x14ac:dyDescent="0.25">
      <c r="E773" t="s">
        <v>97</v>
      </c>
      <c r="F773">
        <v>0</v>
      </c>
      <c r="G773">
        <v>25000</v>
      </c>
      <c r="T773" t="s">
        <v>50</v>
      </c>
      <c r="U773">
        <v>0</v>
      </c>
      <c r="V773">
        <v>0</v>
      </c>
      <c r="AI773" t="s">
        <v>302</v>
      </c>
      <c r="AJ773">
        <v>0</v>
      </c>
      <c r="AK773">
        <v>0</v>
      </c>
    </row>
    <row r="774" spans="5:37" x14ac:dyDescent="0.25">
      <c r="E774" t="s">
        <v>97</v>
      </c>
      <c r="F774">
        <v>7000</v>
      </c>
      <c r="G774">
        <v>0</v>
      </c>
      <c r="T774" t="s">
        <v>50</v>
      </c>
      <c r="U774">
        <v>0</v>
      </c>
      <c r="V774">
        <v>0</v>
      </c>
      <c r="AI774" t="s">
        <v>302</v>
      </c>
      <c r="AJ774">
        <v>0</v>
      </c>
      <c r="AK774">
        <v>0</v>
      </c>
    </row>
    <row r="775" spans="5:37" x14ac:dyDescent="0.25">
      <c r="E775" t="s">
        <v>97</v>
      </c>
      <c r="F775">
        <v>0</v>
      </c>
      <c r="G775">
        <v>20000</v>
      </c>
      <c r="T775" t="s">
        <v>50</v>
      </c>
      <c r="U775">
        <v>0</v>
      </c>
      <c r="V775">
        <v>0</v>
      </c>
      <c r="AI775" t="s">
        <v>302</v>
      </c>
      <c r="AJ775">
        <v>0</v>
      </c>
      <c r="AK775">
        <v>0</v>
      </c>
    </row>
    <row r="776" spans="5:37" x14ac:dyDescent="0.25">
      <c r="E776" t="s">
        <v>97</v>
      </c>
      <c r="F776">
        <v>0</v>
      </c>
      <c r="G776">
        <v>0</v>
      </c>
      <c r="T776" t="s">
        <v>50</v>
      </c>
      <c r="U776">
        <v>0</v>
      </c>
      <c r="V776">
        <v>0</v>
      </c>
      <c r="AI776" t="s">
        <v>302</v>
      </c>
      <c r="AJ776">
        <v>0</v>
      </c>
      <c r="AK776">
        <v>0</v>
      </c>
    </row>
    <row r="777" spans="5:37" x14ac:dyDescent="0.25">
      <c r="E777" t="s">
        <v>97</v>
      </c>
      <c r="F777">
        <v>0</v>
      </c>
      <c r="G777">
        <v>15000</v>
      </c>
      <c r="T777" t="s">
        <v>50</v>
      </c>
      <c r="U777">
        <v>0</v>
      </c>
      <c r="V777">
        <v>0</v>
      </c>
      <c r="AI777" t="s">
        <v>302</v>
      </c>
      <c r="AJ777">
        <v>0</v>
      </c>
      <c r="AK777">
        <v>0</v>
      </c>
    </row>
    <row r="778" spans="5:37" x14ac:dyDescent="0.25">
      <c r="E778" t="s">
        <v>97</v>
      </c>
      <c r="F778">
        <v>0</v>
      </c>
      <c r="G778">
        <v>15000</v>
      </c>
      <c r="T778" t="s">
        <v>50</v>
      </c>
      <c r="U778">
        <v>0</v>
      </c>
      <c r="V778">
        <v>0</v>
      </c>
      <c r="AI778" t="s">
        <v>302</v>
      </c>
      <c r="AJ778">
        <v>0</v>
      </c>
      <c r="AK778">
        <v>0</v>
      </c>
    </row>
    <row r="779" spans="5:37" x14ac:dyDescent="0.25">
      <c r="E779" t="s">
        <v>97</v>
      </c>
      <c r="F779">
        <v>0</v>
      </c>
      <c r="G779">
        <v>0</v>
      </c>
      <c r="T779" t="s">
        <v>50</v>
      </c>
      <c r="U779">
        <v>0</v>
      </c>
      <c r="V779">
        <v>0</v>
      </c>
      <c r="AI779" t="s">
        <v>302</v>
      </c>
      <c r="AJ779">
        <v>0</v>
      </c>
      <c r="AK779">
        <v>0</v>
      </c>
    </row>
    <row r="780" spans="5:37" x14ac:dyDescent="0.25">
      <c r="E780" t="s">
        <v>97</v>
      </c>
      <c r="F780">
        <v>0</v>
      </c>
      <c r="G780">
        <v>0</v>
      </c>
      <c r="T780" t="s">
        <v>50</v>
      </c>
      <c r="U780">
        <v>0</v>
      </c>
      <c r="V780">
        <v>0</v>
      </c>
      <c r="AI780" t="s">
        <v>302</v>
      </c>
      <c r="AJ780">
        <v>0</v>
      </c>
      <c r="AK780">
        <v>0</v>
      </c>
    </row>
    <row r="781" spans="5:37" x14ac:dyDescent="0.25">
      <c r="E781" t="s">
        <v>97</v>
      </c>
      <c r="F781">
        <v>0</v>
      </c>
      <c r="G781">
        <v>0</v>
      </c>
      <c r="T781" t="s">
        <v>50</v>
      </c>
      <c r="U781">
        <v>0</v>
      </c>
      <c r="V781">
        <v>0</v>
      </c>
      <c r="AI781" t="s">
        <v>302</v>
      </c>
      <c r="AJ781">
        <v>0</v>
      </c>
      <c r="AK781">
        <v>0</v>
      </c>
    </row>
    <row r="782" spans="5:37" x14ac:dyDescent="0.25">
      <c r="E782" t="s">
        <v>97</v>
      </c>
      <c r="F782">
        <v>0</v>
      </c>
      <c r="G782">
        <v>0</v>
      </c>
      <c r="T782" t="s">
        <v>50</v>
      </c>
      <c r="U782">
        <v>0</v>
      </c>
      <c r="V782">
        <v>0</v>
      </c>
      <c r="AI782" t="s">
        <v>302</v>
      </c>
      <c r="AJ782">
        <v>0</v>
      </c>
      <c r="AK782">
        <v>0</v>
      </c>
    </row>
    <row r="783" spans="5:37" x14ac:dyDescent="0.25">
      <c r="E783" t="s">
        <v>97</v>
      </c>
      <c r="F783">
        <v>0</v>
      </c>
      <c r="G783">
        <v>17000</v>
      </c>
      <c r="T783" t="s">
        <v>50</v>
      </c>
      <c r="U783">
        <v>0</v>
      </c>
      <c r="V783">
        <v>0</v>
      </c>
      <c r="AI783" t="s">
        <v>302</v>
      </c>
      <c r="AJ783">
        <v>0</v>
      </c>
      <c r="AK783">
        <v>40000</v>
      </c>
    </row>
    <row r="784" spans="5:37" x14ac:dyDescent="0.25">
      <c r="E784" t="s">
        <v>97</v>
      </c>
      <c r="F784">
        <v>0</v>
      </c>
      <c r="G784">
        <v>25000</v>
      </c>
      <c r="T784" t="s">
        <v>50</v>
      </c>
      <c r="U784">
        <v>0</v>
      </c>
      <c r="V784">
        <v>0</v>
      </c>
      <c r="AI784" t="s">
        <v>302</v>
      </c>
      <c r="AJ784">
        <v>0</v>
      </c>
      <c r="AK784">
        <v>0</v>
      </c>
    </row>
    <row r="785" spans="5:37" x14ac:dyDescent="0.25">
      <c r="E785" t="s">
        <v>97</v>
      </c>
      <c r="F785">
        <v>4000</v>
      </c>
      <c r="G785">
        <v>0</v>
      </c>
      <c r="T785" t="s">
        <v>50</v>
      </c>
      <c r="U785">
        <v>0</v>
      </c>
      <c r="V785">
        <v>0</v>
      </c>
      <c r="AI785" t="s">
        <v>302</v>
      </c>
      <c r="AJ785">
        <v>0</v>
      </c>
      <c r="AK785">
        <v>0</v>
      </c>
    </row>
    <row r="786" spans="5:37" x14ac:dyDescent="0.25">
      <c r="E786" t="s">
        <v>97</v>
      </c>
      <c r="F786">
        <v>0</v>
      </c>
      <c r="G786">
        <v>0</v>
      </c>
      <c r="T786" t="s">
        <v>50</v>
      </c>
      <c r="U786">
        <v>0</v>
      </c>
      <c r="V786">
        <v>0</v>
      </c>
      <c r="AI786" t="s">
        <v>302</v>
      </c>
      <c r="AJ786">
        <v>0</v>
      </c>
      <c r="AK786">
        <v>0</v>
      </c>
    </row>
    <row r="787" spans="5:37" x14ac:dyDescent="0.25">
      <c r="E787" t="s">
        <v>97</v>
      </c>
      <c r="F787">
        <v>0</v>
      </c>
      <c r="G787">
        <v>0</v>
      </c>
      <c r="T787" t="s">
        <v>50</v>
      </c>
      <c r="U787">
        <v>0</v>
      </c>
      <c r="V787">
        <v>0</v>
      </c>
      <c r="AI787" t="s">
        <v>302</v>
      </c>
      <c r="AJ787">
        <v>0</v>
      </c>
      <c r="AK787">
        <v>0</v>
      </c>
    </row>
    <row r="788" spans="5:37" x14ac:dyDescent="0.25">
      <c r="E788" t="s">
        <v>97</v>
      </c>
      <c r="F788">
        <v>0</v>
      </c>
      <c r="G788">
        <v>21000</v>
      </c>
      <c r="T788" t="s">
        <v>50</v>
      </c>
      <c r="U788">
        <v>0</v>
      </c>
      <c r="V788">
        <v>0</v>
      </c>
      <c r="AI788" t="s">
        <v>302</v>
      </c>
      <c r="AJ788">
        <v>0</v>
      </c>
      <c r="AK788">
        <v>0</v>
      </c>
    </row>
    <row r="789" spans="5:37" x14ac:dyDescent="0.25">
      <c r="E789" t="s">
        <v>97</v>
      </c>
      <c r="F789">
        <v>0</v>
      </c>
      <c r="G789">
        <v>0</v>
      </c>
      <c r="T789" t="s">
        <v>581</v>
      </c>
      <c r="U789">
        <v>0</v>
      </c>
      <c r="V789">
        <v>0</v>
      </c>
      <c r="AI789" t="s">
        <v>302</v>
      </c>
      <c r="AJ789">
        <v>0</v>
      </c>
      <c r="AK789">
        <v>0</v>
      </c>
    </row>
    <row r="790" spans="5:37" x14ac:dyDescent="0.25">
      <c r="E790" t="s">
        <v>97</v>
      </c>
      <c r="F790">
        <v>0</v>
      </c>
      <c r="G790">
        <v>0</v>
      </c>
      <c r="T790" t="s">
        <v>581</v>
      </c>
      <c r="U790">
        <v>0</v>
      </c>
      <c r="V790">
        <v>0</v>
      </c>
      <c r="AI790" t="s">
        <v>302</v>
      </c>
      <c r="AJ790">
        <v>0</v>
      </c>
      <c r="AK790">
        <v>0</v>
      </c>
    </row>
    <row r="791" spans="5:37" x14ac:dyDescent="0.25">
      <c r="E791" t="s">
        <v>97</v>
      </c>
      <c r="F791">
        <v>0</v>
      </c>
      <c r="G791">
        <v>0</v>
      </c>
      <c r="T791" t="s">
        <v>581</v>
      </c>
      <c r="U791">
        <v>0</v>
      </c>
      <c r="V791">
        <v>0</v>
      </c>
      <c r="AI791" t="s">
        <v>302</v>
      </c>
      <c r="AJ791">
        <v>0</v>
      </c>
      <c r="AK791">
        <v>0</v>
      </c>
    </row>
    <row r="792" spans="5:37" x14ac:dyDescent="0.25">
      <c r="E792" t="s">
        <v>97</v>
      </c>
      <c r="F792">
        <v>0</v>
      </c>
      <c r="G792">
        <v>0</v>
      </c>
      <c r="T792" t="s">
        <v>581</v>
      </c>
      <c r="U792">
        <v>0</v>
      </c>
      <c r="V792">
        <v>0</v>
      </c>
      <c r="AI792" t="s">
        <v>302</v>
      </c>
      <c r="AJ792">
        <v>0</v>
      </c>
      <c r="AK792">
        <v>0</v>
      </c>
    </row>
    <row r="793" spans="5:37" x14ac:dyDescent="0.25">
      <c r="E793" t="s">
        <v>97</v>
      </c>
      <c r="F793">
        <v>0</v>
      </c>
      <c r="G793">
        <v>14000</v>
      </c>
      <c r="T793" t="s">
        <v>581</v>
      </c>
      <c r="U793">
        <v>0</v>
      </c>
      <c r="V793">
        <v>0</v>
      </c>
      <c r="AI793" t="s">
        <v>302</v>
      </c>
      <c r="AJ793">
        <v>0</v>
      </c>
      <c r="AK793">
        <v>0</v>
      </c>
    </row>
    <row r="794" spans="5:37" x14ac:dyDescent="0.25">
      <c r="E794" t="s">
        <v>97</v>
      </c>
      <c r="F794">
        <v>0</v>
      </c>
      <c r="G794">
        <v>23000</v>
      </c>
      <c r="T794" t="s">
        <v>581</v>
      </c>
      <c r="U794">
        <v>0</v>
      </c>
      <c r="V794">
        <v>0</v>
      </c>
      <c r="AI794" t="s">
        <v>302</v>
      </c>
      <c r="AJ794">
        <v>0</v>
      </c>
      <c r="AK794">
        <v>0</v>
      </c>
    </row>
    <row r="795" spans="5:37" x14ac:dyDescent="0.25">
      <c r="E795" t="s">
        <v>98</v>
      </c>
      <c r="F795">
        <v>0</v>
      </c>
      <c r="G795">
        <v>48000</v>
      </c>
      <c r="T795" t="s">
        <v>581</v>
      </c>
      <c r="U795">
        <v>0</v>
      </c>
      <c r="V795">
        <v>0</v>
      </c>
      <c r="AI795" t="s">
        <v>302</v>
      </c>
      <c r="AJ795">
        <v>0</v>
      </c>
      <c r="AK795">
        <v>0</v>
      </c>
    </row>
    <row r="796" spans="5:37" x14ac:dyDescent="0.25">
      <c r="E796" t="s">
        <v>98</v>
      </c>
      <c r="F796">
        <v>0</v>
      </c>
      <c r="G796">
        <v>18000</v>
      </c>
      <c r="T796" t="s">
        <v>581</v>
      </c>
      <c r="U796">
        <v>0</v>
      </c>
      <c r="V796">
        <v>0</v>
      </c>
      <c r="AI796" t="s">
        <v>302</v>
      </c>
      <c r="AJ796">
        <v>0</v>
      </c>
      <c r="AK796">
        <v>0</v>
      </c>
    </row>
    <row r="797" spans="5:37" x14ac:dyDescent="0.25">
      <c r="E797" t="s">
        <v>98</v>
      </c>
      <c r="F797">
        <v>0</v>
      </c>
      <c r="G797">
        <v>9000</v>
      </c>
      <c r="T797" t="s">
        <v>581</v>
      </c>
      <c r="U797">
        <v>0</v>
      </c>
      <c r="V797">
        <v>0</v>
      </c>
      <c r="AI797" t="s">
        <v>302</v>
      </c>
      <c r="AJ797">
        <v>0</v>
      </c>
      <c r="AK797">
        <v>0</v>
      </c>
    </row>
    <row r="798" spans="5:37" x14ac:dyDescent="0.25">
      <c r="E798" t="s">
        <v>98</v>
      </c>
      <c r="F798">
        <v>0</v>
      </c>
      <c r="G798">
        <v>0</v>
      </c>
      <c r="T798" t="s">
        <v>581</v>
      </c>
      <c r="U798">
        <v>0</v>
      </c>
      <c r="V798">
        <v>0</v>
      </c>
      <c r="AI798" t="s">
        <v>302</v>
      </c>
      <c r="AJ798">
        <v>0</v>
      </c>
      <c r="AK798">
        <v>0</v>
      </c>
    </row>
    <row r="799" spans="5:37" x14ac:dyDescent="0.25">
      <c r="E799" t="s">
        <v>98</v>
      </c>
      <c r="F799">
        <v>0</v>
      </c>
      <c r="G799">
        <v>0</v>
      </c>
      <c r="T799" t="s">
        <v>43</v>
      </c>
      <c r="U799">
        <v>0</v>
      </c>
      <c r="V799">
        <v>27000</v>
      </c>
      <c r="AI799" t="s">
        <v>302</v>
      </c>
      <c r="AJ799">
        <v>0</v>
      </c>
      <c r="AK799">
        <v>0</v>
      </c>
    </row>
    <row r="800" spans="5:37" x14ac:dyDescent="0.25">
      <c r="E800" t="s">
        <v>98</v>
      </c>
      <c r="F800">
        <v>0</v>
      </c>
      <c r="G800">
        <v>25000</v>
      </c>
      <c r="T800" t="s">
        <v>43</v>
      </c>
      <c r="U800">
        <v>0</v>
      </c>
      <c r="V800">
        <v>0</v>
      </c>
      <c r="AI800" t="s">
        <v>302</v>
      </c>
      <c r="AJ800">
        <v>0</v>
      </c>
      <c r="AK800">
        <v>0</v>
      </c>
    </row>
    <row r="801" spans="5:37" x14ac:dyDescent="0.25">
      <c r="E801" t="s">
        <v>98</v>
      </c>
      <c r="F801">
        <v>0</v>
      </c>
      <c r="G801">
        <v>0</v>
      </c>
      <c r="T801" t="s">
        <v>43</v>
      </c>
      <c r="U801">
        <v>0</v>
      </c>
      <c r="V801">
        <v>0</v>
      </c>
      <c r="AI801" t="s">
        <v>545</v>
      </c>
      <c r="AJ801">
        <v>0</v>
      </c>
      <c r="AK801">
        <v>0</v>
      </c>
    </row>
    <row r="802" spans="5:37" x14ac:dyDescent="0.25">
      <c r="E802" t="s">
        <v>98</v>
      </c>
      <c r="F802">
        <v>0</v>
      </c>
      <c r="G802">
        <v>0</v>
      </c>
      <c r="T802" t="s">
        <v>43</v>
      </c>
      <c r="U802">
        <v>0</v>
      </c>
      <c r="V802">
        <v>0</v>
      </c>
      <c r="AI802" t="s">
        <v>440</v>
      </c>
      <c r="AJ802">
        <v>0</v>
      </c>
      <c r="AK802">
        <v>0</v>
      </c>
    </row>
    <row r="803" spans="5:37" x14ac:dyDescent="0.25">
      <c r="E803" t="s">
        <v>98</v>
      </c>
      <c r="F803">
        <v>0</v>
      </c>
      <c r="G803">
        <v>25000</v>
      </c>
      <c r="T803" t="s">
        <v>43</v>
      </c>
      <c r="U803">
        <v>0</v>
      </c>
      <c r="V803">
        <v>0</v>
      </c>
      <c r="AI803" t="s">
        <v>440</v>
      </c>
      <c r="AJ803">
        <v>0</v>
      </c>
      <c r="AK803">
        <v>0</v>
      </c>
    </row>
    <row r="804" spans="5:37" x14ac:dyDescent="0.25">
      <c r="E804" t="s">
        <v>98</v>
      </c>
      <c r="F804">
        <v>0</v>
      </c>
      <c r="G804">
        <v>20000</v>
      </c>
      <c r="T804" t="s">
        <v>43</v>
      </c>
      <c r="U804">
        <v>18000</v>
      </c>
      <c r="V804">
        <v>0</v>
      </c>
      <c r="AI804" t="s">
        <v>440</v>
      </c>
      <c r="AJ804">
        <v>0</v>
      </c>
      <c r="AK804">
        <v>0</v>
      </c>
    </row>
    <row r="805" spans="5:37" x14ac:dyDescent="0.25">
      <c r="E805" t="s">
        <v>98</v>
      </c>
      <c r="F805">
        <v>0</v>
      </c>
      <c r="G805">
        <v>17000</v>
      </c>
      <c r="T805" t="s">
        <v>43</v>
      </c>
      <c r="U805">
        <v>0</v>
      </c>
      <c r="V805">
        <v>0</v>
      </c>
      <c r="AI805" t="s">
        <v>440</v>
      </c>
      <c r="AJ805">
        <v>0</v>
      </c>
      <c r="AK805">
        <v>0</v>
      </c>
    </row>
    <row r="806" spans="5:37" x14ac:dyDescent="0.25">
      <c r="E806" t="s">
        <v>98</v>
      </c>
      <c r="F806">
        <v>0</v>
      </c>
      <c r="G806">
        <v>0</v>
      </c>
      <c r="T806" t="s">
        <v>43</v>
      </c>
      <c r="U806">
        <v>18000</v>
      </c>
      <c r="V806">
        <v>0</v>
      </c>
      <c r="AI806" t="s">
        <v>440</v>
      </c>
      <c r="AJ806">
        <v>0</v>
      </c>
      <c r="AK806">
        <v>0</v>
      </c>
    </row>
    <row r="807" spans="5:37" x14ac:dyDescent="0.25">
      <c r="E807" t="s">
        <v>98</v>
      </c>
      <c r="F807">
        <v>7000</v>
      </c>
      <c r="G807">
        <v>0</v>
      </c>
      <c r="T807" t="s">
        <v>43</v>
      </c>
      <c r="U807">
        <v>0</v>
      </c>
      <c r="V807">
        <v>0</v>
      </c>
      <c r="AI807" t="s">
        <v>440</v>
      </c>
      <c r="AJ807">
        <v>0</v>
      </c>
      <c r="AK807">
        <v>0</v>
      </c>
    </row>
    <row r="808" spans="5:37" x14ac:dyDescent="0.25">
      <c r="E808" t="s">
        <v>98</v>
      </c>
      <c r="F808">
        <v>0</v>
      </c>
      <c r="G808">
        <v>27000</v>
      </c>
      <c r="T808" t="s">
        <v>43</v>
      </c>
      <c r="U808">
        <v>0</v>
      </c>
      <c r="V808">
        <v>0</v>
      </c>
      <c r="AI808" t="s">
        <v>440</v>
      </c>
      <c r="AJ808">
        <v>0</v>
      </c>
      <c r="AK808">
        <v>0</v>
      </c>
    </row>
    <row r="809" spans="5:37" x14ac:dyDescent="0.25">
      <c r="E809" t="s">
        <v>98</v>
      </c>
      <c r="F809">
        <v>4000</v>
      </c>
      <c r="G809">
        <v>0</v>
      </c>
      <c r="T809" t="s">
        <v>43</v>
      </c>
      <c r="U809">
        <v>0</v>
      </c>
      <c r="V809">
        <v>0</v>
      </c>
      <c r="AI809" t="s">
        <v>7303</v>
      </c>
      <c r="AJ809">
        <v>0</v>
      </c>
      <c r="AK809">
        <v>0</v>
      </c>
    </row>
    <row r="810" spans="5:37" x14ac:dyDescent="0.25">
      <c r="E810" t="s">
        <v>98</v>
      </c>
      <c r="F810">
        <v>0</v>
      </c>
      <c r="G810">
        <v>0</v>
      </c>
      <c r="T810" t="s">
        <v>43</v>
      </c>
      <c r="U810">
        <v>0</v>
      </c>
      <c r="V810">
        <v>0</v>
      </c>
      <c r="AI810" t="s">
        <v>7303</v>
      </c>
      <c r="AJ810">
        <v>0</v>
      </c>
      <c r="AK810">
        <v>0</v>
      </c>
    </row>
    <row r="811" spans="5:37" x14ac:dyDescent="0.25">
      <c r="E811" t="s">
        <v>98</v>
      </c>
      <c r="F811">
        <v>0</v>
      </c>
      <c r="G811">
        <v>0</v>
      </c>
      <c r="T811" t="s">
        <v>43</v>
      </c>
      <c r="U811">
        <v>0</v>
      </c>
      <c r="V811">
        <v>0</v>
      </c>
      <c r="AI811" t="s">
        <v>7303</v>
      </c>
      <c r="AJ811">
        <v>0</v>
      </c>
      <c r="AK811">
        <v>0</v>
      </c>
    </row>
    <row r="812" spans="5:37" x14ac:dyDescent="0.25">
      <c r="E812" t="s">
        <v>98</v>
      </c>
      <c r="F812">
        <v>0</v>
      </c>
      <c r="G812">
        <v>6000</v>
      </c>
      <c r="T812" t="s">
        <v>43</v>
      </c>
      <c r="U812">
        <v>0</v>
      </c>
      <c r="V812">
        <v>0</v>
      </c>
      <c r="AI812" t="s">
        <v>7303</v>
      </c>
      <c r="AJ812">
        <v>0</v>
      </c>
      <c r="AK812">
        <v>0</v>
      </c>
    </row>
    <row r="813" spans="5:37" x14ac:dyDescent="0.25">
      <c r="E813" t="s">
        <v>98</v>
      </c>
      <c r="F813">
        <v>0</v>
      </c>
      <c r="G813">
        <v>19000</v>
      </c>
      <c r="T813" t="s">
        <v>43</v>
      </c>
      <c r="U813">
        <v>0</v>
      </c>
      <c r="V813">
        <v>0</v>
      </c>
      <c r="AI813" t="s">
        <v>7303</v>
      </c>
      <c r="AJ813">
        <v>0</v>
      </c>
      <c r="AK813">
        <v>0</v>
      </c>
    </row>
    <row r="814" spans="5:37" x14ac:dyDescent="0.25">
      <c r="E814" t="s">
        <v>98</v>
      </c>
      <c r="F814">
        <v>900</v>
      </c>
      <c r="G814">
        <v>0</v>
      </c>
      <c r="T814" t="s">
        <v>43</v>
      </c>
      <c r="U814">
        <v>0</v>
      </c>
      <c r="V814">
        <v>34000</v>
      </c>
      <c r="AI814" t="s">
        <v>7303</v>
      </c>
      <c r="AJ814">
        <v>0</v>
      </c>
      <c r="AK814">
        <v>30000</v>
      </c>
    </row>
    <row r="815" spans="5:37" x14ac:dyDescent="0.25">
      <c r="E815" t="s">
        <v>98</v>
      </c>
      <c r="F815">
        <v>3600</v>
      </c>
      <c r="G815">
        <v>0</v>
      </c>
      <c r="T815" t="s">
        <v>43</v>
      </c>
      <c r="U815">
        <v>0</v>
      </c>
      <c r="V815">
        <v>0</v>
      </c>
      <c r="AI815" t="s">
        <v>7303</v>
      </c>
      <c r="AJ815">
        <v>0</v>
      </c>
      <c r="AK815">
        <v>0</v>
      </c>
    </row>
    <row r="816" spans="5:37" x14ac:dyDescent="0.25">
      <c r="E816" t="s">
        <v>98</v>
      </c>
      <c r="F816">
        <v>0</v>
      </c>
      <c r="G816">
        <v>16000</v>
      </c>
      <c r="T816" t="s">
        <v>43</v>
      </c>
      <c r="U816">
        <v>0</v>
      </c>
      <c r="V816">
        <v>0</v>
      </c>
      <c r="AI816" t="s">
        <v>7303</v>
      </c>
      <c r="AJ816">
        <v>0</v>
      </c>
      <c r="AK816">
        <v>0</v>
      </c>
    </row>
    <row r="817" spans="5:37" x14ac:dyDescent="0.25">
      <c r="E817" t="s">
        <v>98</v>
      </c>
      <c r="F817">
        <v>8000</v>
      </c>
      <c r="G817">
        <v>0</v>
      </c>
      <c r="T817" t="s">
        <v>43</v>
      </c>
      <c r="U817">
        <v>0</v>
      </c>
      <c r="V817">
        <v>0</v>
      </c>
      <c r="AI817" t="s">
        <v>7303</v>
      </c>
      <c r="AJ817">
        <v>0</v>
      </c>
      <c r="AK817">
        <v>0</v>
      </c>
    </row>
    <row r="818" spans="5:37" x14ac:dyDescent="0.25">
      <c r="E818" t="s">
        <v>98</v>
      </c>
      <c r="F818">
        <v>0</v>
      </c>
      <c r="G818">
        <v>0</v>
      </c>
      <c r="T818" t="s">
        <v>43</v>
      </c>
      <c r="U818">
        <v>0</v>
      </c>
      <c r="V818">
        <v>20000</v>
      </c>
      <c r="AI818" t="s">
        <v>7303</v>
      </c>
      <c r="AJ818">
        <v>0</v>
      </c>
      <c r="AK818">
        <v>0</v>
      </c>
    </row>
    <row r="819" spans="5:37" x14ac:dyDescent="0.25">
      <c r="E819" t="s">
        <v>98</v>
      </c>
      <c r="F819">
        <v>0</v>
      </c>
      <c r="G819">
        <v>0</v>
      </c>
      <c r="T819" t="s">
        <v>43</v>
      </c>
      <c r="U819">
        <v>0</v>
      </c>
      <c r="V819">
        <v>18000</v>
      </c>
      <c r="AI819" t="s">
        <v>7303</v>
      </c>
      <c r="AJ819">
        <v>0</v>
      </c>
      <c r="AK819">
        <v>0</v>
      </c>
    </row>
    <row r="820" spans="5:37" x14ac:dyDescent="0.25">
      <c r="E820" t="s">
        <v>98</v>
      </c>
      <c r="F820">
        <v>7000</v>
      </c>
      <c r="G820">
        <v>0</v>
      </c>
      <c r="T820" t="s">
        <v>43</v>
      </c>
      <c r="U820">
        <v>18000</v>
      </c>
      <c r="V820">
        <v>0</v>
      </c>
      <c r="AI820" t="s">
        <v>7310</v>
      </c>
      <c r="AJ820">
        <v>20000</v>
      </c>
      <c r="AK820">
        <v>0</v>
      </c>
    </row>
    <row r="821" spans="5:37" x14ac:dyDescent="0.25">
      <c r="E821" t="s">
        <v>98</v>
      </c>
      <c r="F821">
        <v>0</v>
      </c>
      <c r="G821">
        <v>0</v>
      </c>
      <c r="T821" t="s">
        <v>43</v>
      </c>
      <c r="U821">
        <v>0</v>
      </c>
      <c r="V821">
        <v>0</v>
      </c>
      <c r="AI821" t="s">
        <v>7310</v>
      </c>
      <c r="AJ821">
        <v>0</v>
      </c>
      <c r="AK821">
        <v>0</v>
      </c>
    </row>
    <row r="822" spans="5:37" x14ac:dyDescent="0.25">
      <c r="E822" t="s">
        <v>98</v>
      </c>
      <c r="F822">
        <v>4000</v>
      </c>
      <c r="G822">
        <v>0</v>
      </c>
      <c r="T822" t="s">
        <v>43</v>
      </c>
      <c r="U822">
        <v>0</v>
      </c>
      <c r="V822">
        <v>0</v>
      </c>
      <c r="AI822" t="s">
        <v>7310</v>
      </c>
      <c r="AJ822">
        <v>0</v>
      </c>
      <c r="AK822">
        <v>0</v>
      </c>
    </row>
    <row r="823" spans="5:37" x14ac:dyDescent="0.25">
      <c r="E823" t="s">
        <v>98</v>
      </c>
      <c r="F823">
        <v>0</v>
      </c>
      <c r="G823">
        <v>0</v>
      </c>
      <c r="T823" t="s">
        <v>43</v>
      </c>
      <c r="U823">
        <v>0</v>
      </c>
      <c r="V823">
        <v>0</v>
      </c>
      <c r="AI823" t="s">
        <v>7310</v>
      </c>
      <c r="AJ823">
        <v>0</v>
      </c>
      <c r="AK823">
        <v>0</v>
      </c>
    </row>
    <row r="824" spans="5:37" x14ac:dyDescent="0.25">
      <c r="E824" t="s">
        <v>98</v>
      </c>
      <c r="F824">
        <v>0</v>
      </c>
      <c r="G824">
        <v>0</v>
      </c>
      <c r="T824" t="s">
        <v>43</v>
      </c>
      <c r="U824">
        <v>0</v>
      </c>
      <c r="V824">
        <v>0</v>
      </c>
      <c r="AI824" t="s">
        <v>592</v>
      </c>
      <c r="AJ824">
        <v>0</v>
      </c>
      <c r="AK824">
        <v>0</v>
      </c>
    </row>
    <row r="825" spans="5:37" x14ac:dyDescent="0.25">
      <c r="E825" t="s">
        <v>98</v>
      </c>
      <c r="F825">
        <v>0</v>
      </c>
      <c r="G825">
        <v>0</v>
      </c>
      <c r="T825" t="s">
        <v>43</v>
      </c>
      <c r="U825">
        <v>0</v>
      </c>
      <c r="V825">
        <v>0</v>
      </c>
      <c r="AI825" t="s">
        <v>592</v>
      </c>
      <c r="AJ825">
        <v>0</v>
      </c>
      <c r="AK825">
        <v>0</v>
      </c>
    </row>
    <row r="826" spans="5:37" x14ac:dyDescent="0.25">
      <c r="E826" t="s">
        <v>98</v>
      </c>
      <c r="F826">
        <v>0</v>
      </c>
      <c r="G826">
        <v>0</v>
      </c>
      <c r="T826" t="s">
        <v>43</v>
      </c>
      <c r="U826">
        <v>0</v>
      </c>
      <c r="V826">
        <v>34000</v>
      </c>
      <c r="AI826" t="s">
        <v>592</v>
      </c>
      <c r="AJ826">
        <v>0</v>
      </c>
      <c r="AK826">
        <v>0</v>
      </c>
    </row>
    <row r="827" spans="5:37" x14ac:dyDescent="0.25">
      <c r="E827" t="s">
        <v>98</v>
      </c>
      <c r="F827">
        <v>0</v>
      </c>
      <c r="G827">
        <v>0</v>
      </c>
      <c r="T827" t="s">
        <v>43</v>
      </c>
      <c r="U827">
        <v>0</v>
      </c>
      <c r="V827">
        <v>0</v>
      </c>
      <c r="AI827" t="s">
        <v>592</v>
      </c>
      <c r="AJ827">
        <v>0</v>
      </c>
      <c r="AK827">
        <v>0</v>
      </c>
    </row>
    <row r="828" spans="5:37" x14ac:dyDescent="0.25">
      <c r="E828" t="s">
        <v>98</v>
      </c>
      <c r="F828">
        <v>0</v>
      </c>
      <c r="G828">
        <v>0</v>
      </c>
      <c r="T828" t="s">
        <v>44</v>
      </c>
      <c r="U828">
        <v>0</v>
      </c>
      <c r="V828">
        <v>0</v>
      </c>
      <c r="AI828" t="s">
        <v>592</v>
      </c>
      <c r="AJ828">
        <v>0</v>
      </c>
      <c r="AK828">
        <v>0</v>
      </c>
    </row>
    <row r="829" spans="5:37" x14ac:dyDescent="0.25">
      <c r="E829" t="s">
        <v>98</v>
      </c>
      <c r="F829">
        <v>0</v>
      </c>
      <c r="G829">
        <v>15000</v>
      </c>
      <c r="T829" t="s">
        <v>44</v>
      </c>
      <c r="U829">
        <v>29000</v>
      </c>
      <c r="V829">
        <v>0</v>
      </c>
      <c r="AI829" t="s">
        <v>592</v>
      </c>
      <c r="AJ829">
        <v>0</v>
      </c>
      <c r="AK829">
        <v>0</v>
      </c>
    </row>
    <row r="830" spans="5:37" x14ac:dyDescent="0.25">
      <c r="E830" t="s">
        <v>98</v>
      </c>
      <c r="F830">
        <v>0</v>
      </c>
      <c r="G830">
        <v>0</v>
      </c>
      <c r="T830" t="s">
        <v>44</v>
      </c>
      <c r="U830">
        <v>35000</v>
      </c>
      <c r="V830">
        <v>0</v>
      </c>
      <c r="AI830" t="s">
        <v>592</v>
      </c>
      <c r="AJ830">
        <v>0</v>
      </c>
      <c r="AK830">
        <v>0</v>
      </c>
    </row>
    <row r="831" spans="5:37" x14ac:dyDescent="0.25">
      <c r="E831" t="s">
        <v>98</v>
      </c>
      <c r="F831">
        <v>0</v>
      </c>
      <c r="G831">
        <v>0</v>
      </c>
      <c r="T831" t="s">
        <v>44</v>
      </c>
      <c r="U831">
        <v>20000</v>
      </c>
      <c r="V831">
        <v>0</v>
      </c>
      <c r="AI831" t="s">
        <v>592</v>
      </c>
      <c r="AJ831">
        <v>0</v>
      </c>
      <c r="AK831">
        <v>0</v>
      </c>
    </row>
    <row r="832" spans="5:37" x14ac:dyDescent="0.25">
      <c r="E832" t="s">
        <v>98</v>
      </c>
      <c r="F832">
        <v>0</v>
      </c>
      <c r="G832">
        <v>0</v>
      </c>
      <c r="T832" t="s">
        <v>44</v>
      </c>
      <c r="U832">
        <v>0</v>
      </c>
      <c r="V832">
        <v>0</v>
      </c>
      <c r="AI832" t="s">
        <v>592</v>
      </c>
      <c r="AJ832">
        <v>0</v>
      </c>
      <c r="AK832">
        <v>0</v>
      </c>
    </row>
    <row r="833" spans="5:37" x14ac:dyDescent="0.25">
      <c r="E833" t="s">
        <v>98</v>
      </c>
      <c r="F833">
        <v>0</v>
      </c>
      <c r="G833">
        <v>25000</v>
      </c>
      <c r="T833" t="s">
        <v>44</v>
      </c>
      <c r="U833">
        <v>0</v>
      </c>
      <c r="V833">
        <v>0</v>
      </c>
      <c r="AI833" t="s">
        <v>592</v>
      </c>
      <c r="AJ833">
        <v>0</v>
      </c>
      <c r="AK833">
        <v>0</v>
      </c>
    </row>
    <row r="834" spans="5:37" x14ac:dyDescent="0.25">
      <c r="E834" t="s">
        <v>99</v>
      </c>
      <c r="F834">
        <v>0</v>
      </c>
      <c r="G834">
        <v>0</v>
      </c>
      <c r="T834" t="s">
        <v>44</v>
      </c>
      <c r="U834">
        <v>21000</v>
      </c>
      <c r="V834">
        <v>0</v>
      </c>
      <c r="AI834" t="s">
        <v>592</v>
      </c>
      <c r="AJ834">
        <v>0</v>
      </c>
      <c r="AK834">
        <v>0</v>
      </c>
    </row>
    <row r="835" spans="5:37" x14ac:dyDescent="0.25">
      <c r="E835" t="s">
        <v>99</v>
      </c>
      <c r="F835">
        <v>0</v>
      </c>
      <c r="G835">
        <v>0</v>
      </c>
      <c r="T835" t="s">
        <v>44</v>
      </c>
      <c r="U835">
        <v>0</v>
      </c>
      <c r="V835">
        <v>0</v>
      </c>
      <c r="AI835" t="s">
        <v>592</v>
      </c>
      <c r="AJ835">
        <v>0</v>
      </c>
      <c r="AK835">
        <v>0</v>
      </c>
    </row>
    <row r="836" spans="5:37" x14ac:dyDescent="0.25">
      <c r="E836" t="s">
        <v>99</v>
      </c>
      <c r="F836">
        <v>0</v>
      </c>
      <c r="G836">
        <v>0</v>
      </c>
      <c r="T836" t="s">
        <v>45</v>
      </c>
      <c r="U836">
        <v>32000</v>
      </c>
      <c r="V836">
        <v>0</v>
      </c>
      <c r="AI836" t="s">
        <v>592</v>
      </c>
      <c r="AJ836">
        <v>0</v>
      </c>
      <c r="AK836">
        <v>0</v>
      </c>
    </row>
    <row r="837" spans="5:37" x14ac:dyDescent="0.25">
      <c r="E837" t="s">
        <v>99</v>
      </c>
      <c r="F837">
        <v>0</v>
      </c>
      <c r="G837">
        <v>4000</v>
      </c>
      <c r="T837" t="s">
        <v>45</v>
      </c>
      <c r="U837">
        <v>32000</v>
      </c>
      <c r="V837">
        <v>0</v>
      </c>
      <c r="AI837" t="s">
        <v>592</v>
      </c>
      <c r="AJ837">
        <v>0</v>
      </c>
      <c r="AK837">
        <v>0</v>
      </c>
    </row>
    <row r="838" spans="5:37" x14ac:dyDescent="0.25">
      <c r="E838" t="s">
        <v>99</v>
      </c>
      <c r="F838">
        <v>0</v>
      </c>
      <c r="G838">
        <v>5000</v>
      </c>
      <c r="T838" t="s">
        <v>45</v>
      </c>
      <c r="U838">
        <v>0</v>
      </c>
      <c r="V838">
        <v>0</v>
      </c>
      <c r="AI838" t="s">
        <v>592</v>
      </c>
      <c r="AJ838">
        <v>0</v>
      </c>
      <c r="AK838">
        <v>0</v>
      </c>
    </row>
    <row r="839" spans="5:37" x14ac:dyDescent="0.25">
      <c r="E839" t="s">
        <v>99</v>
      </c>
      <c r="F839">
        <v>0</v>
      </c>
      <c r="G839">
        <v>27000</v>
      </c>
      <c r="T839" t="s">
        <v>45</v>
      </c>
      <c r="U839">
        <v>0</v>
      </c>
      <c r="V839">
        <v>0</v>
      </c>
      <c r="AI839" t="s">
        <v>592</v>
      </c>
      <c r="AJ839">
        <v>0</v>
      </c>
      <c r="AK839">
        <v>0</v>
      </c>
    </row>
    <row r="840" spans="5:37" x14ac:dyDescent="0.25">
      <c r="E840" t="s">
        <v>99</v>
      </c>
      <c r="F840">
        <v>8000</v>
      </c>
      <c r="G840">
        <v>0</v>
      </c>
      <c r="T840" t="s">
        <v>45</v>
      </c>
      <c r="U840">
        <v>0</v>
      </c>
      <c r="V840">
        <v>0</v>
      </c>
      <c r="AI840" t="s">
        <v>592</v>
      </c>
      <c r="AJ840">
        <v>0</v>
      </c>
      <c r="AK840">
        <v>0</v>
      </c>
    </row>
    <row r="841" spans="5:37" x14ac:dyDescent="0.25">
      <c r="E841" t="s">
        <v>99</v>
      </c>
      <c r="F841">
        <v>0</v>
      </c>
      <c r="G841">
        <v>0</v>
      </c>
      <c r="T841" t="s">
        <v>271</v>
      </c>
      <c r="U841">
        <v>38500</v>
      </c>
      <c r="V841">
        <v>0</v>
      </c>
      <c r="AI841" t="s">
        <v>592</v>
      </c>
      <c r="AJ841">
        <v>0</v>
      </c>
      <c r="AK841">
        <v>0</v>
      </c>
    </row>
    <row r="842" spans="5:37" x14ac:dyDescent="0.25">
      <c r="E842" t="s">
        <v>99</v>
      </c>
      <c r="F842">
        <v>0</v>
      </c>
      <c r="G842">
        <v>0</v>
      </c>
      <c r="T842" t="s">
        <v>271</v>
      </c>
      <c r="U842">
        <v>0</v>
      </c>
      <c r="V842">
        <v>0</v>
      </c>
      <c r="AI842" t="s">
        <v>595</v>
      </c>
      <c r="AJ842">
        <v>0</v>
      </c>
      <c r="AK842">
        <v>0</v>
      </c>
    </row>
    <row r="843" spans="5:37" x14ac:dyDescent="0.25">
      <c r="E843" t="s">
        <v>99</v>
      </c>
      <c r="F843">
        <v>0</v>
      </c>
      <c r="G843">
        <v>0</v>
      </c>
      <c r="T843" t="s">
        <v>271</v>
      </c>
      <c r="U843">
        <v>36000</v>
      </c>
      <c r="V843">
        <v>0</v>
      </c>
      <c r="AI843" t="s">
        <v>595</v>
      </c>
      <c r="AJ843">
        <v>0</v>
      </c>
      <c r="AK843">
        <v>0</v>
      </c>
    </row>
    <row r="844" spans="5:37" x14ac:dyDescent="0.25">
      <c r="E844" t="s">
        <v>99</v>
      </c>
      <c r="F844">
        <v>0</v>
      </c>
      <c r="G844">
        <v>0</v>
      </c>
      <c r="T844" t="s">
        <v>271</v>
      </c>
      <c r="U844">
        <v>38500</v>
      </c>
      <c r="V844">
        <v>0</v>
      </c>
      <c r="AI844" t="s">
        <v>595</v>
      </c>
      <c r="AJ844">
        <v>24000</v>
      </c>
      <c r="AK844">
        <v>0</v>
      </c>
    </row>
    <row r="845" spans="5:37" x14ac:dyDescent="0.25">
      <c r="E845" t="s">
        <v>99</v>
      </c>
      <c r="F845">
        <v>0</v>
      </c>
      <c r="G845">
        <v>0</v>
      </c>
      <c r="T845" t="s">
        <v>271</v>
      </c>
      <c r="U845">
        <v>0</v>
      </c>
      <c r="V845">
        <v>0</v>
      </c>
      <c r="AI845" t="s">
        <v>595</v>
      </c>
      <c r="AJ845">
        <v>20000</v>
      </c>
      <c r="AK845">
        <v>0</v>
      </c>
    </row>
    <row r="846" spans="5:37" x14ac:dyDescent="0.25">
      <c r="E846" t="s">
        <v>99</v>
      </c>
      <c r="F846">
        <v>0</v>
      </c>
      <c r="G846">
        <v>7000</v>
      </c>
      <c r="T846" t="s">
        <v>271</v>
      </c>
      <c r="U846">
        <v>36000</v>
      </c>
      <c r="V846">
        <v>0</v>
      </c>
      <c r="AI846" t="s">
        <v>595</v>
      </c>
      <c r="AJ846">
        <v>42000</v>
      </c>
      <c r="AK846">
        <v>0</v>
      </c>
    </row>
    <row r="847" spans="5:37" x14ac:dyDescent="0.25">
      <c r="E847" t="s">
        <v>99</v>
      </c>
      <c r="F847">
        <v>0</v>
      </c>
      <c r="G847">
        <v>0</v>
      </c>
      <c r="T847" t="s">
        <v>271</v>
      </c>
      <c r="U847">
        <v>0</v>
      </c>
      <c r="V847">
        <v>0</v>
      </c>
      <c r="AI847" t="s">
        <v>595</v>
      </c>
      <c r="AJ847">
        <v>28000</v>
      </c>
      <c r="AK847">
        <v>0</v>
      </c>
    </row>
    <row r="848" spans="5:37" x14ac:dyDescent="0.25">
      <c r="E848" t="s">
        <v>99</v>
      </c>
      <c r="F848">
        <v>0</v>
      </c>
      <c r="G848">
        <v>15000</v>
      </c>
      <c r="T848" t="s">
        <v>271</v>
      </c>
      <c r="U848">
        <v>0</v>
      </c>
      <c r="V848">
        <v>0</v>
      </c>
      <c r="AI848" t="s">
        <v>595</v>
      </c>
      <c r="AJ848">
        <v>0</v>
      </c>
      <c r="AK848">
        <v>0</v>
      </c>
    </row>
    <row r="849" spans="5:37" x14ac:dyDescent="0.25">
      <c r="E849" t="s">
        <v>99</v>
      </c>
      <c r="F849">
        <v>0</v>
      </c>
      <c r="G849">
        <v>0</v>
      </c>
      <c r="T849" t="s">
        <v>271</v>
      </c>
      <c r="U849">
        <v>36000</v>
      </c>
      <c r="V849">
        <v>0</v>
      </c>
      <c r="AI849" t="s">
        <v>636</v>
      </c>
      <c r="AJ849">
        <v>0</v>
      </c>
      <c r="AK849">
        <v>0</v>
      </c>
    </row>
    <row r="850" spans="5:37" x14ac:dyDescent="0.25">
      <c r="E850" t="s">
        <v>99</v>
      </c>
      <c r="F850">
        <v>0</v>
      </c>
      <c r="G850">
        <v>0</v>
      </c>
      <c r="T850" t="s">
        <v>271</v>
      </c>
      <c r="U850">
        <v>0</v>
      </c>
      <c r="V850">
        <v>0</v>
      </c>
      <c r="AI850" t="s">
        <v>636</v>
      </c>
      <c r="AJ850">
        <v>0</v>
      </c>
      <c r="AK850">
        <v>0</v>
      </c>
    </row>
    <row r="851" spans="5:37" x14ac:dyDescent="0.25">
      <c r="E851" t="s">
        <v>99</v>
      </c>
      <c r="F851">
        <v>0</v>
      </c>
      <c r="G851">
        <v>0</v>
      </c>
      <c r="T851" t="s">
        <v>501</v>
      </c>
      <c r="U851">
        <v>38000</v>
      </c>
      <c r="V851">
        <v>0</v>
      </c>
      <c r="AI851" t="s">
        <v>636</v>
      </c>
      <c r="AJ851">
        <v>0</v>
      </c>
      <c r="AK851">
        <v>0</v>
      </c>
    </row>
    <row r="852" spans="5:37" x14ac:dyDescent="0.25">
      <c r="E852" t="s">
        <v>99</v>
      </c>
      <c r="F852">
        <v>0</v>
      </c>
      <c r="G852">
        <v>0</v>
      </c>
      <c r="T852" t="s">
        <v>501</v>
      </c>
      <c r="U852">
        <v>0</v>
      </c>
      <c r="V852">
        <v>0</v>
      </c>
      <c r="AI852" t="s">
        <v>324</v>
      </c>
      <c r="AJ852">
        <v>30000</v>
      </c>
      <c r="AK852">
        <v>0</v>
      </c>
    </row>
    <row r="853" spans="5:37" x14ac:dyDescent="0.25">
      <c r="E853" t="s">
        <v>100</v>
      </c>
      <c r="F853">
        <v>0</v>
      </c>
      <c r="G853">
        <v>0</v>
      </c>
      <c r="T853" t="s">
        <v>501</v>
      </c>
      <c r="U853">
        <v>42000</v>
      </c>
      <c r="V853">
        <v>0</v>
      </c>
      <c r="AI853" t="s">
        <v>324</v>
      </c>
      <c r="AJ853">
        <v>0</v>
      </c>
      <c r="AK853">
        <v>0</v>
      </c>
    </row>
    <row r="854" spans="5:37" x14ac:dyDescent="0.25">
      <c r="E854" t="s">
        <v>100</v>
      </c>
      <c r="F854">
        <v>0</v>
      </c>
      <c r="G854">
        <v>0</v>
      </c>
      <c r="T854" t="s">
        <v>129</v>
      </c>
      <c r="U854">
        <v>0</v>
      </c>
      <c r="V854">
        <v>0</v>
      </c>
      <c r="AI854" t="s">
        <v>326</v>
      </c>
      <c r="AJ854">
        <v>0</v>
      </c>
      <c r="AK854">
        <v>0</v>
      </c>
    </row>
    <row r="855" spans="5:37" x14ac:dyDescent="0.25">
      <c r="E855" t="s">
        <v>100</v>
      </c>
      <c r="F855">
        <v>0</v>
      </c>
      <c r="G855">
        <v>27000</v>
      </c>
      <c r="T855" t="s">
        <v>129</v>
      </c>
      <c r="U855">
        <v>0</v>
      </c>
      <c r="V855">
        <v>0</v>
      </c>
      <c r="AI855" t="s">
        <v>326</v>
      </c>
      <c r="AJ855">
        <v>0</v>
      </c>
      <c r="AK855">
        <v>0</v>
      </c>
    </row>
    <row r="856" spans="5:37" x14ac:dyDescent="0.25">
      <c r="E856" t="s">
        <v>16</v>
      </c>
      <c r="F856">
        <v>20000</v>
      </c>
      <c r="G856">
        <v>30000</v>
      </c>
      <c r="T856" t="s">
        <v>129</v>
      </c>
      <c r="U856">
        <v>34000</v>
      </c>
      <c r="V856">
        <v>0</v>
      </c>
      <c r="AI856" t="s">
        <v>326</v>
      </c>
      <c r="AJ856">
        <v>0</v>
      </c>
      <c r="AK856">
        <v>0</v>
      </c>
    </row>
    <row r="857" spans="5:37" x14ac:dyDescent="0.25">
      <c r="E857" t="s">
        <v>16</v>
      </c>
      <c r="F857">
        <v>2200</v>
      </c>
      <c r="G857">
        <v>0</v>
      </c>
      <c r="T857" t="s">
        <v>129</v>
      </c>
      <c r="U857">
        <v>0</v>
      </c>
      <c r="V857">
        <v>0</v>
      </c>
      <c r="AI857" t="s">
        <v>326</v>
      </c>
      <c r="AJ857">
        <v>28000</v>
      </c>
      <c r="AK857">
        <v>0</v>
      </c>
    </row>
    <row r="858" spans="5:37" x14ac:dyDescent="0.25">
      <c r="E858" t="s">
        <v>16</v>
      </c>
      <c r="F858">
        <v>1800</v>
      </c>
      <c r="G858">
        <v>0</v>
      </c>
      <c r="T858" t="s">
        <v>129</v>
      </c>
      <c r="U858">
        <v>0</v>
      </c>
      <c r="V858">
        <v>0</v>
      </c>
      <c r="AI858" t="s">
        <v>326</v>
      </c>
      <c r="AJ858">
        <v>0</v>
      </c>
      <c r="AK858">
        <v>0</v>
      </c>
    </row>
    <row r="859" spans="5:37" x14ac:dyDescent="0.25">
      <c r="E859" t="s">
        <v>16</v>
      </c>
      <c r="F859">
        <v>3800</v>
      </c>
      <c r="G859">
        <v>0</v>
      </c>
      <c r="T859" t="s">
        <v>129</v>
      </c>
      <c r="U859">
        <v>0</v>
      </c>
      <c r="V859">
        <v>0</v>
      </c>
      <c r="AI859" t="s">
        <v>326</v>
      </c>
      <c r="AJ859">
        <v>28000</v>
      </c>
      <c r="AK859">
        <v>0</v>
      </c>
    </row>
    <row r="860" spans="5:37" x14ac:dyDescent="0.25">
      <c r="E860" t="s">
        <v>16</v>
      </c>
      <c r="F860">
        <v>25000</v>
      </c>
      <c r="G860">
        <v>0</v>
      </c>
      <c r="T860" t="s">
        <v>129</v>
      </c>
      <c r="U860">
        <v>25000</v>
      </c>
      <c r="V860">
        <v>0</v>
      </c>
      <c r="AI860" t="s">
        <v>326</v>
      </c>
      <c r="AJ860">
        <v>0</v>
      </c>
      <c r="AK860">
        <v>0</v>
      </c>
    </row>
    <row r="861" spans="5:37" x14ac:dyDescent="0.25">
      <c r="E861" t="s">
        <v>16</v>
      </c>
      <c r="F861">
        <v>0</v>
      </c>
      <c r="G861">
        <v>0</v>
      </c>
      <c r="T861" t="s">
        <v>129</v>
      </c>
      <c r="U861">
        <v>0</v>
      </c>
      <c r="V861">
        <v>0</v>
      </c>
      <c r="AI861" t="s">
        <v>326</v>
      </c>
      <c r="AJ861">
        <v>26000</v>
      </c>
      <c r="AK861">
        <v>0</v>
      </c>
    </row>
    <row r="862" spans="5:37" x14ac:dyDescent="0.25">
      <c r="E862" t="s">
        <v>16</v>
      </c>
      <c r="F862">
        <v>0</v>
      </c>
      <c r="G862">
        <v>0</v>
      </c>
      <c r="T862" t="s">
        <v>129</v>
      </c>
      <c r="U862">
        <v>38000</v>
      </c>
      <c r="V862">
        <v>0</v>
      </c>
      <c r="AI862" t="s">
        <v>326</v>
      </c>
      <c r="AJ862">
        <v>0</v>
      </c>
      <c r="AK862">
        <v>0</v>
      </c>
    </row>
    <row r="863" spans="5:37" x14ac:dyDescent="0.25">
      <c r="E863" t="s">
        <v>16</v>
      </c>
      <c r="F863">
        <v>0</v>
      </c>
      <c r="G863">
        <v>18000</v>
      </c>
      <c r="T863" t="s">
        <v>129</v>
      </c>
      <c r="U863">
        <v>0</v>
      </c>
      <c r="V863">
        <v>0</v>
      </c>
      <c r="AI863" t="s">
        <v>326</v>
      </c>
      <c r="AJ863">
        <v>26000</v>
      </c>
      <c r="AK863">
        <v>0</v>
      </c>
    </row>
    <row r="864" spans="5:37" x14ac:dyDescent="0.25">
      <c r="E864" t="s">
        <v>16</v>
      </c>
      <c r="F864">
        <v>2800</v>
      </c>
      <c r="G864">
        <v>0</v>
      </c>
      <c r="T864" t="s">
        <v>129</v>
      </c>
      <c r="U864">
        <v>0</v>
      </c>
      <c r="V864">
        <v>0</v>
      </c>
      <c r="AI864" t="s">
        <v>326</v>
      </c>
      <c r="AJ864">
        <v>0</v>
      </c>
      <c r="AK864">
        <v>0</v>
      </c>
    </row>
    <row r="865" spans="5:37" x14ac:dyDescent="0.25">
      <c r="E865" t="s">
        <v>102</v>
      </c>
      <c r="F865">
        <v>0</v>
      </c>
      <c r="G865">
        <v>0</v>
      </c>
      <c r="T865" t="s">
        <v>129</v>
      </c>
      <c r="U865">
        <v>0</v>
      </c>
      <c r="V865">
        <v>0</v>
      </c>
      <c r="AI865" t="s">
        <v>326</v>
      </c>
      <c r="AJ865">
        <v>25000</v>
      </c>
      <c r="AK865">
        <v>0</v>
      </c>
    </row>
    <row r="866" spans="5:37" x14ac:dyDescent="0.25">
      <c r="E866" t="s">
        <v>102</v>
      </c>
      <c r="F866">
        <v>0</v>
      </c>
      <c r="G866">
        <v>0</v>
      </c>
      <c r="T866" t="s">
        <v>129</v>
      </c>
      <c r="U866">
        <v>30000</v>
      </c>
      <c r="V866">
        <v>0</v>
      </c>
      <c r="AI866" t="s">
        <v>326</v>
      </c>
      <c r="AJ866">
        <v>0</v>
      </c>
      <c r="AK866">
        <v>0</v>
      </c>
    </row>
    <row r="867" spans="5:37" x14ac:dyDescent="0.25">
      <c r="E867" t="s">
        <v>102</v>
      </c>
      <c r="F867">
        <v>0</v>
      </c>
      <c r="G867">
        <v>0</v>
      </c>
      <c r="T867" t="s">
        <v>129</v>
      </c>
      <c r="U867">
        <v>36000</v>
      </c>
      <c r="V867">
        <v>0</v>
      </c>
      <c r="AI867" t="s">
        <v>328</v>
      </c>
      <c r="AJ867">
        <v>0</v>
      </c>
      <c r="AK867">
        <v>20000</v>
      </c>
    </row>
    <row r="868" spans="5:37" x14ac:dyDescent="0.25">
      <c r="E868" t="s">
        <v>102</v>
      </c>
      <c r="F868">
        <v>34000</v>
      </c>
      <c r="G868">
        <v>0</v>
      </c>
      <c r="T868" t="s">
        <v>129</v>
      </c>
      <c r="U868">
        <v>0</v>
      </c>
      <c r="V868">
        <v>0</v>
      </c>
      <c r="AI868" t="s">
        <v>328</v>
      </c>
      <c r="AJ868">
        <v>0</v>
      </c>
      <c r="AK868">
        <v>0</v>
      </c>
    </row>
    <row r="869" spans="5:37" x14ac:dyDescent="0.25">
      <c r="E869" t="s">
        <v>102</v>
      </c>
      <c r="F869">
        <v>0</v>
      </c>
      <c r="G869">
        <v>26000</v>
      </c>
      <c r="T869" t="s">
        <v>129</v>
      </c>
      <c r="U869">
        <v>30000</v>
      </c>
      <c r="V869">
        <v>0</v>
      </c>
      <c r="AI869" t="s">
        <v>328</v>
      </c>
      <c r="AJ869">
        <v>0</v>
      </c>
      <c r="AK869">
        <v>0</v>
      </c>
    </row>
    <row r="870" spans="5:37" x14ac:dyDescent="0.25">
      <c r="E870" t="s">
        <v>102</v>
      </c>
      <c r="F870">
        <v>0</v>
      </c>
      <c r="G870">
        <v>0</v>
      </c>
      <c r="T870" t="s">
        <v>129</v>
      </c>
      <c r="U870">
        <v>40000</v>
      </c>
      <c r="V870">
        <v>0</v>
      </c>
      <c r="AI870" t="s">
        <v>328</v>
      </c>
      <c r="AJ870">
        <v>0</v>
      </c>
      <c r="AK870">
        <v>0</v>
      </c>
    </row>
    <row r="871" spans="5:37" x14ac:dyDescent="0.25">
      <c r="E871" t="s">
        <v>102</v>
      </c>
      <c r="F871">
        <v>0</v>
      </c>
      <c r="G871">
        <v>7000</v>
      </c>
      <c r="T871" t="s">
        <v>129</v>
      </c>
      <c r="U871">
        <v>37000</v>
      </c>
      <c r="V871">
        <v>0</v>
      </c>
      <c r="AI871" t="s">
        <v>328</v>
      </c>
      <c r="AJ871">
        <v>0</v>
      </c>
      <c r="AK871">
        <v>0</v>
      </c>
    </row>
    <row r="872" spans="5:37" x14ac:dyDescent="0.25">
      <c r="E872" t="s">
        <v>102</v>
      </c>
      <c r="F872">
        <v>0</v>
      </c>
      <c r="G872">
        <v>0</v>
      </c>
      <c r="T872" t="s">
        <v>129</v>
      </c>
      <c r="U872">
        <v>20000</v>
      </c>
      <c r="V872">
        <v>0</v>
      </c>
      <c r="AI872" t="s">
        <v>328</v>
      </c>
      <c r="AJ872">
        <v>0</v>
      </c>
      <c r="AK872">
        <v>0</v>
      </c>
    </row>
    <row r="873" spans="5:37" x14ac:dyDescent="0.25">
      <c r="E873" t="s">
        <v>102</v>
      </c>
      <c r="F873">
        <v>0</v>
      </c>
      <c r="G873">
        <v>0</v>
      </c>
      <c r="T873" t="s">
        <v>129</v>
      </c>
      <c r="U873">
        <v>0</v>
      </c>
      <c r="V873">
        <v>0</v>
      </c>
      <c r="AI873" t="s">
        <v>328</v>
      </c>
      <c r="AJ873">
        <v>30000</v>
      </c>
      <c r="AK873">
        <v>0</v>
      </c>
    </row>
    <row r="874" spans="5:37" x14ac:dyDescent="0.25">
      <c r="E874" t="s">
        <v>102</v>
      </c>
      <c r="F874">
        <v>9000</v>
      </c>
      <c r="G874">
        <v>0</v>
      </c>
      <c r="T874" t="s">
        <v>129</v>
      </c>
      <c r="U874">
        <v>0</v>
      </c>
      <c r="V874">
        <v>0</v>
      </c>
      <c r="AI874" t="s">
        <v>328</v>
      </c>
      <c r="AJ874">
        <v>25000</v>
      </c>
      <c r="AK874">
        <v>0</v>
      </c>
    </row>
    <row r="875" spans="5:37" x14ac:dyDescent="0.25">
      <c r="E875" t="s">
        <v>102</v>
      </c>
      <c r="F875">
        <v>0</v>
      </c>
      <c r="G875">
        <v>0</v>
      </c>
      <c r="T875" t="s">
        <v>129</v>
      </c>
      <c r="U875">
        <v>20000</v>
      </c>
      <c r="V875">
        <v>0</v>
      </c>
      <c r="AI875" t="s">
        <v>328</v>
      </c>
      <c r="AJ875">
        <v>0</v>
      </c>
      <c r="AK875">
        <v>0</v>
      </c>
    </row>
    <row r="876" spans="5:37" x14ac:dyDescent="0.25">
      <c r="E876" t="s">
        <v>102</v>
      </c>
      <c r="F876">
        <v>0</v>
      </c>
      <c r="G876">
        <v>0</v>
      </c>
      <c r="T876" t="s">
        <v>129</v>
      </c>
      <c r="U876">
        <v>0</v>
      </c>
      <c r="V876">
        <v>0</v>
      </c>
      <c r="AI876" t="s">
        <v>328</v>
      </c>
      <c r="AJ876">
        <v>0</v>
      </c>
      <c r="AK876">
        <v>0</v>
      </c>
    </row>
    <row r="877" spans="5:37" x14ac:dyDescent="0.25">
      <c r="E877" t="s">
        <v>102</v>
      </c>
      <c r="F877">
        <v>0</v>
      </c>
      <c r="G877">
        <v>0</v>
      </c>
      <c r="T877" t="s">
        <v>129</v>
      </c>
      <c r="U877">
        <v>35000</v>
      </c>
      <c r="V877">
        <v>0</v>
      </c>
      <c r="AI877" t="s">
        <v>328</v>
      </c>
      <c r="AJ877">
        <v>0</v>
      </c>
      <c r="AK877">
        <v>0</v>
      </c>
    </row>
    <row r="878" spans="5:37" x14ac:dyDescent="0.25">
      <c r="E878" t="s">
        <v>102</v>
      </c>
      <c r="F878">
        <v>0</v>
      </c>
      <c r="G878">
        <v>0</v>
      </c>
      <c r="T878" t="s">
        <v>129</v>
      </c>
      <c r="U878">
        <v>0</v>
      </c>
      <c r="V878">
        <v>0</v>
      </c>
      <c r="AI878" t="s">
        <v>328</v>
      </c>
      <c r="AJ878">
        <v>0</v>
      </c>
      <c r="AK878">
        <v>0</v>
      </c>
    </row>
    <row r="879" spans="5:37" x14ac:dyDescent="0.25">
      <c r="E879" t="s">
        <v>102</v>
      </c>
      <c r="F879">
        <v>0</v>
      </c>
      <c r="G879">
        <v>0</v>
      </c>
      <c r="T879" t="s">
        <v>129</v>
      </c>
      <c r="U879">
        <v>0</v>
      </c>
      <c r="V879">
        <v>0</v>
      </c>
      <c r="AI879" t="s">
        <v>328</v>
      </c>
      <c r="AJ879">
        <v>0</v>
      </c>
      <c r="AK879">
        <v>0</v>
      </c>
    </row>
    <row r="880" spans="5:37" x14ac:dyDescent="0.25">
      <c r="E880" t="s">
        <v>102</v>
      </c>
      <c r="F880">
        <v>0</v>
      </c>
      <c r="G880">
        <v>0</v>
      </c>
      <c r="T880" t="s">
        <v>129</v>
      </c>
      <c r="U880">
        <v>35000</v>
      </c>
      <c r="V880">
        <v>0</v>
      </c>
      <c r="AI880" t="s">
        <v>328</v>
      </c>
      <c r="AJ880">
        <v>0</v>
      </c>
      <c r="AK880">
        <v>0</v>
      </c>
    </row>
    <row r="881" spans="5:37" x14ac:dyDescent="0.25">
      <c r="E881" t="s">
        <v>102</v>
      </c>
      <c r="F881">
        <v>0</v>
      </c>
      <c r="G881">
        <v>0</v>
      </c>
      <c r="T881" t="s">
        <v>129</v>
      </c>
      <c r="U881">
        <v>30000</v>
      </c>
      <c r="V881">
        <v>0</v>
      </c>
      <c r="AI881" t="s">
        <v>328</v>
      </c>
      <c r="AJ881">
        <v>0</v>
      </c>
      <c r="AK881">
        <v>0</v>
      </c>
    </row>
    <row r="882" spans="5:37" x14ac:dyDescent="0.25">
      <c r="E882" t="s">
        <v>102</v>
      </c>
      <c r="F882">
        <v>36000</v>
      </c>
      <c r="G882">
        <v>0</v>
      </c>
      <c r="T882" t="s">
        <v>129</v>
      </c>
      <c r="U882">
        <v>31000</v>
      </c>
      <c r="V882">
        <v>0</v>
      </c>
      <c r="AI882" t="s">
        <v>328</v>
      </c>
      <c r="AJ882">
        <v>0</v>
      </c>
      <c r="AK882">
        <v>0</v>
      </c>
    </row>
    <row r="883" spans="5:37" x14ac:dyDescent="0.25">
      <c r="E883" t="s">
        <v>102</v>
      </c>
      <c r="F883">
        <v>36000</v>
      </c>
      <c r="G883">
        <v>0</v>
      </c>
      <c r="T883" t="s">
        <v>129</v>
      </c>
      <c r="U883">
        <v>29000</v>
      </c>
      <c r="V883">
        <v>0</v>
      </c>
      <c r="AI883" t="s">
        <v>328</v>
      </c>
      <c r="AJ883">
        <v>0</v>
      </c>
      <c r="AK883">
        <v>0</v>
      </c>
    </row>
    <row r="884" spans="5:37" x14ac:dyDescent="0.25">
      <c r="E884" t="s">
        <v>102</v>
      </c>
      <c r="F884">
        <v>36000</v>
      </c>
      <c r="G884">
        <v>0</v>
      </c>
      <c r="T884" t="s">
        <v>129</v>
      </c>
      <c r="U884">
        <v>0</v>
      </c>
      <c r="V884">
        <v>0</v>
      </c>
      <c r="AI884" t="s">
        <v>328</v>
      </c>
      <c r="AJ884">
        <v>0</v>
      </c>
      <c r="AK884">
        <v>0</v>
      </c>
    </row>
    <row r="885" spans="5:37" x14ac:dyDescent="0.25">
      <c r="E885" t="s">
        <v>102</v>
      </c>
      <c r="F885">
        <v>12000</v>
      </c>
      <c r="G885">
        <v>0</v>
      </c>
      <c r="T885" t="s">
        <v>129</v>
      </c>
      <c r="U885">
        <v>0</v>
      </c>
      <c r="V885">
        <v>0</v>
      </c>
      <c r="AI885" t="s">
        <v>328</v>
      </c>
      <c r="AJ885">
        <v>0</v>
      </c>
      <c r="AK885">
        <v>0</v>
      </c>
    </row>
    <row r="886" spans="5:37" x14ac:dyDescent="0.25">
      <c r="E886" t="s">
        <v>102</v>
      </c>
      <c r="F886">
        <v>0</v>
      </c>
      <c r="G886">
        <v>0</v>
      </c>
      <c r="T886" t="s">
        <v>129</v>
      </c>
      <c r="U886">
        <v>32000</v>
      </c>
      <c r="V886">
        <v>0</v>
      </c>
      <c r="AI886" t="s">
        <v>328</v>
      </c>
      <c r="AJ886">
        <v>0</v>
      </c>
      <c r="AK886">
        <v>0</v>
      </c>
    </row>
    <row r="887" spans="5:37" x14ac:dyDescent="0.25">
      <c r="E887" t="s">
        <v>102</v>
      </c>
      <c r="F887">
        <v>0</v>
      </c>
      <c r="G887">
        <v>0</v>
      </c>
      <c r="T887" t="s">
        <v>129</v>
      </c>
      <c r="U887">
        <v>33000</v>
      </c>
      <c r="V887">
        <v>0</v>
      </c>
      <c r="AI887" t="s">
        <v>328</v>
      </c>
      <c r="AJ887">
        <v>0</v>
      </c>
      <c r="AK887">
        <v>0</v>
      </c>
    </row>
    <row r="888" spans="5:37" x14ac:dyDescent="0.25">
      <c r="E888" t="s">
        <v>102</v>
      </c>
      <c r="F888">
        <v>0</v>
      </c>
      <c r="G888">
        <v>0</v>
      </c>
      <c r="T888" t="s">
        <v>129</v>
      </c>
      <c r="U888">
        <v>27000</v>
      </c>
      <c r="V888">
        <v>0</v>
      </c>
      <c r="AI888" t="s">
        <v>328</v>
      </c>
      <c r="AJ888">
        <v>0</v>
      </c>
      <c r="AK888">
        <v>20000</v>
      </c>
    </row>
    <row r="889" spans="5:37" x14ac:dyDescent="0.25">
      <c r="E889" t="s">
        <v>102</v>
      </c>
      <c r="F889">
        <v>28000</v>
      </c>
      <c r="G889">
        <v>0</v>
      </c>
      <c r="T889" t="s">
        <v>129</v>
      </c>
      <c r="U889">
        <v>40000</v>
      </c>
      <c r="V889">
        <v>0</v>
      </c>
      <c r="AI889" t="s">
        <v>328</v>
      </c>
      <c r="AJ889">
        <v>0</v>
      </c>
      <c r="AK889">
        <v>25000</v>
      </c>
    </row>
    <row r="890" spans="5:37" x14ac:dyDescent="0.25">
      <c r="E890" t="s">
        <v>102</v>
      </c>
      <c r="F890">
        <v>0</v>
      </c>
      <c r="G890">
        <v>0</v>
      </c>
      <c r="T890" t="s">
        <v>129</v>
      </c>
      <c r="U890">
        <v>0</v>
      </c>
      <c r="V890">
        <v>0</v>
      </c>
      <c r="AI890" t="s">
        <v>328</v>
      </c>
      <c r="AJ890">
        <v>0</v>
      </c>
      <c r="AK890">
        <v>0</v>
      </c>
    </row>
    <row r="891" spans="5:37" x14ac:dyDescent="0.25">
      <c r="E891" t="s">
        <v>102</v>
      </c>
      <c r="F891">
        <v>0</v>
      </c>
      <c r="G891">
        <v>0</v>
      </c>
      <c r="T891" t="s">
        <v>129</v>
      </c>
      <c r="U891">
        <v>0</v>
      </c>
      <c r="V891">
        <v>0</v>
      </c>
      <c r="AI891" t="s">
        <v>328</v>
      </c>
      <c r="AJ891">
        <v>0</v>
      </c>
      <c r="AK891">
        <v>0</v>
      </c>
    </row>
    <row r="892" spans="5:37" x14ac:dyDescent="0.25">
      <c r="E892" t="s">
        <v>102</v>
      </c>
      <c r="F892">
        <v>0</v>
      </c>
      <c r="G892">
        <v>0</v>
      </c>
      <c r="T892" t="s">
        <v>600</v>
      </c>
      <c r="U892">
        <v>0</v>
      </c>
      <c r="V892">
        <v>0</v>
      </c>
      <c r="AI892" t="s">
        <v>328</v>
      </c>
      <c r="AJ892">
        <v>0</v>
      </c>
      <c r="AK892">
        <v>0</v>
      </c>
    </row>
    <row r="893" spans="5:37" x14ac:dyDescent="0.25">
      <c r="E893" t="s">
        <v>102</v>
      </c>
      <c r="F893">
        <v>0</v>
      </c>
      <c r="G893">
        <v>0</v>
      </c>
      <c r="T893" t="s">
        <v>600</v>
      </c>
      <c r="U893">
        <v>0</v>
      </c>
      <c r="V893">
        <v>0</v>
      </c>
      <c r="AI893" t="s">
        <v>328</v>
      </c>
      <c r="AJ893">
        <v>0</v>
      </c>
      <c r="AK893">
        <v>0</v>
      </c>
    </row>
    <row r="894" spans="5:37" x14ac:dyDescent="0.25">
      <c r="E894" t="s">
        <v>102</v>
      </c>
      <c r="F894">
        <v>0</v>
      </c>
      <c r="G894">
        <v>0</v>
      </c>
      <c r="T894" t="s">
        <v>600</v>
      </c>
      <c r="U894">
        <v>0</v>
      </c>
      <c r="V894">
        <v>0</v>
      </c>
      <c r="AI894" t="s">
        <v>328</v>
      </c>
      <c r="AJ894">
        <v>0</v>
      </c>
      <c r="AK894">
        <v>0</v>
      </c>
    </row>
    <row r="895" spans="5:37" x14ac:dyDescent="0.25">
      <c r="E895" t="s">
        <v>102</v>
      </c>
      <c r="F895">
        <v>0</v>
      </c>
      <c r="G895">
        <v>0</v>
      </c>
      <c r="T895" t="s">
        <v>600</v>
      </c>
      <c r="U895">
        <v>0</v>
      </c>
      <c r="V895">
        <v>0</v>
      </c>
      <c r="AI895" t="s">
        <v>328</v>
      </c>
      <c r="AJ895">
        <v>0</v>
      </c>
      <c r="AK895">
        <v>0</v>
      </c>
    </row>
    <row r="896" spans="5:37" x14ac:dyDescent="0.25">
      <c r="E896" t="s">
        <v>102</v>
      </c>
      <c r="F896">
        <v>0</v>
      </c>
      <c r="G896">
        <v>0</v>
      </c>
      <c r="T896" t="s">
        <v>600</v>
      </c>
      <c r="U896">
        <v>0</v>
      </c>
      <c r="V896">
        <v>0</v>
      </c>
      <c r="AI896" t="s">
        <v>328</v>
      </c>
      <c r="AJ896">
        <v>0</v>
      </c>
      <c r="AK896">
        <v>0</v>
      </c>
    </row>
    <row r="897" spans="5:37" x14ac:dyDescent="0.25">
      <c r="E897" t="s">
        <v>102</v>
      </c>
      <c r="F897">
        <v>0</v>
      </c>
      <c r="G897">
        <v>0</v>
      </c>
      <c r="T897" t="s">
        <v>600</v>
      </c>
      <c r="U897">
        <v>0</v>
      </c>
      <c r="V897">
        <v>0</v>
      </c>
      <c r="AI897" t="s">
        <v>328</v>
      </c>
      <c r="AJ897">
        <v>0</v>
      </c>
      <c r="AK897">
        <v>0</v>
      </c>
    </row>
    <row r="898" spans="5:37" x14ac:dyDescent="0.25">
      <c r="E898" t="s">
        <v>102</v>
      </c>
      <c r="F898">
        <v>0</v>
      </c>
      <c r="G898">
        <v>26000</v>
      </c>
      <c r="T898" t="s">
        <v>600</v>
      </c>
      <c r="U898">
        <v>0</v>
      </c>
      <c r="V898">
        <v>0</v>
      </c>
      <c r="AI898" t="s">
        <v>328</v>
      </c>
      <c r="AJ898">
        <v>0</v>
      </c>
      <c r="AK898">
        <v>0</v>
      </c>
    </row>
    <row r="899" spans="5:37" x14ac:dyDescent="0.25">
      <c r="E899" t="s">
        <v>102</v>
      </c>
      <c r="F899">
        <v>36000</v>
      </c>
      <c r="G899">
        <v>0</v>
      </c>
      <c r="T899" t="s">
        <v>600</v>
      </c>
      <c r="U899">
        <v>0</v>
      </c>
      <c r="V899">
        <v>0</v>
      </c>
      <c r="AI899" t="s">
        <v>328</v>
      </c>
      <c r="AJ899">
        <v>20000</v>
      </c>
      <c r="AK899">
        <v>0</v>
      </c>
    </row>
    <row r="900" spans="5:37" x14ac:dyDescent="0.25">
      <c r="E900" t="s">
        <v>102</v>
      </c>
      <c r="F900">
        <v>0</v>
      </c>
      <c r="G900">
        <v>0</v>
      </c>
      <c r="T900" t="s">
        <v>600</v>
      </c>
      <c r="U900">
        <v>0</v>
      </c>
      <c r="V900">
        <v>0</v>
      </c>
      <c r="AI900" t="s">
        <v>328</v>
      </c>
      <c r="AJ900">
        <v>0</v>
      </c>
      <c r="AK900">
        <v>0</v>
      </c>
    </row>
    <row r="901" spans="5:37" x14ac:dyDescent="0.25">
      <c r="E901" t="s">
        <v>102</v>
      </c>
      <c r="F901">
        <v>0</v>
      </c>
      <c r="G901">
        <v>0</v>
      </c>
      <c r="T901" t="s">
        <v>600</v>
      </c>
      <c r="U901">
        <v>0</v>
      </c>
      <c r="V901">
        <v>0</v>
      </c>
      <c r="AI901" t="s">
        <v>328</v>
      </c>
      <c r="AJ901">
        <v>0</v>
      </c>
      <c r="AK901">
        <v>0</v>
      </c>
    </row>
    <row r="902" spans="5:37" x14ac:dyDescent="0.25">
      <c r="E902" t="s">
        <v>102</v>
      </c>
      <c r="F902">
        <v>0</v>
      </c>
      <c r="G902">
        <v>0</v>
      </c>
      <c r="T902" t="s">
        <v>600</v>
      </c>
      <c r="U902">
        <v>0</v>
      </c>
      <c r="V902">
        <v>0</v>
      </c>
      <c r="AI902" t="s">
        <v>328</v>
      </c>
      <c r="AJ902">
        <v>0</v>
      </c>
      <c r="AK902">
        <v>0</v>
      </c>
    </row>
    <row r="903" spans="5:37" x14ac:dyDescent="0.25">
      <c r="E903" t="s">
        <v>102</v>
      </c>
      <c r="F903">
        <v>0</v>
      </c>
      <c r="G903">
        <v>0</v>
      </c>
      <c r="T903" t="s">
        <v>600</v>
      </c>
      <c r="U903">
        <v>0</v>
      </c>
      <c r="V903">
        <v>0</v>
      </c>
      <c r="AI903" t="s">
        <v>328</v>
      </c>
      <c r="AJ903">
        <v>0</v>
      </c>
      <c r="AK903">
        <v>0</v>
      </c>
    </row>
    <row r="904" spans="5:37" x14ac:dyDescent="0.25">
      <c r="E904" t="s">
        <v>102</v>
      </c>
      <c r="F904">
        <v>0</v>
      </c>
      <c r="G904">
        <v>26000</v>
      </c>
      <c r="T904" t="s">
        <v>600</v>
      </c>
      <c r="U904">
        <v>0</v>
      </c>
      <c r="V904">
        <v>0</v>
      </c>
      <c r="AI904" t="s">
        <v>328</v>
      </c>
      <c r="AJ904">
        <v>0</v>
      </c>
      <c r="AK904">
        <v>0</v>
      </c>
    </row>
    <row r="905" spans="5:37" x14ac:dyDescent="0.25">
      <c r="E905" t="s">
        <v>102</v>
      </c>
      <c r="F905">
        <v>36000</v>
      </c>
      <c r="G905">
        <v>0</v>
      </c>
      <c r="T905" t="s">
        <v>600</v>
      </c>
      <c r="U905">
        <v>0</v>
      </c>
      <c r="V905">
        <v>0</v>
      </c>
      <c r="AI905" t="s">
        <v>506</v>
      </c>
      <c r="AJ905">
        <v>35000</v>
      </c>
      <c r="AK905">
        <v>0</v>
      </c>
    </row>
    <row r="906" spans="5:37" x14ac:dyDescent="0.25">
      <c r="E906" t="s">
        <v>102</v>
      </c>
      <c r="F906">
        <v>0</v>
      </c>
      <c r="G906">
        <v>0</v>
      </c>
      <c r="T906" t="s">
        <v>600</v>
      </c>
      <c r="U906">
        <v>0</v>
      </c>
      <c r="V906">
        <v>0</v>
      </c>
      <c r="AI906" t="s">
        <v>506</v>
      </c>
      <c r="AJ906">
        <v>40000</v>
      </c>
      <c r="AK906">
        <v>0</v>
      </c>
    </row>
    <row r="907" spans="5:37" x14ac:dyDescent="0.25">
      <c r="E907" t="s">
        <v>102</v>
      </c>
      <c r="F907">
        <v>0</v>
      </c>
      <c r="G907">
        <v>0</v>
      </c>
      <c r="T907" t="s">
        <v>600</v>
      </c>
      <c r="U907">
        <v>0</v>
      </c>
      <c r="V907">
        <v>0</v>
      </c>
      <c r="AI907" t="s">
        <v>506</v>
      </c>
      <c r="AJ907">
        <v>35000</v>
      </c>
      <c r="AK907">
        <v>0</v>
      </c>
    </row>
    <row r="908" spans="5:37" x14ac:dyDescent="0.25">
      <c r="E908" t="s">
        <v>102</v>
      </c>
      <c r="F908">
        <v>0</v>
      </c>
      <c r="G908">
        <v>20000</v>
      </c>
      <c r="T908" t="s">
        <v>600</v>
      </c>
      <c r="U908">
        <v>0</v>
      </c>
      <c r="V908">
        <v>0</v>
      </c>
      <c r="AI908" t="s">
        <v>506</v>
      </c>
      <c r="AJ908">
        <v>35000</v>
      </c>
      <c r="AK908">
        <v>0</v>
      </c>
    </row>
    <row r="909" spans="5:37" x14ac:dyDescent="0.25">
      <c r="E909" t="s">
        <v>102</v>
      </c>
      <c r="F909">
        <v>0</v>
      </c>
      <c r="G909">
        <v>0</v>
      </c>
      <c r="T909" t="s">
        <v>474</v>
      </c>
      <c r="U909">
        <v>15000</v>
      </c>
      <c r="V909">
        <v>0</v>
      </c>
      <c r="AI909" t="s">
        <v>506</v>
      </c>
      <c r="AJ909">
        <v>20000</v>
      </c>
      <c r="AK909">
        <v>0</v>
      </c>
    </row>
    <row r="910" spans="5:37" x14ac:dyDescent="0.25">
      <c r="E910" t="s">
        <v>102</v>
      </c>
      <c r="F910">
        <v>9000</v>
      </c>
      <c r="G910">
        <v>0</v>
      </c>
      <c r="T910" t="s">
        <v>474</v>
      </c>
      <c r="U910">
        <v>0</v>
      </c>
      <c r="V910">
        <v>0</v>
      </c>
      <c r="AI910" t="s">
        <v>506</v>
      </c>
      <c r="AJ910">
        <v>0</v>
      </c>
      <c r="AK910">
        <v>0</v>
      </c>
    </row>
    <row r="911" spans="5:37" x14ac:dyDescent="0.25">
      <c r="E911" t="s">
        <v>102</v>
      </c>
      <c r="F911">
        <v>0</v>
      </c>
      <c r="G911">
        <v>0</v>
      </c>
      <c r="T911" t="s">
        <v>474</v>
      </c>
      <c r="U911">
        <v>0</v>
      </c>
      <c r="V911">
        <v>0</v>
      </c>
      <c r="AI911" t="s">
        <v>506</v>
      </c>
      <c r="AJ911">
        <v>0</v>
      </c>
      <c r="AK911">
        <v>0</v>
      </c>
    </row>
    <row r="912" spans="5:37" x14ac:dyDescent="0.25">
      <c r="E912" t="s">
        <v>102</v>
      </c>
      <c r="F912">
        <v>0</v>
      </c>
      <c r="G912">
        <v>26000</v>
      </c>
      <c r="T912" t="s">
        <v>474</v>
      </c>
      <c r="U912">
        <v>0</v>
      </c>
      <c r="V912">
        <v>0</v>
      </c>
      <c r="AI912" t="s">
        <v>506</v>
      </c>
      <c r="AJ912">
        <v>43000</v>
      </c>
      <c r="AK912">
        <v>0</v>
      </c>
    </row>
    <row r="913" spans="5:37" x14ac:dyDescent="0.25">
      <c r="E913" t="s">
        <v>102</v>
      </c>
      <c r="F913">
        <v>0</v>
      </c>
      <c r="G913">
        <v>0</v>
      </c>
      <c r="T913" t="s">
        <v>474</v>
      </c>
      <c r="U913">
        <v>0</v>
      </c>
      <c r="V913">
        <v>0</v>
      </c>
      <c r="AI913" t="s">
        <v>506</v>
      </c>
      <c r="AJ913">
        <v>45000</v>
      </c>
      <c r="AK913">
        <v>0</v>
      </c>
    </row>
    <row r="914" spans="5:37" x14ac:dyDescent="0.25">
      <c r="E914" t="s">
        <v>102</v>
      </c>
      <c r="F914">
        <v>0</v>
      </c>
      <c r="G914">
        <v>26000</v>
      </c>
      <c r="T914" t="s">
        <v>474</v>
      </c>
      <c r="U914">
        <v>0</v>
      </c>
      <c r="V914">
        <v>0</v>
      </c>
      <c r="AI914" t="s">
        <v>506</v>
      </c>
      <c r="AJ914">
        <v>20000</v>
      </c>
      <c r="AK914">
        <v>0</v>
      </c>
    </row>
    <row r="915" spans="5:37" x14ac:dyDescent="0.25">
      <c r="E915" t="s">
        <v>102</v>
      </c>
      <c r="F915">
        <v>0</v>
      </c>
      <c r="G915">
        <v>0</v>
      </c>
      <c r="T915" t="s">
        <v>474</v>
      </c>
      <c r="U915">
        <v>30000</v>
      </c>
      <c r="V915">
        <v>0</v>
      </c>
      <c r="AI915" t="s">
        <v>506</v>
      </c>
      <c r="AJ915">
        <v>0</v>
      </c>
      <c r="AK915">
        <v>0</v>
      </c>
    </row>
    <row r="916" spans="5:37" x14ac:dyDescent="0.25">
      <c r="E916" t="s">
        <v>10</v>
      </c>
      <c r="F916">
        <v>0</v>
      </c>
      <c r="G916">
        <v>0</v>
      </c>
      <c r="T916" t="s">
        <v>474</v>
      </c>
      <c r="U916">
        <v>45000</v>
      </c>
      <c r="V916">
        <v>0</v>
      </c>
      <c r="AI916" t="s">
        <v>508</v>
      </c>
      <c r="AJ916">
        <v>0</v>
      </c>
      <c r="AK916">
        <v>0</v>
      </c>
    </row>
    <row r="917" spans="5:37" x14ac:dyDescent="0.25">
      <c r="E917" t="s">
        <v>10</v>
      </c>
      <c r="F917">
        <v>0</v>
      </c>
      <c r="G917">
        <v>8000</v>
      </c>
      <c r="T917" t="s">
        <v>474</v>
      </c>
      <c r="U917">
        <v>45000</v>
      </c>
      <c r="V917">
        <v>0</v>
      </c>
      <c r="AI917" t="s">
        <v>508</v>
      </c>
      <c r="AJ917">
        <v>0</v>
      </c>
      <c r="AK917">
        <v>0</v>
      </c>
    </row>
    <row r="918" spans="5:37" x14ac:dyDescent="0.25">
      <c r="E918" t="s">
        <v>10</v>
      </c>
      <c r="F918">
        <v>0</v>
      </c>
      <c r="G918">
        <v>8000</v>
      </c>
      <c r="T918" t="s">
        <v>474</v>
      </c>
      <c r="U918">
        <v>0</v>
      </c>
      <c r="V918">
        <v>0</v>
      </c>
      <c r="AI918" t="s">
        <v>508</v>
      </c>
      <c r="AJ918">
        <v>0</v>
      </c>
      <c r="AK918">
        <v>0</v>
      </c>
    </row>
    <row r="919" spans="5:37" x14ac:dyDescent="0.25">
      <c r="E919" t="s">
        <v>10</v>
      </c>
      <c r="F919">
        <v>9000</v>
      </c>
      <c r="G919">
        <v>0</v>
      </c>
      <c r="T919" t="s">
        <v>474</v>
      </c>
      <c r="U919">
        <v>0</v>
      </c>
      <c r="V919">
        <v>0</v>
      </c>
      <c r="AI919" t="s">
        <v>508</v>
      </c>
      <c r="AJ919">
        <v>0</v>
      </c>
      <c r="AK919">
        <v>0</v>
      </c>
    </row>
    <row r="920" spans="5:37" x14ac:dyDescent="0.25">
      <c r="E920" t="s">
        <v>10</v>
      </c>
      <c r="F920">
        <v>0</v>
      </c>
      <c r="G920">
        <v>8000</v>
      </c>
      <c r="T920" t="s">
        <v>474</v>
      </c>
      <c r="U920">
        <v>0</v>
      </c>
      <c r="V920">
        <v>0</v>
      </c>
      <c r="AI920" t="s">
        <v>508</v>
      </c>
      <c r="AJ920">
        <v>0</v>
      </c>
      <c r="AK920">
        <v>0</v>
      </c>
    </row>
    <row r="921" spans="5:37" x14ac:dyDescent="0.25">
      <c r="E921" t="s">
        <v>51</v>
      </c>
      <c r="F921">
        <v>0</v>
      </c>
      <c r="G921">
        <v>0</v>
      </c>
      <c r="T921" t="s">
        <v>474</v>
      </c>
      <c r="U921">
        <v>0</v>
      </c>
      <c r="V921">
        <v>0</v>
      </c>
      <c r="AI921" t="s">
        <v>508</v>
      </c>
      <c r="AJ921">
        <v>0</v>
      </c>
      <c r="AK921">
        <v>0</v>
      </c>
    </row>
    <row r="922" spans="5:37" x14ac:dyDescent="0.25">
      <c r="E922" t="s">
        <v>51</v>
      </c>
      <c r="F922">
        <v>3000</v>
      </c>
      <c r="G922">
        <v>0</v>
      </c>
      <c r="T922" t="s">
        <v>474</v>
      </c>
      <c r="U922">
        <v>0</v>
      </c>
      <c r="V922">
        <v>0</v>
      </c>
      <c r="AI922" t="s">
        <v>508</v>
      </c>
      <c r="AJ922">
        <v>0</v>
      </c>
      <c r="AK922">
        <v>0</v>
      </c>
    </row>
    <row r="923" spans="5:37" x14ac:dyDescent="0.25">
      <c r="E923" t="s">
        <v>51</v>
      </c>
      <c r="F923">
        <v>4000</v>
      </c>
      <c r="G923">
        <v>8000</v>
      </c>
      <c r="T923" t="s">
        <v>474</v>
      </c>
      <c r="U923">
        <v>0</v>
      </c>
      <c r="V923">
        <v>0</v>
      </c>
      <c r="AI923" t="s">
        <v>508</v>
      </c>
      <c r="AJ923">
        <v>0</v>
      </c>
      <c r="AK923">
        <v>0</v>
      </c>
    </row>
    <row r="924" spans="5:37" x14ac:dyDescent="0.25">
      <c r="E924" t="s">
        <v>51</v>
      </c>
      <c r="F924">
        <v>0</v>
      </c>
      <c r="G924">
        <v>0</v>
      </c>
      <c r="T924" t="s">
        <v>144</v>
      </c>
      <c r="U924">
        <v>0</v>
      </c>
      <c r="V924">
        <v>0</v>
      </c>
      <c r="AI924" t="s">
        <v>508</v>
      </c>
      <c r="AJ924">
        <v>0</v>
      </c>
      <c r="AK924">
        <v>0</v>
      </c>
    </row>
    <row r="925" spans="5:37" x14ac:dyDescent="0.25">
      <c r="E925" t="s">
        <v>51</v>
      </c>
      <c r="F925">
        <v>0</v>
      </c>
      <c r="G925">
        <v>0</v>
      </c>
      <c r="T925" t="s">
        <v>144</v>
      </c>
      <c r="U925">
        <v>0</v>
      </c>
      <c r="V925">
        <v>0</v>
      </c>
      <c r="AI925" t="s">
        <v>508</v>
      </c>
      <c r="AJ925">
        <v>0</v>
      </c>
      <c r="AK925">
        <v>0</v>
      </c>
    </row>
    <row r="926" spans="5:37" x14ac:dyDescent="0.25">
      <c r="E926" t="s">
        <v>51</v>
      </c>
      <c r="F926">
        <v>3100</v>
      </c>
      <c r="G926">
        <v>0</v>
      </c>
      <c r="T926" t="s">
        <v>144</v>
      </c>
      <c r="U926">
        <v>0</v>
      </c>
      <c r="V926">
        <v>0</v>
      </c>
      <c r="AI926" t="s">
        <v>508</v>
      </c>
      <c r="AJ926">
        <v>0</v>
      </c>
      <c r="AK926">
        <v>0</v>
      </c>
    </row>
    <row r="927" spans="5:37" x14ac:dyDescent="0.25">
      <c r="E927" t="s">
        <v>51</v>
      </c>
      <c r="F927">
        <v>0</v>
      </c>
      <c r="G927">
        <v>0</v>
      </c>
      <c r="T927" t="s">
        <v>144</v>
      </c>
      <c r="U927">
        <v>0</v>
      </c>
      <c r="V927">
        <v>0</v>
      </c>
      <c r="AI927" t="s">
        <v>508</v>
      </c>
      <c r="AJ927">
        <v>0</v>
      </c>
      <c r="AK927">
        <v>0</v>
      </c>
    </row>
    <row r="928" spans="5:37" x14ac:dyDescent="0.25">
      <c r="E928" t="s">
        <v>51</v>
      </c>
      <c r="F928">
        <v>0</v>
      </c>
      <c r="G928">
        <v>8000</v>
      </c>
      <c r="T928" t="s">
        <v>144</v>
      </c>
      <c r="U928">
        <v>0</v>
      </c>
      <c r="V928">
        <v>0</v>
      </c>
      <c r="AI928" t="s">
        <v>508</v>
      </c>
      <c r="AJ928">
        <v>0</v>
      </c>
      <c r="AK928">
        <v>0</v>
      </c>
    </row>
    <row r="929" spans="5:37" x14ac:dyDescent="0.25">
      <c r="E929" t="s">
        <v>51</v>
      </c>
      <c r="F929">
        <v>3600</v>
      </c>
      <c r="G929">
        <v>0</v>
      </c>
      <c r="T929" t="s">
        <v>144</v>
      </c>
      <c r="U929">
        <v>0</v>
      </c>
      <c r="V929">
        <v>0</v>
      </c>
      <c r="AI929" t="s">
        <v>508</v>
      </c>
      <c r="AJ929">
        <v>0</v>
      </c>
      <c r="AK929">
        <v>0</v>
      </c>
    </row>
    <row r="930" spans="5:37" x14ac:dyDescent="0.25">
      <c r="E930" t="s">
        <v>51</v>
      </c>
      <c r="F930">
        <v>6000</v>
      </c>
      <c r="G930">
        <v>12000</v>
      </c>
      <c r="T930" t="s">
        <v>144</v>
      </c>
      <c r="U930">
        <v>0</v>
      </c>
      <c r="V930">
        <v>0</v>
      </c>
      <c r="AI930" t="s">
        <v>508</v>
      </c>
      <c r="AJ930">
        <v>0</v>
      </c>
      <c r="AK930">
        <v>0</v>
      </c>
    </row>
    <row r="931" spans="5:37" x14ac:dyDescent="0.25">
      <c r="E931" t="s">
        <v>51</v>
      </c>
      <c r="F931">
        <v>0</v>
      </c>
      <c r="G931">
        <v>0</v>
      </c>
      <c r="T931" t="s">
        <v>49</v>
      </c>
      <c r="U931">
        <v>0</v>
      </c>
      <c r="V931">
        <v>0</v>
      </c>
      <c r="AI931" t="s">
        <v>508</v>
      </c>
      <c r="AJ931">
        <v>0</v>
      </c>
      <c r="AK931">
        <v>0</v>
      </c>
    </row>
    <row r="932" spans="5:37" x14ac:dyDescent="0.25">
      <c r="E932" t="s">
        <v>51</v>
      </c>
      <c r="F932">
        <v>3500</v>
      </c>
      <c r="G932">
        <v>0</v>
      </c>
      <c r="T932" t="s">
        <v>49</v>
      </c>
      <c r="U932">
        <v>0</v>
      </c>
      <c r="V932">
        <v>0</v>
      </c>
      <c r="AI932" t="s">
        <v>508</v>
      </c>
      <c r="AJ932">
        <v>0</v>
      </c>
      <c r="AK932">
        <v>0</v>
      </c>
    </row>
    <row r="933" spans="5:37" x14ac:dyDescent="0.25">
      <c r="E933" t="s">
        <v>51</v>
      </c>
      <c r="F933">
        <v>0</v>
      </c>
      <c r="G933">
        <v>0</v>
      </c>
      <c r="T933" t="s">
        <v>49</v>
      </c>
      <c r="U933">
        <v>14000</v>
      </c>
      <c r="V933">
        <v>0</v>
      </c>
      <c r="AI933" t="s">
        <v>508</v>
      </c>
      <c r="AJ933">
        <v>0</v>
      </c>
      <c r="AK933">
        <v>0</v>
      </c>
    </row>
    <row r="934" spans="5:37" x14ac:dyDescent="0.25">
      <c r="E934" t="s">
        <v>51</v>
      </c>
      <c r="F934">
        <v>4000</v>
      </c>
      <c r="G934">
        <v>0</v>
      </c>
      <c r="T934" t="s">
        <v>49</v>
      </c>
      <c r="U934">
        <v>16000</v>
      </c>
      <c r="V934">
        <v>0</v>
      </c>
      <c r="AI934" t="s">
        <v>508</v>
      </c>
      <c r="AJ934">
        <v>0</v>
      </c>
      <c r="AK934">
        <v>0</v>
      </c>
    </row>
    <row r="935" spans="5:37" x14ac:dyDescent="0.25">
      <c r="E935" t="s">
        <v>51</v>
      </c>
      <c r="F935">
        <v>7000</v>
      </c>
      <c r="G935">
        <v>0</v>
      </c>
      <c r="T935" t="s">
        <v>49</v>
      </c>
      <c r="U935">
        <v>0</v>
      </c>
      <c r="V935">
        <v>0</v>
      </c>
      <c r="AI935" t="s">
        <v>508</v>
      </c>
      <c r="AJ935">
        <v>38000</v>
      </c>
      <c r="AK935">
        <v>0</v>
      </c>
    </row>
    <row r="936" spans="5:37" x14ac:dyDescent="0.25">
      <c r="E936" t="s">
        <v>51</v>
      </c>
      <c r="F936">
        <v>0</v>
      </c>
      <c r="G936">
        <v>0</v>
      </c>
      <c r="T936" t="s">
        <v>49</v>
      </c>
      <c r="U936">
        <v>12000</v>
      </c>
      <c r="V936">
        <v>0</v>
      </c>
      <c r="AI936" t="s">
        <v>508</v>
      </c>
      <c r="AJ936">
        <v>0</v>
      </c>
      <c r="AK936">
        <v>0</v>
      </c>
    </row>
    <row r="937" spans="5:37" x14ac:dyDescent="0.25">
      <c r="E937" t="s">
        <v>51</v>
      </c>
      <c r="F937">
        <v>4500</v>
      </c>
      <c r="G937">
        <v>0</v>
      </c>
      <c r="T937" t="s">
        <v>49</v>
      </c>
      <c r="U937">
        <v>18000</v>
      </c>
      <c r="V937">
        <v>0</v>
      </c>
      <c r="AI937" t="s">
        <v>508</v>
      </c>
      <c r="AJ937">
        <v>0</v>
      </c>
      <c r="AK937">
        <v>0</v>
      </c>
    </row>
    <row r="938" spans="5:37" x14ac:dyDescent="0.25">
      <c r="E938" t="s">
        <v>51</v>
      </c>
      <c r="F938">
        <v>1200</v>
      </c>
      <c r="G938">
        <v>6900</v>
      </c>
      <c r="T938" t="s">
        <v>49</v>
      </c>
      <c r="U938">
        <v>24000</v>
      </c>
      <c r="V938">
        <v>0</v>
      </c>
      <c r="AI938" t="s">
        <v>508</v>
      </c>
      <c r="AJ938">
        <v>0</v>
      </c>
      <c r="AK938">
        <v>0</v>
      </c>
    </row>
    <row r="939" spans="5:37" x14ac:dyDescent="0.25">
      <c r="E939" t="s">
        <v>51</v>
      </c>
      <c r="F939">
        <v>0</v>
      </c>
      <c r="G939">
        <v>0</v>
      </c>
      <c r="T939" t="s">
        <v>19</v>
      </c>
      <c r="U939">
        <v>0</v>
      </c>
      <c r="V939">
        <v>16000</v>
      </c>
      <c r="AI939" t="s">
        <v>508</v>
      </c>
      <c r="AJ939">
        <v>0</v>
      </c>
      <c r="AK939">
        <v>0</v>
      </c>
    </row>
    <row r="940" spans="5:37" x14ac:dyDescent="0.25">
      <c r="E940" t="s">
        <v>51</v>
      </c>
      <c r="F940">
        <v>0</v>
      </c>
      <c r="G940">
        <v>6900</v>
      </c>
      <c r="T940" t="s">
        <v>19</v>
      </c>
      <c r="U940">
        <v>0</v>
      </c>
      <c r="V940">
        <v>0</v>
      </c>
      <c r="AI940" t="s">
        <v>508</v>
      </c>
      <c r="AJ940">
        <v>0</v>
      </c>
      <c r="AK940">
        <v>0</v>
      </c>
    </row>
    <row r="941" spans="5:37" x14ac:dyDescent="0.25">
      <c r="E941" t="s">
        <v>51</v>
      </c>
      <c r="F941">
        <v>2900</v>
      </c>
      <c r="G941">
        <v>0</v>
      </c>
      <c r="T941" t="s">
        <v>19</v>
      </c>
      <c r="U941">
        <v>0</v>
      </c>
      <c r="V941">
        <v>16000</v>
      </c>
      <c r="AI941" t="s">
        <v>508</v>
      </c>
      <c r="AJ941">
        <v>0</v>
      </c>
      <c r="AK941">
        <v>0</v>
      </c>
    </row>
    <row r="942" spans="5:37" x14ac:dyDescent="0.25">
      <c r="E942" t="s">
        <v>51</v>
      </c>
      <c r="F942">
        <v>6000</v>
      </c>
      <c r="G942">
        <v>12000</v>
      </c>
      <c r="T942" t="s">
        <v>26</v>
      </c>
      <c r="U942">
        <v>0</v>
      </c>
      <c r="V942">
        <v>0</v>
      </c>
      <c r="AI942" t="s">
        <v>508</v>
      </c>
      <c r="AJ942">
        <v>0</v>
      </c>
      <c r="AK942">
        <v>0</v>
      </c>
    </row>
    <row r="943" spans="5:37" x14ac:dyDescent="0.25">
      <c r="E943" t="s">
        <v>51</v>
      </c>
      <c r="F943">
        <v>0</v>
      </c>
      <c r="G943">
        <v>0</v>
      </c>
      <c r="T943" t="s">
        <v>26</v>
      </c>
      <c r="U943">
        <v>0</v>
      </c>
      <c r="V943">
        <v>0</v>
      </c>
      <c r="AI943" t="s">
        <v>508</v>
      </c>
      <c r="AJ943">
        <v>0</v>
      </c>
      <c r="AK943">
        <v>0</v>
      </c>
    </row>
    <row r="944" spans="5:37" x14ac:dyDescent="0.25">
      <c r="E944" t="s">
        <v>51</v>
      </c>
      <c r="F944">
        <v>0</v>
      </c>
      <c r="G944">
        <v>0</v>
      </c>
      <c r="T944" t="s">
        <v>26</v>
      </c>
      <c r="U944">
        <v>0</v>
      </c>
      <c r="V944">
        <v>0</v>
      </c>
      <c r="AI944" t="s">
        <v>508</v>
      </c>
      <c r="AJ944">
        <v>0</v>
      </c>
      <c r="AK944">
        <v>0</v>
      </c>
    </row>
    <row r="945" spans="5:37" x14ac:dyDescent="0.25">
      <c r="E945" t="s">
        <v>51</v>
      </c>
      <c r="F945">
        <v>5000</v>
      </c>
      <c r="G945">
        <v>0</v>
      </c>
      <c r="T945" t="s">
        <v>26</v>
      </c>
      <c r="U945">
        <v>38000</v>
      </c>
      <c r="V945">
        <v>0</v>
      </c>
      <c r="AI945" t="s">
        <v>508</v>
      </c>
      <c r="AJ945">
        <v>0</v>
      </c>
      <c r="AK945">
        <v>0</v>
      </c>
    </row>
    <row r="946" spans="5:37" x14ac:dyDescent="0.25">
      <c r="E946" t="s">
        <v>52</v>
      </c>
      <c r="F946">
        <v>0</v>
      </c>
      <c r="G946">
        <v>0</v>
      </c>
      <c r="T946" t="s">
        <v>26</v>
      </c>
      <c r="U946">
        <v>21000</v>
      </c>
      <c r="V946">
        <v>0</v>
      </c>
      <c r="AI946" t="s">
        <v>508</v>
      </c>
      <c r="AJ946">
        <v>0</v>
      </c>
      <c r="AK946">
        <v>0</v>
      </c>
    </row>
    <row r="947" spans="5:37" x14ac:dyDescent="0.25">
      <c r="E947" t="s">
        <v>52</v>
      </c>
      <c r="F947">
        <v>6000</v>
      </c>
      <c r="G947">
        <v>0</v>
      </c>
      <c r="T947" t="s">
        <v>26</v>
      </c>
      <c r="U947">
        <v>0</v>
      </c>
      <c r="V947">
        <v>0</v>
      </c>
      <c r="AI947" t="s">
        <v>508</v>
      </c>
      <c r="AJ947">
        <v>0</v>
      </c>
      <c r="AK947">
        <v>0</v>
      </c>
    </row>
    <row r="948" spans="5:37" x14ac:dyDescent="0.25">
      <c r="E948" t="s">
        <v>52</v>
      </c>
      <c r="F948">
        <v>6000</v>
      </c>
      <c r="G948">
        <v>0</v>
      </c>
      <c r="T948" t="s">
        <v>26</v>
      </c>
      <c r="U948">
        <v>0</v>
      </c>
      <c r="V948">
        <v>0</v>
      </c>
      <c r="AI948" t="s">
        <v>508</v>
      </c>
      <c r="AJ948">
        <v>0</v>
      </c>
      <c r="AK948">
        <v>0</v>
      </c>
    </row>
    <row r="949" spans="5:37" x14ac:dyDescent="0.25">
      <c r="E949" t="s">
        <v>52</v>
      </c>
      <c r="F949">
        <v>0</v>
      </c>
      <c r="G949">
        <v>0</v>
      </c>
      <c r="T949" t="s">
        <v>26</v>
      </c>
      <c r="U949">
        <v>19000</v>
      </c>
      <c r="V949">
        <v>0</v>
      </c>
      <c r="AI949" t="s">
        <v>508</v>
      </c>
      <c r="AJ949">
        <v>37000</v>
      </c>
      <c r="AK949">
        <v>0</v>
      </c>
    </row>
    <row r="950" spans="5:37" x14ac:dyDescent="0.25">
      <c r="E950" t="s">
        <v>52</v>
      </c>
      <c r="F950">
        <v>6000</v>
      </c>
      <c r="G950">
        <v>12000</v>
      </c>
      <c r="T950" t="s">
        <v>26</v>
      </c>
      <c r="U950">
        <v>0</v>
      </c>
      <c r="V950">
        <v>0</v>
      </c>
      <c r="AI950" t="s">
        <v>508</v>
      </c>
      <c r="AJ950">
        <v>0</v>
      </c>
      <c r="AK950">
        <v>0</v>
      </c>
    </row>
    <row r="951" spans="5:37" x14ac:dyDescent="0.25">
      <c r="E951" t="s">
        <v>52</v>
      </c>
      <c r="F951">
        <v>5000</v>
      </c>
      <c r="G951">
        <v>0</v>
      </c>
      <c r="T951" t="s">
        <v>26</v>
      </c>
      <c r="U951">
        <v>17000</v>
      </c>
      <c r="V951">
        <v>0</v>
      </c>
      <c r="AI951" t="s">
        <v>508</v>
      </c>
      <c r="AJ951">
        <v>0</v>
      </c>
      <c r="AK951">
        <v>0</v>
      </c>
    </row>
    <row r="952" spans="5:37" x14ac:dyDescent="0.25">
      <c r="E952" t="s">
        <v>52</v>
      </c>
      <c r="F952">
        <v>6000</v>
      </c>
      <c r="G952">
        <v>0</v>
      </c>
      <c r="T952" t="s">
        <v>26</v>
      </c>
      <c r="U952">
        <v>0</v>
      </c>
      <c r="V952">
        <v>0</v>
      </c>
      <c r="AI952" t="s">
        <v>508</v>
      </c>
      <c r="AJ952">
        <v>0</v>
      </c>
      <c r="AK952">
        <v>0</v>
      </c>
    </row>
    <row r="953" spans="5:37" x14ac:dyDescent="0.25">
      <c r="E953" t="s">
        <v>52</v>
      </c>
      <c r="F953">
        <v>6000</v>
      </c>
      <c r="G953">
        <v>0</v>
      </c>
      <c r="T953" t="s">
        <v>26</v>
      </c>
      <c r="U953">
        <v>30000</v>
      </c>
      <c r="V953">
        <v>0</v>
      </c>
      <c r="AI953" t="s">
        <v>508</v>
      </c>
      <c r="AJ953">
        <v>0</v>
      </c>
      <c r="AK953">
        <v>0</v>
      </c>
    </row>
    <row r="954" spans="5:37" x14ac:dyDescent="0.25">
      <c r="E954" t="s">
        <v>52</v>
      </c>
      <c r="F954">
        <v>0</v>
      </c>
      <c r="G954">
        <v>16000</v>
      </c>
      <c r="T954" t="s">
        <v>26</v>
      </c>
      <c r="U954">
        <v>30000</v>
      </c>
      <c r="V954">
        <v>0</v>
      </c>
      <c r="AI954" t="s">
        <v>508</v>
      </c>
      <c r="AJ954">
        <v>0</v>
      </c>
      <c r="AK954">
        <v>0</v>
      </c>
    </row>
    <row r="955" spans="5:37" x14ac:dyDescent="0.25">
      <c r="E955" t="s">
        <v>52</v>
      </c>
      <c r="F955">
        <v>12000</v>
      </c>
      <c r="G955">
        <v>0</v>
      </c>
      <c r="T955" t="s">
        <v>26</v>
      </c>
      <c r="U955">
        <v>0</v>
      </c>
      <c r="V955">
        <v>0</v>
      </c>
      <c r="AI955" t="s">
        <v>508</v>
      </c>
      <c r="AJ955">
        <v>0</v>
      </c>
      <c r="AK955">
        <v>0</v>
      </c>
    </row>
    <row r="956" spans="5:37" x14ac:dyDescent="0.25">
      <c r="E956" t="s">
        <v>52</v>
      </c>
      <c r="F956">
        <v>0</v>
      </c>
      <c r="G956">
        <v>0</v>
      </c>
      <c r="T956" t="s">
        <v>26</v>
      </c>
      <c r="U956">
        <v>0</v>
      </c>
      <c r="V956">
        <v>0</v>
      </c>
      <c r="AI956" t="s">
        <v>508</v>
      </c>
      <c r="AJ956">
        <v>36000</v>
      </c>
      <c r="AK956">
        <v>0</v>
      </c>
    </row>
    <row r="957" spans="5:37" x14ac:dyDescent="0.25">
      <c r="E957" t="s">
        <v>52</v>
      </c>
      <c r="F957">
        <v>0</v>
      </c>
      <c r="G957">
        <v>0</v>
      </c>
      <c r="T957" t="s">
        <v>26</v>
      </c>
      <c r="U957">
        <v>42000</v>
      </c>
      <c r="V957">
        <v>0</v>
      </c>
      <c r="AI957" t="s">
        <v>508</v>
      </c>
      <c r="AJ957">
        <v>0</v>
      </c>
      <c r="AK957">
        <v>33000</v>
      </c>
    </row>
    <row r="958" spans="5:37" x14ac:dyDescent="0.25">
      <c r="E958" t="s">
        <v>52</v>
      </c>
      <c r="F958">
        <v>0</v>
      </c>
      <c r="G958">
        <v>16000</v>
      </c>
      <c r="T958" t="s">
        <v>26</v>
      </c>
      <c r="U958">
        <v>35000</v>
      </c>
      <c r="V958">
        <v>0</v>
      </c>
      <c r="AI958" t="s">
        <v>508</v>
      </c>
      <c r="AJ958">
        <v>0</v>
      </c>
      <c r="AK958">
        <v>0</v>
      </c>
    </row>
    <row r="959" spans="5:37" x14ac:dyDescent="0.25">
      <c r="E959" t="s">
        <v>52</v>
      </c>
      <c r="F959">
        <v>5000</v>
      </c>
      <c r="G959">
        <v>0</v>
      </c>
      <c r="T959" t="s">
        <v>26</v>
      </c>
      <c r="U959">
        <v>0</v>
      </c>
      <c r="V959">
        <v>0</v>
      </c>
      <c r="AI959" t="s">
        <v>508</v>
      </c>
      <c r="AJ959">
        <v>0</v>
      </c>
      <c r="AK959">
        <v>0</v>
      </c>
    </row>
    <row r="960" spans="5:37" x14ac:dyDescent="0.25">
      <c r="E960" t="s">
        <v>53</v>
      </c>
      <c r="F960">
        <v>6000</v>
      </c>
      <c r="G960">
        <v>12000</v>
      </c>
      <c r="T960" t="s">
        <v>26</v>
      </c>
      <c r="U960">
        <v>0</v>
      </c>
      <c r="V960">
        <v>0</v>
      </c>
      <c r="AI960" t="s">
        <v>508</v>
      </c>
      <c r="AJ960">
        <v>0</v>
      </c>
      <c r="AK960">
        <v>0</v>
      </c>
    </row>
    <row r="961" spans="5:37" x14ac:dyDescent="0.25">
      <c r="E961" t="s">
        <v>53</v>
      </c>
      <c r="F961">
        <v>7000</v>
      </c>
      <c r="G961">
        <v>0</v>
      </c>
      <c r="T961" t="s">
        <v>26</v>
      </c>
      <c r="U961">
        <v>30000</v>
      </c>
      <c r="V961">
        <v>0</v>
      </c>
      <c r="AI961" t="s">
        <v>508</v>
      </c>
      <c r="AJ961">
        <v>39000</v>
      </c>
      <c r="AK961">
        <v>0</v>
      </c>
    </row>
    <row r="962" spans="5:37" x14ac:dyDescent="0.25">
      <c r="E962" t="s">
        <v>53</v>
      </c>
      <c r="F962">
        <v>7000</v>
      </c>
      <c r="G962">
        <v>0</v>
      </c>
      <c r="T962" t="s">
        <v>26</v>
      </c>
      <c r="U962">
        <v>46000</v>
      </c>
      <c r="V962">
        <v>0</v>
      </c>
      <c r="AI962" t="s">
        <v>508</v>
      </c>
      <c r="AJ962">
        <v>0</v>
      </c>
      <c r="AK962">
        <v>0</v>
      </c>
    </row>
    <row r="963" spans="5:37" x14ac:dyDescent="0.25">
      <c r="E963" t="s">
        <v>53</v>
      </c>
      <c r="F963">
        <v>6000</v>
      </c>
      <c r="G963">
        <v>0</v>
      </c>
      <c r="T963" t="s">
        <v>26</v>
      </c>
      <c r="U963">
        <v>45000</v>
      </c>
      <c r="V963">
        <v>0</v>
      </c>
      <c r="AI963" t="s">
        <v>508</v>
      </c>
      <c r="AJ963">
        <v>0</v>
      </c>
      <c r="AK963">
        <v>0</v>
      </c>
    </row>
    <row r="964" spans="5:37" x14ac:dyDescent="0.25">
      <c r="E964" t="s">
        <v>53</v>
      </c>
      <c r="F964">
        <v>0</v>
      </c>
      <c r="G964">
        <v>0</v>
      </c>
      <c r="T964" t="s">
        <v>26</v>
      </c>
      <c r="U964">
        <v>46000</v>
      </c>
      <c r="V964">
        <v>0</v>
      </c>
      <c r="AI964" t="s">
        <v>508</v>
      </c>
      <c r="AJ964">
        <v>0</v>
      </c>
      <c r="AK964">
        <v>0</v>
      </c>
    </row>
    <row r="965" spans="5:37" x14ac:dyDescent="0.25">
      <c r="E965" t="s">
        <v>53</v>
      </c>
      <c r="F965">
        <v>7000</v>
      </c>
      <c r="G965">
        <v>0</v>
      </c>
      <c r="T965" t="s">
        <v>26</v>
      </c>
      <c r="U965">
        <v>32000</v>
      </c>
      <c r="V965">
        <v>0</v>
      </c>
      <c r="AI965" t="s">
        <v>351</v>
      </c>
      <c r="AJ965">
        <v>45000</v>
      </c>
      <c r="AK965">
        <v>0</v>
      </c>
    </row>
    <row r="966" spans="5:37" x14ac:dyDescent="0.25">
      <c r="E966" t="s">
        <v>53</v>
      </c>
      <c r="F966">
        <v>7000</v>
      </c>
      <c r="G966">
        <v>0</v>
      </c>
      <c r="T966" t="s">
        <v>26</v>
      </c>
      <c r="U966">
        <v>40000</v>
      </c>
      <c r="V966">
        <v>0</v>
      </c>
      <c r="AI966" t="s">
        <v>351</v>
      </c>
      <c r="AJ966">
        <v>0</v>
      </c>
      <c r="AK966">
        <v>0</v>
      </c>
    </row>
    <row r="967" spans="5:37" x14ac:dyDescent="0.25">
      <c r="E967" t="s">
        <v>53</v>
      </c>
      <c r="F967">
        <v>9500</v>
      </c>
      <c r="G967">
        <v>0</v>
      </c>
      <c r="T967" t="s">
        <v>26</v>
      </c>
      <c r="U967">
        <v>47000</v>
      </c>
      <c r="V967">
        <v>0</v>
      </c>
      <c r="AI967" t="s">
        <v>638</v>
      </c>
      <c r="AJ967">
        <v>0</v>
      </c>
      <c r="AK967">
        <v>28000</v>
      </c>
    </row>
    <row r="968" spans="5:37" x14ac:dyDescent="0.25">
      <c r="E968" t="s">
        <v>53</v>
      </c>
      <c r="F968">
        <v>0</v>
      </c>
      <c r="G968">
        <v>16000</v>
      </c>
      <c r="T968" t="s">
        <v>26</v>
      </c>
      <c r="U968">
        <v>35000</v>
      </c>
      <c r="V968">
        <v>0</v>
      </c>
      <c r="AI968" t="s">
        <v>638</v>
      </c>
      <c r="AJ968">
        <v>0</v>
      </c>
      <c r="AK968">
        <v>24000</v>
      </c>
    </row>
    <row r="969" spans="5:37" x14ac:dyDescent="0.25">
      <c r="E969" t="s">
        <v>53</v>
      </c>
      <c r="F969">
        <v>10000</v>
      </c>
      <c r="G969">
        <v>0</v>
      </c>
      <c r="T969" t="s">
        <v>26</v>
      </c>
      <c r="U969">
        <v>0</v>
      </c>
      <c r="V969">
        <v>0</v>
      </c>
      <c r="AI969" t="s">
        <v>638</v>
      </c>
      <c r="AJ969">
        <v>0</v>
      </c>
      <c r="AK969">
        <v>0</v>
      </c>
    </row>
    <row r="970" spans="5:37" x14ac:dyDescent="0.25">
      <c r="E970" t="s">
        <v>54</v>
      </c>
      <c r="F970">
        <v>0</v>
      </c>
      <c r="G970">
        <v>0</v>
      </c>
      <c r="T970" t="s">
        <v>26</v>
      </c>
      <c r="U970">
        <v>0</v>
      </c>
      <c r="V970">
        <v>0</v>
      </c>
      <c r="AI970" t="s">
        <v>638</v>
      </c>
      <c r="AJ970">
        <v>0</v>
      </c>
      <c r="AK970">
        <v>48000</v>
      </c>
    </row>
    <row r="971" spans="5:37" x14ac:dyDescent="0.25">
      <c r="E971" t="s">
        <v>54</v>
      </c>
      <c r="F971">
        <v>24000</v>
      </c>
      <c r="G971">
        <v>0</v>
      </c>
      <c r="T971" t="s">
        <v>26</v>
      </c>
      <c r="U971">
        <v>0</v>
      </c>
      <c r="V971">
        <v>0</v>
      </c>
      <c r="AI971" t="s">
        <v>638</v>
      </c>
      <c r="AJ971">
        <v>0</v>
      </c>
      <c r="AK971">
        <v>46000</v>
      </c>
    </row>
    <row r="972" spans="5:37" x14ac:dyDescent="0.25">
      <c r="E972" t="s">
        <v>54</v>
      </c>
      <c r="F972">
        <v>15000</v>
      </c>
      <c r="G972">
        <v>0</v>
      </c>
      <c r="T972" t="s">
        <v>130</v>
      </c>
      <c r="U972">
        <v>0</v>
      </c>
      <c r="V972">
        <v>0</v>
      </c>
      <c r="AI972" t="s">
        <v>638</v>
      </c>
      <c r="AJ972">
        <v>0</v>
      </c>
      <c r="AK972">
        <v>36000</v>
      </c>
    </row>
    <row r="973" spans="5:37" x14ac:dyDescent="0.25">
      <c r="E973" t="s">
        <v>54</v>
      </c>
      <c r="F973">
        <v>16000</v>
      </c>
      <c r="G973">
        <v>0</v>
      </c>
      <c r="T973" t="s">
        <v>130</v>
      </c>
      <c r="U973">
        <v>0</v>
      </c>
      <c r="V973">
        <v>0</v>
      </c>
      <c r="AI973" t="s">
        <v>638</v>
      </c>
      <c r="AJ973">
        <v>0</v>
      </c>
      <c r="AK973">
        <v>42000</v>
      </c>
    </row>
    <row r="974" spans="5:37" x14ac:dyDescent="0.25">
      <c r="E974" t="s">
        <v>54</v>
      </c>
      <c r="F974">
        <v>16000</v>
      </c>
      <c r="G974">
        <v>0</v>
      </c>
      <c r="T974" t="s">
        <v>130</v>
      </c>
      <c r="U974">
        <v>0</v>
      </c>
      <c r="V974">
        <v>0</v>
      </c>
      <c r="AI974" t="s">
        <v>638</v>
      </c>
      <c r="AJ974">
        <v>0</v>
      </c>
      <c r="AK974">
        <v>32000</v>
      </c>
    </row>
    <row r="975" spans="5:37" x14ac:dyDescent="0.25">
      <c r="E975" t="s">
        <v>54</v>
      </c>
      <c r="F975">
        <v>6500</v>
      </c>
      <c r="G975">
        <v>0</v>
      </c>
      <c r="T975" t="s">
        <v>130</v>
      </c>
      <c r="U975">
        <v>0</v>
      </c>
      <c r="V975">
        <v>0</v>
      </c>
      <c r="AI975" t="s">
        <v>638</v>
      </c>
      <c r="AJ975">
        <v>0</v>
      </c>
      <c r="AK975">
        <v>20000</v>
      </c>
    </row>
    <row r="976" spans="5:37" x14ac:dyDescent="0.25">
      <c r="E976" t="s">
        <v>54</v>
      </c>
      <c r="F976">
        <v>16000</v>
      </c>
      <c r="G976">
        <v>0</v>
      </c>
      <c r="T976" t="s">
        <v>130</v>
      </c>
      <c r="U976">
        <v>0</v>
      </c>
      <c r="V976">
        <v>0</v>
      </c>
      <c r="AI976" t="s">
        <v>638</v>
      </c>
      <c r="AJ976">
        <v>0</v>
      </c>
      <c r="AK976">
        <v>44000</v>
      </c>
    </row>
    <row r="977" spans="5:37" x14ac:dyDescent="0.25">
      <c r="E977" t="s">
        <v>54</v>
      </c>
      <c r="F977">
        <v>0</v>
      </c>
      <c r="G977">
        <v>0</v>
      </c>
      <c r="T977" t="s">
        <v>130</v>
      </c>
      <c r="U977">
        <v>0</v>
      </c>
      <c r="V977">
        <v>0</v>
      </c>
      <c r="AI977" t="s">
        <v>638</v>
      </c>
      <c r="AJ977">
        <v>0</v>
      </c>
      <c r="AK977">
        <v>0</v>
      </c>
    </row>
    <row r="978" spans="5:37" x14ac:dyDescent="0.25">
      <c r="E978" t="s">
        <v>54</v>
      </c>
      <c r="F978">
        <v>12000</v>
      </c>
      <c r="G978">
        <v>0</v>
      </c>
      <c r="T978" t="s">
        <v>130</v>
      </c>
      <c r="U978">
        <v>0</v>
      </c>
      <c r="V978">
        <v>40000</v>
      </c>
      <c r="AI978" t="s">
        <v>638</v>
      </c>
      <c r="AJ978">
        <v>0</v>
      </c>
      <c r="AK978">
        <v>40000</v>
      </c>
    </row>
    <row r="979" spans="5:37" x14ac:dyDescent="0.25">
      <c r="E979" t="s">
        <v>54</v>
      </c>
      <c r="F979">
        <v>8000</v>
      </c>
      <c r="G979">
        <v>0</v>
      </c>
      <c r="T979" t="s">
        <v>130</v>
      </c>
      <c r="U979">
        <v>0</v>
      </c>
      <c r="V979">
        <v>0</v>
      </c>
      <c r="AI979" t="s">
        <v>638</v>
      </c>
      <c r="AJ979">
        <v>0</v>
      </c>
      <c r="AK979">
        <v>0</v>
      </c>
    </row>
    <row r="980" spans="5:37" x14ac:dyDescent="0.25">
      <c r="E980" t="s">
        <v>54</v>
      </c>
      <c r="F980">
        <v>15000</v>
      </c>
      <c r="G980">
        <v>0</v>
      </c>
      <c r="T980" t="s">
        <v>130</v>
      </c>
      <c r="U980">
        <v>0</v>
      </c>
      <c r="V980">
        <v>0</v>
      </c>
      <c r="AI980" t="s">
        <v>638</v>
      </c>
      <c r="AJ980">
        <v>30000</v>
      </c>
      <c r="AK980">
        <v>0</v>
      </c>
    </row>
    <row r="981" spans="5:37" x14ac:dyDescent="0.25">
      <c r="E981" t="s">
        <v>54</v>
      </c>
      <c r="F981">
        <v>11000</v>
      </c>
      <c r="G981">
        <v>0</v>
      </c>
      <c r="T981" t="s">
        <v>130</v>
      </c>
      <c r="U981">
        <v>0</v>
      </c>
      <c r="V981">
        <v>0</v>
      </c>
      <c r="AI981" t="s">
        <v>597</v>
      </c>
      <c r="AJ981">
        <v>0</v>
      </c>
      <c r="AK981">
        <v>0</v>
      </c>
    </row>
    <row r="982" spans="5:37" x14ac:dyDescent="0.25">
      <c r="E982" t="s">
        <v>54</v>
      </c>
      <c r="F982">
        <v>16000</v>
      </c>
      <c r="G982">
        <v>0</v>
      </c>
      <c r="T982" t="s">
        <v>130</v>
      </c>
      <c r="U982">
        <v>0</v>
      </c>
      <c r="V982">
        <v>0</v>
      </c>
      <c r="AI982" t="s">
        <v>597</v>
      </c>
      <c r="AJ982">
        <v>0</v>
      </c>
      <c r="AK982">
        <v>0</v>
      </c>
    </row>
    <row r="983" spans="5:37" x14ac:dyDescent="0.25">
      <c r="E983" t="s">
        <v>54</v>
      </c>
      <c r="F983">
        <v>20000</v>
      </c>
      <c r="G983">
        <v>0</v>
      </c>
      <c r="T983" t="s">
        <v>130</v>
      </c>
      <c r="U983">
        <v>0</v>
      </c>
      <c r="V983">
        <v>0</v>
      </c>
      <c r="AI983" t="s">
        <v>597</v>
      </c>
      <c r="AJ983">
        <v>0</v>
      </c>
      <c r="AK983">
        <v>0</v>
      </c>
    </row>
    <row r="984" spans="5:37" x14ac:dyDescent="0.25">
      <c r="E984" t="s">
        <v>54</v>
      </c>
      <c r="F984">
        <v>24000</v>
      </c>
      <c r="G984">
        <v>0</v>
      </c>
      <c r="T984" t="s">
        <v>130</v>
      </c>
      <c r="U984">
        <v>0</v>
      </c>
      <c r="V984">
        <v>0</v>
      </c>
      <c r="AI984" t="s">
        <v>597</v>
      </c>
      <c r="AJ984">
        <v>0</v>
      </c>
      <c r="AK984">
        <v>0</v>
      </c>
    </row>
    <row r="985" spans="5:37" x14ac:dyDescent="0.25">
      <c r="E985" t="s">
        <v>54</v>
      </c>
      <c r="F985">
        <v>16250</v>
      </c>
      <c r="G985">
        <v>0</v>
      </c>
      <c r="T985" t="s">
        <v>130</v>
      </c>
      <c r="U985">
        <v>0</v>
      </c>
      <c r="V985">
        <v>0</v>
      </c>
      <c r="AI985" t="s">
        <v>597</v>
      </c>
      <c r="AJ985">
        <v>0</v>
      </c>
      <c r="AK985">
        <v>0</v>
      </c>
    </row>
    <row r="986" spans="5:37" x14ac:dyDescent="0.25">
      <c r="E986" t="s">
        <v>54</v>
      </c>
      <c r="F986">
        <v>20000</v>
      </c>
      <c r="G986">
        <v>0</v>
      </c>
      <c r="T986" t="s">
        <v>130</v>
      </c>
      <c r="U986">
        <v>0</v>
      </c>
      <c r="V986">
        <v>0</v>
      </c>
      <c r="AI986" t="s">
        <v>597</v>
      </c>
      <c r="AJ986">
        <v>0</v>
      </c>
      <c r="AK986">
        <v>0</v>
      </c>
    </row>
    <row r="987" spans="5:37" x14ac:dyDescent="0.25">
      <c r="E987" t="s">
        <v>55</v>
      </c>
      <c r="F987">
        <v>0</v>
      </c>
      <c r="G987">
        <v>0</v>
      </c>
      <c r="T987" t="s">
        <v>130</v>
      </c>
      <c r="U987">
        <v>0</v>
      </c>
      <c r="V987">
        <v>0</v>
      </c>
      <c r="AI987" t="s">
        <v>597</v>
      </c>
      <c r="AJ987">
        <v>0</v>
      </c>
      <c r="AK987">
        <v>0</v>
      </c>
    </row>
    <row r="988" spans="5:37" x14ac:dyDescent="0.25">
      <c r="E988" t="s">
        <v>55</v>
      </c>
      <c r="F988">
        <v>30000</v>
      </c>
      <c r="G988">
        <v>0</v>
      </c>
      <c r="T988" t="s">
        <v>130</v>
      </c>
      <c r="U988">
        <v>0</v>
      </c>
      <c r="V988">
        <v>0</v>
      </c>
      <c r="AI988" t="s">
        <v>597</v>
      </c>
      <c r="AJ988">
        <v>0</v>
      </c>
      <c r="AK988">
        <v>0</v>
      </c>
    </row>
    <row r="989" spans="5:37" x14ac:dyDescent="0.25">
      <c r="E989" t="s">
        <v>55</v>
      </c>
      <c r="F989">
        <v>30000</v>
      </c>
      <c r="G989">
        <v>0</v>
      </c>
      <c r="T989" t="s">
        <v>130</v>
      </c>
      <c r="U989">
        <v>0</v>
      </c>
      <c r="V989">
        <v>0</v>
      </c>
      <c r="AI989" t="s">
        <v>597</v>
      </c>
      <c r="AJ989">
        <v>0</v>
      </c>
      <c r="AK989">
        <v>0</v>
      </c>
    </row>
    <row r="990" spans="5:37" x14ac:dyDescent="0.25">
      <c r="E990" t="s">
        <v>55</v>
      </c>
      <c r="F990">
        <v>28000</v>
      </c>
      <c r="G990">
        <v>0</v>
      </c>
      <c r="T990" t="s">
        <v>130</v>
      </c>
      <c r="U990">
        <v>0</v>
      </c>
      <c r="V990">
        <v>40000</v>
      </c>
      <c r="AI990" t="s">
        <v>597</v>
      </c>
      <c r="AJ990">
        <v>0</v>
      </c>
      <c r="AK990">
        <v>0</v>
      </c>
    </row>
    <row r="991" spans="5:37" x14ac:dyDescent="0.25">
      <c r="E991" t="s">
        <v>55</v>
      </c>
      <c r="F991">
        <v>25000</v>
      </c>
      <c r="G991">
        <v>0</v>
      </c>
      <c r="T991" t="s">
        <v>130</v>
      </c>
      <c r="U991">
        <v>0</v>
      </c>
      <c r="V991">
        <v>0</v>
      </c>
      <c r="AI991" t="s">
        <v>597</v>
      </c>
      <c r="AJ991">
        <v>0</v>
      </c>
      <c r="AK991">
        <v>0</v>
      </c>
    </row>
    <row r="992" spans="5:37" x14ac:dyDescent="0.25">
      <c r="E992" t="s">
        <v>55</v>
      </c>
      <c r="F992">
        <v>17000</v>
      </c>
      <c r="G992">
        <v>0</v>
      </c>
      <c r="T992" t="s">
        <v>130</v>
      </c>
      <c r="U992">
        <v>0</v>
      </c>
      <c r="V992">
        <v>0</v>
      </c>
      <c r="AI992" t="s">
        <v>597</v>
      </c>
      <c r="AJ992">
        <v>0</v>
      </c>
      <c r="AK992">
        <v>0</v>
      </c>
    </row>
    <row r="993" spans="5:37" x14ac:dyDescent="0.25">
      <c r="E993" t="s">
        <v>55</v>
      </c>
      <c r="F993">
        <v>40000</v>
      </c>
      <c r="G993">
        <v>0</v>
      </c>
      <c r="T993" t="s">
        <v>130</v>
      </c>
      <c r="U993">
        <v>0</v>
      </c>
      <c r="V993">
        <v>0</v>
      </c>
      <c r="AI993" t="s">
        <v>597</v>
      </c>
      <c r="AJ993">
        <v>0</v>
      </c>
      <c r="AK993">
        <v>0</v>
      </c>
    </row>
    <row r="994" spans="5:37" x14ac:dyDescent="0.25">
      <c r="E994" t="s">
        <v>420</v>
      </c>
      <c r="F994">
        <v>0</v>
      </c>
      <c r="G994">
        <v>0</v>
      </c>
      <c r="T994" t="s">
        <v>130</v>
      </c>
      <c r="U994">
        <v>0</v>
      </c>
      <c r="V994">
        <v>0</v>
      </c>
      <c r="AI994" t="s">
        <v>597</v>
      </c>
      <c r="AJ994">
        <v>0</v>
      </c>
      <c r="AK994">
        <v>0</v>
      </c>
    </row>
    <row r="995" spans="5:37" x14ac:dyDescent="0.25">
      <c r="E995" t="s">
        <v>420</v>
      </c>
      <c r="F995">
        <v>0</v>
      </c>
      <c r="G995">
        <v>0</v>
      </c>
      <c r="T995" t="s">
        <v>130</v>
      </c>
      <c r="U995">
        <v>0</v>
      </c>
      <c r="V995">
        <v>30000</v>
      </c>
      <c r="AI995" t="s">
        <v>597</v>
      </c>
      <c r="AJ995">
        <v>0</v>
      </c>
      <c r="AK995">
        <v>0</v>
      </c>
    </row>
    <row r="996" spans="5:37" x14ac:dyDescent="0.25">
      <c r="E996" t="s">
        <v>420</v>
      </c>
      <c r="F996">
        <v>8000</v>
      </c>
      <c r="G996">
        <v>0</v>
      </c>
      <c r="T996" t="s">
        <v>130</v>
      </c>
      <c r="U996">
        <v>0</v>
      </c>
      <c r="V996">
        <v>0</v>
      </c>
      <c r="AI996" t="s">
        <v>597</v>
      </c>
      <c r="AJ996">
        <v>0</v>
      </c>
      <c r="AK996">
        <v>0</v>
      </c>
    </row>
    <row r="997" spans="5:37" x14ac:dyDescent="0.25">
      <c r="E997" t="s">
        <v>420</v>
      </c>
      <c r="F997">
        <v>0</v>
      </c>
      <c r="G997">
        <v>0</v>
      </c>
      <c r="T997" t="s">
        <v>130</v>
      </c>
      <c r="U997">
        <v>0</v>
      </c>
      <c r="V997">
        <v>40000</v>
      </c>
      <c r="AI997" t="s">
        <v>597</v>
      </c>
      <c r="AJ997">
        <v>0</v>
      </c>
      <c r="AK997">
        <v>0</v>
      </c>
    </row>
    <row r="998" spans="5:37" x14ac:dyDescent="0.25">
      <c r="E998" t="s">
        <v>420</v>
      </c>
      <c r="F998">
        <v>0</v>
      </c>
      <c r="G998">
        <v>0</v>
      </c>
      <c r="T998" t="s">
        <v>130</v>
      </c>
      <c r="U998">
        <v>0</v>
      </c>
      <c r="V998">
        <v>0</v>
      </c>
      <c r="AI998" t="s">
        <v>597</v>
      </c>
      <c r="AJ998">
        <v>0</v>
      </c>
      <c r="AK998">
        <v>0</v>
      </c>
    </row>
    <row r="999" spans="5:37" x14ac:dyDescent="0.25">
      <c r="E999" t="s">
        <v>420</v>
      </c>
      <c r="F999">
        <v>1200</v>
      </c>
      <c r="G999">
        <v>0</v>
      </c>
      <c r="T999" t="s">
        <v>130</v>
      </c>
      <c r="U999">
        <v>0</v>
      </c>
      <c r="V999">
        <v>30000</v>
      </c>
      <c r="AI999" t="s">
        <v>597</v>
      </c>
      <c r="AJ999">
        <v>0</v>
      </c>
      <c r="AK999">
        <v>0</v>
      </c>
    </row>
    <row r="1000" spans="5:37" x14ac:dyDescent="0.25">
      <c r="E1000" t="s">
        <v>422</v>
      </c>
      <c r="F1000">
        <v>0</v>
      </c>
      <c r="G1000">
        <v>0</v>
      </c>
      <c r="T1000" t="s">
        <v>130</v>
      </c>
      <c r="U1000">
        <v>0</v>
      </c>
      <c r="V1000">
        <v>0</v>
      </c>
      <c r="AI1000" t="s">
        <v>597</v>
      </c>
      <c r="AJ1000">
        <v>0</v>
      </c>
      <c r="AK1000">
        <v>0</v>
      </c>
    </row>
    <row r="1001" spans="5:37" x14ac:dyDescent="0.25">
      <c r="E1001" t="s">
        <v>422</v>
      </c>
      <c r="F1001">
        <v>0</v>
      </c>
      <c r="G1001">
        <v>0</v>
      </c>
      <c r="T1001" t="s">
        <v>130</v>
      </c>
      <c r="U1001">
        <v>0</v>
      </c>
      <c r="V1001">
        <v>0</v>
      </c>
      <c r="AI1001" t="s">
        <v>597</v>
      </c>
      <c r="AJ1001">
        <v>0</v>
      </c>
      <c r="AK1001">
        <v>0</v>
      </c>
    </row>
    <row r="1002" spans="5:37" x14ac:dyDescent="0.25">
      <c r="E1002" t="s">
        <v>422</v>
      </c>
      <c r="F1002">
        <v>0</v>
      </c>
      <c r="G1002">
        <v>0</v>
      </c>
      <c r="T1002" t="s">
        <v>130</v>
      </c>
      <c r="U1002">
        <v>0</v>
      </c>
      <c r="V1002">
        <v>0</v>
      </c>
      <c r="AI1002" t="s">
        <v>597</v>
      </c>
      <c r="AJ1002">
        <v>0</v>
      </c>
      <c r="AK1002">
        <v>0</v>
      </c>
    </row>
    <row r="1003" spans="5:37" x14ac:dyDescent="0.25">
      <c r="E1003" t="s">
        <v>422</v>
      </c>
      <c r="F1003">
        <v>0</v>
      </c>
      <c r="G1003">
        <v>0</v>
      </c>
      <c r="T1003" t="s">
        <v>130</v>
      </c>
      <c r="U1003">
        <v>0</v>
      </c>
      <c r="V1003">
        <v>0</v>
      </c>
      <c r="AI1003" t="s">
        <v>597</v>
      </c>
      <c r="AJ1003">
        <v>0</v>
      </c>
      <c r="AK1003">
        <v>0</v>
      </c>
    </row>
    <row r="1004" spans="5:37" x14ac:dyDescent="0.25">
      <c r="E1004" t="s">
        <v>422</v>
      </c>
      <c r="F1004">
        <v>0</v>
      </c>
      <c r="G1004">
        <v>0</v>
      </c>
      <c r="T1004" t="s">
        <v>130</v>
      </c>
      <c r="U1004">
        <v>0</v>
      </c>
      <c r="V1004">
        <v>0</v>
      </c>
      <c r="AI1004" t="s">
        <v>597</v>
      </c>
      <c r="AJ1004">
        <v>0</v>
      </c>
      <c r="AK1004">
        <v>0</v>
      </c>
    </row>
    <row r="1005" spans="5:37" x14ac:dyDescent="0.25">
      <c r="E1005" t="s">
        <v>422</v>
      </c>
      <c r="F1005">
        <v>0</v>
      </c>
      <c r="G1005">
        <v>0</v>
      </c>
      <c r="T1005" t="s">
        <v>130</v>
      </c>
      <c r="U1005">
        <v>0</v>
      </c>
      <c r="V1005">
        <v>0</v>
      </c>
      <c r="AI1005" t="s">
        <v>597</v>
      </c>
      <c r="AJ1005">
        <v>0</v>
      </c>
      <c r="AK1005">
        <v>0</v>
      </c>
    </row>
    <row r="1006" spans="5:37" x14ac:dyDescent="0.25">
      <c r="E1006" t="s">
        <v>422</v>
      </c>
      <c r="F1006">
        <v>0</v>
      </c>
      <c r="G1006">
        <v>0</v>
      </c>
      <c r="T1006" t="s">
        <v>130</v>
      </c>
      <c r="U1006">
        <v>0</v>
      </c>
      <c r="V1006">
        <v>0</v>
      </c>
      <c r="AI1006" t="s">
        <v>597</v>
      </c>
      <c r="AJ1006">
        <v>34000</v>
      </c>
      <c r="AK1006">
        <v>0</v>
      </c>
    </row>
    <row r="1007" spans="5:37" x14ac:dyDescent="0.25">
      <c r="E1007" t="s">
        <v>422</v>
      </c>
      <c r="F1007">
        <v>0</v>
      </c>
      <c r="G1007">
        <v>0</v>
      </c>
      <c r="T1007" t="s">
        <v>130</v>
      </c>
      <c r="U1007">
        <v>0</v>
      </c>
      <c r="V1007">
        <v>0</v>
      </c>
      <c r="AI1007" t="s">
        <v>597</v>
      </c>
      <c r="AJ1007">
        <v>0</v>
      </c>
      <c r="AK1007">
        <v>0</v>
      </c>
    </row>
    <row r="1008" spans="5:37" x14ac:dyDescent="0.25">
      <c r="E1008" t="s">
        <v>422</v>
      </c>
      <c r="F1008">
        <v>0</v>
      </c>
      <c r="G1008">
        <v>0</v>
      </c>
      <c r="T1008" t="s">
        <v>130</v>
      </c>
      <c r="U1008">
        <v>0</v>
      </c>
      <c r="V1008">
        <v>0</v>
      </c>
      <c r="AI1008" t="s">
        <v>597</v>
      </c>
      <c r="AJ1008">
        <v>0</v>
      </c>
      <c r="AK1008">
        <v>0</v>
      </c>
    </row>
    <row r="1009" spans="5:37" x14ac:dyDescent="0.25">
      <c r="E1009" t="s">
        <v>422</v>
      </c>
      <c r="F1009">
        <v>0</v>
      </c>
      <c r="G1009">
        <v>0</v>
      </c>
      <c r="T1009" t="s">
        <v>130</v>
      </c>
      <c r="U1009">
        <v>0</v>
      </c>
      <c r="V1009">
        <v>0</v>
      </c>
      <c r="AI1009" t="s">
        <v>597</v>
      </c>
      <c r="AJ1009">
        <v>0</v>
      </c>
      <c r="AK1009">
        <v>0</v>
      </c>
    </row>
    <row r="1010" spans="5:37" x14ac:dyDescent="0.25">
      <c r="E1010" t="s">
        <v>422</v>
      </c>
      <c r="F1010">
        <v>0</v>
      </c>
      <c r="G1010">
        <v>0</v>
      </c>
      <c r="T1010" t="s">
        <v>130</v>
      </c>
      <c r="U1010">
        <v>0</v>
      </c>
      <c r="V1010">
        <v>0</v>
      </c>
      <c r="AI1010" t="s">
        <v>363</v>
      </c>
      <c r="AJ1010">
        <v>0</v>
      </c>
      <c r="AK1010">
        <v>0</v>
      </c>
    </row>
    <row r="1011" spans="5:37" x14ac:dyDescent="0.25">
      <c r="E1011" t="s">
        <v>422</v>
      </c>
      <c r="F1011">
        <v>0</v>
      </c>
      <c r="G1011">
        <v>0</v>
      </c>
      <c r="T1011" t="s">
        <v>130</v>
      </c>
      <c r="U1011">
        <v>0</v>
      </c>
      <c r="V1011">
        <v>40000</v>
      </c>
      <c r="AI1011" t="s">
        <v>363</v>
      </c>
      <c r="AJ1011">
        <v>20000</v>
      </c>
      <c r="AK1011">
        <v>0</v>
      </c>
    </row>
    <row r="1012" spans="5:37" x14ac:dyDescent="0.25">
      <c r="E1012" t="s">
        <v>422</v>
      </c>
      <c r="F1012">
        <v>0</v>
      </c>
      <c r="G1012">
        <v>0</v>
      </c>
      <c r="T1012" t="s">
        <v>130</v>
      </c>
      <c r="U1012">
        <v>0</v>
      </c>
      <c r="V1012">
        <v>0</v>
      </c>
      <c r="AI1012" t="s">
        <v>363</v>
      </c>
      <c r="AJ1012">
        <v>25000</v>
      </c>
      <c r="AK1012">
        <v>0</v>
      </c>
    </row>
    <row r="1013" spans="5:37" x14ac:dyDescent="0.25">
      <c r="E1013" t="s">
        <v>422</v>
      </c>
      <c r="F1013">
        <v>0</v>
      </c>
      <c r="G1013">
        <v>0</v>
      </c>
      <c r="T1013" t="s">
        <v>130</v>
      </c>
      <c r="U1013">
        <v>0</v>
      </c>
      <c r="V1013">
        <v>0</v>
      </c>
      <c r="AI1013" t="s">
        <v>363</v>
      </c>
      <c r="AJ1013">
        <v>25000</v>
      </c>
      <c r="AK1013">
        <v>0</v>
      </c>
    </row>
    <row r="1014" spans="5:37" x14ac:dyDescent="0.25">
      <c r="E1014" t="s">
        <v>422</v>
      </c>
      <c r="F1014">
        <v>0</v>
      </c>
      <c r="G1014">
        <v>0</v>
      </c>
      <c r="T1014" t="s">
        <v>130</v>
      </c>
      <c r="U1014">
        <v>0</v>
      </c>
      <c r="V1014">
        <v>0</v>
      </c>
      <c r="AI1014" t="s">
        <v>363</v>
      </c>
      <c r="AJ1014">
        <v>0</v>
      </c>
      <c r="AK1014">
        <v>0</v>
      </c>
    </row>
    <row r="1015" spans="5:37" x14ac:dyDescent="0.25">
      <c r="E1015" t="s">
        <v>422</v>
      </c>
      <c r="F1015">
        <v>0</v>
      </c>
      <c r="G1015">
        <v>0</v>
      </c>
      <c r="T1015" t="s">
        <v>130</v>
      </c>
      <c r="U1015">
        <v>0</v>
      </c>
      <c r="V1015">
        <v>40000</v>
      </c>
      <c r="AI1015" t="s">
        <v>363</v>
      </c>
      <c r="AJ1015">
        <v>29000</v>
      </c>
      <c r="AK1015">
        <v>0</v>
      </c>
    </row>
    <row r="1016" spans="5:37" x14ac:dyDescent="0.25">
      <c r="E1016" t="s">
        <v>422</v>
      </c>
      <c r="F1016">
        <v>0</v>
      </c>
      <c r="G1016">
        <v>0</v>
      </c>
      <c r="T1016" t="s">
        <v>130</v>
      </c>
      <c r="U1016">
        <v>0</v>
      </c>
      <c r="V1016">
        <v>0</v>
      </c>
      <c r="AI1016" t="s">
        <v>363</v>
      </c>
      <c r="AJ1016">
        <v>0</v>
      </c>
      <c r="AK1016">
        <v>0</v>
      </c>
    </row>
    <row r="1017" spans="5:37" x14ac:dyDescent="0.25">
      <c r="E1017" t="s">
        <v>412</v>
      </c>
      <c r="F1017">
        <v>0</v>
      </c>
      <c r="G1017">
        <v>0</v>
      </c>
      <c r="T1017" t="s">
        <v>130</v>
      </c>
      <c r="U1017">
        <v>0</v>
      </c>
      <c r="V1017">
        <v>0</v>
      </c>
      <c r="AI1017" t="s">
        <v>363</v>
      </c>
      <c r="AJ1017">
        <v>33000</v>
      </c>
      <c r="AK1017">
        <v>0</v>
      </c>
    </row>
    <row r="1018" spans="5:37" x14ac:dyDescent="0.25">
      <c r="E1018" t="s">
        <v>412</v>
      </c>
      <c r="F1018">
        <v>0</v>
      </c>
      <c r="G1018">
        <v>0</v>
      </c>
      <c r="T1018" t="s">
        <v>130</v>
      </c>
      <c r="U1018">
        <v>0</v>
      </c>
      <c r="V1018">
        <v>0</v>
      </c>
      <c r="AI1018" t="s">
        <v>363</v>
      </c>
      <c r="AJ1018">
        <v>31000</v>
      </c>
      <c r="AK1018">
        <v>0</v>
      </c>
    </row>
    <row r="1019" spans="5:37" x14ac:dyDescent="0.25">
      <c r="E1019" t="s">
        <v>412</v>
      </c>
      <c r="F1019">
        <v>0</v>
      </c>
      <c r="G1019">
        <v>0</v>
      </c>
      <c r="T1019" t="s">
        <v>130</v>
      </c>
      <c r="U1019">
        <v>0</v>
      </c>
      <c r="V1019">
        <v>0</v>
      </c>
      <c r="AI1019" t="s">
        <v>363</v>
      </c>
      <c r="AJ1019">
        <v>27000</v>
      </c>
      <c r="AK1019">
        <v>0</v>
      </c>
    </row>
    <row r="1020" spans="5:37" x14ac:dyDescent="0.25">
      <c r="E1020" t="s">
        <v>412</v>
      </c>
      <c r="F1020">
        <v>0</v>
      </c>
      <c r="G1020">
        <v>0</v>
      </c>
      <c r="T1020" t="s">
        <v>130</v>
      </c>
      <c r="U1020">
        <v>0</v>
      </c>
      <c r="V1020">
        <v>0</v>
      </c>
    </row>
    <row r="1021" spans="5:37" x14ac:dyDescent="0.25">
      <c r="E1021" t="s">
        <v>412</v>
      </c>
      <c r="F1021">
        <v>0</v>
      </c>
      <c r="G1021">
        <v>0</v>
      </c>
      <c r="T1021" t="s">
        <v>130</v>
      </c>
      <c r="U1021">
        <v>0</v>
      </c>
      <c r="V1021">
        <v>30000</v>
      </c>
    </row>
    <row r="1022" spans="5:37" x14ac:dyDescent="0.25">
      <c r="E1022" t="s">
        <v>412</v>
      </c>
      <c r="F1022">
        <v>0</v>
      </c>
      <c r="G1022">
        <v>0</v>
      </c>
      <c r="T1022" t="s">
        <v>130</v>
      </c>
      <c r="U1022">
        <v>0</v>
      </c>
      <c r="V1022">
        <v>0</v>
      </c>
    </row>
    <row r="1023" spans="5:37" x14ac:dyDescent="0.25">
      <c r="E1023" t="s">
        <v>412</v>
      </c>
      <c r="F1023">
        <v>0</v>
      </c>
      <c r="G1023">
        <v>0</v>
      </c>
      <c r="T1023" t="s">
        <v>130</v>
      </c>
      <c r="U1023">
        <v>0</v>
      </c>
      <c r="V1023">
        <v>0</v>
      </c>
    </row>
    <row r="1024" spans="5:37" x14ac:dyDescent="0.25">
      <c r="E1024" t="s">
        <v>412</v>
      </c>
      <c r="F1024">
        <v>0</v>
      </c>
      <c r="G1024">
        <v>0</v>
      </c>
      <c r="T1024" t="s">
        <v>130</v>
      </c>
      <c r="U1024">
        <v>0</v>
      </c>
      <c r="V1024">
        <v>0</v>
      </c>
    </row>
    <row r="1025" spans="5:22" x14ac:dyDescent="0.25">
      <c r="E1025" t="s">
        <v>412</v>
      </c>
      <c r="F1025">
        <v>0</v>
      </c>
      <c r="G1025">
        <v>0</v>
      </c>
      <c r="T1025" t="s">
        <v>130</v>
      </c>
      <c r="U1025">
        <v>0</v>
      </c>
      <c r="V1025">
        <v>0</v>
      </c>
    </row>
    <row r="1026" spans="5:22" x14ac:dyDescent="0.25">
      <c r="E1026" t="s">
        <v>412</v>
      </c>
      <c r="F1026">
        <v>0</v>
      </c>
      <c r="G1026">
        <v>0</v>
      </c>
      <c r="T1026" t="s">
        <v>130</v>
      </c>
      <c r="U1026">
        <v>0</v>
      </c>
      <c r="V1026">
        <v>0</v>
      </c>
    </row>
    <row r="1027" spans="5:22" x14ac:dyDescent="0.25">
      <c r="E1027" t="s">
        <v>412</v>
      </c>
      <c r="F1027">
        <v>0</v>
      </c>
      <c r="G1027">
        <v>0</v>
      </c>
      <c r="T1027" t="s">
        <v>130</v>
      </c>
      <c r="U1027">
        <v>0</v>
      </c>
      <c r="V1027">
        <v>0</v>
      </c>
    </row>
    <row r="1028" spans="5:22" x14ac:dyDescent="0.25">
      <c r="E1028" t="s">
        <v>412</v>
      </c>
      <c r="F1028">
        <v>0</v>
      </c>
      <c r="G1028">
        <v>0</v>
      </c>
      <c r="T1028" t="s">
        <v>130</v>
      </c>
      <c r="U1028">
        <v>0</v>
      </c>
      <c r="V1028">
        <v>0</v>
      </c>
    </row>
    <row r="1029" spans="5:22" x14ac:dyDescent="0.25">
      <c r="E1029" t="s">
        <v>412</v>
      </c>
      <c r="F1029">
        <v>0</v>
      </c>
      <c r="G1029">
        <v>0</v>
      </c>
      <c r="T1029" t="s">
        <v>130</v>
      </c>
      <c r="U1029">
        <v>0</v>
      </c>
      <c r="V1029">
        <v>0</v>
      </c>
    </row>
    <row r="1030" spans="5:22" x14ac:dyDescent="0.25">
      <c r="E1030" t="s">
        <v>412</v>
      </c>
      <c r="F1030">
        <v>0</v>
      </c>
      <c r="G1030">
        <v>0</v>
      </c>
      <c r="T1030" t="s">
        <v>130</v>
      </c>
      <c r="U1030">
        <v>0</v>
      </c>
      <c r="V1030">
        <v>0</v>
      </c>
    </row>
    <row r="1031" spans="5:22" x14ac:dyDescent="0.25">
      <c r="E1031" t="s">
        <v>412</v>
      </c>
      <c r="F1031">
        <v>0</v>
      </c>
      <c r="G1031">
        <v>0</v>
      </c>
      <c r="T1031" t="s">
        <v>130</v>
      </c>
      <c r="U1031">
        <v>0</v>
      </c>
      <c r="V1031">
        <v>40000</v>
      </c>
    </row>
    <row r="1032" spans="5:22" x14ac:dyDescent="0.25">
      <c r="E1032" t="s">
        <v>412</v>
      </c>
      <c r="F1032">
        <v>0</v>
      </c>
      <c r="G1032">
        <v>0</v>
      </c>
      <c r="T1032" t="s">
        <v>130</v>
      </c>
      <c r="U1032">
        <v>0</v>
      </c>
      <c r="V1032">
        <v>0</v>
      </c>
    </row>
    <row r="1033" spans="5:22" x14ac:dyDescent="0.25">
      <c r="E1033" t="s">
        <v>412</v>
      </c>
      <c r="F1033">
        <v>0</v>
      </c>
      <c r="G1033">
        <v>0</v>
      </c>
      <c r="T1033" t="s">
        <v>130</v>
      </c>
      <c r="U1033">
        <v>0</v>
      </c>
      <c r="V1033">
        <v>0</v>
      </c>
    </row>
    <row r="1034" spans="5:22" x14ac:dyDescent="0.25">
      <c r="E1034" t="s">
        <v>67</v>
      </c>
      <c r="F1034">
        <v>0</v>
      </c>
      <c r="G1034">
        <v>0</v>
      </c>
      <c r="T1034" t="s">
        <v>130</v>
      </c>
      <c r="U1034">
        <v>0</v>
      </c>
      <c r="V1034">
        <v>0</v>
      </c>
    </row>
    <row r="1035" spans="5:22" x14ac:dyDescent="0.25">
      <c r="E1035" t="s">
        <v>67</v>
      </c>
      <c r="F1035">
        <v>0</v>
      </c>
      <c r="G1035">
        <v>0</v>
      </c>
      <c r="T1035" t="s">
        <v>130</v>
      </c>
      <c r="U1035">
        <v>0</v>
      </c>
      <c r="V1035">
        <v>0</v>
      </c>
    </row>
    <row r="1036" spans="5:22" x14ac:dyDescent="0.25">
      <c r="E1036" t="s">
        <v>67</v>
      </c>
      <c r="F1036">
        <v>0</v>
      </c>
      <c r="G1036">
        <v>0</v>
      </c>
      <c r="T1036" t="s">
        <v>130</v>
      </c>
      <c r="U1036">
        <v>0</v>
      </c>
      <c r="V1036">
        <v>0</v>
      </c>
    </row>
    <row r="1037" spans="5:22" x14ac:dyDescent="0.25">
      <c r="E1037" t="s">
        <v>67</v>
      </c>
      <c r="F1037">
        <v>0</v>
      </c>
      <c r="G1037">
        <v>0</v>
      </c>
      <c r="T1037" t="s">
        <v>130</v>
      </c>
      <c r="U1037">
        <v>0</v>
      </c>
      <c r="V1037">
        <v>0</v>
      </c>
    </row>
    <row r="1038" spans="5:22" x14ac:dyDescent="0.25">
      <c r="E1038" t="s">
        <v>67</v>
      </c>
      <c r="F1038">
        <v>0</v>
      </c>
      <c r="G1038">
        <v>0</v>
      </c>
      <c r="T1038" t="s">
        <v>130</v>
      </c>
      <c r="U1038">
        <v>0</v>
      </c>
      <c r="V1038">
        <v>0</v>
      </c>
    </row>
    <row r="1039" spans="5:22" x14ac:dyDescent="0.25">
      <c r="E1039" t="s">
        <v>67</v>
      </c>
      <c r="F1039">
        <v>0</v>
      </c>
      <c r="G1039">
        <v>0</v>
      </c>
      <c r="T1039" t="s">
        <v>130</v>
      </c>
      <c r="U1039">
        <v>0</v>
      </c>
      <c r="V1039">
        <v>0</v>
      </c>
    </row>
    <row r="1040" spans="5:22" x14ac:dyDescent="0.25">
      <c r="E1040" t="s">
        <v>67</v>
      </c>
      <c r="F1040">
        <v>0</v>
      </c>
      <c r="G1040">
        <v>0</v>
      </c>
      <c r="T1040" t="s">
        <v>130</v>
      </c>
      <c r="U1040">
        <v>0</v>
      </c>
      <c r="V1040">
        <v>0</v>
      </c>
    </row>
    <row r="1041" spans="5:22" x14ac:dyDescent="0.25">
      <c r="E1041" t="s">
        <v>67</v>
      </c>
      <c r="F1041">
        <v>0</v>
      </c>
      <c r="G1041">
        <v>0</v>
      </c>
      <c r="T1041" t="s">
        <v>130</v>
      </c>
      <c r="U1041">
        <v>0</v>
      </c>
      <c r="V1041">
        <v>0</v>
      </c>
    </row>
    <row r="1042" spans="5:22" x14ac:dyDescent="0.25">
      <c r="E1042" t="s">
        <v>67</v>
      </c>
      <c r="F1042">
        <v>0</v>
      </c>
      <c r="G1042">
        <v>0</v>
      </c>
      <c r="T1042" t="s">
        <v>130</v>
      </c>
      <c r="U1042">
        <v>0</v>
      </c>
      <c r="V1042">
        <v>0</v>
      </c>
    </row>
    <row r="1043" spans="5:22" x14ac:dyDescent="0.25">
      <c r="E1043" t="s">
        <v>67</v>
      </c>
      <c r="F1043">
        <v>0</v>
      </c>
      <c r="G1043">
        <v>0</v>
      </c>
      <c r="T1043" t="s">
        <v>46</v>
      </c>
      <c r="U1043">
        <v>46000</v>
      </c>
      <c r="V1043">
        <v>0</v>
      </c>
    </row>
    <row r="1044" spans="5:22" x14ac:dyDescent="0.25">
      <c r="E1044" t="s">
        <v>67</v>
      </c>
      <c r="F1044">
        <v>0</v>
      </c>
      <c r="G1044">
        <v>0</v>
      </c>
      <c r="T1044" t="s">
        <v>46</v>
      </c>
      <c r="U1044">
        <v>46000</v>
      </c>
      <c r="V1044">
        <v>0</v>
      </c>
    </row>
    <row r="1045" spans="5:22" x14ac:dyDescent="0.25">
      <c r="E1045" t="s">
        <v>425</v>
      </c>
      <c r="F1045">
        <v>0</v>
      </c>
      <c r="G1045">
        <v>0</v>
      </c>
      <c r="T1045" t="s">
        <v>46</v>
      </c>
      <c r="U1045">
        <v>25000</v>
      </c>
      <c r="V1045">
        <v>0</v>
      </c>
    </row>
    <row r="1046" spans="5:22" x14ac:dyDescent="0.25">
      <c r="E1046" t="s">
        <v>425</v>
      </c>
      <c r="F1046">
        <v>0</v>
      </c>
      <c r="G1046">
        <v>0</v>
      </c>
      <c r="T1046" t="s">
        <v>46</v>
      </c>
      <c r="U1046">
        <v>41000</v>
      </c>
      <c r="V1046">
        <v>0</v>
      </c>
    </row>
    <row r="1047" spans="5:22" x14ac:dyDescent="0.25">
      <c r="E1047" t="s">
        <v>425</v>
      </c>
      <c r="F1047">
        <v>0</v>
      </c>
      <c r="G1047">
        <v>0</v>
      </c>
      <c r="T1047" t="s">
        <v>46</v>
      </c>
      <c r="U1047">
        <v>0</v>
      </c>
      <c r="V1047">
        <v>0</v>
      </c>
    </row>
    <row r="1048" spans="5:22" x14ac:dyDescent="0.25">
      <c r="E1048" t="s">
        <v>425</v>
      </c>
      <c r="F1048">
        <v>0</v>
      </c>
      <c r="G1048">
        <v>0</v>
      </c>
      <c r="T1048" t="s">
        <v>46</v>
      </c>
      <c r="U1048">
        <v>46000</v>
      </c>
      <c r="V1048">
        <v>0</v>
      </c>
    </row>
    <row r="1049" spans="5:22" x14ac:dyDescent="0.25">
      <c r="E1049" t="s">
        <v>425</v>
      </c>
      <c r="F1049">
        <v>0</v>
      </c>
      <c r="G1049">
        <v>0</v>
      </c>
      <c r="T1049" t="s">
        <v>46</v>
      </c>
      <c r="U1049">
        <v>28000</v>
      </c>
      <c r="V1049">
        <v>0</v>
      </c>
    </row>
    <row r="1050" spans="5:22" x14ac:dyDescent="0.25">
      <c r="E1050" t="s">
        <v>425</v>
      </c>
      <c r="F1050">
        <v>0</v>
      </c>
      <c r="G1050">
        <v>0</v>
      </c>
      <c r="T1050" t="s">
        <v>46</v>
      </c>
      <c r="U1050">
        <v>30000</v>
      </c>
      <c r="V1050">
        <v>0</v>
      </c>
    </row>
    <row r="1051" spans="5:22" x14ac:dyDescent="0.25">
      <c r="E1051" t="s">
        <v>425</v>
      </c>
      <c r="F1051">
        <v>0</v>
      </c>
      <c r="G1051">
        <v>0</v>
      </c>
      <c r="T1051" t="s">
        <v>46</v>
      </c>
      <c r="U1051">
        <v>46000</v>
      </c>
      <c r="V1051">
        <v>0</v>
      </c>
    </row>
    <row r="1052" spans="5:22" x14ac:dyDescent="0.25">
      <c r="E1052" t="s">
        <v>425</v>
      </c>
      <c r="F1052">
        <v>0</v>
      </c>
      <c r="G1052">
        <v>0</v>
      </c>
      <c r="T1052" t="s">
        <v>47</v>
      </c>
      <c r="U1052">
        <v>24000</v>
      </c>
      <c r="V1052">
        <v>0</v>
      </c>
    </row>
    <row r="1053" spans="5:22" x14ac:dyDescent="0.25">
      <c r="E1053" t="s">
        <v>425</v>
      </c>
      <c r="F1053">
        <v>0</v>
      </c>
      <c r="G1053">
        <v>0</v>
      </c>
      <c r="T1053" t="s">
        <v>47</v>
      </c>
      <c r="U1053">
        <v>37000</v>
      </c>
      <c r="V1053">
        <v>0</v>
      </c>
    </row>
    <row r="1054" spans="5:22" x14ac:dyDescent="0.25">
      <c r="E1054" t="s">
        <v>425</v>
      </c>
      <c r="F1054">
        <v>0</v>
      </c>
      <c r="G1054">
        <v>0</v>
      </c>
      <c r="T1054" t="s">
        <v>47</v>
      </c>
      <c r="U1054">
        <v>42000</v>
      </c>
      <c r="V1054">
        <v>0</v>
      </c>
    </row>
    <row r="1055" spans="5:22" x14ac:dyDescent="0.25">
      <c r="E1055" t="s">
        <v>425</v>
      </c>
      <c r="F1055">
        <v>0</v>
      </c>
      <c r="G1055">
        <v>0</v>
      </c>
      <c r="T1055" t="s">
        <v>47</v>
      </c>
      <c r="U1055">
        <v>45000</v>
      </c>
      <c r="V1055">
        <v>0</v>
      </c>
    </row>
    <row r="1056" spans="5:22" x14ac:dyDescent="0.25">
      <c r="E1056" t="s">
        <v>425</v>
      </c>
      <c r="F1056">
        <v>0</v>
      </c>
      <c r="G1056">
        <v>0</v>
      </c>
      <c r="T1056" t="s">
        <v>47</v>
      </c>
      <c r="U1056">
        <v>40000</v>
      </c>
      <c r="V1056">
        <v>0</v>
      </c>
    </row>
    <row r="1057" spans="5:22" x14ac:dyDescent="0.25">
      <c r="E1057" t="s">
        <v>425</v>
      </c>
      <c r="F1057">
        <v>0</v>
      </c>
      <c r="G1057">
        <v>0</v>
      </c>
      <c r="T1057" t="s">
        <v>47</v>
      </c>
      <c r="U1057">
        <v>40000</v>
      </c>
      <c r="V1057">
        <v>0</v>
      </c>
    </row>
    <row r="1058" spans="5:22" x14ac:dyDescent="0.25">
      <c r="E1058" t="s">
        <v>425</v>
      </c>
      <c r="F1058">
        <v>0</v>
      </c>
      <c r="G1058">
        <v>0</v>
      </c>
      <c r="T1058" t="s">
        <v>47</v>
      </c>
      <c r="U1058">
        <v>40000</v>
      </c>
      <c r="V1058">
        <v>0</v>
      </c>
    </row>
    <row r="1059" spans="5:22" x14ac:dyDescent="0.25">
      <c r="E1059" t="s">
        <v>425</v>
      </c>
      <c r="F1059">
        <v>0</v>
      </c>
      <c r="G1059">
        <v>0</v>
      </c>
      <c r="T1059" t="s">
        <v>47</v>
      </c>
      <c r="U1059">
        <v>40000</v>
      </c>
      <c r="V1059">
        <v>0</v>
      </c>
    </row>
    <row r="1060" spans="5:22" x14ac:dyDescent="0.25">
      <c r="E1060" t="s">
        <v>425</v>
      </c>
      <c r="F1060">
        <v>0</v>
      </c>
      <c r="G1060">
        <v>0</v>
      </c>
      <c r="T1060" t="s">
        <v>48</v>
      </c>
      <c r="U1060">
        <v>0</v>
      </c>
      <c r="V1060">
        <v>0</v>
      </c>
    </row>
    <row r="1061" spans="5:22" x14ac:dyDescent="0.25">
      <c r="E1061" t="s">
        <v>425</v>
      </c>
      <c r="F1061">
        <v>0</v>
      </c>
      <c r="G1061">
        <v>0</v>
      </c>
      <c r="T1061" t="s">
        <v>48</v>
      </c>
      <c r="U1061">
        <v>20000</v>
      </c>
      <c r="V1061">
        <v>0</v>
      </c>
    </row>
    <row r="1062" spans="5:22" x14ac:dyDescent="0.25">
      <c r="E1062" t="s">
        <v>425</v>
      </c>
      <c r="F1062">
        <v>0</v>
      </c>
      <c r="G1062">
        <v>0</v>
      </c>
      <c r="T1062" t="s">
        <v>48</v>
      </c>
      <c r="U1062">
        <v>15000</v>
      </c>
      <c r="V1062">
        <v>0</v>
      </c>
    </row>
    <row r="1063" spans="5:22" x14ac:dyDescent="0.25">
      <c r="E1063" t="s">
        <v>425</v>
      </c>
      <c r="F1063">
        <v>0</v>
      </c>
      <c r="G1063">
        <v>0</v>
      </c>
      <c r="T1063" t="s">
        <v>48</v>
      </c>
      <c r="U1063">
        <v>0</v>
      </c>
      <c r="V1063">
        <v>0</v>
      </c>
    </row>
    <row r="1064" spans="5:22" x14ac:dyDescent="0.25">
      <c r="E1064" t="s">
        <v>425</v>
      </c>
      <c r="F1064">
        <v>0</v>
      </c>
      <c r="G1064">
        <v>0</v>
      </c>
      <c r="T1064" t="s">
        <v>48</v>
      </c>
      <c r="U1064">
        <v>25000</v>
      </c>
      <c r="V1064">
        <v>0</v>
      </c>
    </row>
    <row r="1065" spans="5:22" x14ac:dyDescent="0.25">
      <c r="E1065" t="s">
        <v>425</v>
      </c>
      <c r="F1065">
        <v>0</v>
      </c>
      <c r="G1065">
        <v>0</v>
      </c>
      <c r="T1065" t="s">
        <v>286</v>
      </c>
      <c r="U1065">
        <v>0</v>
      </c>
      <c r="V1065">
        <v>0</v>
      </c>
    </row>
    <row r="1066" spans="5:22" x14ac:dyDescent="0.25">
      <c r="E1066" t="s">
        <v>425</v>
      </c>
      <c r="F1066">
        <v>0</v>
      </c>
      <c r="G1066">
        <v>0</v>
      </c>
      <c r="T1066" t="s">
        <v>286</v>
      </c>
      <c r="U1066">
        <v>26000</v>
      </c>
      <c r="V1066">
        <v>0</v>
      </c>
    </row>
    <row r="1067" spans="5:22" x14ac:dyDescent="0.25">
      <c r="E1067" t="s">
        <v>425</v>
      </c>
      <c r="F1067">
        <v>0</v>
      </c>
      <c r="G1067">
        <v>0</v>
      </c>
      <c r="T1067" t="s">
        <v>286</v>
      </c>
      <c r="U1067">
        <v>40000</v>
      </c>
      <c r="V1067">
        <v>0</v>
      </c>
    </row>
    <row r="1068" spans="5:22" x14ac:dyDescent="0.25">
      <c r="E1068" t="s">
        <v>425</v>
      </c>
      <c r="F1068">
        <v>0</v>
      </c>
      <c r="G1068">
        <v>0</v>
      </c>
      <c r="T1068" t="s">
        <v>286</v>
      </c>
      <c r="U1068">
        <v>14000</v>
      </c>
      <c r="V1068">
        <v>0</v>
      </c>
    </row>
    <row r="1069" spans="5:22" x14ac:dyDescent="0.25">
      <c r="E1069" t="s">
        <v>425</v>
      </c>
      <c r="F1069">
        <v>0</v>
      </c>
      <c r="G1069">
        <v>0</v>
      </c>
      <c r="T1069" t="s">
        <v>286</v>
      </c>
      <c r="U1069">
        <v>26000</v>
      </c>
      <c r="V1069">
        <v>0</v>
      </c>
    </row>
    <row r="1070" spans="5:22" x14ac:dyDescent="0.25">
      <c r="E1070" t="s">
        <v>425</v>
      </c>
      <c r="F1070">
        <v>0</v>
      </c>
      <c r="G1070">
        <v>0</v>
      </c>
      <c r="T1070" t="s">
        <v>286</v>
      </c>
      <c r="U1070">
        <v>26000</v>
      </c>
      <c r="V1070">
        <v>0</v>
      </c>
    </row>
    <row r="1071" spans="5:22" x14ac:dyDescent="0.25">
      <c r="E1071" t="s">
        <v>425</v>
      </c>
      <c r="F1071">
        <v>0</v>
      </c>
      <c r="G1071">
        <v>0</v>
      </c>
      <c r="T1071" t="s">
        <v>286</v>
      </c>
      <c r="U1071">
        <v>40000</v>
      </c>
      <c r="V1071">
        <v>0</v>
      </c>
    </row>
    <row r="1072" spans="5:22" x14ac:dyDescent="0.25">
      <c r="E1072" t="s">
        <v>425</v>
      </c>
      <c r="F1072">
        <v>0</v>
      </c>
      <c r="G1072">
        <v>0</v>
      </c>
      <c r="T1072" t="s">
        <v>286</v>
      </c>
      <c r="U1072">
        <v>18000</v>
      </c>
      <c r="V1072">
        <v>0</v>
      </c>
    </row>
    <row r="1073" spans="5:22" x14ac:dyDescent="0.25">
      <c r="E1073" t="s">
        <v>425</v>
      </c>
      <c r="F1073">
        <v>0</v>
      </c>
      <c r="G1073">
        <v>0</v>
      </c>
      <c r="T1073" t="s">
        <v>286</v>
      </c>
      <c r="U1073">
        <v>26000</v>
      </c>
      <c r="V1073">
        <v>0</v>
      </c>
    </row>
    <row r="1074" spans="5:22" x14ac:dyDescent="0.25">
      <c r="E1074" t="s">
        <v>425</v>
      </c>
      <c r="F1074">
        <v>0</v>
      </c>
      <c r="G1074">
        <v>0</v>
      </c>
      <c r="T1074" t="s">
        <v>483</v>
      </c>
      <c r="U1074">
        <v>0</v>
      </c>
      <c r="V1074">
        <v>28000</v>
      </c>
    </row>
    <row r="1075" spans="5:22" x14ac:dyDescent="0.25">
      <c r="E1075" t="s">
        <v>425</v>
      </c>
      <c r="F1075">
        <v>0</v>
      </c>
      <c r="G1075">
        <v>0</v>
      </c>
      <c r="T1075" t="s">
        <v>483</v>
      </c>
      <c r="U1075">
        <v>0</v>
      </c>
      <c r="V1075">
        <v>0</v>
      </c>
    </row>
    <row r="1076" spans="5:22" x14ac:dyDescent="0.25">
      <c r="E1076" t="s">
        <v>425</v>
      </c>
      <c r="F1076">
        <v>0</v>
      </c>
      <c r="G1076">
        <v>0</v>
      </c>
      <c r="T1076" t="s">
        <v>483</v>
      </c>
      <c r="U1076">
        <v>0</v>
      </c>
      <c r="V1076">
        <v>35000</v>
      </c>
    </row>
    <row r="1077" spans="5:22" x14ac:dyDescent="0.25">
      <c r="E1077" t="s">
        <v>425</v>
      </c>
      <c r="F1077">
        <v>0</v>
      </c>
      <c r="G1077">
        <v>0</v>
      </c>
      <c r="T1077" t="s">
        <v>483</v>
      </c>
      <c r="U1077">
        <v>0</v>
      </c>
      <c r="V1077">
        <v>0</v>
      </c>
    </row>
    <row r="1078" spans="5:22" x14ac:dyDescent="0.25">
      <c r="E1078" t="s">
        <v>425</v>
      </c>
      <c r="F1078">
        <v>0</v>
      </c>
      <c r="G1078">
        <v>0</v>
      </c>
      <c r="T1078" t="s">
        <v>483</v>
      </c>
      <c r="U1078">
        <v>0</v>
      </c>
      <c r="V1078">
        <v>0</v>
      </c>
    </row>
    <row r="1079" spans="5:22" x14ac:dyDescent="0.25">
      <c r="E1079" t="s">
        <v>425</v>
      </c>
      <c r="F1079">
        <v>0</v>
      </c>
      <c r="G1079">
        <v>0</v>
      </c>
      <c r="T1079" t="s">
        <v>483</v>
      </c>
      <c r="U1079">
        <v>0</v>
      </c>
      <c r="V1079">
        <v>0</v>
      </c>
    </row>
    <row r="1080" spans="5:22" x14ac:dyDescent="0.25">
      <c r="E1080" t="s">
        <v>425</v>
      </c>
      <c r="F1080">
        <v>0</v>
      </c>
      <c r="G1080">
        <v>0</v>
      </c>
      <c r="T1080" t="s">
        <v>483</v>
      </c>
      <c r="U1080">
        <v>0</v>
      </c>
      <c r="V1080">
        <v>33000</v>
      </c>
    </row>
    <row r="1081" spans="5:22" x14ac:dyDescent="0.25">
      <c r="E1081" t="s">
        <v>425</v>
      </c>
      <c r="F1081">
        <v>0</v>
      </c>
      <c r="G1081">
        <v>0</v>
      </c>
      <c r="T1081" t="s">
        <v>483</v>
      </c>
      <c r="U1081">
        <v>0</v>
      </c>
      <c r="V1081">
        <v>0</v>
      </c>
    </row>
    <row r="1082" spans="5:22" x14ac:dyDescent="0.25">
      <c r="E1082" t="s">
        <v>425</v>
      </c>
      <c r="F1082">
        <v>0</v>
      </c>
      <c r="G1082">
        <v>0</v>
      </c>
      <c r="T1082" t="s">
        <v>483</v>
      </c>
      <c r="U1082">
        <v>0</v>
      </c>
      <c r="V1082">
        <v>0</v>
      </c>
    </row>
    <row r="1083" spans="5:22" x14ac:dyDescent="0.25">
      <c r="E1083" t="s">
        <v>425</v>
      </c>
      <c r="F1083">
        <v>0</v>
      </c>
      <c r="G1083">
        <v>0</v>
      </c>
      <c r="T1083" t="s">
        <v>483</v>
      </c>
      <c r="U1083">
        <v>0</v>
      </c>
      <c r="V1083">
        <v>24000</v>
      </c>
    </row>
    <row r="1084" spans="5:22" x14ac:dyDescent="0.25">
      <c r="E1084" t="s">
        <v>425</v>
      </c>
      <c r="F1084">
        <v>0</v>
      </c>
      <c r="G1084">
        <v>0</v>
      </c>
      <c r="T1084" t="s">
        <v>483</v>
      </c>
      <c r="U1084">
        <v>0</v>
      </c>
      <c r="V1084">
        <v>0</v>
      </c>
    </row>
    <row r="1085" spans="5:22" x14ac:dyDescent="0.25">
      <c r="E1085" t="s">
        <v>425</v>
      </c>
      <c r="F1085">
        <v>0</v>
      </c>
      <c r="G1085">
        <v>0</v>
      </c>
      <c r="T1085" t="s">
        <v>483</v>
      </c>
      <c r="U1085">
        <v>0</v>
      </c>
      <c r="V1085">
        <v>0</v>
      </c>
    </row>
    <row r="1086" spans="5:22" x14ac:dyDescent="0.25">
      <c r="E1086" t="s">
        <v>425</v>
      </c>
      <c r="F1086">
        <v>0</v>
      </c>
      <c r="G1086">
        <v>0</v>
      </c>
      <c r="T1086" t="s">
        <v>483</v>
      </c>
      <c r="U1086">
        <v>0</v>
      </c>
      <c r="V1086">
        <v>0</v>
      </c>
    </row>
    <row r="1087" spans="5:22" x14ac:dyDescent="0.25">
      <c r="E1087" t="s">
        <v>425</v>
      </c>
      <c r="F1087">
        <v>0</v>
      </c>
      <c r="G1087">
        <v>0</v>
      </c>
      <c r="T1087" t="s">
        <v>483</v>
      </c>
      <c r="U1087">
        <v>0</v>
      </c>
      <c r="V1087">
        <v>0</v>
      </c>
    </row>
    <row r="1088" spans="5:22" x14ac:dyDescent="0.25">
      <c r="E1088" t="s">
        <v>425</v>
      </c>
      <c r="F1088">
        <v>0</v>
      </c>
      <c r="G1088">
        <v>0</v>
      </c>
      <c r="T1088" t="s">
        <v>483</v>
      </c>
      <c r="U1088">
        <v>0</v>
      </c>
      <c r="V1088">
        <v>0</v>
      </c>
    </row>
    <row r="1089" spans="5:22" x14ac:dyDescent="0.25">
      <c r="E1089" t="s">
        <v>425</v>
      </c>
      <c r="F1089">
        <v>0</v>
      </c>
      <c r="G1089">
        <v>0</v>
      </c>
      <c r="T1089" t="s">
        <v>483</v>
      </c>
      <c r="U1089">
        <v>0</v>
      </c>
      <c r="V1089">
        <v>0</v>
      </c>
    </row>
    <row r="1090" spans="5:22" x14ac:dyDescent="0.25">
      <c r="E1090" t="s">
        <v>425</v>
      </c>
      <c r="F1090">
        <v>0</v>
      </c>
      <c r="G1090">
        <v>0</v>
      </c>
      <c r="T1090" t="s">
        <v>483</v>
      </c>
      <c r="U1090">
        <v>0</v>
      </c>
      <c r="V1090">
        <v>0</v>
      </c>
    </row>
    <row r="1091" spans="5:22" x14ac:dyDescent="0.25">
      <c r="E1091" t="s">
        <v>425</v>
      </c>
      <c r="F1091">
        <v>0</v>
      </c>
      <c r="G1091">
        <v>0</v>
      </c>
      <c r="T1091" t="s">
        <v>483</v>
      </c>
      <c r="U1091">
        <v>0</v>
      </c>
      <c r="V1091">
        <v>0</v>
      </c>
    </row>
    <row r="1092" spans="5:22" x14ac:dyDescent="0.25">
      <c r="E1092" t="s">
        <v>425</v>
      </c>
      <c r="F1092">
        <v>0</v>
      </c>
      <c r="G1092">
        <v>0</v>
      </c>
      <c r="T1092" t="s">
        <v>483</v>
      </c>
      <c r="U1092">
        <v>0</v>
      </c>
      <c r="V1092">
        <v>0</v>
      </c>
    </row>
    <row r="1093" spans="5:22" x14ac:dyDescent="0.25">
      <c r="E1093" t="s">
        <v>425</v>
      </c>
      <c r="F1093">
        <v>0</v>
      </c>
      <c r="G1093">
        <v>0</v>
      </c>
      <c r="T1093" t="s">
        <v>483</v>
      </c>
      <c r="U1093">
        <v>0</v>
      </c>
      <c r="V1093">
        <v>0</v>
      </c>
    </row>
    <row r="1094" spans="5:22" x14ac:dyDescent="0.25">
      <c r="E1094" t="s">
        <v>425</v>
      </c>
      <c r="F1094">
        <v>0</v>
      </c>
      <c r="G1094">
        <v>0</v>
      </c>
      <c r="T1094" t="s">
        <v>483</v>
      </c>
      <c r="U1094">
        <v>0</v>
      </c>
      <c r="V1094">
        <v>0</v>
      </c>
    </row>
    <row r="1095" spans="5:22" x14ac:dyDescent="0.25">
      <c r="E1095" t="s">
        <v>425</v>
      </c>
      <c r="F1095">
        <v>0</v>
      </c>
      <c r="G1095">
        <v>0</v>
      </c>
      <c r="T1095" t="s">
        <v>483</v>
      </c>
      <c r="U1095">
        <v>0</v>
      </c>
      <c r="V1095">
        <v>24000</v>
      </c>
    </row>
    <row r="1096" spans="5:22" x14ac:dyDescent="0.25">
      <c r="E1096" t="s">
        <v>425</v>
      </c>
      <c r="F1096">
        <v>0</v>
      </c>
      <c r="G1096">
        <v>0</v>
      </c>
      <c r="T1096" t="s">
        <v>483</v>
      </c>
      <c r="U1096">
        <v>0</v>
      </c>
      <c r="V1096">
        <v>0</v>
      </c>
    </row>
    <row r="1097" spans="5:22" x14ac:dyDescent="0.25">
      <c r="E1097" t="s">
        <v>50</v>
      </c>
      <c r="F1097">
        <v>0</v>
      </c>
      <c r="G1097">
        <v>0</v>
      </c>
      <c r="T1097" t="s">
        <v>483</v>
      </c>
      <c r="U1097">
        <v>0</v>
      </c>
      <c r="V1097">
        <v>0</v>
      </c>
    </row>
    <row r="1098" spans="5:22" x14ac:dyDescent="0.25">
      <c r="E1098" t="s">
        <v>50</v>
      </c>
      <c r="F1098">
        <v>0</v>
      </c>
      <c r="G1098">
        <v>0</v>
      </c>
      <c r="T1098" t="s">
        <v>483</v>
      </c>
      <c r="U1098">
        <v>0</v>
      </c>
      <c r="V1098">
        <v>0</v>
      </c>
    </row>
    <row r="1099" spans="5:22" x14ac:dyDescent="0.25">
      <c r="E1099" t="s">
        <v>50</v>
      </c>
      <c r="F1099">
        <v>0</v>
      </c>
      <c r="G1099">
        <v>0</v>
      </c>
      <c r="T1099" t="s">
        <v>483</v>
      </c>
      <c r="U1099">
        <v>0</v>
      </c>
      <c r="V1099">
        <v>0</v>
      </c>
    </row>
    <row r="1100" spans="5:22" x14ac:dyDescent="0.25">
      <c r="E1100" t="s">
        <v>50</v>
      </c>
      <c r="F1100">
        <v>0</v>
      </c>
      <c r="G1100">
        <v>0</v>
      </c>
      <c r="T1100" t="s">
        <v>483</v>
      </c>
      <c r="U1100">
        <v>0</v>
      </c>
      <c r="V1100">
        <v>0</v>
      </c>
    </row>
    <row r="1101" spans="5:22" x14ac:dyDescent="0.25">
      <c r="E1101" t="s">
        <v>50</v>
      </c>
      <c r="F1101">
        <v>0</v>
      </c>
      <c r="G1101">
        <v>0</v>
      </c>
      <c r="T1101" t="s">
        <v>483</v>
      </c>
      <c r="U1101">
        <v>0</v>
      </c>
      <c r="V1101">
        <v>0</v>
      </c>
    </row>
    <row r="1102" spans="5:22" x14ac:dyDescent="0.25">
      <c r="E1102" t="s">
        <v>50</v>
      </c>
      <c r="F1102">
        <v>0</v>
      </c>
      <c r="G1102">
        <v>0</v>
      </c>
      <c r="T1102" t="s">
        <v>483</v>
      </c>
      <c r="U1102">
        <v>0</v>
      </c>
      <c r="V1102">
        <v>0</v>
      </c>
    </row>
    <row r="1103" spans="5:22" x14ac:dyDescent="0.25">
      <c r="E1103" t="s">
        <v>50</v>
      </c>
      <c r="F1103">
        <v>0</v>
      </c>
      <c r="G1103">
        <v>0</v>
      </c>
      <c r="T1103" t="s">
        <v>483</v>
      </c>
      <c r="U1103">
        <v>0</v>
      </c>
      <c r="V1103">
        <v>0</v>
      </c>
    </row>
    <row r="1104" spans="5:22" x14ac:dyDescent="0.25">
      <c r="E1104" t="s">
        <v>50</v>
      </c>
      <c r="F1104">
        <v>0</v>
      </c>
      <c r="G1104">
        <v>0</v>
      </c>
      <c r="T1104" t="s">
        <v>483</v>
      </c>
      <c r="U1104">
        <v>0</v>
      </c>
      <c r="V1104">
        <v>30000</v>
      </c>
    </row>
    <row r="1105" spans="5:22" x14ac:dyDescent="0.25">
      <c r="E1105" t="s">
        <v>50</v>
      </c>
      <c r="F1105">
        <v>0</v>
      </c>
      <c r="G1105">
        <v>0</v>
      </c>
      <c r="T1105" t="s">
        <v>483</v>
      </c>
      <c r="U1105">
        <v>0</v>
      </c>
      <c r="V1105">
        <v>0</v>
      </c>
    </row>
    <row r="1106" spans="5:22" x14ac:dyDescent="0.25">
      <c r="E1106" t="s">
        <v>50</v>
      </c>
      <c r="F1106">
        <v>0</v>
      </c>
      <c r="G1106">
        <v>0</v>
      </c>
      <c r="T1106" t="s">
        <v>483</v>
      </c>
      <c r="U1106">
        <v>0</v>
      </c>
      <c r="V1106">
        <v>0</v>
      </c>
    </row>
    <row r="1107" spans="5:22" x14ac:dyDescent="0.25">
      <c r="E1107" t="s">
        <v>50</v>
      </c>
      <c r="F1107">
        <v>0</v>
      </c>
      <c r="G1107">
        <v>0</v>
      </c>
      <c r="T1107" t="s">
        <v>483</v>
      </c>
      <c r="U1107">
        <v>0</v>
      </c>
      <c r="V1107">
        <v>0</v>
      </c>
    </row>
    <row r="1108" spans="5:22" x14ac:dyDescent="0.25">
      <c r="E1108" t="s">
        <v>50</v>
      </c>
      <c r="F1108">
        <v>0</v>
      </c>
      <c r="G1108">
        <v>0</v>
      </c>
      <c r="T1108" t="s">
        <v>483</v>
      </c>
      <c r="U1108">
        <v>0</v>
      </c>
      <c r="V1108">
        <v>0</v>
      </c>
    </row>
    <row r="1109" spans="5:22" x14ac:dyDescent="0.25">
      <c r="E1109" t="s">
        <v>50</v>
      </c>
      <c r="F1109">
        <v>0</v>
      </c>
      <c r="G1109">
        <v>0</v>
      </c>
      <c r="T1109" t="s">
        <v>483</v>
      </c>
      <c r="U1109">
        <v>0</v>
      </c>
      <c r="V1109">
        <v>0</v>
      </c>
    </row>
    <row r="1110" spans="5:22" x14ac:dyDescent="0.25">
      <c r="E1110" t="s">
        <v>50</v>
      </c>
      <c r="F1110">
        <v>0</v>
      </c>
      <c r="G1110">
        <v>0</v>
      </c>
      <c r="T1110" t="s">
        <v>483</v>
      </c>
      <c r="U1110">
        <v>0</v>
      </c>
      <c r="V1110">
        <v>0</v>
      </c>
    </row>
    <row r="1111" spans="5:22" x14ac:dyDescent="0.25">
      <c r="E1111" t="s">
        <v>50</v>
      </c>
      <c r="F1111">
        <v>0</v>
      </c>
      <c r="G1111">
        <v>0</v>
      </c>
      <c r="T1111" t="s">
        <v>483</v>
      </c>
      <c r="U1111">
        <v>0</v>
      </c>
      <c r="V1111">
        <v>0</v>
      </c>
    </row>
    <row r="1112" spans="5:22" x14ac:dyDescent="0.25">
      <c r="E1112" t="s">
        <v>50</v>
      </c>
      <c r="F1112">
        <v>0</v>
      </c>
      <c r="G1112">
        <v>0</v>
      </c>
      <c r="T1112" t="s">
        <v>483</v>
      </c>
      <c r="U1112">
        <v>0</v>
      </c>
      <c r="V1112">
        <v>0</v>
      </c>
    </row>
    <row r="1113" spans="5:22" x14ac:dyDescent="0.25">
      <c r="E1113" t="s">
        <v>50</v>
      </c>
      <c r="F1113">
        <v>0</v>
      </c>
      <c r="G1113">
        <v>0</v>
      </c>
      <c r="T1113" t="s">
        <v>483</v>
      </c>
      <c r="U1113">
        <v>0</v>
      </c>
      <c r="V1113">
        <v>0</v>
      </c>
    </row>
    <row r="1114" spans="5:22" x14ac:dyDescent="0.25">
      <c r="E1114" t="s">
        <v>50</v>
      </c>
      <c r="F1114">
        <v>0</v>
      </c>
      <c r="G1114">
        <v>0</v>
      </c>
      <c r="T1114" t="s">
        <v>483</v>
      </c>
      <c r="U1114">
        <v>0</v>
      </c>
      <c r="V1114">
        <v>0</v>
      </c>
    </row>
    <row r="1115" spans="5:22" x14ac:dyDescent="0.25">
      <c r="E1115" t="s">
        <v>50</v>
      </c>
      <c r="F1115">
        <v>0</v>
      </c>
      <c r="G1115">
        <v>0</v>
      </c>
      <c r="T1115" t="s">
        <v>483</v>
      </c>
      <c r="U1115">
        <v>0</v>
      </c>
      <c r="V1115">
        <v>0</v>
      </c>
    </row>
    <row r="1116" spans="5:22" x14ac:dyDescent="0.25">
      <c r="E1116" t="s">
        <v>50</v>
      </c>
      <c r="F1116">
        <v>0</v>
      </c>
      <c r="G1116">
        <v>0</v>
      </c>
      <c r="T1116" t="s">
        <v>483</v>
      </c>
      <c r="U1116">
        <v>0</v>
      </c>
      <c r="V1116">
        <v>0</v>
      </c>
    </row>
    <row r="1117" spans="5:22" x14ac:dyDescent="0.25">
      <c r="E1117" t="s">
        <v>50</v>
      </c>
      <c r="F1117">
        <v>0</v>
      </c>
      <c r="G1117">
        <v>0</v>
      </c>
      <c r="T1117" t="s">
        <v>483</v>
      </c>
      <c r="U1117">
        <v>0</v>
      </c>
      <c r="V1117">
        <v>0</v>
      </c>
    </row>
    <row r="1118" spans="5:22" x14ac:dyDescent="0.25">
      <c r="E1118" t="s">
        <v>581</v>
      </c>
      <c r="F1118">
        <v>0</v>
      </c>
      <c r="G1118">
        <v>0</v>
      </c>
      <c r="T1118" t="s">
        <v>483</v>
      </c>
      <c r="U1118">
        <v>0</v>
      </c>
      <c r="V1118">
        <v>0</v>
      </c>
    </row>
    <row r="1119" spans="5:22" x14ac:dyDescent="0.25">
      <c r="E1119" t="s">
        <v>581</v>
      </c>
      <c r="F1119">
        <v>0</v>
      </c>
      <c r="G1119">
        <v>0</v>
      </c>
      <c r="T1119" t="s">
        <v>483</v>
      </c>
      <c r="U1119">
        <v>0</v>
      </c>
      <c r="V1119">
        <v>0</v>
      </c>
    </row>
    <row r="1120" spans="5:22" x14ac:dyDescent="0.25">
      <c r="E1120" t="s">
        <v>581</v>
      </c>
      <c r="F1120">
        <v>0</v>
      </c>
      <c r="G1120">
        <v>0</v>
      </c>
      <c r="T1120" t="s">
        <v>483</v>
      </c>
      <c r="U1120">
        <v>0</v>
      </c>
      <c r="V1120">
        <v>0</v>
      </c>
    </row>
    <row r="1121" spans="5:22" x14ac:dyDescent="0.25">
      <c r="E1121" t="s">
        <v>581</v>
      </c>
      <c r="F1121">
        <v>0</v>
      </c>
      <c r="G1121">
        <v>0</v>
      </c>
      <c r="T1121" t="s">
        <v>483</v>
      </c>
      <c r="U1121">
        <v>0</v>
      </c>
      <c r="V1121">
        <v>0</v>
      </c>
    </row>
    <row r="1122" spans="5:22" x14ac:dyDescent="0.25">
      <c r="E1122" t="s">
        <v>581</v>
      </c>
      <c r="F1122">
        <v>0</v>
      </c>
      <c r="G1122">
        <v>0</v>
      </c>
      <c r="T1122" t="s">
        <v>483</v>
      </c>
      <c r="U1122">
        <v>0</v>
      </c>
      <c r="V1122">
        <v>0</v>
      </c>
    </row>
    <row r="1123" spans="5:22" x14ac:dyDescent="0.25">
      <c r="E1123" t="s">
        <v>581</v>
      </c>
      <c r="F1123">
        <v>0</v>
      </c>
      <c r="G1123">
        <v>0</v>
      </c>
      <c r="T1123" t="s">
        <v>483</v>
      </c>
      <c r="U1123">
        <v>0</v>
      </c>
      <c r="V1123">
        <v>0</v>
      </c>
    </row>
    <row r="1124" spans="5:22" x14ac:dyDescent="0.25">
      <c r="E1124" t="s">
        <v>581</v>
      </c>
      <c r="F1124">
        <v>0</v>
      </c>
      <c r="G1124">
        <v>0</v>
      </c>
      <c r="T1124" t="s">
        <v>483</v>
      </c>
      <c r="U1124">
        <v>0</v>
      </c>
      <c r="V1124">
        <v>0</v>
      </c>
    </row>
    <row r="1125" spans="5:22" x14ac:dyDescent="0.25">
      <c r="E1125" t="s">
        <v>581</v>
      </c>
      <c r="F1125">
        <v>0</v>
      </c>
      <c r="G1125">
        <v>0</v>
      </c>
      <c r="T1125" t="s">
        <v>483</v>
      </c>
      <c r="U1125">
        <v>0</v>
      </c>
      <c r="V1125">
        <v>28000</v>
      </c>
    </row>
    <row r="1126" spans="5:22" x14ac:dyDescent="0.25">
      <c r="E1126" t="s">
        <v>581</v>
      </c>
      <c r="F1126">
        <v>0</v>
      </c>
      <c r="G1126">
        <v>0</v>
      </c>
      <c r="T1126" t="s">
        <v>483</v>
      </c>
      <c r="U1126">
        <v>0</v>
      </c>
      <c r="V1126">
        <v>0</v>
      </c>
    </row>
    <row r="1127" spans="5:22" x14ac:dyDescent="0.25">
      <c r="E1127" t="s">
        <v>581</v>
      </c>
      <c r="F1127">
        <v>0</v>
      </c>
      <c r="G1127">
        <v>0</v>
      </c>
      <c r="T1127" t="s">
        <v>483</v>
      </c>
      <c r="U1127">
        <v>0</v>
      </c>
      <c r="V1127">
        <v>31000</v>
      </c>
    </row>
    <row r="1128" spans="5:22" x14ac:dyDescent="0.25">
      <c r="E1128" t="s">
        <v>581</v>
      </c>
      <c r="F1128">
        <v>0</v>
      </c>
      <c r="G1128">
        <v>0</v>
      </c>
      <c r="T1128" t="s">
        <v>483</v>
      </c>
      <c r="U1128">
        <v>0</v>
      </c>
      <c r="V1128">
        <v>0</v>
      </c>
    </row>
    <row r="1129" spans="5:22" x14ac:dyDescent="0.25">
      <c r="E1129" t="s">
        <v>581</v>
      </c>
      <c r="F1129">
        <v>0</v>
      </c>
      <c r="G1129">
        <v>0</v>
      </c>
      <c r="T1129" t="s">
        <v>483</v>
      </c>
      <c r="U1129">
        <v>0</v>
      </c>
      <c r="V1129">
        <v>0</v>
      </c>
    </row>
    <row r="1130" spans="5:22" x14ac:dyDescent="0.25">
      <c r="E1130" t="s">
        <v>581</v>
      </c>
      <c r="F1130">
        <v>0</v>
      </c>
      <c r="G1130">
        <v>0</v>
      </c>
      <c r="T1130" t="s">
        <v>483</v>
      </c>
      <c r="U1130">
        <v>0</v>
      </c>
      <c r="V1130">
        <v>0</v>
      </c>
    </row>
    <row r="1131" spans="5:22" x14ac:dyDescent="0.25">
      <c r="E1131" t="s">
        <v>581</v>
      </c>
      <c r="F1131">
        <v>0</v>
      </c>
      <c r="G1131">
        <v>0</v>
      </c>
      <c r="T1131" t="s">
        <v>483</v>
      </c>
      <c r="U1131">
        <v>0</v>
      </c>
      <c r="V1131">
        <v>0</v>
      </c>
    </row>
    <row r="1132" spans="5:22" x14ac:dyDescent="0.25">
      <c r="E1132" t="s">
        <v>581</v>
      </c>
      <c r="F1132">
        <v>0</v>
      </c>
      <c r="G1132">
        <v>0</v>
      </c>
      <c r="T1132" t="s">
        <v>483</v>
      </c>
      <c r="U1132">
        <v>0</v>
      </c>
      <c r="V1132">
        <v>28000</v>
      </c>
    </row>
    <row r="1133" spans="5:22" x14ac:dyDescent="0.25">
      <c r="E1133" t="s">
        <v>581</v>
      </c>
      <c r="F1133">
        <v>0</v>
      </c>
      <c r="G1133">
        <v>0</v>
      </c>
      <c r="T1133" t="s">
        <v>483</v>
      </c>
      <c r="U1133">
        <v>0</v>
      </c>
      <c r="V1133">
        <v>0</v>
      </c>
    </row>
    <row r="1134" spans="5:22" x14ac:dyDescent="0.25">
      <c r="E1134" t="s">
        <v>581</v>
      </c>
      <c r="F1134">
        <v>0</v>
      </c>
      <c r="G1134">
        <v>0</v>
      </c>
      <c r="T1134" t="s">
        <v>483</v>
      </c>
      <c r="U1134">
        <v>0</v>
      </c>
      <c r="V1134">
        <v>0</v>
      </c>
    </row>
    <row r="1135" spans="5:22" x14ac:dyDescent="0.25">
      <c r="E1135" t="s">
        <v>581</v>
      </c>
      <c r="F1135">
        <v>0</v>
      </c>
      <c r="G1135">
        <v>0</v>
      </c>
      <c r="T1135" t="s">
        <v>483</v>
      </c>
      <c r="U1135">
        <v>0</v>
      </c>
      <c r="V1135">
        <v>0</v>
      </c>
    </row>
    <row r="1136" spans="5:22" x14ac:dyDescent="0.25">
      <c r="E1136" t="s">
        <v>581</v>
      </c>
      <c r="F1136">
        <v>0</v>
      </c>
      <c r="G1136">
        <v>0</v>
      </c>
      <c r="T1136" t="s">
        <v>483</v>
      </c>
      <c r="U1136">
        <v>0</v>
      </c>
      <c r="V1136">
        <v>0</v>
      </c>
    </row>
    <row r="1137" spans="5:22" x14ac:dyDescent="0.25">
      <c r="E1137" t="s">
        <v>581</v>
      </c>
      <c r="F1137">
        <v>0</v>
      </c>
      <c r="G1137">
        <v>0</v>
      </c>
      <c r="T1137" t="s">
        <v>483</v>
      </c>
      <c r="U1137">
        <v>0</v>
      </c>
      <c r="V1137">
        <v>0</v>
      </c>
    </row>
    <row r="1138" spans="5:22" x14ac:dyDescent="0.25">
      <c r="E1138" t="s">
        <v>581</v>
      </c>
      <c r="F1138">
        <v>0</v>
      </c>
      <c r="G1138">
        <v>0</v>
      </c>
      <c r="T1138" t="s">
        <v>483</v>
      </c>
      <c r="U1138">
        <v>0</v>
      </c>
      <c r="V1138">
        <v>26000</v>
      </c>
    </row>
    <row r="1139" spans="5:22" x14ac:dyDescent="0.25">
      <c r="E1139" t="s">
        <v>581</v>
      </c>
      <c r="F1139">
        <v>0</v>
      </c>
      <c r="G1139">
        <v>0</v>
      </c>
      <c r="T1139" t="s">
        <v>483</v>
      </c>
      <c r="U1139">
        <v>0</v>
      </c>
      <c r="V1139">
        <v>31000</v>
      </c>
    </row>
    <row r="1140" spans="5:22" x14ac:dyDescent="0.25">
      <c r="E1140" t="s">
        <v>581</v>
      </c>
      <c r="F1140">
        <v>0</v>
      </c>
      <c r="G1140">
        <v>0</v>
      </c>
      <c r="T1140" t="s">
        <v>483</v>
      </c>
      <c r="U1140">
        <v>0</v>
      </c>
      <c r="V1140">
        <v>45000</v>
      </c>
    </row>
    <row r="1141" spans="5:22" x14ac:dyDescent="0.25">
      <c r="E1141" t="s">
        <v>581</v>
      </c>
      <c r="F1141">
        <v>0</v>
      </c>
      <c r="G1141">
        <v>0</v>
      </c>
      <c r="T1141" t="s">
        <v>483</v>
      </c>
      <c r="U1141">
        <v>0</v>
      </c>
      <c r="V1141">
        <v>0</v>
      </c>
    </row>
    <row r="1142" spans="5:22" x14ac:dyDescent="0.25">
      <c r="E1142" t="s">
        <v>581</v>
      </c>
      <c r="F1142">
        <v>0</v>
      </c>
      <c r="G1142">
        <v>0</v>
      </c>
      <c r="T1142" t="s">
        <v>483</v>
      </c>
      <c r="U1142">
        <v>0</v>
      </c>
      <c r="V1142">
        <v>0</v>
      </c>
    </row>
    <row r="1143" spans="5:22" x14ac:dyDescent="0.25">
      <c r="E1143" t="s">
        <v>581</v>
      </c>
      <c r="F1143">
        <v>0</v>
      </c>
      <c r="G1143">
        <v>0</v>
      </c>
      <c r="T1143" t="s">
        <v>483</v>
      </c>
      <c r="U1143">
        <v>0</v>
      </c>
      <c r="V1143">
        <v>0</v>
      </c>
    </row>
    <row r="1144" spans="5:22" x14ac:dyDescent="0.25">
      <c r="E1144" t="s">
        <v>581</v>
      </c>
      <c r="F1144">
        <v>0</v>
      </c>
      <c r="G1144">
        <v>0</v>
      </c>
      <c r="T1144" t="s">
        <v>483</v>
      </c>
      <c r="U1144">
        <v>0</v>
      </c>
      <c r="V1144">
        <v>0</v>
      </c>
    </row>
    <row r="1145" spans="5:22" x14ac:dyDescent="0.25">
      <c r="E1145" t="s">
        <v>581</v>
      </c>
      <c r="F1145">
        <v>0</v>
      </c>
      <c r="G1145">
        <v>0</v>
      </c>
      <c r="T1145" t="s">
        <v>483</v>
      </c>
      <c r="U1145">
        <v>0</v>
      </c>
      <c r="V1145">
        <v>33000</v>
      </c>
    </row>
    <row r="1146" spans="5:22" x14ac:dyDescent="0.25">
      <c r="E1146" t="s">
        <v>581</v>
      </c>
      <c r="F1146">
        <v>0</v>
      </c>
      <c r="G1146">
        <v>0</v>
      </c>
      <c r="T1146" t="s">
        <v>483</v>
      </c>
      <c r="U1146">
        <v>0</v>
      </c>
      <c r="V1146">
        <v>0</v>
      </c>
    </row>
    <row r="1147" spans="5:22" x14ac:dyDescent="0.25">
      <c r="E1147" t="s">
        <v>43</v>
      </c>
      <c r="F1147">
        <v>5000</v>
      </c>
      <c r="G1147">
        <v>0</v>
      </c>
      <c r="T1147" t="s">
        <v>483</v>
      </c>
      <c r="U1147">
        <v>0</v>
      </c>
      <c r="V1147">
        <v>33000</v>
      </c>
    </row>
    <row r="1148" spans="5:22" x14ac:dyDescent="0.25">
      <c r="E1148" t="s">
        <v>43</v>
      </c>
      <c r="F1148">
        <v>8000</v>
      </c>
      <c r="G1148">
        <v>0</v>
      </c>
      <c r="T1148" t="s">
        <v>483</v>
      </c>
      <c r="U1148">
        <v>0</v>
      </c>
      <c r="V1148">
        <v>0</v>
      </c>
    </row>
    <row r="1149" spans="5:22" x14ac:dyDescent="0.25">
      <c r="E1149" t="s">
        <v>43</v>
      </c>
      <c r="F1149">
        <v>5500</v>
      </c>
      <c r="G1149">
        <v>0</v>
      </c>
      <c r="T1149" t="s">
        <v>483</v>
      </c>
      <c r="U1149">
        <v>0</v>
      </c>
      <c r="V1149">
        <v>0</v>
      </c>
    </row>
    <row r="1150" spans="5:22" x14ac:dyDescent="0.25">
      <c r="E1150" t="s">
        <v>43</v>
      </c>
      <c r="F1150">
        <v>0</v>
      </c>
      <c r="G1150">
        <v>0</v>
      </c>
      <c r="T1150" t="s">
        <v>483</v>
      </c>
      <c r="U1150">
        <v>0</v>
      </c>
      <c r="V1150">
        <v>0</v>
      </c>
    </row>
    <row r="1151" spans="5:22" x14ac:dyDescent="0.25">
      <c r="E1151" t="s">
        <v>43</v>
      </c>
      <c r="F1151">
        <v>0</v>
      </c>
      <c r="G1151">
        <v>4000</v>
      </c>
      <c r="T1151" t="s">
        <v>483</v>
      </c>
      <c r="U1151">
        <v>0</v>
      </c>
      <c r="V1151">
        <v>0</v>
      </c>
    </row>
    <row r="1152" spans="5:22" x14ac:dyDescent="0.25">
      <c r="E1152" t="s">
        <v>43</v>
      </c>
      <c r="F1152">
        <v>10000</v>
      </c>
      <c r="G1152">
        <v>0</v>
      </c>
      <c r="T1152" t="s">
        <v>483</v>
      </c>
      <c r="U1152">
        <v>0</v>
      </c>
      <c r="V1152">
        <v>0</v>
      </c>
    </row>
    <row r="1153" spans="5:22" x14ac:dyDescent="0.25">
      <c r="E1153" t="s">
        <v>43</v>
      </c>
      <c r="F1153">
        <v>0</v>
      </c>
      <c r="G1153">
        <v>0</v>
      </c>
      <c r="T1153" t="s">
        <v>483</v>
      </c>
      <c r="U1153">
        <v>0</v>
      </c>
      <c r="V1153">
        <v>0</v>
      </c>
    </row>
    <row r="1154" spans="5:22" x14ac:dyDescent="0.25">
      <c r="E1154" t="s">
        <v>43</v>
      </c>
      <c r="F1154">
        <v>0</v>
      </c>
      <c r="G1154">
        <v>0</v>
      </c>
      <c r="T1154" t="s">
        <v>483</v>
      </c>
      <c r="U1154">
        <v>0</v>
      </c>
      <c r="V1154">
        <v>0</v>
      </c>
    </row>
    <row r="1155" spans="5:22" x14ac:dyDescent="0.25">
      <c r="E1155" t="s">
        <v>43</v>
      </c>
      <c r="F1155">
        <v>0</v>
      </c>
      <c r="G1155">
        <v>0</v>
      </c>
      <c r="T1155" t="s">
        <v>483</v>
      </c>
      <c r="U1155">
        <v>0</v>
      </c>
      <c r="V1155">
        <v>0</v>
      </c>
    </row>
    <row r="1156" spans="5:22" x14ac:dyDescent="0.25">
      <c r="E1156" t="s">
        <v>43</v>
      </c>
      <c r="F1156">
        <v>0</v>
      </c>
      <c r="G1156">
        <v>0</v>
      </c>
      <c r="T1156" t="s">
        <v>483</v>
      </c>
      <c r="U1156">
        <v>0</v>
      </c>
      <c r="V1156">
        <v>0</v>
      </c>
    </row>
    <row r="1157" spans="5:22" x14ac:dyDescent="0.25">
      <c r="E1157" t="s">
        <v>43</v>
      </c>
      <c r="F1157">
        <v>0</v>
      </c>
      <c r="G1157">
        <v>0</v>
      </c>
      <c r="T1157" t="s">
        <v>483</v>
      </c>
      <c r="U1157">
        <v>0</v>
      </c>
      <c r="V1157">
        <v>0</v>
      </c>
    </row>
    <row r="1158" spans="5:22" x14ac:dyDescent="0.25">
      <c r="E1158" t="s">
        <v>43</v>
      </c>
      <c r="F1158">
        <v>0</v>
      </c>
      <c r="G1158">
        <v>0</v>
      </c>
      <c r="T1158" t="s">
        <v>483</v>
      </c>
      <c r="U1158">
        <v>0</v>
      </c>
      <c r="V1158">
        <v>32000</v>
      </c>
    </row>
    <row r="1159" spans="5:22" x14ac:dyDescent="0.25">
      <c r="E1159" t="s">
        <v>43</v>
      </c>
      <c r="F1159">
        <v>0</v>
      </c>
      <c r="G1159">
        <v>5000</v>
      </c>
      <c r="T1159" t="s">
        <v>483</v>
      </c>
      <c r="U1159">
        <v>0</v>
      </c>
      <c r="V1159">
        <v>32000</v>
      </c>
    </row>
    <row r="1160" spans="5:22" x14ac:dyDescent="0.25">
      <c r="E1160" t="s">
        <v>43</v>
      </c>
      <c r="F1160">
        <v>3500</v>
      </c>
      <c r="G1160">
        <v>0</v>
      </c>
      <c r="T1160" t="s">
        <v>483</v>
      </c>
      <c r="U1160">
        <v>0</v>
      </c>
      <c r="V1160">
        <v>0</v>
      </c>
    </row>
    <row r="1161" spans="5:22" x14ac:dyDescent="0.25">
      <c r="E1161" t="s">
        <v>43</v>
      </c>
      <c r="F1161">
        <v>3500</v>
      </c>
      <c r="G1161">
        <v>0</v>
      </c>
      <c r="T1161" t="s">
        <v>483</v>
      </c>
      <c r="U1161">
        <v>0</v>
      </c>
      <c r="V1161">
        <v>0</v>
      </c>
    </row>
    <row r="1162" spans="5:22" x14ac:dyDescent="0.25">
      <c r="E1162" t="s">
        <v>43</v>
      </c>
      <c r="F1162">
        <v>0</v>
      </c>
      <c r="G1162">
        <v>0</v>
      </c>
      <c r="T1162" t="s">
        <v>483</v>
      </c>
      <c r="U1162">
        <v>0</v>
      </c>
      <c r="V1162">
        <v>0</v>
      </c>
    </row>
    <row r="1163" spans="5:22" x14ac:dyDescent="0.25">
      <c r="E1163" t="s">
        <v>43</v>
      </c>
      <c r="F1163">
        <v>8000</v>
      </c>
      <c r="G1163">
        <v>0</v>
      </c>
      <c r="T1163" t="s">
        <v>483</v>
      </c>
      <c r="U1163">
        <v>0</v>
      </c>
      <c r="V1163">
        <v>0</v>
      </c>
    </row>
    <row r="1164" spans="5:22" x14ac:dyDescent="0.25">
      <c r="E1164" t="s">
        <v>43</v>
      </c>
      <c r="F1164">
        <v>0</v>
      </c>
      <c r="G1164">
        <v>5000</v>
      </c>
      <c r="T1164" t="s">
        <v>483</v>
      </c>
      <c r="U1164">
        <v>0</v>
      </c>
      <c r="V1164">
        <v>28000</v>
      </c>
    </row>
    <row r="1165" spans="5:22" x14ac:dyDescent="0.25">
      <c r="E1165" t="s">
        <v>43</v>
      </c>
      <c r="F1165">
        <v>0</v>
      </c>
      <c r="G1165">
        <v>0</v>
      </c>
      <c r="T1165" t="s">
        <v>483</v>
      </c>
      <c r="U1165">
        <v>0</v>
      </c>
      <c r="V1165">
        <v>0</v>
      </c>
    </row>
    <row r="1166" spans="5:22" x14ac:dyDescent="0.25">
      <c r="E1166" t="s">
        <v>43</v>
      </c>
      <c r="F1166">
        <v>0</v>
      </c>
      <c r="G1166">
        <v>0</v>
      </c>
      <c r="T1166" t="s">
        <v>483</v>
      </c>
      <c r="U1166">
        <v>0</v>
      </c>
      <c r="V1166">
        <v>0</v>
      </c>
    </row>
    <row r="1167" spans="5:22" x14ac:dyDescent="0.25">
      <c r="E1167" t="s">
        <v>43</v>
      </c>
      <c r="F1167">
        <v>15000</v>
      </c>
      <c r="G1167">
        <v>0</v>
      </c>
      <c r="T1167" t="s">
        <v>483</v>
      </c>
      <c r="U1167">
        <v>0</v>
      </c>
      <c r="V1167">
        <v>45000</v>
      </c>
    </row>
    <row r="1168" spans="5:22" x14ac:dyDescent="0.25">
      <c r="E1168" t="s">
        <v>43</v>
      </c>
      <c r="F1168">
        <v>0</v>
      </c>
      <c r="G1168">
        <v>0</v>
      </c>
      <c r="T1168" t="s">
        <v>483</v>
      </c>
      <c r="U1168">
        <v>0</v>
      </c>
      <c r="V1168">
        <v>0</v>
      </c>
    </row>
    <row r="1169" spans="5:22" x14ac:dyDescent="0.25">
      <c r="E1169" t="s">
        <v>43</v>
      </c>
      <c r="F1169">
        <v>12000</v>
      </c>
      <c r="G1169">
        <v>0</v>
      </c>
      <c r="T1169" t="s">
        <v>483</v>
      </c>
      <c r="U1169">
        <v>0</v>
      </c>
      <c r="V1169">
        <v>0</v>
      </c>
    </row>
    <row r="1170" spans="5:22" x14ac:dyDescent="0.25">
      <c r="E1170" t="s">
        <v>43</v>
      </c>
      <c r="F1170">
        <v>0</v>
      </c>
      <c r="G1170">
        <v>0</v>
      </c>
      <c r="T1170" t="s">
        <v>483</v>
      </c>
      <c r="U1170">
        <v>0</v>
      </c>
      <c r="V1170">
        <v>0</v>
      </c>
    </row>
    <row r="1171" spans="5:22" x14ac:dyDescent="0.25">
      <c r="E1171" t="s">
        <v>43</v>
      </c>
      <c r="F1171">
        <v>8000</v>
      </c>
      <c r="G1171">
        <v>0</v>
      </c>
      <c r="T1171" t="s">
        <v>483</v>
      </c>
      <c r="U1171">
        <v>0</v>
      </c>
      <c r="V1171">
        <v>30000</v>
      </c>
    </row>
    <row r="1172" spans="5:22" x14ac:dyDescent="0.25">
      <c r="E1172" t="s">
        <v>43</v>
      </c>
      <c r="F1172">
        <v>0</v>
      </c>
      <c r="G1172">
        <v>3600</v>
      </c>
      <c r="T1172" t="s">
        <v>483</v>
      </c>
      <c r="U1172">
        <v>0</v>
      </c>
      <c r="V1172">
        <v>0</v>
      </c>
    </row>
    <row r="1173" spans="5:22" x14ac:dyDescent="0.25">
      <c r="E1173" t="s">
        <v>43</v>
      </c>
      <c r="F1173">
        <v>0</v>
      </c>
      <c r="G1173">
        <v>5000</v>
      </c>
      <c r="T1173" t="s">
        <v>483</v>
      </c>
      <c r="U1173">
        <v>0</v>
      </c>
      <c r="V1173">
        <v>31000</v>
      </c>
    </row>
    <row r="1174" spans="5:22" x14ac:dyDescent="0.25">
      <c r="E1174" t="s">
        <v>43</v>
      </c>
      <c r="F1174">
        <v>8000</v>
      </c>
      <c r="G1174">
        <v>0</v>
      </c>
      <c r="T1174" t="s">
        <v>483</v>
      </c>
      <c r="U1174">
        <v>0</v>
      </c>
      <c r="V1174">
        <v>0</v>
      </c>
    </row>
    <row r="1175" spans="5:22" x14ac:dyDescent="0.25">
      <c r="E1175" t="s">
        <v>43</v>
      </c>
      <c r="F1175">
        <v>0</v>
      </c>
      <c r="G1175">
        <v>0</v>
      </c>
      <c r="T1175" t="s">
        <v>483</v>
      </c>
      <c r="U1175">
        <v>0</v>
      </c>
      <c r="V1175">
        <v>0</v>
      </c>
    </row>
    <row r="1176" spans="5:22" x14ac:dyDescent="0.25">
      <c r="E1176" t="s">
        <v>43</v>
      </c>
      <c r="F1176">
        <v>9000</v>
      </c>
      <c r="G1176">
        <v>0</v>
      </c>
      <c r="T1176" t="s">
        <v>483</v>
      </c>
      <c r="U1176">
        <v>0</v>
      </c>
      <c r="V1176">
        <v>30000</v>
      </c>
    </row>
    <row r="1177" spans="5:22" x14ac:dyDescent="0.25">
      <c r="E1177" t="s">
        <v>43</v>
      </c>
      <c r="F1177">
        <v>0</v>
      </c>
      <c r="G1177">
        <v>0</v>
      </c>
      <c r="T1177" t="s">
        <v>483</v>
      </c>
      <c r="U1177">
        <v>0</v>
      </c>
      <c r="V1177">
        <v>0</v>
      </c>
    </row>
    <row r="1178" spans="5:22" x14ac:dyDescent="0.25">
      <c r="E1178" t="s">
        <v>43</v>
      </c>
      <c r="F1178">
        <v>0</v>
      </c>
      <c r="G1178">
        <v>0</v>
      </c>
      <c r="T1178" t="s">
        <v>483</v>
      </c>
      <c r="U1178">
        <v>0</v>
      </c>
      <c r="V1178">
        <v>0</v>
      </c>
    </row>
    <row r="1179" spans="5:22" x14ac:dyDescent="0.25">
      <c r="E1179" t="s">
        <v>43</v>
      </c>
      <c r="F1179">
        <v>0</v>
      </c>
      <c r="G1179">
        <v>0</v>
      </c>
      <c r="T1179" t="s">
        <v>483</v>
      </c>
      <c r="U1179">
        <v>0</v>
      </c>
      <c r="V1179">
        <v>0</v>
      </c>
    </row>
    <row r="1180" spans="5:22" x14ac:dyDescent="0.25">
      <c r="E1180" t="s">
        <v>43</v>
      </c>
      <c r="F1180">
        <v>0</v>
      </c>
      <c r="G1180">
        <v>0</v>
      </c>
      <c r="T1180" t="s">
        <v>483</v>
      </c>
      <c r="U1180">
        <v>0</v>
      </c>
      <c r="V1180">
        <v>0</v>
      </c>
    </row>
    <row r="1181" spans="5:22" x14ac:dyDescent="0.25">
      <c r="E1181" t="s">
        <v>43</v>
      </c>
      <c r="F1181">
        <v>0</v>
      </c>
      <c r="G1181">
        <v>0</v>
      </c>
      <c r="T1181" t="s">
        <v>483</v>
      </c>
      <c r="U1181">
        <v>0</v>
      </c>
      <c r="V1181">
        <v>0</v>
      </c>
    </row>
    <row r="1182" spans="5:22" x14ac:dyDescent="0.25">
      <c r="E1182" t="s">
        <v>43</v>
      </c>
      <c r="F1182">
        <v>0</v>
      </c>
      <c r="G1182">
        <v>0</v>
      </c>
      <c r="T1182" t="s">
        <v>483</v>
      </c>
      <c r="U1182">
        <v>0</v>
      </c>
      <c r="V1182">
        <v>0</v>
      </c>
    </row>
    <row r="1183" spans="5:22" x14ac:dyDescent="0.25">
      <c r="E1183" t="s">
        <v>43</v>
      </c>
      <c r="F1183">
        <v>0</v>
      </c>
      <c r="G1183">
        <v>0</v>
      </c>
      <c r="T1183" t="s">
        <v>483</v>
      </c>
      <c r="U1183">
        <v>0</v>
      </c>
      <c r="V1183">
        <v>0</v>
      </c>
    </row>
    <row r="1184" spans="5:22" x14ac:dyDescent="0.25">
      <c r="E1184" t="s">
        <v>43</v>
      </c>
      <c r="F1184">
        <v>0</v>
      </c>
      <c r="G1184">
        <v>0</v>
      </c>
      <c r="T1184" t="s">
        <v>483</v>
      </c>
      <c r="U1184">
        <v>0</v>
      </c>
      <c r="V1184">
        <v>30000</v>
      </c>
    </row>
    <row r="1185" spans="5:22" x14ac:dyDescent="0.25">
      <c r="E1185" t="s">
        <v>43</v>
      </c>
      <c r="F1185">
        <v>0</v>
      </c>
      <c r="G1185">
        <v>0</v>
      </c>
      <c r="T1185" t="s">
        <v>483</v>
      </c>
      <c r="U1185">
        <v>0</v>
      </c>
      <c r="V1185">
        <v>32000</v>
      </c>
    </row>
    <row r="1186" spans="5:22" x14ac:dyDescent="0.25">
      <c r="E1186" t="s">
        <v>43</v>
      </c>
      <c r="F1186">
        <v>0</v>
      </c>
      <c r="G1186">
        <v>0</v>
      </c>
      <c r="T1186" t="s">
        <v>483</v>
      </c>
      <c r="U1186">
        <v>0</v>
      </c>
      <c r="V1186">
        <v>0</v>
      </c>
    </row>
    <row r="1187" spans="5:22" x14ac:dyDescent="0.25">
      <c r="E1187" t="s">
        <v>43</v>
      </c>
      <c r="F1187">
        <v>0</v>
      </c>
      <c r="G1187">
        <v>0</v>
      </c>
      <c r="T1187" t="s">
        <v>483</v>
      </c>
      <c r="U1187">
        <v>0</v>
      </c>
      <c r="V1187">
        <v>0</v>
      </c>
    </row>
    <row r="1188" spans="5:22" x14ac:dyDescent="0.25">
      <c r="E1188" t="s">
        <v>43</v>
      </c>
      <c r="F1188">
        <v>5700</v>
      </c>
      <c r="G1188">
        <v>0</v>
      </c>
      <c r="T1188" t="s">
        <v>483</v>
      </c>
      <c r="U1188">
        <v>0</v>
      </c>
      <c r="V1188">
        <v>33000</v>
      </c>
    </row>
    <row r="1189" spans="5:22" x14ac:dyDescent="0.25">
      <c r="E1189" t="s">
        <v>43</v>
      </c>
      <c r="F1189">
        <v>0</v>
      </c>
      <c r="G1189">
        <v>5000</v>
      </c>
      <c r="T1189" t="s">
        <v>483</v>
      </c>
      <c r="U1189">
        <v>0</v>
      </c>
      <c r="V1189">
        <v>0</v>
      </c>
    </row>
    <row r="1190" spans="5:22" x14ac:dyDescent="0.25">
      <c r="E1190" t="s">
        <v>43</v>
      </c>
      <c r="F1190">
        <v>9000</v>
      </c>
      <c r="G1190">
        <v>0</v>
      </c>
      <c r="T1190" t="s">
        <v>483</v>
      </c>
      <c r="U1190">
        <v>0</v>
      </c>
      <c r="V1190">
        <v>0</v>
      </c>
    </row>
    <row r="1191" spans="5:22" x14ac:dyDescent="0.25">
      <c r="E1191" t="s">
        <v>43</v>
      </c>
      <c r="F1191">
        <v>0</v>
      </c>
      <c r="G1191">
        <v>0</v>
      </c>
      <c r="T1191" t="s">
        <v>483</v>
      </c>
      <c r="U1191">
        <v>0</v>
      </c>
      <c r="V1191">
        <v>0</v>
      </c>
    </row>
    <row r="1192" spans="5:22" x14ac:dyDescent="0.25">
      <c r="E1192" t="s">
        <v>43</v>
      </c>
      <c r="F1192">
        <v>8000</v>
      </c>
      <c r="G1192">
        <v>0</v>
      </c>
      <c r="T1192" t="s">
        <v>483</v>
      </c>
      <c r="U1192">
        <v>0</v>
      </c>
      <c r="V1192">
        <v>0</v>
      </c>
    </row>
    <row r="1193" spans="5:22" x14ac:dyDescent="0.25">
      <c r="E1193" t="s">
        <v>43</v>
      </c>
      <c r="F1193">
        <v>8000</v>
      </c>
      <c r="G1193">
        <v>0</v>
      </c>
      <c r="T1193" t="s">
        <v>483</v>
      </c>
      <c r="U1193">
        <v>0</v>
      </c>
      <c r="V1193">
        <v>0</v>
      </c>
    </row>
    <row r="1194" spans="5:22" x14ac:dyDescent="0.25">
      <c r="E1194" t="s">
        <v>43</v>
      </c>
      <c r="F1194">
        <v>0</v>
      </c>
      <c r="G1194">
        <v>0</v>
      </c>
      <c r="T1194" t="s">
        <v>483</v>
      </c>
      <c r="U1194">
        <v>0</v>
      </c>
      <c r="V1194">
        <v>0</v>
      </c>
    </row>
    <row r="1195" spans="5:22" x14ac:dyDescent="0.25">
      <c r="E1195" t="s">
        <v>43</v>
      </c>
      <c r="F1195">
        <v>0</v>
      </c>
      <c r="G1195">
        <v>3800</v>
      </c>
      <c r="T1195" t="s">
        <v>483</v>
      </c>
      <c r="U1195">
        <v>0</v>
      </c>
      <c r="V1195">
        <v>0</v>
      </c>
    </row>
    <row r="1196" spans="5:22" x14ac:dyDescent="0.25">
      <c r="E1196" t="s">
        <v>43</v>
      </c>
      <c r="F1196">
        <v>0</v>
      </c>
      <c r="G1196">
        <v>7400</v>
      </c>
      <c r="T1196" t="s">
        <v>483</v>
      </c>
      <c r="U1196">
        <v>0</v>
      </c>
      <c r="V1196">
        <v>0</v>
      </c>
    </row>
    <row r="1197" spans="5:22" x14ac:dyDescent="0.25">
      <c r="E1197" t="s">
        <v>43</v>
      </c>
      <c r="F1197">
        <v>0</v>
      </c>
      <c r="G1197">
        <v>0</v>
      </c>
      <c r="T1197" t="s">
        <v>483</v>
      </c>
      <c r="U1197">
        <v>0</v>
      </c>
      <c r="V1197">
        <v>33000</v>
      </c>
    </row>
    <row r="1198" spans="5:22" x14ac:dyDescent="0.25">
      <c r="E1198" t="s">
        <v>43</v>
      </c>
      <c r="F1198">
        <v>0</v>
      </c>
      <c r="G1198">
        <v>0</v>
      </c>
      <c r="T1198" t="s">
        <v>483</v>
      </c>
      <c r="U1198">
        <v>0</v>
      </c>
      <c r="V1198">
        <v>26000</v>
      </c>
    </row>
    <row r="1199" spans="5:22" x14ac:dyDescent="0.25">
      <c r="E1199" t="s">
        <v>43</v>
      </c>
      <c r="F1199">
        <v>0</v>
      </c>
      <c r="G1199">
        <v>0</v>
      </c>
      <c r="T1199" t="s">
        <v>483</v>
      </c>
      <c r="U1199">
        <v>0</v>
      </c>
      <c r="V1199">
        <v>0</v>
      </c>
    </row>
    <row r="1200" spans="5:22" x14ac:dyDescent="0.25">
      <c r="E1200" t="s">
        <v>43</v>
      </c>
      <c r="F1200">
        <v>0</v>
      </c>
      <c r="G1200">
        <v>1800</v>
      </c>
      <c r="T1200" t="s">
        <v>483</v>
      </c>
      <c r="U1200">
        <v>0</v>
      </c>
      <c r="V1200">
        <v>0</v>
      </c>
    </row>
    <row r="1201" spans="5:22" x14ac:dyDescent="0.25">
      <c r="E1201" t="s">
        <v>43</v>
      </c>
      <c r="F1201">
        <v>8000</v>
      </c>
      <c r="G1201">
        <v>0</v>
      </c>
      <c r="T1201" t="s">
        <v>483</v>
      </c>
      <c r="U1201">
        <v>0</v>
      </c>
      <c r="V1201">
        <v>0</v>
      </c>
    </row>
    <row r="1202" spans="5:22" x14ac:dyDescent="0.25">
      <c r="E1202" t="s">
        <v>43</v>
      </c>
      <c r="F1202">
        <v>8000</v>
      </c>
      <c r="G1202">
        <v>0</v>
      </c>
      <c r="T1202" t="s">
        <v>483</v>
      </c>
      <c r="U1202">
        <v>0</v>
      </c>
      <c r="V1202">
        <v>0</v>
      </c>
    </row>
    <row r="1203" spans="5:22" x14ac:dyDescent="0.25">
      <c r="E1203" t="s">
        <v>43</v>
      </c>
      <c r="F1203">
        <v>6000</v>
      </c>
      <c r="G1203">
        <v>17000</v>
      </c>
      <c r="T1203" t="s">
        <v>483</v>
      </c>
      <c r="U1203">
        <v>0</v>
      </c>
      <c r="V1203">
        <v>0</v>
      </c>
    </row>
    <row r="1204" spans="5:22" x14ac:dyDescent="0.25">
      <c r="E1204" t="s">
        <v>43</v>
      </c>
      <c r="F1204">
        <v>6000</v>
      </c>
      <c r="G1204">
        <v>17000</v>
      </c>
      <c r="T1204" t="s">
        <v>483</v>
      </c>
      <c r="U1204">
        <v>0</v>
      </c>
      <c r="V1204">
        <v>0</v>
      </c>
    </row>
    <row r="1205" spans="5:22" x14ac:dyDescent="0.25">
      <c r="E1205" t="s">
        <v>43</v>
      </c>
      <c r="F1205">
        <v>8000</v>
      </c>
      <c r="G1205">
        <v>0</v>
      </c>
      <c r="T1205" t="s">
        <v>483</v>
      </c>
      <c r="U1205">
        <v>0</v>
      </c>
      <c r="V1205">
        <v>0</v>
      </c>
    </row>
    <row r="1206" spans="5:22" x14ac:dyDescent="0.25">
      <c r="E1206" t="s">
        <v>43</v>
      </c>
      <c r="F1206">
        <v>0</v>
      </c>
      <c r="G1206">
        <v>0</v>
      </c>
      <c r="T1206" t="s">
        <v>483</v>
      </c>
      <c r="U1206">
        <v>0</v>
      </c>
      <c r="V1206">
        <v>0</v>
      </c>
    </row>
    <row r="1207" spans="5:22" x14ac:dyDescent="0.25">
      <c r="E1207" t="s">
        <v>43</v>
      </c>
      <c r="F1207">
        <v>0</v>
      </c>
      <c r="G1207">
        <v>0</v>
      </c>
      <c r="T1207" t="s">
        <v>483</v>
      </c>
      <c r="U1207">
        <v>0</v>
      </c>
      <c r="V1207">
        <v>0</v>
      </c>
    </row>
    <row r="1208" spans="5:22" x14ac:dyDescent="0.25">
      <c r="E1208" t="s">
        <v>43</v>
      </c>
      <c r="F1208">
        <v>8000</v>
      </c>
      <c r="G1208">
        <v>0</v>
      </c>
      <c r="T1208" t="s">
        <v>483</v>
      </c>
      <c r="U1208">
        <v>0</v>
      </c>
      <c r="V1208">
        <v>0</v>
      </c>
    </row>
    <row r="1209" spans="5:22" x14ac:dyDescent="0.25">
      <c r="E1209" t="s">
        <v>43</v>
      </c>
      <c r="F1209">
        <v>14000</v>
      </c>
      <c r="G1209">
        <v>0</v>
      </c>
      <c r="T1209" t="s">
        <v>483</v>
      </c>
      <c r="U1209">
        <v>0</v>
      </c>
      <c r="V1209">
        <v>0</v>
      </c>
    </row>
    <row r="1210" spans="5:22" x14ac:dyDescent="0.25">
      <c r="E1210" t="s">
        <v>43</v>
      </c>
      <c r="F1210">
        <v>0</v>
      </c>
      <c r="G1210">
        <v>0</v>
      </c>
      <c r="T1210" t="s">
        <v>483</v>
      </c>
      <c r="U1210">
        <v>0</v>
      </c>
      <c r="V1210">
        <v>0</v>
      </c>
    </row>
    <row r="1211" spans="5:22" x14ac:dyDescent="0.25">
      <c r="E1211" t="s">
        <v>43</v>
      </c>
      <c r="F1211">
        <v>0</v>
      </c>
      <c r="G1211">
        <v>0</v>
      </c>
      <c r="T1211" t="s">
        <v>483</v>
      </c>
      <c r="U1211">
        <v>0</v>
      </c>
      <c r="V1211">
        <v>0</v>
      </c>
    </row>
    <row r="1212" spans="5:22" x14ac:dyDescent="0.25">
      <c r="E1212" t="s">
        <v>43</v>
      </c>
      <c r="F1212">
        <v>0</v>
      </c>
      <c r="G1212">
        <v>0</v>
      </c>
      <c r="T1212" t="s">
        <v>483</v>
      </c>
      <c r="U1212">
        <v>0</v>
      </c>
      <c r="V1212">
        <v>0</v>
      </c>
    </row>
    <row r="1213" spans="5:22" x14ac:dyDescent="0.25">
      <c r="E1213" t="s">
        <v>43</v>
      </c>
      <c r="F1213">
        <v>3500</v>
      </c>
      <c r="G1213">
        <v>0</v>
      </c>
      <c r="T1213" t="s">
        <v>483</v>
      </c>
      <c r="U1213">
        <v>0</v>
      </c>
      <c r="V1213">
        <v>0</v>
      </c>
    </row>
    <row r="1214" spans="5:22" x14ac:dyDescent="0.25">
      <c r="E1214" t="s">
        <v>43</v>
      </c>
      <c r="F1214">
        <v>0</v>
      </c>
      <c r="G1214">
        <v>1800</v>
      </c>
      <c r="T1214" t="s">
        <v>483</v>
      </c>
      <c r="U1214">
        <v>0</v>
      </c>
      <c r="V1214">
        <v>0</v>
      </c>
    </row>
    <row r="1215" spans="5:22" x14ac:dyDescent="0.25">
      <c r="E1215" t="s">
        <v>43</v>
      </c>
      <c r="F1215">
        <v>8000</v>
      </c>
      <c r="G1215">
        <v>0</v>
      </c>
      <c r="T1215" t="s">
        <v>483</v>
      </c>
      <c r="U1215">
        <v>0</v>
      </c>
      <c r="V1215">
        <v>0</v>
      </c>
    </row>
    <row r="1216" spans="5:22" x14ac:dyDescent="0.25">
      <c r="E1216" t="s">
        <v>43</v>
      </c>
      <c r="F1216">
        <v>3500</v>
      </c>
      <c r="G1216">
        <v>0</v>
      </c>
      <c r="T1216" t="s">
        <v>483</v>
      </c>
      <c r="U1216">
        <v>0</v>
      </c>
      <c r="V1216">
        <v>0</v>
      </c>
    </row>
    <row r="1217" spans="5:22" x14ac:dyDescent="0.25">
      <c r="E1217" t="s">
        <v>43</v>
      </c>
      <c r="F1217">
        <v>8000</v>
      </c>
      <c r="G1217">
        <v>0</v>
      </c>
      <c r="T1217" t="s">
        <v>483</v>
      </c>
      <c r="U1217">
        <v>0</v>
      </c>
      <c r="V1217">
        <v>0</v>
      </c>
    </row>
    <row r="1218" spans="5:22" x14ac:dyDescent="0.25">
      <c r="E1218" t="s">
        <v>43</v>
      </c>
      <c r="F1218">
        <v>8000</v>
      </c>
      <c r="G1218">
        <v>0</v>
      </c>
      <c r="T1218" t="s">
        <v>483</v>
      </c>
      <c r="U1218">
        <v>0</v>
      </c>
      <c r="V1218">
        <v>0</v>
      </c>
    </row>
    <row r="1219" spans="5:22" x14ac:dyDescent="0.25">
      <c r="E1219" t="s">
        <v>43</v>
      </c>
      <c r="F1219">
        <v>0</v>
      </c>
      <c r="G1219">
        <v>0</v>
      </c>
      <c r="T1219" t="s">
        <v>483</v>
      </c>
      <c r="U1219">
        <v>0</v>
      </c>
      <c r="V1219">
        <v>0</v>
      </c>
    </row>
    <row r="1220" spans="5:22" x14ac:dyDescent="0.25">
      <c r="E1220" t="s">
        <v>43</v>
      </c>
      <c r="F1220">
        <v>0</v>
      </c>
      <c r="G1220">
        <v>0</v>
      </c>
      <c r="T1220" t="s">
        <v>483</v>
      </c>
      <c r="U1220">
        <v>0</v>
      </c>
      <c r="V1220">
        <v>0</v>
      </c>
    </row>
    <row r="1221" spans="5:22" x14ac:dyDescent="0.25">
      <c r="E1221" t="s">
        <v>43</v>
      </c>
      <c r="F1221">
        <v>8000</v>
      </c>
      <c r="G1221">
        <v>0</v>
      </c>
      <c r="T1221" t="s">
        <v>483</v>
      </c>
      <c r="U1221">
        <v>0</v>
      </c>
      <c r="V1221">
        <v>0</v>
      </c>
    </row>
    <row r="1222" spans="5:22" x14ac:dyDescent="0.25">
      <c r="E1222" t="s">
        <v>43</v>
      </c>
      <c r="F1222">
        <v>0</v>
      </c>
      <c r="G1222">
        <v>0</v>
      </c>
      <c r="T1222" t="s">
        <v>483</v>
      </c>
      <c r="U1222">
        <v>0</v>
      </c>
      <c r="V1222">
        <v>35000</v>
      </c>
    </row>
    <row r="1223" spans="5:22" x14ac:dyDescent="0.25">
      <c r="E1223" t="s">
        <v>43</v>
      </c>
      <c r="F1223">
        <v>0</v>
      </c>
      <c r="G1223">
        <v>0</v>
      </c>
      <c r="T1223" t="s">
        <v>483</v>
      </c>
      <c r="U1223">
        <v>0</v>
      </c>
      <c r="V1223">
        <v>0</v>
      </c>
    </row>
    <row r="1224" spans="5:22" x14ac:dyDescent="0.25">
      <c r="E1224" t="s">
        <v>43</v>
      </c>
      <c r="F1224">
        <v>0</v>
      </c>
      <c r="G1224">
        <v>0</v>
      </c>
      <c r="T1224" t="s">
        <v>483</v>
      </c>
      <c r="U1224">
        <v>0</v>
      </c>
      <c r="V1224">
        <v>32000</v>
      </c>
    </row>
    <row r="1225" spans="5:22" x14ac:dyDescent="0.25">
      <c r="E1225" t="s">
        <v>43</v>
      </c>
      <c r="F1225">
        <v>0</v>
      </c>
      <c r="G1225">
        <v>0</v>
      </c>
      <c r="T1225" t="s">
        <v>483</v>
      </c>
      <c r="U1225">
        <v>0</v>
      </c>
      <c r="V1225">
        <v>0</v>
      </c>
    </row>
    <row r="1226" spans="5:22" x14ac:dyDescent="0.25">
      <c r="E1226" t="s">
        <v>43</v>
      </c>
      <c r="F1226">
        <v>0</v>
      </c>
      <c r="G1226">
        <v>0</v>
      </c>
      <c r="T1226" t="s">
        <v>483</v>
      </c>
      <c r="U1226">
        <v>0</v>
      </c>
      <c r="V1226">
        <v>0</v>
      </c>
    </row>
    <row r="1227" spans="5:22" x14ac:dyDescent="0.25">
      <c r="E1227" t="s">
        <v>43</v>
      </c>
      <c r="F1227">
        <v>8250</v>
      </c>
      <c r="G1227">
        <v>0</v>
      </c>
      <c r="T1227" t="s">
        <v>483</v>
      </c>
      <c r="U1227">
        <v>0</v>
      </c>
      <c r="V1227">
        <v>28000</v>
      </c>
    </row>
    <row r="1228" spans="5:22" x14ac:dyDescent="0.25">
      <c r="E1228" t="s">
        <v>269</v>
      </c>
      <c r="F1228">
        <v>1000</v>
      </c>
      <c r="G1228">
        <v>0</v>
      </c>
      <c r="T1228" t="s">
        <v>483</v>
      </c>
      <c r="U1228">
        <v>0</v>
      </c>
      <c r="V1228">
        <v>0</v>
      </c>
    </row>
    <row r="1229" spans="5:22" x14ac:dyDescent="0.25">
      <c r="E1229" t="s">
        <v>269</v>
      </c>
      <c r="F1229">
        <v>0</v>
      </c>
      <c r="G1229">
        <v>0</v>
      </c>
      <c r="T1229" t="s">
        <v>483</v>
      </c>
      <c r="U1229">
        <v>0</v>
      </c>
      <c r="V1229">
        <v>0</v>
      </c>
    </row>
    <row r="1230" spans="5:22" x14ac:dyDescent="0.25">
      <c r="E1230" t="s">
        <v>269</v>
      </c>
      <c r="F1230">
        <v>0</v>
      </c>
      <c r="G1230">
        <v>0</v>
      </c>
      <c r="T1230" t="s">
        <v>483</v>
      </c>
      <c r="U1230">
        <v>0</v>
      </c>
      <c r="V1230">
        <v>0</v>
      </c>
    </row>
    <row r="1231" spans="5:22" x14ac:dyDescent="0.25">
      <c r="E1231" t="s">
        <v>269</v>
      </c>
      <c r="F1231">
        <v>0</v>
      </c>
      <c r="G1231">
        <v>0</v>
      </c>
      <c r="T1231" t="s">
        <v>483</v>
      </c>
      <c r="U1231">
        <v>0</v>
      </c>
      <c r="V1231">
        <v>0</v>
      </c>
    </row>
    <row r="1232" spans="5:22" x14ac:dyDescent="0.25">
      <c r="E1232" t="s">
        <v>269</v>
      </c>
      <c r="F1232">
        <v>6000</v>
      </c>
      <c r="G1232">
        <v>0</v>
      </c>
      <c r="T1232" t="s">
        <v>483</v>
      </c>
      <c r="U1232">
        <v>0</v>
      </c>
      <c r="V1232">
        <v>37000</v>
      </c>
    </row>
    <row r="1233" spans="5:22" x14ac:dyDescent="0.25">
      <c r="E1233" t="s">
        <v>269</v>
      </c>
      <c r="F1233">
        <v>0</v>
      </c>
      <c r="G1233">
        <v>0</v>
      </c>
      <c r="T1233" t="s">
        <v>483</v>
      </c>
      <c r="U1233">
        <v>0</v>
      </c>
      <c r="V1233">
        <v>0</v>
      </c>
    </row>
    <row r="1234" spans="5:22" x14ac:dyDescent="0.25">
      <c r="E1234" t="s">
        <v>269</v>
      </c>
      <c r="F1234">
        <v>0</v>
      </c>
      <c r="G1234">
        <v>5800</v>
      </c>
      <c r="T1234" t="s">
        <v>483</v>
      </c>
      <c r="U1234">
        <v>0</v>
      </c>
      <c r="V1234">
        <v>0</v>
      </c>
    </row>
    <row r="1235" spans="5:22" x14ac:dyDescent="0.25">
      <c r="E1235" t="s">
        <v>269</v>
      </c>
      <c r="F1235">
        <v>0</v>
      </c>
      <c r="G1235">
        <v>5800</v>
      </c>
      <c r="T1235" t="s">
        <v>483</v>
      </c>
      <c r="U1235">
        <v>0</v>
      </c>
      <c r="V1235">
        <v>0</v>
      </c>
    </row>
    <row r="1236" spans="5:22" x14ac:dyDescent="0.25">
      <c r="E1236" t="s">
        <v>269</v>
      </c>
      <c r="F1236">
        <v>0</v>
      </c>
      <c r="G1236">
        <v>0</v>
      </c>
      <c r="T1236" t="s">
        <v>483</v>
      </c>
      <c r="U1236">
        <v>0</v>
      </c>
      <c r="V1236">
        <v>0</v>
      </c>
    </row>
    <row r="1237" spans="5:22" x14ac:dyDescent="0.25">
      <c r="E1237" t="s">
        <v>269</v>
      </c>
      <c r="F1237">
        <v>0</v>
      </c>
      <c r="G1237">
        <v>0</v>
      </c>
      <c r="T1237" t="s">
        <v>483</v>
      </c>
      <c r="U1237">
        <v>0</v>
      </c>
      <c r="V1237">
        <v>0</v>
      </c>
    </row>
    <row r="1238" spans="5:22" x14ac:dyDescent="0.25">
      <c r="E1238" t="s">
        <v>269</v>
      </c>
      <c r="F1238">
        <v>0</v>
      </c>
      <c r="G1238">
        <v>0</v>
      </c>
      <c r="T1238" t="s">
        <v>483</v>
      </c>
      <c r="U1238">
        <v>0</v>
      </c>
      <c r="V1238">
        <v>0</v>
      </c>
    </row>
    <row r="1239" spans="5:22" x14ac:dyDescent="0.25">
      <c r="E1239" t="s">
        <v>269</v>
      </c>
      <c r="F1239">
        <v>4500</v>
      </c>
      <c r="G1239">
        <v>0</v>
      </c>
      <c r="T1239" t="s">
        <v>485</v>
      </c>
      <c r="U1239">
        <v>0</v>
      </c>
      <c r="V1239">
        <v>0</v>
      </c>
    </row>
    <row r="1240" spans="5:22" x14ac:dyDescent="0.25">
      <c r="E1240" t="s">
        <v>269</v>
      </c>
      <c r="F1240">
        <v>0</v>
      </c>
      <c r="G1240">
        <v>0</v>
      </c>
      <c r="T1240" t="s">
        <v>485</v>
      </c>
      <c r="U1240">
        <v>0</v>
      </c>
      <c r="V1240">
        <v>0</v>
      </c>
    </row>
    <row r="1241" spans="5:22" x14ac:dyDescent="0.25">
      <c r="E1241" t="s">
        <v>269</v>
      </c>
      <c r="F1241">
        <v>0</v>
      </c>
      <c r="G1241">
        <v>5700</v>
      </c>
      <c r="T1241" t="s">
        <v>485</v>
      </c>
      <c r="U1241">
        <v>0</v>
      </c>
      <c r="V1241">
        <v>0</v>
      </c>
    </row>
    <row r="1242" spans="5:22" x14ac:dyDescent="0.25">
      <c r="E1242" t="s">
        <v>269</v>
      </c>
      <c r="F1242">
        <v>0</v>
      </c>
      <c r="G1242">
        <v>2500</v>
      </c>
      <c r="T1242" t="s">
        <v>485</v>
      </c>
      <c r="U1242">
        <v>0</v>
      </c>
      <c r="V1242">
        <v>0</v>
      </c>
    </row>
    <row r="1243" spans="5:22" x14ac:dyDescent="0.25">
      <c r="E1243" t="s">
        <v>269</v>
      </c>
      <c r="F1243">
        <v>0</v>
      </c>
      <c r="G1243">
        <v>0</v>
      </c>
      <c r="T1243" t="s">
        <v>485</v>
      </c>
      <c r="U1243">
        <v>0</v>
      </c>
      <c r="V1243">
        <v>0</v>
      </c>
    </row>
    <row r="1244" spans="5:22" x14ac:dyDescent="0.25">
      <c r="E1244" t="s">
        <v>269</v>
      </c>
      <c r="F1244">
        <v>6000</v>
      </c>
      <c r="G1244">
        <v>0</v>
      </c>
      <c r="T1244" t="s">
        <v>485</v>
      </c>
      <c r="U1244">
        <v>0</v>
      </c>
      <c r="V1244">
        <v>0</v>
      </c>
    </row>
    <row r="1245" spans="5:22" x14ac:dyDescent="0.25">
      <c r="E1245" t="s">
        <v>269</v>
      </c>
      <c r="F1245">
        <v>0</v>
      </c>
      <c r="G1245">
        <v>0</v>
      </c>
      <c r="T1245" t="s">
        <v>485</v>
      </c>
      <c r="U1245">
        <v>0</v>
      </c>
      <c r="V1245">
        <v>0</v>
      </c>
    </row>
    <row r="1246" spans="5:22" x14ac:dyDescent="0.25">
      <c r="E1246" t="s">
        <v>269</v>
      </c>
      <c r="F1246">
        <v>0</v>
      </c>
      <c r="G1246">
        <v>0</v>
      </c>
      <c r="T1246" t="s">
        <v>485</v>
      </c>
      <c r="U1246">
        <v>0</v>
      </c>
      <c r="V1246">
        <v>0</v>
      </c>
    </row>
    <row r="1247" spans="5:22" x14ac:dyDescent="0.25">
      <c r="E1247" t="s">
        <v>269</v>
      </c>
      <c r="F1247">
        <v>3500</v>
      </c>
      <c r="G1247">
        <v>0</v>
      </c>
      <c r="T1247" t="s">
        <v>485</v>
      </c>
      <c r="U1247">
        <v>0</v>
      </c>
      <c r="V1247">
        <v>24000</v>
      </c>
    </row>
    <row r="1248" spans="5:22" x14ac:dyDescent="0.25">
      <c r="E1248" t="s">
        <v>269</v>
      </c>
      <c r="F1248">
        <v>0</v>
      </c>
      <c r="G1248">
        <v>0</v>
      </c>
      <c r="T1248" t="s">
        <v>485</v>
      </c>
      <c r="U1248">
        <v>0</v>
      </c>
      <c r="V1248">
        <v>0</v>
      </c>
    </row>
    <row r="1249" spans="5:22" x14ac:dyDescent="0.25">
      <c r="E1249" t="s">
        <v>269</v>
      </c>
      <c r="F1249">
        <v>0</v>
      </c>
      <c r="G1249">
        <v>0</v>
      </c>
      <c r="T1249" t="s">
        <v>485</v>
      </c>
      <c r="U1249">
        <v>0</v>
      </c>
      <c r="V1249">
        <v>0</v>
      </c>
    </row>
    <row r="1250" spans="5:22" x14ac:dyDescent="0.25">
      <c r="E1250" t="s">
        <v>269</v>
      </c>
      <c r="F1250">
        <v>3500</v>
      </c>
      <c r="G1250">
        <v>0</v>
      </c>
      <c r="T1250" t="s">
        <v>486</v>
      </c>
      <c r="U1250">
        <v>0</v>
      </c>
      <c r="V1250">
        <v>0</v>
      </c>
    </row>
    <row r="1251" spans="5:22" x14ac:dyDescent="0.25">
      <c r="E1251" t="s">
        <v>269</v>
      </c>
      <c r="F1251">
        <v>0</v>
      </c>
      <c r="G1251">
        <v>0</v>
      </c>
      <c r="T1251" t="s">
        <v>486</v>
      </c>
      <c r="U1251">
        <v>0</v>
      </c>
      <c r="V1251">
        <v>0</v>
      </c>
    </row>
    <row r="1252" spans="5:22" x14ac:dyDescent="0.25">
      <c r="E1252" t="s">
        <v>269</v>
      </c>
      <c r="F1252">
        <v>0</v>
      </c>
      <c r="G1252">
        <v>0</v>
      </c>
      <c r="T1252" t="s">
        <v>486</v>
      </c>
      <c r="U1252">
        <v>0</v>
      </c>
      <c r="V1252">
        <v>0</v>
      </c>
    </row>
    <row r="1253" spans="5:22" x14ac:dyDescent="0.25">
      <c r="E1253" t="s">
        <v>269</v>
      </c>
      <c r="F1253">
        <v>3500</v>
      </c>
      <c r="G1253">
        <v>0</v>
      </c>
      <c r="T1253" t="s">
        <v>486</v>
      </c>
      <c r="U1253">
        <v>0</v>
      </c>
      <c r="V1253">
        <v>0</v>
      </c>
    </row>
    <row r="1254" spans="5:22" x14ac:dyDescent="0.25">
      <c r="E1254" t="s">
        <v>269</v>
      </c>
      <c r="F1254">
        <v>4500</v>
      </c>
      <c r="G1254">
        <v>0</v>
      </c>
      <c r="T1254" t="s">
        <v>486</v>
      </c>
      <c r="U1254">
        <v>0</v>
      </c>
      <c r="V1254">
        <v>0</v>
      </c>
    </row>
    <row r="1255" spans="5:22" x14ac:dyDescent="0.25">
      <c r="E1255" t="s">
        <v>44</v>
      </c>
      <c r="F1255">
        <v>0</v>
      </c>
      <c r="G1255">
        <v>0</v>
      </c>
      <c r="T1255" t="s">
        <v>486</v>
      </c>
      <c r="U1255">
        <v>0</v>
      </c>
      <c r="V1255">
        <v>0</v>
      </c>
    </row>
    <row r="1256" spans="5:22" x14ac:dyDescent="0.25">
      <c r="E1256" t="s">
        <v>44</v>
      </c>
      <c r="F1256">
        <v>0</v>
      </c>
      <c r="G1256">
        <v>0</v>
      </c>
      <c r="T1256" t="s">
        <v>486</v>
      </c>
      <c r="U1256">
        <v>0</v>
      </c>
      <c r="V1256">
        <v>0</v>
      </c>
    </row>
    <row r="1257" spans="5:22" x14ac:dyDescent="0.25">
      <c r="E1257" t="s">
        <v>44</v>
      </c>
      <c r="F1257">
        <v>0</v>
      </c>
      <c r="G1257">
        <v>0</v>
      </c>
      <c r="T1257" t="s">
        <v>486</v>
      </c>
      <c r="U1257">
        <v>0</v>
      </c>
      <c r="V1257">
        <v>0</v>
      </c>
    </row>
    <row r="1258" spans="5:22" x14ac:dyDescent="0.25">
      <c r="E1258" t="s">
        <v>44</v>
      </c>
      <c r="F1258">
        <v>0</v>
      </c>
      <c r="G1258">
        <v>0</v>
      </c>
      <c r="T1258" t="s">
        <v>486</v>
      </c>
      <c r="U1258">
        <v>0</v>
      </c>
      <c r="V1258">
        <v>0</v>
      </c>
    </row>
    <row r="1259" spans="5:22" x14ac:dyDescent="0.25">
      <c r="E1259" t="s">
        <v>44</v>
      </c>
      <c r="F1259">
        <v>0</v>
      </c>
      <c r="G1259">
        <v>0</v>
      </c>
      <c r="T1259" t="s">
        <v>486</v>
      </c>
      <c r="U1259">
        <v>0</v>
      </c>
      <c r="V1259">
        <v>0</v>
      </c>
    </row>
    <row r="1260" spans="5:22" x14ac:dyDescent="0.25">
      <c r="E1260" t="s">
        <v>44</v>
      </c>
      <c r="F1260">
        <v>0</v>
      </c>
      <c r="G1260">
        <v>0</v>
      </c>
      <c r="T1260" t="s">
        <v>486</v>
      </c>
      <c r="U1260">
        <v>0</v>
      </c>
      <c r="V1260">
        <v>30000</v>
      </c>
    </row>
    <row r="1261" spans="5:22" x14ac:dyDescent="0.25">
      <c r="E1261" t="s">
        <v>44</v>
      </c>
      <c r="F1261">
        <v>0</v>
      </c>
      <c r="G1261">
        <v>0</v>
      </c>
      <c r="T1261" t="s">
        <v>486</v>
      </c>
      <c r="U1261">
        <v>0</v>
      </c>
      <c r="V1261">
        <v>0</v>
      </c>
    </row>
    <row r="1262" spans="5:22" x14ac:dyDescent="0.25">
      <c r="E1262" t="s">
        <v>44</v>
      </c>
      <c r="F1262">
        <v>0</v>
      </c>
      <c r="G1262">
        <v>0</v>
      </c>
      <c r="T1262" t="s">
        <v>486</v>
      </c>
      <c r="U1262">
        <v>0</v>
      </c>
      <c r="V1262">
        <v>0</v>
      </c>
    </row>
    <row r="1263" spans="5:22" x14ac:dyDescent="0.25">
      <c r="E1263" t="s">
        <v>44</v>
      </c>
      <c r="F1263">
        <v>0</v>
      </c>
      <c r="G1263">
        <v>0</v>
      </c>
      <c r="T1263" t="s">
        <v>486</v>
      </c>
      <c r="U1263">
        <v>0</v>
      </c>
      <c r="V1263">
        <v>0</v>
      </c>
    </row>
    <row r="1264" spans="5:22" x14ac:dyDescent="0.25">
      <c r="E1264" t="s">
        <v>44</v>
      </c>
      <c r="F1264">
        <v>5400</v>
      </c>
      <c r="G1264">
        <v>0</v>
      </c>
      <c r="T1264" t="s">
        <v>486</v>
      </c>
      <c r="U1264">
        <v>0</v>
      </c>
      <c r="V1264">
        <v>0</v>
      </c>
    </row>
    <row r="1265" spans="5:22" x14ac:dyDescent="0.25">
      <c r="E1265" t="s">
        <v>44</v>
      </c>
      <c r="F1265">
        <v>0</v>
      </c>
      <c r="G1265">
        <v>0</v>
      </c>
      <c r="T1265" t="s">
        <v>486</v>
      </c>
      <c r="U1265">
        <v>0</v>
      </c>
      <c r="V1265">
        <v>0</v>
      </c>
    </row>
    <row r="1266" spans="5:22" x14ac:dyDescent="0.25">
      <c r="E1266" t="s">
        <v>44</v>
      </c>
      <c r="F1266">
        <v>5400</v>
      </c>
      <c r="G1266">
        <v>0</v>
      </c>
      <c r="T1266" t="s">
        <v>486</v>
      </c>
      <c r="U1266">
        <v>0</v>
      </c>
      <c r="V1266">
        <v>0</v>
      </c>
    </row>
    <row r="1267" spans="5:22" x14ac:dyDescent="0.25">
      <c r="E1267" t="s">
        <v>44</v>
      </c>
      <c r="F1267">
        <v>5000</v>
      </c>
      <c r="G1267">
        <v>0</v>
      </c>
      <c r="T1267" t="s">
        <v>486</v>
      </c>
      <c r="U1267">
        <v>0</v>
      </c>
      <c r="V1267">
        <v>0</v>
      </c>
    </row>
    <row r="1268" spans="5:22" x14ac:dyDescent="0.25">
      <c r="E1268" t="s">
        <v>44</v>
      </c>
      <c r="F1268">
        <v>0</v>
      </c>
      <c r="G1268">
        <v>0</v>
      </c>
      <c r="T1268" t="s">
        <v>486</v>
      </c>
      <c r="U1268">
        <v>0</v>
      </c>
      <c r="V1268">
        <v>0</v>
      </c>
    </row>
    <row r="1269" spans="5:22" x14ac:dyDescent="0.25">
      <c r="E1269" t="s">
        <v>44</v>
      </c>
      <c r="F1269">
        <v>0</v>
      </c>
      <c r="G1269">
        <v>0</v>
      </c>
      <c r="T1269" t="s">
        <v>486</v>
      </c>
      <c r="U1269">
        <v>0</v>
      </c>
      <c r="V1269">
        <v>0</v>
      </c>
    </row>
    <row r="1270" spans="5:22" x14ac:dyDescent="0.25">
      <c r="E1270" t="s">
        <v>44</v>
      </c>
      <c r="F1270">
        <v>0</v>
      </c>
      <c r="G1270">
        <v>0</v>
      </c>
      <c r="T1270" t="s">
        <v>486</v>
      </c>
      <c r="U1270">
        <v>0</v>
      </c>
      <c r="V1270">
        <v>0</v>
      </c>
    </row>
    <row r="1271" spans="5:22" x14ac:dyDescent="0.25">
      <c r="E1271" t="s">
        <v>44</v>
      </c>
      <c r="F1271">
        <v>20000</v>
      </c>
      <c r="G1271">
        <v>0</v>
      </c>
      <c r="T1271" t="s">
        <v>486</v>
      </c>
      <c r="U1271">
        <v>0</v>
      </c>
      <c r="V1271">
        <v>0</v>
      </c>
    </row>
    <row r="1272" spans="5:22" x14ac:dyDescent="0.25">
      <c r="E1272" t="s">
        <v>44</v>
      </c>
      <c r="F1272">
        <v>7400</v>
      </c>
      <c r="G1272">
        <v>0</v>
      </c>
      <c r="T1272" t="s">
        <v>486</v>
      </c>
      <c r="U1272">
        <v>0</v>
      </c>
      <c r="V1272">
        <v>0</v>
      </c>
    </row>
    <row r="1273" spans="5:22" x14ac:dyDescent="0.25">
      <c r="E1273" t="s">
        <v>44</v>
      </c>
      <c r="F1273">
        <v>0</v>
      </c>
      <c r="G1273">
        <v>0</v>
      </c>
      <c r="T1273" t="s">
        <v>486</v>
      </c>
      <c r="U1273">
        <v>0</v>
      </c>
      <c r="V1273">
        <v>0</v>
      </c>
    </row>
    <row r="1274" spans="5:22" x14ac:dyDescent="0.25">
      <c r="E1274" t="s">
        <v>44</v>
      </c>
      <c r="F1274">
        <v>4500</v>
      </c>
      <c r="G1274">
        <v>0</v>
      </c>
      <c r="T1274" t="s">
        <v>486</v>
      </c>
      <c r="U1274">
        <v>0</v>
      </c>
      <c r="V1274">
        <v>0</v>
      </c>
    </row>
    <row r="1275" spans="5:22" x14ac:dyDescent="0.25">
      <c r="E1275" t="s">
        <v>44</v>
      </c>
      <c r="F1275">
        <v>0</v>
      </c>
      <c r="G1275">
        <v>0</v>
      </c>
      <c r="T1275" t="s">
        <v>486</v>
      </c>
      <c r="U1275">
        <v>0</v>
      </c>
      <c r="V1275">
        <v>0</v>
      </c>
    </row>
    <row r="1276" spans="5:22" x14ac:dyDescent="0.25">
      <c r="E1276" t="s">
        <v>44</v>
      </c>
      <c r="F1276">
        <v>0</v>
      </c>
      <c r="G1276">
        <v>0</v>
      </c>
      <c r="T1276" t="s">
        <v>486</v>
      </c>
      <c r="U1276">
        <v>0</v>
      </c>
      <c r="V1276">
        <v>0</v>
      </c>
    </row>
    <row r="1277" spans="5:22" x14ac:dyDescent="0.25">
      <c r="E1277" t="s">
        <v>44</v>
      </c>
      <c r="F1277">
        <v>0</v>
      </c>
      <c r="G1277">
        <v>0</v>
      </c>
      <c r="T1277" t="s">
        <v>486</v>
      </c>
      <c r="U1277">
        <v>0</v>
      </c>
      <c r="V1277">
        <v>0</v>
      </c>
    </row>
    <row r="1278" spans="5:22" x14ac:dyDescent="0.25">
      <c r="E1278" t="s">
        <v>44</v>
      </c>
      <c r="F1278">
        <v>0</v>
      </c>
      <c r="G1278">
        <v>0</v>
      </c>
      <c r="T1278" t="s">
        <v>486</v>
      </c>
      <c r="U1278">
        <v>0</v>
      </c>
      <c r="V1278">
        <v>0</v>
      </c>
    </row>
    <row r="1279" spans="5:22" x14ac:dyDescent="0.25">
      <c r="E1279" t="s">
        <v>44</v>
      </c>
      <c r="F1279">
        <v>0</v>
      </c>
      <c r="G1279">
        <v>0</v>
      </c>
      <c r="T1279" t="s">
        <v>486</v>
      </c>
      <c r="U1279">
        <v>0</v>
      </c>
      <c r="V1279">
        <v>0</v>
      </c>
    </row>
    <row r="1280" spans="5:22" x14ac:dyDescent="0.25">
      <c r="E1280" t="s">
        <v>44</v>
      </c>
      <c r="F1280">
        <v>20000</v>
      </c>
      <c r="G1280">
        <v>0</v>
      </c>
      <c r="T1280" t="s">
        <v>486</v>
      </c>
      <c r="U1280">
        <v>0</v>
      </c>
      <c r="V1280">
        <v>0</v>
      </c>
    </row>
    <row r="1281" spans="5:22" x14ac:dyDescent="0.25">
      <c r="E1281" t="s">
        <v>44</v>
      </c>
      <c r="F1281">
        <v>4200</v>
      </c>
      <c r="G1281">
        <v>0</v>
      </c>
      <c r="T1281" t="s">
        <v>486</v>
      </c>
      <c r="U1281">
        <v>0</v>
      </c>
      <c r="V1281">
        <v>0</v>
      </c>
    </row>
    <row r="1282" spans="5:22" x14ac:dyDescent="0.25">
      <c r="E1282" t="s">
        <v>44</v>
      </c>
      <c r="F1282">
        <v>4000</v>
      </c>
      <c r="G1282">
        <v>0</v>
      </c>
      <c r="T1282" t="s">
        <v>486</v>
      </c>
      <c r="U1282">
        <v>0</v>
      </c>
      <c r="V1282">
        <v>0</v>
      </c>
    </row>
    <row r="1283" spans="5:22" x14ac:dyDescent="0.25">
      <c r="E1283" t="s">
        <v>44</v>
      </c>
      <c r="F1283">
        <v>0</v>
      </c>
      <c r="G1283">
        <v>0</v>
      </c>
      <c r="T1283" t="s">
        <v>486</v>
      </c>
      <c r="U1283">
        <v>0</v>
      </c>
      <c r="V1283">
        <v>0</v>
      </c>
    </row>
    <row r="1284" spans="5:22" x14ac:dyDescent="0.25">
      <c r="E1284" t="s">
        <v>44</v>
      </c>
      <c r="F1284">
        <v>0</v>
      </c>
      <c r="G1284">
        <v>0</v>
      </c>
      <c r="T1284" t="s">
        <v>289</v>
      </c>
      <c r="U1284">
        <v>0</v>
      </c>
      <c r="V1284">
        <v>0</v>
      </c>
    </row>
    <row r="1285" spans="5:22" x14ac:dyDescent="0.25">
      <c r="E1285" t="s">
        <v>44</v>
      </c>
      <c r="F1285">
        <v>20000</v>
      </c>
      <c r="G1285">
        <v>0</v>
      </c>
      <c r="T1285" t="s">
        <v>289</v>
      </c>
      <c r="U1285">
        <v>0</v>
      </c>
      <c r="V1285">
        <v>45000</v>
      </c>
    </row>
    <row r="1286" spans="5:22" x14ac:dyDescent="0.25">
      <c r="E1286" t="s">
        <v>44</v>
      </c>
      <c r="F1286">
        <v>5000</v>
      </c>
      <c r="G1286">
        <v>0</v>
      </c>
      <c r="T1286" t="s">
        <v>289</v>
      </c>
      <c r="U1286">
        <v>0</v>
      </c>
      <c r="V1286">
        <v>0</v>
      </c>
    </row>
    <row r="1287" spans="5:22" x14ac:dyDescent="0.25">
      <c r="E1287" t="s">
        <v>44</v>
      </c>
      <c r="F1287">
        <v>20000</v>
      </c>
      <c r="G1287">
        <v>0</v>
      </c>
      <c r="T1287" t="s">
        <v>289</v>
      </c>
      <c r="U1287">
        <v>0</v>
      </c>
      <c r="V1287">
        <v>0</v>
      </c>
    </row>
    <row r="1288" spans="5:22" x14ac:dyDescent="0.25">
      <c r="E1288" t="s">
        <v>270</v>
      </c>
      <c r="F1288">
        <v>0</v>
      </c>
      <c r="G1288">
        <v>0</v>
      </c>
      <c r="T1288" t="s">
        <v>289</v>
      </c>
      <c r="U1288">
        <v>0</v>
      </c>
      <c r="V1288">
        <v>0</v>
      </c>
    </row>
    <row r="1289" spans="5:22" x14ac:dyDescent="0.25">
      <c r="E1289" t="s">
        <v>270</v>
      </c>
      <c r="F1289">
        <v>0</v>
      </c>
      <c r="G1289">
        <v>0</v>
      </c>
      <c r="T1289" t="s">
        <v>291</v>
      </c>
      <c r="U1289">
        <v>0</v>
      </c>
      <c r="V1289">
        <v>25000</v>
      </c>
    </row>
    <row r="1290" spans="5:22" x14ac:dyDescent="0.25">
      <c r="E1290" t="s">
        <v>270</v>
      </c>
      <c r="F1290">
        <v>0</v>
      </c>
      <c r="G1290">
        <v>0</v>
      </c>
      <c r="T1290" t="s">
        <v>291</v>
      </c>
      <c r="U1290">
        <v>0</v>
      </c>
      <c r="V1290">
        <v>25000</v>
      </c>
    </row>
    <row r="1291" spans="5:22" x14ac:dyDescent="0.25">
      <c r="E1291" t="s">
        <v>270</v>
      </c>
      <c r="F1291">
        <v>0</v>
      </c>
      <c r="G1291">
        <v>0</v>
      </c>
      <c r="T1291" t="s">
        <v>291</v>
      </c>
      <c r="U1291">
        <v>22000</v>
      </c>
      <c r="V1291">
        <v>0</v>
      </c>
    </row>
    <row r="1292" spans="5:22" x14ac:dyDescent="0.25">
      <c r="E1292" t="s">
        <v>270</v>
      </c>
      <c r="F1292">
        <v>20000</v>
      </c>
      <c r="G1292">
        <v>0</v>
      </c>
      <c r="T1292" t="s">
        <v>291</v>
      </c>
      <c r="U1292">
        <v>0</v>
      </c>
      <c r="V1292">
        <v>45000</v>
      </c>
    </row>
    <row r="1293" spans="5:22" x14ac:dyDescent="0.25">
      <c r="E1293" t="s">
        <v>270</v>
      </c>
      <c r="F1293">
        <v>0</v>
      </c>
      <c r="G1293">
        <v>0</v>
      </c>
      <c r="T1293" t="s">
        <v>291</v>
      </c>
      <c r="U1293">
        <v>0</v>
      </c>
      <c r="V1293">
        <v>0</v>
      </c>
    </row>
    <row r="1294" spans="5:22" x14ac:dyDescent="0.25">
      <c r="E1294" t="s">
        <v>270</v>
      </c>
      <c r="F1294">
        <v>0</v>
      </c>
      <c r="G1294">
        <v>0</v>
      </c>
      <c r="T1294" t="s">
        <v>291</v>
      </c>
      <c r="U1294">
        <v>0</v>
      </c>
      <c r="V1294">
        <v>0</v>
      </c>
    </row>
    <row r="1295" spans="5:22" x14ac:dyDescent="0.25">
      <c r="E1295" t="s">
        <v>270</v>
      </c>
      <c r="F1295">
        <v>20000</v>
      </c>
      <c r="G1295">
        <v>0</v>
      </c>
      <c r="T1295" t="s">
        <v>291</v>
      </c>
      <c r="U1295">
        <v>0</v>
      </c>
      <c r="V1295">
        <v>35000</v>
      </c>
    </row>
    <row r="1296" spans="5:22" x14ac:dyDescent="0.25">
      <c r="E1296" t="s">
        <v>270</v>
      </c>
      <c r="F1296">
        <v>0</v>
      </c>
      <c r="G1296">
        <v>0</v>
      </c>
      <c r="T1296" t="s">
        <v>291</v>
      </c>
      <c r="U1296">
        <v>0</v>
      </c>
      <c r="V1296">
        <v>25000</v>
      </c>
    </row>
    <row r="1297" spans="5:22" x14ac:dyDescent="0.25">
      <c r="E1297" t="s">
        <v>270</v>
      </c>
      <c r="F1297">
        <v>0</v>
      </c>
      <c r="G1297">
        <v>0</v>
      </c>
      <c r="T1297" t="s">
        <v>291</v>
      </c>
      <c r="U1297">
        <v>0</v>
      </c>
      <c r="V1297">
        <v>40000</v>
      </c>
    </row>
    <row r="1298" spans="5:22" x14ac:dyDescent="0.25">
      <c r="E1298" t="s">
        <v>270</v>
      </c>
      <c r="F1298">
        <v>0</v>
      </c>
      <c r="G1298">
        <v>0</v>
      </c>
      <c r="T1298" t="s">
        <v>291</v>
      </c>
      <c r="U1298">
        <v>30000</v>
      </c>
      <c r="V1298">
        <v>0</v>
      </c>
    </row>
    <row r="1299" spans="5:22" x14ac:dyDescent="0.25">
      <c r="E1299" t="s">
        <v>270</v>
      </c>
      <c r="F1299">
        <v>0</v>
      </c>
      <c r="G1299">
        <v>0</v>
      </c>
      <c r="T1299" t="s">
        <v>291</v>
      </c>
      <c r="U1299">
        <v>0</v>
      </c>
      <c r="V1299">
        <v>0</v>
      </c>
    </row>
    <row r="1300" spans="5:22" x14ac:dyDescent="0.25">
      <c r="E1300" t="s">
        <v>270</v>
      </c>
      <c r="F1300">
        <v>9500</v>
      </c>
      <c r="G1300">
        <v>0</v>
      </c>
      <c r="T1300" t="s">
        <v>291</v>
      </c>
      <c r="U1300">
        <v>0</v>
      </c>
      <c r="V1300">
        <v>0</v>
      </c>
    </row>
    <row r="1301" spans="5:22" x14ac:dyDescent="0.25">
      <c r="E1301" t="s">
        <v>270</v>
      </c>
      <c r="F1301">
        <v>0</v>
      </c>
      <c r="G1301">
        <v>0</v>
      </c>
      <c r="T1301" t="s">
        <v>291</v>
      </c>
      <c r="U1301">
        <v>0</v>
      </c>
      <c r="V1301">
        <v>0</v>
      </c>
    </row>
    <row r="1302" spans="5:22" x14ac:dyDescent="0.25">
      <c r="E1302" t="s">
        <v>270</v>
      </c>
      <c r="F1302">
        <v>0</v>
      </c>
      <c r="G1302">
        <v>0</v>
      </c>
      <c r="T1302" t="s">
        <v>291</v>
      </c>
      <c r="U1302">
        <v>0</v>
      </c>
      <c r="V1302">
        <v>25000</v>
      </c>
    </row>
    <row r="1303" spans="5:22" x14ac:dyDescent="0.25">
      <c r="E1303" t="s">
        <v>270</v>
      </c>
      <c r="F1303">
        <v>0</v>
      </c>
      <c r="G1303">
        <v>0</v>
      </c>
      <c r="T1303" t="s">
        <v>291</v>
      </c>
      <c r="U1303">
        <v>20000</v>
      </c>
      <c r="V1303">
        <v>0</v>
      </c>
    </row>
    <row r="1304" spans="5:22" x14ac:dyDescent="0.25">
      <c r="E1304" t="s">
        <v>270</v>
      </c>
      <c r="F1304">
        <v>0</v>
      </c>
      <c r="G1304">
        <v>0</v>
      </c>
      <c r="T1304" t="s">
        <v>291</v>
      </c>
      <c r="U1304">
        <v>20000</v>
      </c>
      <c r="V1304">
        <v>0</v>
      </c>
    </row>
    <row r="1305" spans="5:22" x14ac:dyDescent="0.25">
      <c r="E1305" t="s">
        <v>270</v>
      </c>
      <c r="F1305">
        <v>6000</v>
      </c>
      <c r="G1305">
        <v>0</v>
      </c>
      <c r="T1305" t="s">
        <v>291</v>
      </c>
      <c r="U1305">
        <v>25000</v>
      </c>
      <c r="V1305">
        <v>0</v>
      </c>
    </row>
    <row r="1306" spans="5:22" x14ac:dyDescent="0.25">
      <c r="E1306" t="s">
        <v>270</v>
      </c>
      <c r="F1306">
        <v>0</v>
      </c>
      <c r="G1306">
        <v>0</v>
      </c>
      <c r="T1306" t="s">
        <v>291</v>
      </c>
      <c r="U1306">
        <v>0</v>
      </c>
      <c r="V1306">
        <v>45000</v>
      </c>
    </row>
    <row r="1307" spans="5:22" x14ac:dyDescent="0.25">
      <c r="E1307" t="s">
        <v>270</v>
      </c>
      <c r="F1307">
        <v>0</v>
      </c>
      <c r="G1307">
        <v>0</v>
      </c>
      <c r="T1307" t="s">
        <v>291</v>
      </c>
      <c r="U1307">
        <v>0</v>
      </c>
      <c r="V1307">
        <v>0</v>
      </c>
    </row>
    <row r="1308" spans="5:22" x14ac:dyDescent="0.25">
      <c r="E1308" t="s">
        <v>270</v>
      </c>
      <c r="F1308">
        <v>20000</v>
      </c>
      <c r="G1308">
        <v>0</v>
      </c>
      <c r="T1308" t="s">
        <v>291</v>
      </c>
      <c r="U1308">
        <v>14000</v>
      </c>
      <c r="V1308">
        <v>0</v>
      </c>
    </row>
    <row r="1309" spans="5:22" x14ac:dyDescent="0.25">
      <c r="E1309" t="s">
        <v>270</v>
      </c>
      <c r="F1309">
        <v>20000</v>
      </c>
      <c r="G1309">
        <v>0</v>
      </c>
      <c r="T1309" t="s">
        <v>291</v>
      </c>
      <c r="U1309">
        <v>0</v>
      </c>
      <c r="V1309">
        <v>0</v>
      </c>
    </row>
    <row r="1310" spans="5:22" x14ac:dyDescent="0.25">
      <c r="E1310" t="s">
        <v>270</v>
      </c>
      <c r="F1310">
        <v>9500</v>
      </c>
      <c r="G1310">
        <v>0</v>
      </c>
      <c r="T1310" t="s">
        <v>291</v>
      </c>
      <c r="U1310">
        <v>0</v>
      </c>
      <c r="V1310">
        <v>0</v>
      </c>
    </row>
    <row r="1311" spans="5:22" x14ac:dyDescent="0.25">
      <c r="E1311" t="s">
        <v>270</v>
      </c>
      <c r="F1311">
        <v>0</v>
      </c>
      <c r="G1311">
        <v>0</v>
      </c>
      <c r="T1311" t="s">
        <v>291</v>
      </c>
      <c r="U1311">
        <v>0</v>
      </c>
      <c r="V1311">
        <v>0</v>
      </c>
    </row>
    <row r="1312" spans="5:22" x14ac:dyDescent="0.25">
      <c r="E1312" t="s">
        <v>270</v>
      </c>
      <c r="F1312">
        <v>2800</v>
      </c>
      <c r="G1312">
        <v>0</v>
      </c>
      <c r="T1312" t="s">
        <v>291</v>
      </c>
      <c r="U1312">
        <v>26000</v>
      </c>
      <c r="V1312">
        <v>0</v>
      </c>
    </row>
    <row r="1313" spans="5:22" x14ac:dyDescent="0.25">
      <c r="E1313" t="s">
        <v>270</v>
      </c>
      <c r="F1313">
        <v>0</v>
      </c>
      <c r="G1313">
        <v>0</v>
      </c>
      <c r="T1313" t="s">
        <v>291</v>
      </c>
      <c r="U1313">
        <v>20000</v>
      </c>
      <c r="V1313">
        <v>0</v>
      </c>
    </row>
    <row r="1314" spans="5:22" x14ac:dyDescent="0.25">
      <c r="E1314" t="s">
        <v>270</v>
      </c>
      <c r="F1314">
        <v>0</v>
      </c>
      <c r="G1314">
        <v>0</v>
      </c>
      <c r="T1314" t="s">
        <v>291</v>
      </c>
      <c r="U1314">
        <v>0</v>
      </c>
      <c r="V1314">
        <v>0</v>
      </c>
    </row>
    <row r="1315" spans="5:22" x14ac:dyDescent="0.25">
      <c r="E1315" t="s">
        <v>45</v>
      </c>
      <c r="F1315">
        <v>6000</v>
      </c>
      <c r="G1315">
        <v>0</v>
      </c>
      <c r="T1315" t="s">
        <v>291</v>
      </c>
      <c r="U1315">
        <v>30000</v>
      </c>
      <c r="V1315">
        <v>0</v>
      </c>
    </row>
    <row r="1316" spans="5:22" x14ac:dyDescent="0.25">
      <c r="E1316" t="s">
        <v>45</v>
      </c>
      <c r="F1316">
        <v>5400</v>
      </c>
      <c r="G1316">
        <v>0</v>
      </c>
      <c r="T1316" t="s">
        <v>291</v>
      </c>
      <c r="U1316">
        <v>0</v>
      </c>
      <c r="V1316">
        <v>0</v>
      </c>
    </row>
    <row r="1317" spans="5:22" x14ac:dyDescent="0.25">
      <c r="E1317" t="s">
        <v>45</v>
      </c>
      <c r="F1317">
        <v>35000</v>
      </c>
      <c r="G1317">
        <v>0</v>
      </c>
      <c r="T1317" t="s">
        <v>291</v>
      </c>
      <c r="U1317">
        <v>0</v>
      </c>
      <c r="V1317">
        <v>0</v>
      </c>
    </row>
    <row r="1318" spans="5:22" x14ac:dyDescent="0.25">
      <c r="E1318" t="s">
        <v>45</v>
      </c>
      <c r="F1318">
        <v>6000</v>
      </c>
      <c r="G1318">
        <v>0</v>
      </c>
      <c r="T1318" t="s">
        <v>291</v>
      </c>
      <c r="U1318">
        <v>0</v>
      </c>
      <c r="V1318">
        <v>0</v>
      </c>
    </row>
    <row r="1319" spans="5:22" x14ac:dyDescent="0.25">
      <c r="E1319" t="s">
        <v>45</v>
      </c>
      <c r="F1319">
        <v>5000</v>
      </c>
      <c r="G1319">
        <v>0</v>
      </c>
      <c r="T1319" t="s">
        <v>291</v>
      </c>
      <c r="U1319">
        <v>0</v>
      </c>
      <c r="V1319">
        <v>0</v>
      </c>
    </row>
    <row r="1320" spans="5:22" x14ac:dyDescent="0.25">
      <c r="E1320" t="s">
        <v>45</v>
      </c>
      <c r="F1320">
        <v>8000</v>
      </c>
      <c r="G1320">
        <v>0</v>
      </c>
      <c r="T1320" t="s">
        <v>291</v>
      </c>
      <c r="U1320">
        <v>24000</v>
      </c>
      <c r="V1320">
        <v>0</v>
      </c>
    </row>
    <row r="1321" spans="5:22" x14ac:dyDescent="0.25">
      <c r="E1321" t="s">
        <v>45</v>
      </c>
      <c r="F1321">
        <v>5000</v>
      </c>
      <c r="G1321">
        <v>0</v>
      </c>
      <c r="T1321" t="s">
        <v>291</v>
      </c>
      <c r="U1321">
        <v>14000</v>
      </c>
      <c r="V1321">
        <v>0</v>
      </c>
    </row>
    <row r="1322" spans="5:22" x14ac:dyDescent="0.25">
      <c r="E1322" t="s">
        <v>45</v>
      </c>
      <c r="F1322">
        <v>6000</v>
      </c>
      <c r="G1322">
        <v>0</v>
      </c>
      <c r="T1322" t="s">
        <v>291</v>
      </c>
      <c r="U1322">
        <v>0</v>
      </c>
      <c r="V1322">
        <v>0</v>
      </c>
    </row>
    <row r="1323" spans="5:22" x14ac:dyDescent="0.25">
      <c r="E1323" t="s">
        <v>45</v>
      </c>
      <c r="F1323">
        <v>40000</v>
      </c>
      <c r="G1323">
        <v>0</v>
      </c>
      <c r="T1323" t="s">
        <v>293</v>
      </c>
      <c r="U1323">
        <v>0</v>
      </c>
      <c r="V1323">
        <v>0</v>
      </c>
    </row>
    <row r="1324" spans="5:22" x14ac:dyDescent="0.25">
      <c r="E1324" t="s">
        <v>45</v>
      </c>
      <c r="F1324">
        <v>40000</v>
      </c>
      <c r="G1324">
        <v>0</v>
      </c>
      <c r="T1324" t="s">
        <v>293</v>
      </c>
      <c r="U1324">
        <v>0</v>
      </c>
      <c r="V1324">
        <v>0</v>
      </c>
    </row>
    <row r="1325" spans="5:22" x14ac:dyDescent="0.25">
      <c r="E1325" t="s">
        <v>45</v>
      </c>
      <c r="F1325">
        <v>6000</v>
      </c>
      <c r="G1325">
        <v>0</v>
      </c>
      <c r="T1325" t="s">
        <v>293</v>
      </c>
      <c r="U1325">
        <v>0</v>
      </c>
      <c r="V1325">
        <v>0</v>
      </c>
    </row>
    <row r="1326" spans="5:22" x14ac:dyDescent="0.25">
      <c r="E1326" t="s">
        <v>45</v>
      </c>
      <c r="F1326">
        <v>5000</v>
      </c>
      <c r="G1326">
        <v>0</v>
      </c>
      <c r="T1326" t="s">
        <v>293</v>
      </c>
      <c r="U1326">
        <v>35000</v>
      </c>
      <c r="V1326">
        <v>0</v>
      </c>
    </row>
    <row r="1327" spans="5:22" x14ac:dyDescent="0.25">
      <c r="E1327" t="s">
        <v>45</v>
      </c>
      <c r="F1327">
        <v>18000</v>
      </c>
      <c r="G1327">
        <v>0</v>
      </c>
      <c r="T1327" t="s">
        <v>293</v>
      </c>
      <c r="U1327">
        <v>0</v>
      </c>
      <c r="V1327">
        <v>0</v>
      </c>
    </row>
    <row r="1328" spans="5:22" x14ac:dyDescent="0.25">
      <c r="E1328" t="s">
        <v>271</v>
      </c>
      <c r="F1328">
        <v>30000</v>
      </c>
      <c r="G1328">
        <v>0</v>
      </c>
      <c r="T1328" t="s">
        <v>293</v>
      </c>
      <c r="U1328">
        <v>0</v>
      </c>
      <c r="V1328">
        <v>45000</v>
      </c>
    </row>
    <row r="1329" spans="5:22" x14ac:dyDescent="0.25">
      <c r="E1329" t="s">
        <v>271</v>
      </c>
      <c r="F1329">
        <v>25000</v>
      </c>
      <c r="G1329">
        <v>0</v>
      </c>
      <c r="T1329" t="s">
        <v>293</v>
      </c>
      <c r="U1329">
        <v>0</v>
      </c>
      <c r="V1329">
        <v>0</v>
      </c>
    </row>
    <row r="1330" spans="5:22" x14ac:dyDescent="0.25">
      <c r="E1330" t="s">
        <v>271</v>
      </c>
      <c r="F1330">
        <v>30000</v>
      </c>
      <c r="G1330">
        <v>0</v>
      </c>
      <c r="T1330" t="s">
        <v>293</v>
      </c>
      <c r="U1330">
        <v>35000</v>
      </c>
      <c r="V1330">
        <v>0</v>
      </c>
    </row>
    <row r="1331" spans="5:22" x14ac:dyDescent="0.25">
      <c r="E1331" t="s">
        <v>271</v>
      </c>
      <c r="F1331">
        <v>35000</v>
      </c>
      <c r="G1331">
        <v>0</v>
      </c>
      <c r="T1331" t="s">
        <v>293</v>
      </c>
      <c r="U1331">
        <v>0</v>
      </c>
      <c r="V1331">
        <v>0</v>
      </c>
    </row>
    <row r="1332" spans="5:22" x14ac:dyDescent="0.25">
      <c r="E1332" t="s">
        <v>271</v>
      </c>
      <c r="F1332">
        <v>25000</v>
      </c>
      <c r="G1332">
        <v>0</v>
      </c>
      <c r="T1332" t="s">
        <v>293</v>
      </c>
      <c r="U1332">
        <v>0</v>
      </c>
      <c r="V1332">
        <v>0</v>
      </c>
    </row>
    <row r="1333" spans="5:22" x14ac:dyDescent="0.25">
      <c r="E1333" t="s">
        <v>271</v>
      </c>
      <c r="F1333">
        <v>25000</v>
      </c>
      <c r="G1333">
        <v>0</v>
      </c>
      <c r="T1333" t="s">
        <v>293</v>
      </c>
      <c r="U1333">
        <v>0</v>
      </c>
      <c r="V1333">
        <v>0</v>
      </c>
    </row>
    <row r="1334" spans="5:22" x14ac:dyDescent="0.25">
      <c r="E1334" t="s">
        <v>271</v>
      </c>
      <c r="F1334">
        <v>30000</v>
      </c>
      <c r="G1334">
        <v>0</v>
      </c>
      <c r="T1334" t="s">
        <v>293</v>
      </c>
      <c r="U1334">
        <v>0</v>
      </c>
      <c r="V1334">
        <v>0</v>
      </c>
    </row>
    <row r="1335" spans="5:22" x14ac:dyDescent="0.25">
      <c r="E1335" t="s">
        <v>271</v>
      </c>
      <c r="F1335">
        <v>35000</v>
      </c>
      <c r="G1335">
        <v>0</v>
      </c>
      <c r="T1335" t="s">
        <v>293</v>
      </c>
      <c r="U1335">
        <v>0</v>
      </c>
      <c r="V1335">
        <v>0</v>
      </c>
    </row>
    <row r="1336" spans="5:22" x14ac:dyDescent="0.25">
      <c r="E1336" t="s">
        <v>271</v>
      </c>
      <c r="F1336">
        <v>25000</v>
      </c>
      <c r="G1336">
        <v>0</v>
      </c>
      <c r="T1336" t="s">
        <v>293</v>
      </c>
      <c r="U1336">
        <v>0</v>
      </c>
      <c r="V1336">
        <v>0</v>
      </c>
    </row>
    <row r="1337" spans="5:22" x14ac:dyDescent="0.25">
      <c r="E1337" t="s">
        <v>271</v>
      </c>
      <c r="F1337">
        <v>35000</v>
      </c>
      <c r="G1337">
        <v>0</v>
      </c>
      <c r="T1337" t="s">
        <v>293</v>
      </c>
      <c r="U1337">
        <v>0</v>
      </c>
      <c r="V1337">
        <v>0</v>
      </c>
    </row>
    <row r="1338" spans="5:22" x14ac:dyDescent="0.25">
      <c r="E1338" t="s">
        <v>271</v>
      </c>
      <c r="F1338">
        <v>35000</v>
      </c>
      <c r="G1338">
        <v>0</v>
      </c>
      <c r="T1338" t="s">
        <v>293</v>
      </c>
      <c r="U1338">
        <v>35000</v>
      </c>
      <c r="V1338">
        <v>0</v>
      </c>
    </row>
    <row r="1339" spans="5:22" x14ac:dyDescent="0.25">
      <c r="E1339" t="s">
        <v>271</v>
      </c>
      <c r="F1339">
        <v>25000</v>
      </c>
      <c r="G1339">
        <v>0</v>
      </c>
      <c r="T1339" t="s">
        <v>293</v>
      </c>
      <c r="U1339">
        <v>0</v>
      </c>
      <c r="V1339">
        <v>0</v>
      </c>
    </row>
    <row r="1340" spans="5:22" x14ac:dyDescent="0.25">
      <c r="E1340" t="s">
        <v>271</v>
      </c>
      <c r="F1340">
        <v>25000</v>
      </c>
      <c r="G1340">
        <v>0</v>
      </c>
      <c r="T1340" t="s">
        <v>293</v>
      </c>
      <c r="U1340">
        <v>0</v>
      </c>
      <c r="V1340">
        <v>0</v>
      </c>
    </row>
    <row r="1341" spans="5:22" x14ac:dyDescent="0.25">
      <c r="E1341" t="s">
        <v>271</v>
      </c>
      <c r="F1341">
        <v>0</v>
      </c>
      <c r="G1341">
        <v>0</v>
      </c>
      <c r="T1341" t="s">
        <v>296</v>
      </c>
      <c r="U1341">
        <v>0</v>
      </c>
      <c r="V1341">
        <v>0</v>
      </c>
    </row>
    <row r="1342" spans="5:22" x14ac:dyDescent="0.25">
      <c r="E1342" t="s">
        <v>271</v>
      </c>
      <c r="F1342">
        <v>25000</v>
      </c>
      <c r="G1342">
        <v>0</v>
      </c>
      <c r="T1342" t="s">
        <v>296</v>
      </c>
      <c r="U1342">
        <v>46000</v>
      </c>
      <c r="V1342">
        <v>0</v>
      </c>
    </row>
    <row r="1343" spans="5:22" x14ac:dyDescent="0.25">
      <c r="E1343" t="s">
        <v>271</v>
      </c>
      <c r="F1343">
        <v>30000</v>
      </c>
      <c r="G1343">
        <v>0</v>
      </c>
      <c r="T1343" t="s">
        <v>296</v>
      </c>
      <c r="U1343">
        <v>0</v>
      </c>
      <c r="V1343">
        <v>0</v>
      </c>
    </row>
    <row r="1344" spans="5:22" x14ac:dyDescent="0.25">
      <c r="E1344" t="s">
        <v>271</v>
      </c>
      <c r="F1344">
        <v>30000</v>
      </c>
      <c r="G1344">
        <v>0</v>
      </c>
      <c r="T1344" t="s">
        <v>296</v>
      </c>
      <c r="U1344">
        <v>0</v>
      </c>
      <c r="V1344">
        <v>0</v>
      </c>
    </row>
    <row r="1345" spans="5:22" x14ac:dyDescent="0.25">
      <c r="E1345" t="s">
        <v>271</v>
      </c>
      <c r="F1345">
        <v>35000</v>
      </c>
      <c r="G1345">
        <v>0</v>
      </c>
      <c r="T1345" t="s">
        <v>296</v>
      </c>
      <c r="U1345">
        <v>30000</v>
      </c>
      <c r="V1345">
        <v>0</v>
      </c>
    </row>
    <row r="1346" spans="5:22" x14ac:dyDescent="0.25">
      <c r="E1346" t="s">
        <v>271</v>
      </c>
      <c r="F1346">
        <v>25000</v>
      </c>
      <c r="G1346">
        <v>0</v>
      </c>
      <c r="T1346" t="s">
        <v>296</v>
      </c>
      <c r="U1346">
        <v>0</v>
      </c>
      <c r="V1346">
        <v>0</v>
      </c>
    </row>
    <row r="1347" spans="5:22" x14ac:dyDescent="0.25">
      <c r="E1347" t="s">
        <v>271</v>
      </c>
      <c r="F1347">
        <v>35000</v>
      </c>
      <c r="G1347">
        <v>0</v>
      </c>
      <c r="T1347" t="s">
        <v>296</v>
      </c>
      <c r="U1347">
        <v>0</v>
      </c>
      <c r="V1347">
        <v>0</v>
      </c>
    </row>
    <row r="1348" spans="5:22" x14ac:dyDescent="0.25">
      <c r="E1348" t="s">
        <v>271</v>
      </c>
      <c r="F1348">
        <v>30000</v>
      </c>
      <c r="G1348">
        <v>0</v>
      </c>
      <c r="T1348" t="s">
        <v>296</v>
      </c>
      <c r="U1348">
        <v>0</v>
      </c>
      <c r="V1348">
        <v>0</v>
      </c>
    </row>
    <row r="1349" spans="5:22" x14ac:dyDescent="0.25">
      <c r="E1349" t="s">
        <v>271</v>
      </c>
      <c r="F1349">
        <v>30000</v>
      </c>
      <c r="G1349">
        <v>0</v>
      </c>
      <c r="T1349" t="s">
        <v>296</v>
      </c>
      <c r="U1349">
        <v>0</v>
      </c>
      <c r="V1349">
        <v>0</v>
      </c>
    </row>
    <row r="1350" spans="5:22" x14ac:dyDescent="0.25">
      <c r="E1350" t="s">
        <v>271</v>
      </c>
      <c r="F1350">
        <v>24000</v>
      </c>
      <c r="G1350">
        <v>0</v>
      </c>
      <c r="T1350" t="s">
        <v>296</v>
      </c>
      <c r="U1350">
        <v>28000</v>
      </c>
      <c r="V1350">
        <v>0</v>
      </c>
    </row>
    <row r="1351" spans="5:22" x14ac:dyDescent="0.25">
      <c r="E1351" t="s">
        <v>271</v>
      </c>
      <c r="F1351">
        <v>25000</v>
      </c>
      <c r="G1351">
        <v>0</v>
      </c>
      <c r="T1351" t="s">
        <v>296</v>
      </c>
      <c r="U1351">
        <v>0</v>
      </c>
      <c r="V1351">
        <v>0</v>
      </c>
    </row>
    <row r="1352" spans="5:22" x14ac:dyDescent="0.25">
      <c r="E1352" t="s">
        <v>271</v>
      </c>
      <c r="F1352">
        <v>30000</v>
      </c>
      <c r="G1352">
        <v>0</v>
      </c>
      <c r="T1352" t="s">
        <v>296</v>
      </c>
      <c r="U1352">
        <v>0</v>
      </c>
      <c r="V1352">
        <v>0</v>
      </c>
    </row>
    <row r="1353" spans="5:22" x14ac:dyDescent="0.25">
      <c r="E1353" t="s">
        <v>271</v>
      </c>
      <c r="F1353">
        <v>30000</v>
      </c>
      <c r="G1353">
        <v>0</v>
      </c>
      <c r="T1353" t="s">
        <v>296</v>
      </c>
      <c r="U1353">
        <v>0</v>
      </c>
      <c r="V1353">
        <v>0</v>
      </c>
    </row>
    <row r="1354" spans="5:22" x14ac:dyDescent="0.25">
      <c r="E1354" t="s">
        <v>271</v>
      </c>
      <c r="F1354">
        <v>25000</v>
      </c>
      <c r="G1354">
        <v>0</v>
      </c>
      <c r="T1354" t="s">
        <v>296</v>
      </c>
      <c r="U1354">
        <v>0</v>
      </c>
      <c r="V1354">
        <v>0</v>
      </c>
    </row>
    <row r="1355" spans="5:22" x14ac:dyDescent="0.25">
      <c r="E1355" t="s">
        <v>277</v>
      </c>
      <c r="F1355">
        <v>0</v>
      </c>
      <c r="G1355">
        <v>0</v>
      </c>
      <c r="T1355" t="s">
        <v>296</v>
      </c>
      <c r="U1355">
        <v>0</v>
      </c>
      <c r="V1355">
        <v>0</v>
      </c>
    </row>
    <row r="1356" spans="5:22" x14ac:dyDescent="0.25">
      <c r="E1356" t="s">
        <v>277</v>
      </c>
      <c r="F1356">
        <v>0</v>
      </c>
      <c r="G1356">
        <v>0</v>
      </c>
      <c r="T1356" t="s">
        <v>296</v>
      </c>
      <c r="U1356">
        <v>24000</v>
      </c>
      <c r="V1356">
        <v>0</v>
      </c>
    </row>
    <row r="1357" spans="5:22" x14ac:dyDescent="0.25">
      <c r="E1357" t="s">
        <v>277</v>
      </c>
      <c r="F1357">
        <v>20000</v>
      </c>
      <c r="G1357">
        <v>0</v>
      </c>
      <c r="T1357" t="s">
        <v>296</v>
      </c>
      <c r="U1357">
        <v>22000</v>
      </c>
      <c r="V1357">
        <v>0</v>
      </c>
    </row>
    <row r="1358" spans="5:22" x14ac:dyDescent="0.25">
      <c r="E1358" t="s">
        <v>602</v>
      </c>
      <c r="F1358">
        <v>0</v>
      </c>
      <c r="G1358">
        <v>0</v>
      </c>
      <c r="T1358" t="s">
        <v>296</v>
      </c>
      <c r="U1358">
        <v>26000</v>
      </c>
      <c r="V1358">
        <v>0</v>
      </c>
    </row>
    <row r="1359" spans="5:22" x14ac:dyDescent="0.25">
      <c r="E1359" t="s">
        <v>602</v>
      </c>
      <c r="F1359">
        <v>0</v>
      </c>
      <c r="G1359">
        <v>0</v>
      </c>
      <c r="T1359" t="s">
        <v>299</v>
      </c>
      <c r="U1359">
        <v>0</v>
      </c>
      <c r="V1359">
        <v>0</v>
      </c>
    </row>
    <row r="1360" spans="5:22" x14ac:dyDescent="0.25">
      <c r="E1360" t="s">
        <v>602</v>
      </c>
      <c r="F1360">
        <v>0</v>
      </c>
      <c r="G1360">
        <v>0</v>
      </c>
      <c r="T1360" t="s">
        <v>299</v>
      </c>
      <c r="U1360">
        <v>0</v>
      </c>
      <c r="V1360">
        <v>0</v>
      </c>
    </row>
    <row r="1361" spans="5:22" x14ac:dyDescent="0.25">
      <c r="E1361" t="s">
        <v>602</v>
      </c>
      <c r="F1361">
        <v>0</v>
      </c>
      <c r="G1361">
        <v>0</v>
      </c>
      <c r="T1361" t="s">
        <v>299</v>
      </c>
      <c r="U1361">
        <v>0</v>
      </c>
      <c r="V1361">
        <v>0</v>
      </c>
    </row>
    <row r="1362" spans="5:22" x14ac:dyDescent="0.25">
      <c r="E1362" t="s">
        <v>602</v>
      </c>
      <c r="F1362">
        <v>0</v>
      </c>
      <c r="G1362">
        <v>0</v>
      </c>
      <c r="T1362" t="s">
        <v>299</v>
      </c>
      <c r="U1362">
        <v>0</v>
      </c>
      <c r="V1362">
        <v>0</v>
      </c>
    </row>
    <row r="1363" spans="5:22" x14ac:dyDescent="0.25">
      <c r="E1363" t="s">
        <v>602</v>
      </c>
      <c r="F1363">
        <v>0</v>
      </c>
      <c r="G1363">
        <v>0</v>
      </c>
      <c r="T1363" t="s">
        <v>299</v>
      </c>
      <c r="U1363">
        <v>0</v>
      </c>
      <c r="V1363">
        <v>0</v>
      </c>
    </row>
    <row r="1364" spans="5:22" x14ac:dyDescent="0.25">
      <c r="E1364" t="s">
        <v>501</v>
      </c>
      <c r="F1364">
        <v>5000</v>
      </c>
      <c r="G1364">
        <v>0</v>
      </c>
      <c r="T1364" t="s">
        <v>299</v>
      </c>
      <c r="U1364">
        <v>18000</v>
      </c>
      <c r="V1364">
        <v>40000</v>
      </c>
    </row>
    <row r="1365" spans="5:22" x14ac:dyDescent="0.25">
      <c r="E1365" t="s">
        <v>129</v>
      </c>
      <c r="F1365">
        <v>0</v>
      </c>
      <c r="G1365">
        <v>0</v>
      </c>
      <c r="T1365" t="s">
        <v>299</v>
      </c>
      <c r="U1365">
        <v>0</v>
      </c>
      <c r="V1365">
        <v>0</v>
      </c>
    </row>
    <row r="1366" spans="5:22" x14ac:dyDescent="0.25">
      <c r="E1366" t="s">
        <v>129</v>
      </c>
      <c r="F1366">
        <v>0</v>
      </c>
      <c r="G1366">
        <v>0</v>
      </c>
      <c r="T1366" t="s">
        <v>299</v>
      </c>
      <c r="U1366">
        <v>0</v>
      </c>
      <c r="V1366">
        <v>0</v>
      </c>
    </row>
    <row r="1367" spans="5:22" x14ac:dyDescent="0.25">
      <c r="E1367" t="s">
        <v>129</v>
      </c>
      <c r="F1367">
        <v>0</v>
      </c>
      <c r="G1367">
        <v>0</v>
      </c>
      <c r="T1367" t="s">
        <v>299</v>
      </c>
      <c r="U1367">
        <v>0</v>
      </c>
      <c r="V1367">
        <v>0</v>
      </c>
    </row>
    <row r="1368" spans="5:22" x14ac:dyDescent="0.25">
      <c r="E1368" t="s">
        <v>129</v>
      </c>
      <c r="F1368">
        <v>0</v>
      </c>
      <c r="G1368">
        <v>0</v>
      </c>
      <c r="T1368" t="s">
        <v>299</v>
      </c>
      <c r="U1368">
        <v>0</v>
      </c>
      <c r="V1368">
        <v>0</v>
      </c>
    </row>
    <row r="1369" spans="5:22" x14ac:dyDescent="0.25">
      <c r="E1369" t="s">
        <v>129</v>
      </c>
      <c r="F1369">
        <v>0</v>
      </c>
      <c r="G1369">
        <v>0</v>
      </c>
      <c r="T1369" t="s">
        <v>299</v>
      </c>
      <c r="U1369">
        <v>0</v>
      </c>
      <c r="V1369">
        <v>0</v>
      </c>
    </row>
    <row r="1370" spans="5:22" x14ac:dyDescent="0.25">
      <c r="E1370" t="s">
        <v>129</v>
      </c>
      <c r="F1370">
        <v>0</v>
      </c>
      <c r="G1370">
        <v>0</v>
      </c>
      <c r="T1370" t="s">
        <v>299</v>
      </c>
      <c r="U1370">
        <v>0</v>
      </c>
      <c r="V1370">
        <v>0</v>
      </c>
    </row>
    <row r="1371" spans="5:22" x14ac:dyDescent="0.25">
      <c r="E1371" t="s">
        <v>129</v>
      </c>
      <c r="F1371">
        <v>0</v>
      </c>
      <c r="G1371">
        <v>0</v>
      </c>
      <c r="T1371" t="s">
        <v>299</v>
      </c>
      <c r="U1371">
        <v>18000</v>
      </c>
      <c r="V1371">
        <v>40000</v>
      </c>
    </row>
    <row r="1372" spans="5:22" x14ac:dyDescent="0.25">
      <c r="E1372" t="s">
        <v>129</v>
      </c>
      <c r="F1372">
        <v>0</v>
      </c>
      <c r="G1372">
        <v>0</v>
      </c>
      <c r="T1372" t="s">
        <v>299</v>
      </c>
      <c r="U1372">
        <v>0</v>
      </c>
      <c r="V1372">
        <v>0</v>
      </c>
    </row>
    <row r="1373" spans="5:22" x14ac:dyDescent="0.25">
      <c r="E1373" t="s">
        <v>129</v>
      </c>
      <c r="F1373">
        <v>0</v>
      </c>
      <c r="G1373">
        <v>0</v>
      </c>
      <c r="T1373" t="s">
        <v>299</v>
      </c>
      <c r="U1373">
        <v>0</v>
      </c>
      <c r="V1373">
        <v>0</v>
      </c>
    </row>
    <row r="1374" spans="5:22" x14ac:dyDescent="0.25">
      <c r="E1374" t="s">
        <v>129</v>
      </c>
      <c r="F1374">
        <v>0</v>
      </c>
      <c r="G1374">
        <v>0</v>
      </c>
      <c r="T1374" t="s">
        <v>299</v>
      </c>
      <c r="U1374">
        <v>0</v>
      </c>
      <c r="V1374">
        <v>0</v>
      </c>
    </row>
    <row r="1375" spans="5:22" x14ac:dyDescent="0.25">
      <c r="E1375" t="s">
        <v>129</v>
      </c>
      <c r="F1375">
        <v>0</v>
      </c>
      <c r="G1375">
        <v>0</v>
      </c>
      <c r="T1375" t="s">
        <v>299</v>
      </c>
      <c r="U1375">
        <v>0</v>
      </c>
      <c r="V1375">
        <v>0</v>
      </c>
    </row>
    <row r="1376" spans="5:22" x14ac:dyDescent="0.25">
      <c r="E1376" t="s">
        <v>129</v>
      </c>
      <c r="F1376">
        <v>0</v>
      </c>
      <c r="G1376">
        <v>0</v>
      </c>
      <c r="T1376" t="s">
        <v>302</v>
      </c>
      <c r="U1376">
        <v>0</v>
      </c>
      <c r="V1376">
        <v>0</v>
      </c>
    </row>
    <row r="1377" spans="5:22" x14ac:dyDescent="0.25">
      <c r="E1377" t="s">
        <v>129</v>
      </c>
      <c r="F1377">
        <v>18000</v>
      </c>
      <c r="G1377">
        <v>0</v>
      </c>
      <c r="T1377" t="s">
        <v>302</v>
      </c>
      <c r="U1377">
        <v>0</v>
      </c>
      <c r="V1377">
        <v>0</v>
      </c>
    </row>
    <row r="1378" spans="5:22" x14ac:dyDescent="0.25">
      <c r="E1378" t="s">
        <v>129</v>
      </c>
      <c r="F1378">
        <v>0</v>
      </c>
      <c r="G1378">
        <v>0</v>
      </c>
      <c r="T1378" t="s">
        <v>302</v>
      </c>
      <c r="U1378">
        <v>0</v>
      </c>
      <c r="V1378">
        <v>0</v>
      </c>
    </row>
    <row r="1379" spans="5:22" x14ac:dyDescent="0.25">
      <c r="E1379" t="s">
        <v>129</v>
      </c>
      <c r="F1379">
        <v>0</v>
      </c>
      <c r="G1379">
        <v>0</v>
      </c>
      <c r="T1379" t="s">
        <v>302</v>
      </c>
      <c r="U1379">
        <v>0</v>
      </c>
      <c r="V1379">
        <v>0</v>
      </c>
    </row>
    <row r="1380" spans="5:22" x14ac:dyDescent="0.25">
      <c r="E1380" t="s">
        <v>129</v>
      </c>
      <c r="F1380">
        <v>0</v>
      </c>
      <c r="G1380">
        <v>0</v>
      </c>
      <c r="T1380" t="s">
        <v>302</v>
      </c>
      <c r="U1380">
        <v>0</v>
      </c>
      <c r="V1380">
        <v>0</v>
      </c>
    </row>
    <row r="1381" spans="5:22" x14ac:dyDescent="0.25">
      <c r="E1381" t="s">
        <v>129</v>
      </c>
      <c r="F1381">
        <v>0</v>
      </c>
      <c r="G1381">
        <v>0</v>
      </c>
      <c r="T1381" t="s">
        <v>302</v>
      </c>
      <c r="U1381">
        <v>0</v>
      </c>
      <c r="V1381">
        <v>0</v>
      </c>
    </row>
    <row r="1382" spans="5:22" x14ac:dyDescent="0.25">
      <c r="E1382" t="s">
        <v>129</v>
      </c>
      <c r="F1382">
        <v>0</v>
      </c>
      <c r="G1382">
        <v>0</v>
      </c>
      <c r="T1382" t="s">
        <v>302</v>
      </c>
      <c r="U1382">
        <v>0</v>
      </c>
      <c r="V1382">
        <v>0</v>
      </c>
    </row>
    <row r="1383" spans="5:22" x14ac:dyDescent="0.25">
      <c r="E1383" t="s">
        <v>129</v>
      </c>
      <c r="F1383">
        <v>14000</v>
      </c>
      <c r="G1383">
        <v>0</v>
      </c>
      <c r="T1383" t="s">
        <v>302</v>
      </c>
      <c r="U1383">
        <v>0</v>
      </c>
      <c r="V1383">
        <v>0</v>
      </c>
    </row>
    <row r="1384" spans="5:22" x14ac:dyDescent="0.25">
      <c r="E1384" t="s">
        <v>129</v>
      </c>
      <c r="F1384">
        <v>0</v>
      </c>
      <c r="G1384">
        <v>0</v>
      </c>
      <c r="T1384" t="s">
        <v>302</v>
      </c>
      <c r="U1384">
        <v>0</v>
      </c>
      <c r="V1384">
        <v>0</v>
      </c>
    </row>
    <row r="1385" spans="5:22" x14ac:dyDescent="0.25">
      <c r="E1385" t="s">
        <v>129</v>
      </c>
      <c r="F1385">
        <v>0</v>
      </c>
      <c r="G1385">
        <v>0</v>
      </c>
      <c r="T1385" t="s">
        <v>302</v>
      </c>
      <c r="U1385">
        <v>0</v>
      </c>
      <c r="V1385">
        <v>0</v>
      </c>
    </row>
    <row r="1386" spans="5:22" x14ac:dyDescent="0.25">
      <c r="E1386" t="s">
        <v>600</v>
      </c>
      <c r="F1386">
        <v>0</v>
      </c>
      <c r="G1386">
        <v>0</v>
      </c>
      <c r="T1386" t="s">
        <v>302</v>
      </c>
      <c r="U1386">
        <v>0</v>
      </c>
      <c r="V1386">
        <v>0</v>
      </c>
    </row>
    <row r="1387" spans="5:22" x14ac:dyDescent="0.25">
      <c r="E1387" t="s">
        <v>600</v>
      </c>
      <c r="F1387">
        <v>0</v>
      </c>
      <c r="G1387">
        <v>0</v>
      </c>
      <c r="T1387" t="s">
        <v>302</v>
      </c>
      <c r="U1387">
        <v>14000</v>
      </c>
      <c r="V1387">
        <v>0</v>
      </c>
    </row>
    <row r="1388" spans="5:22" x14ac:dyDescent="0.25">
      <c r="E1388" t="s">
        <v>600</v>
      </c>
      <c r="F1388">
        <v>0</v>
      </c>
      <c r="G1388">
        <v>0</v>
      </c>
      <c r="T1388" t="s">
        <v>302</v>
      </c>
      <c r="U1388">
        <v>0</v>
      </c>
      <c r="V1388">
        <v>0</v>
      </c>
    </row>
    <row r="1389" spans="5:22" x14ac:dyDescent="0.25">
      <c r="E1389" t="s">
        <v>600</v>
      </c>
      <c r="F1389">
        <v>0</v>
      </c>
      <c r="G1389">
        <v>0</v>
      </c>
      <c r="T1389" t="s">
        <v>302</v>
      </c>
      <c r="U1389">
        <v>0</v>
      </c>
      <c r="V1389">
        <v>0</v>
      </c>
    </row>
    <row r="1390" spans="5:22" x14ac:dyDescent="0.25">
      <c r="E1390" t="s">
        <v>600</v>
      </c>
      <c r="F1390">
        <v>0</v>
      </c>
      <c r="G1390">
        <v>0</v>
      </c>
      <c r="T1390" t="s">
        <v>302</v>
      </c>
      <c r="U1390">
        <v>0</v>
      </c>
      <c r="V1390">
        <v>0</v>
      </c>
    </row>
    <row r="1391" spans="5:22" x14ac:dyDescent="0.25">
      <c r="E1391" t="s">
        <v>600</v>
      </c>
      <c r="F1391">
        <v>0</v>
      </c>
      <c r="G1391">
        <v>0</v>
      </c>
      <c r="T1391" t="s">
        <v>302</v>
      </c>
      <c r="U1391">
        <v>0</v>
      </c>
      <c r="V1391">
        <v>0</v>
      </c>
    </row>
    <row r="1392" spans="5:22" x14ac:dyDescent="0.25">
      <c r="E1392" t="s">
        <v>600</v>
      </c>
      <c r="F1392">
        <v>0</v>
      </c>
      <c r="G1392">
        <v>0</v>
      </c>
      <c r="T1392" t="s">
        <v>302</v>
      </c>
      <c r="U1392">
        <v>0</v>
      </c>
      <c r="V1392">
        <v>0</v>
      </c>
    </row>
    <row r="1393" spans="5:22" x14ac:dyDescent="0.25">
      <c r="E1393" t="s">
        <v>600</v>
      </c>
      <c r="F1393">
        <v>0</v>
      </c>
      <c r="G1393">
        <v>0</v>
      </c>
      <c r="T1393" t="s">
        <v>302</v>
      </c>
      <c r="U1393">
        <v>0</v>
      </c>
      <c r="V1393">
        <v>0</v>
      </c>
    </row>
    <row r="1394" spans="5:22" x14ac:dyDescent="0.25">
      <c r="E1394" t="s">
        <v>600</v>
      </c>
      <c r="F1394">
        <v>0</v>
      </c>
      <c r="G1394">
        <v>0</v>
      </c>
      <c r="T1394" t="s">
        <v>302</v>
      </c>
      <c r="U1394">
        <v>0</v>
      </c>
      <c r="V1394">
        <v>0</v>
      </c>
    </row>
    <row r="1395" spans="5:22" x14ac:dyDescent="0.25">
      <c r="E1395" t="s">
        <v>600</v>
      </c>
      <c r="F1395">
        <v>0</v>
      </c>
      <c r="G1395">
        <v>0</v>
      </c>
      <c r="T1395" t="s">
        <v>302</v>
      </c>
      <c r="U1395">
        <v>0</v>
      </c>
      <c r="V1395">
        <v>0</v>
      </c>
    </row>
    <row r="1396" spans="5:22" x14ac:dyDescent="0.25">
      <c r="E1396" t="s">
        <v>600</v>
      </c>
      <c r="F1396">
        <v>0</v>
      </c>
      <c r="G1396">
        <v>0</v>
      </c>
      <c r="T1396" t="s">
        <v>302</v>
      </c>
      <c r="U1396">
        <v>0</v>
      </c>
      <c r="V1396">
        <v>0</v>
      </c>
    </row>
    <row r="1397" spans="5:22" x14ac:dyDescent="0.25">
      <c r="E1397" t="s">
        <v>600</v>
      </c>
      <c r="F1397">
        <v>0</v>
      </c>
      <c r="G1397">
        <v>0</v>
      </c>
      <c r="T1397" t="s">
        <v>302</v>
      </c>
      <c r="U1397">
        <v>0</v>
      </c>
      <c r="V1397">
        <v>0</v>
      </c>
    </row>
    <row r="1398" spans="5:22" x14ac:dyDescent="0.25">
      <c r="E1398" t="s">
        <v>600</v>
      </c>
      <c r="F1398">
        <v>0</v>
      </c>
      <c r="G1398">
        <v>0</v>
      </c>
      <c r="T1398" t="s">
        <v>302</v>
      </c>
      <c r="U1398">
        <v>0</v>
      </c>
      <c r="V1398">
        <v>0</v>
      </c>
    </row>
    <row r="1399" spans="5:22" x14ac:dyDescent="0.25">
      <c r="E1399" t="s">
        <v>600</v>
      </c>
      <c r="F1399">
        <v>0</v>
      </c>
      <c r="G1399">
        <v>0</v>
      </c>
      <c r="T1399" t="s">
        <v>302</v>
      </c>
      <c r="U1399">
        <v>0</v>
      </c>
      <c r="V1399">
        <v>0</v>
      </c>
    </row>
    <row r="1400" spans="5:22" x14ac:dyDescent="0.25">
      <c r="E1400" t="s">
        <v>600</v>
      </c>
      <c r="F1400">
        <v>0</v>
      </c>
      <c r="G1400">
        <v>0</v>
      </c>
      <c r="T1400" t="s">
        <v>302</v>
      </c>
      <c r="U1400">
        <v>0</v>
      </c>
      <c r="V1400">
        <v>0</v>
      </c>
    </row>
    <row r="1401" spans="5:22" x14ac:dyDescent="0.25">
      <c r="E1401" t="s">
        <v>600</v>
      </c>
      <c r="F1401">
        <v>0</v>
      </c>
      <c r="G1401">
        <v>0</v>
      </c>
      <c r="T1401" t="s">
        <v>302</v>
      </c>
      <c r="U1401">
        <v>0</v>
      </c>
      <c r="V1401">
        <v>0</v>
      </c>
    </row>
    <row r="1402" spans="5:22" x14ac:dyDescent="0.25">
      <c r="E1402" t="s">
        <v>600</v>
      </c>
      <c r="F1402">
        <v>0</v>
      </c>
      <c r="G1402">
        <v>0</v>
      </c>
      <c r="T1402" t="s">
        <v>302</v>
      </c>
      <c r="U1402">
        <v>0</v>
      </c>
      <c r="V1402">
        <v>0</v>
      </c>
    </row>
    <row r="1403" spans="5:22" x14ac:dyDescent="0.25">
      <c r="E1403" t="s">
        <v>438</v>
      </c>
      <c r="F1403">
        <v>0</v>
      </c>
      <c r="G1403">
        <v>0</v>
      </c>
      <c r="T1403" t="s">
        <v>302</v>
      </c>
      <c r="U1403">
        <v>0</v>
      </c>
      <c r="V1403">
        <v>0</v>
      </c>
    </row>
    <row r="1404" spans="5:22" x14ac:dyDescent="0.25">
      <c r="E1404" t="s">
        <v>438</v>
      </c>
      <c r="F1404">
        <v>0</v>
      </c>
      <c r="G1404">
        <v>0</v>
      </c>
      <c r="T1404" t="s">
        <v>302</v>
      </c>
      <c r="U1404">
        <v>0</v>
      </c>
      <c r="V1404">
        <v>0</v>
      </c>
    </row>
    <row r="1405" spans="5:22" x14ac:dyDescent="0.25">
      <c r="E1405" t="s">
        <v>438</v>
      </c>
      <c r="F1405">
        <v>0</v>
      </c>
      <c r="G1405">
        <v>20000</v>
      </c>
      <c r="T1405" t="s">
        <v>302</v>
      </c>
      <c r="U1405">
        <v>0</v>
      </c>
      <c r="V1405">
        <v>0</v>
      </c>
    </row>
    <row r="1406" spans="5:22" x14ac:dyDescent="0.25">
      <c r="E1406" t="s">
        <v>438</v>
      </c>
      <c r="F1406">
        <v>0</v>
      </c>
      <c r="G1406">
        <v>0</v>
      </c>
      <c r="T1406" t="s">
        <v>302</v>
      </c>
      <c r="U1406">
        <v>0</v>
      </c>
      <c r="V1406">
        <v>0</v>
      </c>
    </row>
    <row r="1407" spans="5:22" x14ac:dyDescent="0.25">
      <c r="E1407" t="s">
        <v>438</v>
      </c>
      <c r="F1407">
        <v>0</v>
      </c>
      <c r="G1407">
        <v>15000</v>
      </c>
      <c r="T1407" t="s">
        <v>302</v>
      </c>
      <c r="U1407">
        <v>0</v>
      </c>
      <c r="V1407">
        <v>0</v>
      </c>
    </row>
    <row r="1408" spans="5:22" x14ac:dyDescent="0.25">
      <c r="E1408" t="s">
        <v>438</v>
      </c>
      <c r="F1408">
        <v>0</v>
      </c>
      <c r="G1408">
        <v>0</v>
      </c>
      <c r="T1408" t="s">
        <v>302</v>
      </c>
      <c r="U1408">
        <v>0</v>
      </c>
      <c r="V1408">
        <v>0</v>
      </c>
    </row>
    <row r="1409" spans="5:22" x14ac:dyDescent="0.25">
      <c r="E1409" t="s">
        <v>144</v>
      </c>
      <c r="F1409">
        <v>0</v>
      </c>
      <c r="G1409">
        <v>0</v>
      </c>
      <c r="T1409" t="s">
        <v>302</v>
      </c>
      <c r="U1409">
        <v>0</v>
      </c>
      <c r="V1409">
        <v>0</v>
      </c>
    </row>
    <row r="1410" spans="5:22" x14ac:dyDescent="0.25">
      <c r="E1410" t="s">
        <v>144</v>
      </c>
      <c r="F1410">
        <v>0</v>
      </c>
      <c r="G1410">
        <v>0</v>
      </c>
      <c r="T1410" t="s">
        <v>302</v>
      </c>
      <c r="U1410">
        <v>0</v>
      </c>
      <c r="V1410">
        <v>0</v>
      </c>
    </row>
    <row r="1411" spans="5:22" x14ac:dyDescent="0.25">
      <c r="E1411" t="s">
        <v>144</v>
      </c>
      <c r="F1411">
        <v>0</v>
      </c>
      <c r="G1411">
        <v>0</v>
      </c>
      <c r="T1411" t="s">
        <v>302</v>
      </c>
      <c r="U1411">
        <v>0</v>
      </c>
      <c r="V1411">
        <v>0</v>
      </c>
    </row>
    <row r="1412" spans="5:22" x14ac:dyDescent="0.25">
      <c r="E1412" t="s">
        <v>144</v>
      </c>
      <c r="F1412">
        <v>0</v>
      </c>
      <c r="G1412">
        <v>0</v>
      </c>
      <c r="T1412" t="s">
        <v>302</v>
      </c>
      <c r="U1412">
        <v>0</v>
      </c>
      <c r="V1412">
        <v>0</v>
      </c>
    </row>
    <row r="1413" spans="5:22" x14ac:dyDescent="0.25">
      <c r="E1413" t="s">
        <v>144</v>
      </c>
      <c r="F1413">
        <v>0</v>
      </c>
      <c r="G1413">
        <v>0</v>
      </c>
      <c r="T1413" t="s">
        <v>302</v>
      </c>
      <c r="U1413">
        <v>0</v>
      </c>
      <c r="V1413">
        <v>0</v>
      </c>
    </row>
    <row r="1414" spans="5:22" x14ac:dyDescent="0.25">
      <c r="E1414" t="s">
        <v>144</v>
      </c>
      <c r="F1414">
        <v>0</v>
      </c>
      <c r="G1414">
        <v>0</v>
      </c>
      <c r="T1414" t="s">
        <v>302</v>
      </c>
      <c r="U1414">
        <v>0</v>
      </c>
      <c r="V1414">
        <v>0</v>
      </c>
    </row>
    <row r="1415" spans="5:22" x14ac:dyDescent="0.25">
      <c r="E1415" t="s">
        <v>49</v>
      </c>
      <c r="F1415">
        <v>0</v>
      </c>
      <c r="G1415">
        <v>0</v>
      </c>
      <c r="T1415" t="s">
        <v>302</v>
      </c>
      <c r="U1415">
        <v>0</v>
      </c>
      <c r="V1415">
        <v>0</v>
      </c>
    </row>
    <row r="1416" spans="5:22" x14ac:dyDescent="0.25">
      <c r="E1416" t="s">
        <v>49</v>
      </c>
      <c r="F1416">
        <v>0</v>
      </c>
      <c r="G1416">
        <v>0</v>
      </c>
      <c r="T1416" t="s">
        <v>302</v>
      </c>
      <c r="U1416">
        <v>0</v>
      </c>
      <c r="V1416">
        <v>0</v>
      </c>
    </row>
    <row r="1417" spans="5:22" x14ac:dyDescent="0.25">
      <c r="E1417" t="s">
        <v>49</v>
      </c>
      <c r="F1417">
        <v>6500</v>
      </c>
      <c r="G1417">
        <v>0</v>
      </c>
      <c r="T1417" t="s">
        <v>302</v>
      </c>
      <c r="U1417">
        <v>0</v>
      </c>
      <c r="V1417">
        <v>0</v>
      </c>
    </row>
    <row r="1418" spans="5:22" x14ac:dyDescent="0.25">
      <c r="E1418" t="s">
        <v>49</v>
      </c>
      <c r="F1418">
        <v>0</v>
      </c>
      <c r="G1418">
        <v>0</v>
      </c>
      <c r="T1418" t="s">
        <v>302</v>
      </c>
      <c r="U1418">
        <v>0</v>
      </c>
      <c r="V1418">
        <v>0</v>
      </c>
    </row>
    <row r="1419" spans="5:22" x14ac:dyDescent="0.25">
      <c r="E1419" t="s">
        <v>49</v>
      </c>
      <c r="F1419">
        <v>0</v>
      </c>
      <c r="G1419">
        <v>0</v>
      </c>
      <c r="T1419" t="s">
        <v>302</v>
      </c>
      <c r="U1419">
        <v>0</v>
      </c>
      <c r="V1419">
        <v>0</v>
      </c>
    </row>
    <row r="1420" spans="5:22" x14ac:dyDescent="0.25">
      <c r="E1420" t="s">
        <v>49</v>
      </c>
      <c r="F1420">
        <v>4000</v>
      </c>
      <c r="G1420">
        <v>0</v>
      </c>
      <c r="T1420" t="s">
        <v>302</v>
      </c>
      <c r="U1420">
        <v>0</v>
      </c>
      <c r="V1420">
        <v>0</v>
      </c>
    </row>
    <row r="1421" spans="5:22" x14ac:dyDescent="0.25">
      <c r="E1421" t="s">
        <v>49</v>
      </c>
      <c r="F1421">
        <v>0</v>
      </c>
      <c r="G1421">
        <v>0</v>
      </c>
      <c r="T1421" t="s">
        <v>302</v>
      </c>
      <c r="U1421">
        <v>0</v>
      </c>
      <c r="V1421">
        <v>0</v>
      </c>
    </row>
    <row r="1422" spans="5:22" x14ac:dyDescent="0.25">
      <c r="E1422" t="s">
        <v>49</v>
      </c>
      <c r="F1422">
        <v>0</v>
      </c>
      <c r="G1422">
        <v>0</v>
      </c>
      <c r="T1422" t="s">
        <v>302</v>
      </c>
      <c r="U1422">
        <v>17000</v>
      </c>
      <c r="V1422">
        <v>0</v>
      </c>
    </row>
    <row r="1423" spans="5:22" x14ac:dyDescent="0.25">
      <c r="E1423" t="s">
        <v>49</v>
      </c>
      <c r="F1423">
        <v>8000</v>
      </c>
      <c r="G1423">
        <v>0</v>
      </c>
      <c r="T1423" t="s">
        <v>302</v>
      </c>
      <c r="U1423">
        <v>0</v>
      </c>
      <c r="V1423">
        <v>0</v>
      </c>
    </row>
    <row r="1424" spans="5:22" x14ac:dyDescent="0.25">
      <c r="E1424" t="s">
        <v>49</v>
      </c>
      <c r="F1424">
        <v>0</v>
      </c>
      <c r="G1424">
        <v>0</v>
      </c>
      <c r="T1424" t="s">
        <v>302</v>
      </c>
      <c r="U1424">
        <v>0</v>
      </c>
      <c r="V1424">
        <v>0</v>
      </c>
    </row>
    <row r="1425" spans="5:22" x14ac:dyDescent="0.25">
      <c r="E1425" t="s">
        <v>49</v>
      </c>
      <c r="F1425">
        <v>0</v>
      </c>
      <c r="G1425">
        <v>0</v>
      </c>
      <c r="T1425" t="s">
        <v>302</v>
      </c>
      <c r="U1425">
        <v>0</v>
      </c>
      <c r="V1425">
        <v>0</v>
      </c>
    </row>
    <row r="1426" spans="5:22" x14ac:dyDescent="0.25">
      <c r="E1426" t="s">
        <v>49</v>
      </c>
      <c r="F1426">
        <v>0</v>
      </c>
      <c r="G1426">
        <v>0</v>
      </c>
      <c r="T1426" t="s">
        <v>302</v>
      </c>
      <c r="U1426">
        <v>0</v>
      </c>
      <c r="V1426">
        <v>0</v>
      </c>
    </row>
    <row r="1427" spans="5:22" x14ac:dyDescent="0.25">
      <c r="E1427" t="s">
        <v>49</v>
      </c>
      <c r="F1427">
        <v>0</v>
      </c>
      <c r="G1427">
        <v>0</v>
      </c>
      <c r="T1427" t="s">
        <v>302</v>
      </c>
      <c r="U1427">
        <v>0</v>
      </c>
      <c r="V1427">
        <v>0</v>
      </c>
    </row>
    <row r="1428" spans="5:22" x14ac:dyDescent="0.25">
      <c r="E1428" t="s">
        <v>49</v>
      </c>
      <c r="F1428">
        <v>0</v>
      </c>
      <c r="G1428">
        <v>0</v>
      </c>
      <c r="T1428" t="s">
        <v>302</v>
      </c>
      <c r="U1428">
        <v>0</v>
      </c>
      <c r="V1428">
        <v>0</v>
      </c>
    </row>
    <row r="1429" spans="5:22" x14ac:dyDescent="0.25">
      <c r="E1429" t="s">
        <v>49</v>
      </c>
      <c r="F1429">
        <v>0</v>
      </c>
      <c r="G1429">
        <v>0</v>
      </c>
      <c r="T1429" t="s">
        <v>302</v>
      </c>
      <c r="U1429">
        <v>0</v>
      </c>
      <c r="V1429">
        <v>0</v>
      </c>
    </row>
    <row r="1430" spans="5:22" x14ac:dyDescent="0.25">
      <c r="E1430" t="s">
        <v>49</v>
      </c>
      <c r="F1430">
        <v>0</v>
      </c>
      <c r="G1430">
        <v>0</v>
      </c>
      <c r="T1430" t="s">
        <v>302</v>
      </c>
      <c r="U1430">
        <v>0</v>
      </c>
      <c r="V1430">
        <v>0</v>
      </c>
    </row>
    <row r="1431" spans="5:22" x14ac:dyDescent="0.25">
      <c r="E1431" t="s">
        <v>49</v>
      </c>
      <c r="F1431">
        <v>0</v>
      </c>
      <c r="G1431">
        <v>0</v>
      </c>
      <c r="T1431" t="s">
        <v>302</v>
      </c>
      <c r="U1431">
        <v>0</v>
      </c>
      <c r="V1431">
        <v>0</v>
      </c>
    </row>
    <row r="1432" spans="5:22" x14ac:dyDescent="0.25">
      <c r="E1432" t="s">
        <v>49</v>
      </c>
      <c r="F1432">
        <v>0</v>
      </c>
      <c r="G1432">
        <v>0</v>
      </c>
      <c r="T1432" t="s">
        <v>302</v>
      </c>
      <c r="U1432">
        <v>0</v>
      </c>
      <c r="V1432">
        <v>0</v>
      </c>
    </row>
    <row r="1433" spans="5:22" x14ac:dyDescent="0.25">
      <c r="E1433" t="s">
        <v>49</v>
      </c>
      <c r="F1433">
        <v>0</v>
      </c>
      <c r="G1433">
        <v>0</v>
      </c>
      <c r="T1433" t="s">
        <v>302</v>
      </c>
      <c r="U1433">
        <v>0</v>
      </c>
      <c r="V1433">
        <v>0</v>
      </c>
    </row>
    <row r="1434" spans="5:22" x14ac:dyDescent="0.25">
      <c r="E1434" t="s">
        <v>49</v>
      </c>
      <c r="F1434">
        <v>0</v>
      </c>
      <c r="G1434">
        <v>0</v>
      </c>
      <c r="T1434" t="s">
        <v>302</v>
      </c>
      <c r="U1434">
        <v>0</v>
      </c>
      <c r="V1434">
        <v>0</v>
      </c>
    </row>
    <row r="1435" spans="5:22" x14ac:dyDescent="0.25">
      <c r="E1435" t="s">
        <v>17</v>
      </c>
      <c r="F1435">
        <v>3500</v>
      </c>
      <c r="G1435">
        <v>0</v>
      </c>
      <c r="T1435" t="s">
        <v>302</v>
      </c>
      <c r="U1435">
        <v>0</v>
      </c>
      <c r="V1435">
        <v>0</v>
      </c>
    </row>
    <row r="1436" spans="5:22" x14ac:dyDescent="0.25">
      <c r="E1436" t="s">
        <v>17</v>
      </c>
      <c r="F1436">
        <v>6300</v>
      </c>
      <c r="G1436">
        <v>0</v>
      </c>
      <c r="T1436" t="s">
        <v>302</v>
      </c>
      <c r="U1436">
        <v>0</v>
      </c>
      <c r="V1436">
        <v>0</v>
      </c>
    </row>
    <row r="1437" spans="5:22" x14ac:dyDescent="0.25">
      <c r="E1437" t="s">
        <v>17</v>
      </c>
      <c r="F1437">
        <v>0</v>
      </c>
      <c r="G1437">
        <v>0</v>
      </c>
      <c r="T1437" t="s">
        <v>302</v>
      </c>
      <c r="U1437">
        <v>0</v>
      </c>
      <c r="V1437">
        <v>0</v>
      </c>
    </row>
    <row r="1438" spans="5:22" x14ac:dyDescent="0.25">
      <c r="E1438" t="s">
        <v>17</v>
      </c>
      <c r="F1438">
        <v>0</v>
      </c>
      <c r="G1438">
        <v>0</v>
      </c>
      <c r="T1438" t="s">
        <v>302</v>
      </c>
      <c r="U1438">
        <v>0</v>
      </c>
      <c r="V1438">
        <v>0</v>
      </c>
    </row>
    <row r="1439" spans="5:22" x14ac:dyDescent="0.25">
      <c r="E1439" t="s">
        <v>19</v>
      </c>
      <c r="F1439">
        <v>0</v>
      </c>
      <c r="G1439">
        <v>0</v>
      </c>
      <c r="T1439" t="s">
        <v>302</v>
      </c>
      <c r="U1439">
        <v>0</v>
      </c>
      <c r="V1439">
        <v>0</v>
      </c>
    </row>
    <row r="1440" spans="5:22" x14ac:dyDescent="0.25">
      <c r="E1440" t="s">
        <v>19</v>
      </c>
      <c r="F1440">
        <v>0</v>
      </c>
      <c r="G1440">
        <v>0</v>
      </c>
      <c r="T1440" t="s">
        <v>302</v>
      </c>
      <c r="U1440">
        <v>0</v>
      </c>
      <c r="V1440">
        <v>0</v>
      </c>
    </row>
    <row r="1441" spans="5:22" x14ac:dyDescent="0.25">
      <c r="E1441" t="s">
        <v>19</v>
      </c>
      <c r="F1441">
        <v>0</v>
      </c>
      <c r="G1441">
        <v>16000</v>
      </c>
      <c r="T1441" t="s">
        <v>302</v>
      </c>
      <c r="U1441">
        <v>0</v>
      </c>
      <c r="V1441">
        <v>0</v>
      </c>
    </row>
    <row r="1442" spans="5:22" x14ac:dyDescent="0.25">
      <c r="E1442" t="s">
        <v>19</v>
      </c>
      <c r="F1442">
        <v>0</v>
      </c>
      <c r="G1442">
        <v>0</v>
      </c>
      <c r="T1442" t="s">
        <v>302</v>
      </c>
      <c r="U1442">
        <v>0</v>
      </c>
      <c r="V1442">
        <v>0</v>
      </c>
    </row>
    <row r="1443" spans="5:22" x14ac:dyDescent="0.25">
      <c r="E1443" t="s">
        <v>19</v>
      </c>
      <c r="F1443">
        <v>0</v>
      </c>
      <c r="G1443">
        <v>0</v>
      </c>
      <c r="T1443" t="s">
        <v>302</v>
      </c>
      <c r="U1443">
        <v>0</v>
      </c>
      <c r="V1443">
        <v>0</v>
      </c>
    </row>
    <row r="1444" spans="5:22" x14ac:dyDescent="0.25">
      <c r="E1444" t="s">
        <v>19</v>
      </c>
      <c r="F1444">
        <v>0</v>
      </c>
      <c r="G1444">
        <v>0</v>
      </c>
      <c r="T1444" t="s">
        <v>302</v>
      </c>
      <c r="U1444">
        <v>0</v>
      </c>
      <c r="V1444">
        <v>0</v>
      </c>
    </row>
    <row r="1445" spans="5:22" x14ac:dyDescent="0.25">
      <c r="E1445" t="s">
        <v>26</v>
      </c>
      <c r="F1445">
        <v>0</v>
      </c>
      <c r="G1445">
        <v>0</v>
      </c>
      <c r="T1445" t="s">
        <v>302</v>
      </c>
      <c r="U1445">
        <v>0</v>
      </c>
      <c r="V1445">
        <v>0</v>
      </c>
    </row>
    <row r="1446" spans="5:22" x14ac:dyDescent="0.25">
      <c r="E1446" t="s">
        <v>26</v>
      </c>
      <c r="F1446">
        <v>4500</v>
      </c>
      <c r="G1446">
        <v>0</v>
      </c>
      <c r="T1446" t="s">
        <v>302</v>
      </c>
      <c r="U1446">
        <v>0</v>
      </c>
      <c r="V1446">
        <v>0</v>
      </c>
    </row>
    <row r="1447" spans="5:22" x14ac:dyDescent="0.25">
      <c r="E1447" t="s">
        <v>26</v>
      </c>
      <c r="F1447">
        <v>24000</v>
      </c>
      <c r="G1447">
        <v>0</v>
      </c>
      <c r="T1447" t="s">
        <v>302</v>
      </c>
      <c r="U1447">
        <v>0</v>
      </c>
      <c r="V1447">
        <v>0</v>
      </c>
    </row>
    <row r="1448" spans="5:22" x14ac:dyDescent="0.25">
      <c r="E1448" t="s">
        <v>26</v>
      </c>
      <c r="F1448">
        <v>12000</v>
      </c>
      <c r="G1448">
        <v>0</v>
      </c>
      <c r="T1448" t="s">
        <v>302</v>
      </c>
      <c r="U1448">
        <v>0</v>
      </c>
      <c r="V1448">
        <v>0</v>
      </c>
    </row>
    <row r="1449" spans="5:22" x14ac:dyDescent="0.25">
      <c r="E1449" t="s">
        <v>26</v>
      </c>
      <c r="F1449">
        <v>18000</v>
      </c>
      <c r="G1449">
        <v>0</v>
      </c>
      <c r="T1449" t="s">
        <v>302</v>
      </c>
      <c r="U1449">
        <v>0</v>
      </c>
      <c r="V1449">
        <v>0</v>
      </c>
    </row>
    <row r="1450" spans="5:22" x14ac:dyDescent="0.25">
      <c r="E1450" t="s">
        <v>26</v>
      </c>
      <c r="F1450">
        <v>0</v>
      </c>
      <c r="G1450">
        <v>0</v>
      </c>
      <c r="T1450" t="s">
        <v>302</v>
      </c>
      <c r="U1450">
        <v>0</v>
      </c>
      <c r="V1450">
        <v>0</v>
      </c>
    </row>
    <row r="1451" spans="5:22" x14ac:dyDescent="0.25">
      <c r="E1451" t="s">
        <v>26</v>
      </c>
      <c r="F1451">
        <v>4000</v>
      </c>
      <c r="G1451">
        <v>0</v>
      </c>
      <c r="T1451" t="s">
        <v>302</v>
      </c>
      <c r="U1451">
        <v>0</v>
      </c>
      <c r="V1451">
        <v>0</v>
      </c>
    </row>
    <row r="1452" spans="5:22" x14ac:dyDescent="0.25">
      <c r="E1452" t="s">
        <v>26</v>
      </c>
      <c r="F1452">
        <v>38000</v>
      </c>
      <c r="G1452">
        <v>0</v>
      </c>
      <c r="T1452" t="s">
        <v>302</v>
      </c>
      <c r="U1452">
        <v>0</v>
      </c>
      <c r="V1452">
        <v>0</v>
      </c>
    </row>
    <row r="1453" spans="5:22" x14ac:dyDescent="0.25">
      <c r="E1453" t="s">
        <v>26</v>
      </c>
      <c r="F1453">
        <v>0</v>
      </c>
      <c r="G1453">
        <v>0</v>
      </c>
      <c r="T1453" t="s">
        <v>302</v>
      </c>
      <c r="U1453">
        <v>0</v>
      </c>
      <c r="V1453">
        <v>0</v>
      </c>
    </row>
    <row r="1454" spans="5:22" x14ac:dyDescent="0.25">
      <c r="E1454" t="s">
        <v>26</v>
      </c>
      <c r="F1454">
        <v>18000</v>
      </c>
      <c r="G1454">
        <v>0</v>
      </c>
      <c r="T1454" t="s">
        <v>302</v>
      </c>
      <c r="U1454">
        <v>0</v>
      </c>
      <c r="V1454">
        <v>0</v>
      </c>
    </row>
    <row r="1455" spans="5:22" x14ac:dyDescent="0.25">
      <c r="E1455" t="s">
        <v>26</v>
      </c>
      <c r="F1455">
        <v>45000</v>
      </c>
      <c r="G1455">
        <v>0</v>
      </c>
      <c r="T1455" t="s">
        <v>302</v>
      </c>
      <c r="U1455">
        <v>0</v>
      </c>
      <c r="V1455">
        <v>0</v>
      </c>
    </row>
    <row r="1456" spans="5:22" x14ac:dyDescent="0.25">
      <c r="E1456" t="s">
        <v>26</v>
      </c>
      <c r="F1456">
        <v>0</v>
      </c>
      <c r="G1456">
        <v>0</v>
      </c>
      <c r="T1456" t="s">
        <v>302</v>
      </c>
      <c r="U1456">
        <v>0</v>
      </c>
      <c r="V1456">
        <v>0</v>
      </c>
    </row>
    <row r="1457" spans="5:22" x14ac:dyDescent="0.25">
      <c r="E1457" t="s">
        <v>26</v>
      </c>
      <c r="F1457">
        <v>0</v>
      </c>
      <c r="G1457">
        <v>0</v>
      </c>
      <c r="T1457" t="s">
        <v>302</v>
      </c>
      <c r="U1457">
        <v>0</v>
      </c>
      <c r="V1457">
        <v>0</v>
      </c>
    </row>
    <row r="1458" spans="5:22" x14ac:dyDescent="0.25">
      <c r="E1458" t="s">
        <v>26</v>
      </c>
      <c r="F1458">
        <v>28000</v>
      </c>
      <c r="G1458">
        <v>0</v>
      </c>
      <c r="T1458" t="s">
        <v>302</v>
      </c>
      <c r="U1458">
        <v>0</v>
      </c>
      <c r="V1458">
        <v>0</v>
      </c>
    </row>
    <row r="1459" spans="5:22" x14ac:dyDescent="0.25">
      <c r="E1459" t="s">
        <v>26</v>
      </c>
      <c r="F1459">
        <v>0</v>
      </c>
      <c r="G1459">
        <v>0</v>
      </c>
      <c r="T1459" t="s">
        <v>302</v>
      </c>
      <c r="U1459">
        <v>0</v>
      </c>
      <c r="V1459">
        <v>0</v>
      </c>
    </row>
    <row r="1460" spans="5:22" x14ac:dyDescent="0.25">
      <c r="E1460" t="s">
        <v>26</v>
      </c>
      <c r="F1460">
        <v>28000</v>
      </c>
      <c r="G1460">
        <v>0</v>
      </c>
      <c r="T1460" t="s">
        <v>302</v>
      </c>
      <c r="U1460">
        <v>0</v>
      </c>
      <c r="V1460">
        <v>0</v>
      </c>
    </row>
    <row r="1461" spans="5:22" x14ac:dyDescent="0.25">
      <c r="E1461" t="s">
        <v>26</v>
      </c>
      <c r="F1461">
        <v>0</v>
      </c>
      <c r="G1461">
        <v>0</v>
      </c>
      <c r="T1461" t="s">
        <v>302</v>
      </c>
      <c r="U1461">
        <v>0</v>
      </c>
      <c r="V1461">
        <v>0</v>
      </c>
    </row>
    <row r="1462" spans="5:22" x14ac:dyDescent="0.25">
      <c r="E1462" t="s">
        <v>26</v>
      </c>
      <c r="F1462">
        <v>6000</v>
      </c>
      <c r="G1462">
        <v>0</v>
      </c>
      <c r="T1462" t="s">
        <v>302</v>
      </c>
      <c r="U1462">
        <v>0</v>
      </c>
      <c r="V1462">
        <v>0</v>
      </c>
    </row>
    <row r="1463" spans="5:22" x14ac:dyDescent="0.25">
      <c r="E1463" t="s">
        <v>130</v>
      </c>
      <c r="F1463">
        <v>0</v>
      </c>
      <c r="G1463">
        <v>0</v>
      </c>
      <c r="T1463" t="s">
        <v>302</v>
      </c>
      <c r="U1463">
        <v>0</v>
      </c>
      <c r="V1463">
        <v>0</v>
      </c>
    </row>
    <row r="1464" spans="5:22" x14ac:dyDescent="0.25">
      <c r="E1464" t="s">
        <v>130</v>
      </c>
      <c r="F1464">
        <v>0</v>
      </c>
      <c r="G1464">
        <v>0</v>
      </c>
      <c r="T1464" t="s">
        <v>302</v>
      </c>
      <c r="U1464">
        <v>0</v>
      </c>
      <c r="V1464">
        <v>0</v>
      </c>
    </row>
    <row r="1465" spans="5:22" x14ac:dyDescent="0.25">
      <c r="E1465" t="s">
        <v>130</v>
      </c>
      <c r="F1465">
        <v>8000</v>
      </c>
      <c r="G1465">
        <v>0</v>
      </c>
      <c r="T1465" t="s">
        <v>302</v>
      </c>
      <c r="U1465">
        <v>0</v>
      </c>
      <c r="V1465">
        <v>0</v>
      </c>
    </row>
    <row r="1466" spans="5:22" x14ac:dyDescent="0.25">
      <c r="E1466" t="s">
        <v>130</v>
      </c>
      <c r="F1466">
        <v>4000</v>
      </c>
      <c r="G1466">
        <v>0</v>
      </c>
      <c r="T1466" t="s">
        <v>302</v>
      </c>
      <c r="U1466">
        <v>0</v>
      </c>
      <c r="V1466">
        <v>0</v>
      </c>
    </row>
    <row r="1467" spans="5:22" x14ac:dyDescent="0.25">
      <c r="E1467" t="s">
        <v>130</v>
      </c>
      <c r="F1467">
        <v>12000</v>
      </c>
      <c r="G1467">
        <v>0</v>
      </c>
      <c r="T1467" t="s">
        <v>302</v>
      </c>
      <c r="U1467">
        <v>0</v>
      </c>
      <c r="V1467">
        <v>0</v>
      </c>
    </row>
    <row r="1468" spans="5:22" x14ac:dyDescent="0.25">
      <c r="E1468" t="s">
        <v>130</v>
      </c>
      <c r="F1468">
        <v>0</v>
      </c>
      <c r="G1468">
        <v>0</v>
      </c>
      <c r="T1468" t="s">
        <v>302</v>
      </c>
      <c r="U1468">
        <v>15000</v>
      </c>
      <c r="V1468">
        <v>0</v>
      </c>
    </row>
    <row r="1469" spans="5:22" x14ac:dyDescent="0.25">
      <c r="E1469" t="s">
        <v>130</v>
      </c>
      <c r="F1469">
        <v>4000</v>
      </c>
      <c r="G1469">
        <v>0</v>
      </c>
      <c r="T1469" t="s">
        <v>302</v>
      </c>
      <c r="U1469">
        <v>0</v>
      </c>
      <c r="V1469">
        <v>0</v>
      </c>
    </row>
    <row r="1470" spans="5:22" x14ac:dyDescent="0.25">
      <c r="E1470" t="s">
        <v>130</v>
      </c>
      <c r="F1470">
        <v>0</v>
      </c>
      <c r="G1470">
        <v>0</v>
      </c>
      <c r="T1470" t="s">
        <v>302</v>
      </c>
      <c r="U1470">
        <v>0</v>
      </c>
      <c r="V1470">
        <v>0</v>
      </c>
    </row>
    <row r="1471" spans="5:22" x14ac:dyDescent="0.25">
      <c r="E1471" t="s">
        <v>130</v>
      </c>
      <c r="F1471">
        <v>0</v>
      </c>
      <c r="G1471">
        <v>0</v>
      </c>
      <c r="T1471" t="s">
        <v>302</v>
      </c>
      <c r="U1471">
        <v>0</v>
      </c>
      <c r="V1471">
        <v>0</v>
      </c>
    </row>
    <row r="1472" spans="5:22" x14ac:dyDescent="0.25">
      <c r="E1472" t="s">
        <v>130</v>
      </c>
      <c r="F1472">
        <v>0</v>
      </c>
      <c r="G1472">
        <v>0</v>
      </c>
      <c r="T1472" t="s">
        <v>302</v>
      </c>
      <c r="U1472">
        <v>0</v>
      </c>
      <c r="V1472">
        <v>0</v>
      </c>
    </row>
    <row r="1473" spans="5:22" x14ac:dyDescent="0.25">
      <c r="E1473" t="s">
        <v>130</v>
      </c>
      <c r="F1473">
        <v>0</v>
      </c>
      <c r="G1473">
        <v>0</v>
      </c>
      <c r="T1473" t="s">
        <v>302</v>
      </c>
      <c r="U1473">
        <v>0</v>
      </c>
      <c r="V1473">
        <v>0</v>
      </c>
    </row>
    <row r="1474" spans="5:22" x14ac:dyDescent="0.25">
      <c r="E1474" t="s">
        <v>130</v>
      </c>
      <c r="F1474">
        <v>8000</v>
      </c>
      <c r="G1474">
        <v>0</v>
      </c>
      <c r="T1474" t="s">
        <v>302</v>
      </c>
      <c r="U1474">
        <v>0</v>
      </c>
      <c r="V1474">
        <v>0</v>
      </c>
    </row>
    <row r="1475" spans="5:22" x14ac:dyDescent="0.25">
      <c r="E1475" t="s">
        <v>130</v>
      </c>
      <c r="F1475">
        <v>0</v>
      </c>
      <c r="G1475">
        <v>6500</v>
      </c>
      <c r="T1475" t="s">
        <v>302</v>
      </c>
      <c r="U1475">
        <v>0</v>
      </c>
      <c r="V1475">
        <v>0</v>
      </c>
    </row>
    <row r="1476" spans="5:22" x14ac:dyDescent="0.25">
      <c r="E1476" t="s">
        <v>130</v>
      </c>
      <c r="F1476">
        <v>0</v>
      </c>
      <c r="G1476">
        <v>0</v>
      </c>
      <c r="T1476" t="s">
        <v>302</v>
      </c>
      <c r="U1476">
        <v>0</v>
      </c>
      <c r="V1476">
        <v>0</v>
      </c>
    </row>
    <row r="1477" spans="5:22" x14ac:dyDescent="0.25">
      <c r="E1477" t="s">
        <v>130</v>
      </c>
      <c r="F1477">
        <v>4000</v>
      </c>
      <c r="G1477">
        <v>0</v>
      </c>
      <c r="T1477" t="s">
        <v>440</v>
      </c>
      <c r="U1477">
        <v>0</v>
      </c>
      <c r="V1477">
        <v>0</v>
      </c>
    </row>
    <row r="1478" spans="5:22" x14ac:dyDescent="0.25">
      <c r="E1478" t="s">
        <v>130</v>
      </c>
      <c r="F1478">
        <v>4000</v>
      </c>
      <c r="G1478">
        <v>0</v>
      </c>
      <c r="T1478" t="s">
        <v>440</v>
      </c>
      <c r="U1478">
        <v>0</v>
      </c>
      <c r="V1478">
        <v>0</v>
      </c>
    </row>
    <row r="1479" spans="5:22" x14ac:dyDescent="0.25">
      <c r="E1479" t="s">
        <v>130</v>
      </c>
      <c r="F1479">
        <v>12000</v>
      </c>
      <c r="G1479">
        <v>0</v>
      </c>
      <c r="T1479" t="s">
        <v>440</v>
      </c>
      <c r="U1479">
        <v>0</v>
      </c>
      <c r="V1479">
        <v>0</v>
      </c>
    </row>
    <row r="1480" spans="5:22" x14ac:dyDescent="0.25">
      <c r="E1480" t="s">
        <v>130</v>
      </c>
      <c r="F1480">
        <v>0</v>
      </c>
      <c r="G1480">
        <v>0</v>
      </c>
      <c r="T1480" t="s">
        <v>440</v>
      </c>
      <c r="U1480">
        <v>0</v>
      </c>
      <c r="V1480">
        <v>0</v>
      </c>
    </row>
    <row r="1481" spans="5:22" x14ac:dyDescent="0.25">
      <c r="E1481" t="s">
        <v>130</v>
      </c>
      <c r="F1481">
        <v>0</v>
      </c>
      <c r="G1481">
        <v>0</v>
      </c>
      <c r="T1481" t="s">
        <v>440</v>
      </c>
      <c r="U1481">
        <v>0</v>
      </c>
      <c r="V1481">
        <v>0</v>
      </c>
    </row>
    <row r="1482" spans="5:22" x14ac:dyDescent="0.25">
      <c r="E1482" t="s">
        <v>130</v>
      </c>
      <c r="F1482">
        <v>16000</v>
      </c>
      <c r="G1482">
        <v>0</v>
      </c>
      <c r="T1482" t="s">
        <v>440</v>
      </c>
      <c r="U1482">
        <v>0</v>
      </c>
      <c r="V1482">
        <v>0</v>
      </c>
    </row>
    <row r="1483" spans="5:22" x14ac:dyDescent="0.25">
      <c r="E1483" t="s">
        <v>130</v>
      </c>
      <c r="F1483">
        <v>0</v>
      </c>
      <c r="G1483">
        <v>0</v>
      </c>
      <c r="T1483" t="s">
        <v>440</v>
      </c>
      <c r="U1483">
        <v>0</v>
      </c>
      <c r="V1483">
        <v>0</v>
      </c>
    </row>
    <row r="1484" spans="5:22" x14ac:dyDescent="0.25">
      <c r="E1484" t="s">
        <v>130</v>
      </c>
      <c r="F1484">
        <v>0</v>
      </c>
      <c r="G1484">
        <v>0</v>
      </c>
      <c r="T1484" t="s">
        <v>304</v>
      </c>
      <c r="U1484">
        <v>0</v>
      </c>
      <c r="V1484">
        <v>29000</v>
      </c>
    </row>
    <row r="1485" spans="5:22" x14ac:dyDescent="0.25">
      <c r="E1485" t="s">
        <v>130</v>
      </c>
      <c r="F1485">
        <v>8000</v>
      </c>
      <c r="G1485">
        <v>0</v>
      </c>
      <c r="T1485" t="s">
        <v>304</v>
      </c>
      <c r="U1485">
        <v>0</v>
      </c>
      <c r="V1485">
        <v>20000</v>
      </c>
    </row>
    <row r="1486" spans="5:22" x14ac:dyDescent="0.25">
      <c r="E1486" t="s">
        <v>130</v>
      </c>
      <c r="F1486">
        <v>0</v>
      </c>
      <c r="G1486">
        <v>6500</v>
      </c>
      <c r="T1486" t="s">
        <v>306</v>
      </c>
      <c r="U1486">
        <v>0</v>
      </c>
      <c r="V1486">
        <v>0</v>
      </c>
    </row>
    <row r="1487" spans="5:22" x14ac:dyDescent="0.25">
      <c r="E1487" t="s">
        <v>130</v>
      </c>
      <c r="F1487">
        <v>0</v>
      </c>
      <c r="G1487">
        <v>0</v>
      </c>
      <c r="T1487" t="s">
        <v>313</v>
      </c>
      <c r="U1487">
        <v>46000</v>
      </c>
      <c r="V1487">
        <v>0</v>
      </c>
    </row>
    <row r="1488" spans="5:22" x14ac:dyDescent="0.25">
      <c r="E1488" t="s">
        <v>130</v>
      </c>
      <c r="F1488">
        <v>0</v>
      </c>
      <c r="G1488">
        <v>0</v>
      </c>
      <c r="T1488" t="s">
        <v>313</v>
      </c>
      <c r="U1488">
        <v>20000</v>
      </c>
      <c r="V1488">
        <v>0</v>
      </c>
    </row>
    <row r="1489" spans="5:22" x14ac:dyDescent="0.25">
      <c r="E1489" t="s">
        <v>130</v>
      </c>
      <c r="F1489">
        <v>0</v>
      </c>
      <c r="G1489">
        <v>6500</v>
      </c>
      <c r="T1489" t="s">
        <v>315</v>
      </c>
      <c r="U1489">
        <v>23000</v>
      </c>
      <c r="V1489">
        <v>0</v>
      </c>
    </row>
    <row r="1490" spans="5:22" x14ac:dyDescent="0.25">
      <c r="E1490" t="s">
        <v>130</v>
      </c>
      <c r="F1490">
        <v>4000</v>
      </c>
      <c r="G1490">
        <v>0</v>
      </c>
      <c r="T1490" t="s">
        <v>315</v>
      </c>
      <c r="U1490">
        <v>0</v>
      </c>
      <c r="V1490">
        <v>0</v>
      </c>
    </row>
    <row r="1491" spans="5:22" x14ac:dyDescent="0.25">
      <c r="E1491" t="s">
        <v>130</v>
      </c>
      <c r="F1491">
        <v>8000</v>
      </c>
      <c r="G1491">
        <v>12000</v>
      </c>
      <c r="T1491" t="s">
        <v>315</v>
      </c>
      <c r="U1491">
        <v>25000</v>
      </c>
      <c r="V1491">
        <v>0</v>
      </c>
    </row>
    <row r="1492" spans="5:22" x14ac:dyDescent="0.25">
      <c r="E1492" t="s">
        <v>130</v>
      </c>
      <c r="F1492">
        <v>0</v>
      </c>
      <c r="G1492">
        <v>0</v>
      </c>
      <c r="T1492" t="s">
        <v>317</v>
      </c>
      <c r="U1492">
        <v>30000</v>
      </c>
      <c r="V1492">
        <v>0</v>
      </c>
    </row>
    <row r="1493" spans="5:22" x14ac:dyDescent="0.25">
      <c r="E1493" t="s">
        <v>130</v>
      </c>
      <c r="F1493">
        <v>8000</v>
      </c>
      <c r="G1493">
        <v>0</v>
      </c>
      <c r="T1493" t="s">
        <v>317</v>
      </c>
      <c r="U1493">
        <v>0</v>
      </c>
      <c r="V1493">
        <v>0</v>
      </c>
    </row>
    <row r="1494" spans="5:22" x14ac:dyDescent="0.25">
      <c r="E1494" t="s">
        <v>130</v>
      </c>
      <c r="F1494">
        <v>16000</v>
      </c>
      <c r="G1494">
        <v>0</v>
      </c>
      <c r="T1494" t="s">
        <v>317</v>
      </c>
      <c r="U1494">
        <v>0</v>
      </c>
      <c r="V1494">
        <v>0</v>
      </c>
    </row>
    <row r="1495" spans="5:22" x14ac:dyDescent="0.25">
      <c r="E1495" t="s">
        <v>130</v>
      </c>
      <c r="F1495">
        <v>900</v>
      </c>
      <c r="G1495">
        <v>0</v>
      </c>
      <c r="T1495" t="s">
        <v>317</v>
      </c>
      <c r="U1495">
        <v>0</v>
      </c>
      <c r="V1495">
        <v>0</v>
      </c>
    </row>
    <row r="1496" spans="5:22" x14ac:dyDescent="0.25">
      <c r="E1496" t="s">
        <v>130</v>
      </c>
      <c r="F1496">
        <v>0</v>
      </c>
      <c r="G1496">
        <v>6500</v>
      </c>
      <c r="T1496" t="s">
        <v>317</v>
      </c>
      <c r="U1496">
        <v>30000</v>
      </c>
      <c r="V1496">
        <v>0</v>
      </c>
    </row>
    <row r="1497" spans="5:22" x14ac:dyDescent="0.25">
      <c r="E1497" t="s">
        <v>130</v>
      </c>
      <c r="F1497">
        <v>0</v>
      </c>
      <c r="G1497">
        <v>0</v>
      </c>
      <c r="T1497" t="s">
        <v>321</v>
      </c>
      <c r="U1497">
        <v>0</v>
      </c>
      <c r="V1497">
        <v>0</v>
      </c>
    </row>
    <row r="1498" spans="5:22" x14ac:dyDescent="0.25">
      <c r="E1498" t="s">
        <v>130</v>
      </c>
      <c r="F1498">
        <v>0</v>
      </c>
      <c r="G1498">
        <v>0</v>
      </c>
      <c r="T1498" t="s">
        <v>321</v>
      </c>
      <c r="U1498">
        <v>30000</v>
      </c>
      <c r="V1498">
        <v>0</v>
      </c>
    </row>
    <row r="1499" spans="5:22" x14ac:dyDescent="0.25">
      <c r="E1499" t="s">
        <v>130</v>
      </c>
      <c r="F1499">
        <v>0</v>
      </c>
      <c r="G1499">
        <v>0</v>
      </c>
      <c r="T1499" t="s">
        <v>321</v>
      </c>
      <c r="U1499">
        <v>0</v>
      </c>
      <c r="V1499">
        <v>0</v>
      </c>
    </row>
    <row r="1500" spans="5:22" x14ac:dyDescent="0.25">
      <c r="E1500" t="s">
        <v>130</v>
      </c>
      <c r="F1500">
        <v>0</v>
      </c>
      <c r="G1500">
        <v>6500</v>
      </c>
      <c r="T1500" t="s">
        <v>321</v>
      </c>
      <c r="U1500">
        <v>0</v>
      </c>
      <c r="V1500">
        <v>0</v>
      </c>
    </row>
    <row r="1501" spans="5:22" x14ac:dyDescent="0.25">
      <c r="E1501" t="s">
        <v>130</v>
      </c>
      <c r="F1501">
        <v>0</v>
      </c>
      <c r="G1501">
        <v>0</v>
      </c>
      <c r="T1501" t="s">
        <v>321</v>
      </c>
      <c r="U1501">
        <v>0</v>
      </c>
      <c r="V1501">
        <v>0</v>
      </c>
    </row>
    <row r="1502" spans="5:22" x14ac:dyDescent="0.25">
      <c r="E1502" t="s">
        <v>46</v>
      </c>
      <c r="F1502">
        <v>14000</v>
      </c>
      <c r="G1502">
        <v>0</v>
      </c>
      <c r="T1502" t="s">
        <v>321</v>
      </c>
      <c r="U1502">
        <v>28000</v>
      </c>
      <c r="V1502">
        <v>0</v>
      </c>
    </row>
    <row r="1503" spans="5:22" x14ac:dyDescent="0.25">
      <c r="E1503" t="s">
        <v>46</v>
      </c>
      <c r="F1503">
        <v>18500</v>
      </c>
      <c r="G1503">
        <v>0</v>
      </c>
      <c r="T1503" t="s">
        <v>321</v>
      </c>
      <c r="U1503">
        <v>0</v>
      </c>
      <c r="V1503">
        <v>0</v>
      </c>
    </row>
    <row r="1504" spans="5:22" x14ac:dyDescent="0.25">
      <c r="E1504" t="s">
        <v>46</v>
      </c>
      <c r="F1504">
        <v>25000</v>
      </c>
      <c r="G1504">
        <v>0</v>
      </c>
      <c r="T1504" t="s">
        <v>321</v>
      </c>
      <c r="U1504">
        <v>24000</v>
      </c>
      <c r="V1504">
        <v>0</v>
      </c>
    </row>
    <row r="1505" spans="5:22" x14ac:dyDescent="0.25">
      <c r="E1505" t="s">
        <v>46</v>
      </c>
      <c r="F1505">
        <v>30500</v>
      </c>
      <c r="G1505">
        <v>0</v>
      </c>
      <c r="T1505" t="s">
        <v>321</v>
      </c>
      <c r="U1505">
        <v>0</v>
      </c>
      <c r="V1505">
        <v>0</v>
      </c>
    </row>
    <row r="1506" spans="5:22" x14ac:dyDescent="0.25">
      <c r="E1506" t="s">
        <v>46</v>
      </c>
      <c r="F1506">
        <v>35000</v>
      </c>
      <c r="G1506">
        <v>0</v>
      </c>
      <c r="T1506" t="s">
        <v>321</v>
      </c>
      <c r="U1506">
        <v>22000</v>
      </c>
      <c r="V1506">
        <v>0</v>
      </c>
    </row>
    <row r="1507" spans="5:22" x14ac:dyDescent="0.25">
      <c r="E1507" t="s">
        <v>46</v>
      </c>
      <c r="F1507">
        <v>15000</v>
      </c>
      <c r="G1507">
        <v>0</v>
      </c>
      <c r="T1507" t="s">
        <v>321</v>
      </c>
      <c r="U1507">
        <v>0</v>
      </c>
      <c r="V1507">
        <v>0</v>
      </c>
    </row>
    <row r="1508" spans="5:22" x14ac:dyDescent="0.25">
      <c r="E1508" t="s">
        <v>46</v>
      </c>
      <c r="F1508">
        <v>0</v>
      </c>
      <c r="G1508">
        <v>0</v>
      </c>
      <c r="T1508" t="s">
        <v>321</v>
      </c>
      <c r="U1508">
        <v>18000</v>
      </c>
      <c r="V1508">
        <v>0</v>
      </c>
    </row>
    <row r="1509" spans="5:22" x14ac:dyDescent="0.25">
      <c r="E1509" t="s">
        <v>46</v>
      </c>
      <c r="F1509">
        <v>16500</v>
      </c>
      <c r="G1509">
        <v>0</v>
      </c>
      <c r="T1509" t="s">
        <v>321</v>
      </c>
      <c r="U1509">
        <v>20000</v>
      </c>
      <c r="V1509">
        <v>0</v>
      </c>
    </row>
    <row r="1510" spans="5:22" x14ac:dyDescent="0.25">
      <c r="E1510" t="s">
        <v>46</v>
      </c>
      <c r="F1510">
        <v>25500</v>
      </c>
      <c r="G1510">
        <v>0</v>
      </c>
      <c r="T1510" t="s">
        <v>321</v>
      </c>
      <c r="U1510">
        <v>0</v>
      </c>
      <c r="V1510">
        <v>0</v>
      </c>
    </row>
    <row r="1511" spans="5:22" x14ac:dyDescent="0.25">
      <c r="E1511" t="s">
        <v>46</v>
      </c>
      <c r="F1511">
        <v>16500</v>
      </c>
      <c r="G1511">
        <v>0</v>
      </c>
      <c r="T1511" t="s">
        <v>321</v>
      </c>
      <c r="U1511">
        <v>0</v>
      </c>
      <c r="V1511">
        <v>0</v>
      </c>
    </row>
    <row r="1512" spans="5:22" x14ac:dyDescent="0.25">
      <c r="E1512" t="s">
        <v>46</v>
      </c>
      <c r="F1512">
        <v>25000</v>
      </c>
      <c r="G1512">
        <v>0</v>
      </c>
      <c r="T1512" t="s">
        <v>321</v>
      </c>
      <c r="U1512">
        <v>0</v>
      </c>
      <c r="V1512">
        <v>0</v>
      </c>
    </row>
    <row r="1513" spans="5:22" x14ac:dyDescent="0.25">
      <c r="E1513" t="s">
        <v>46</v>
      </c>
      <c r="F1513">
        <v>15500</v>
      </c>
      <c r="G1513">
        <v>0</v>
      </c>
      <c r="T1513" t="s">
        <v>321</v>
      </c>
      <c r="U1513">
        <v>0</v>
      </c>
      <c r="V1513">
        <v>0</v>
      </c>
    </row>
    <row r="1514" spans="5:22" x14ac:dyDescent="0.25">
      <c r="E1514" t="s">
        <v>46</v>
      </c>
      <c r="F1514">
        <v>26000</v>
      </c>
      <c r="G1514">
        <v>0</v>
      </c>
      <c r="T1514" t="s">
        <v>321</v>
      </c>
      <c r="U1514">
        <v>30000</v>
      </c>
      <c r="V1514">
        <v>0</v>
      </c>
    </row>
    <row r="1515" spans="5:22" x14ac:dyDescent="0.25">
      <c r="E1515" t="s">
        <v>46</v>
      </c>
      <c r="F1515">
        <v>15000</v>
      </c>
      <c r="G1515">
        <v>0</v>
      </c>
      <c r="T1515" t="s">
        <v>321</v>
      </c>
      <c r="U1515">
        <v>0</v>
      </c>
      <c r="V1515">
        <v>0</v>
      </c>
    </row>
    <row r="1516" spans="5:22" x14ac:dyDescent="0.25">
      <c r="E1516" t="s">
        <v>46</v>
      </c>
      <c r="F1516">
        <v>0</v>
      </c>
      <c r="G1516">
        <v>0</v>
      </c>
      <c r="T1516" t="s">
        <v>321</v>
      </c>
      <c r="U1516">
        <v>0</v>
      </c>
      <c r="V1516">
        <v>0</v>
      </c>
    </row>
    <row r="1517" spans="5:22" x14ac:dyDescent="0.25">
      <c r="E1517" t="s">
        <v>47</v>
      </c>
      <c r="F1517">
        <v>16000</v>
      </c>
      <c r="G1517">
        <v>0</v>
      </c>
      <c r="T1517" t="s">
        <v>321</v>
      </c>
      <c r="U1517">
        <v>0</v>
      </c>
      <c r="V1517">
        <v>0</v>
      </c>
    </row>
    <row r="1518" spans="5:22" x14ac:dyDescent="0.25">
      <c r="E1518" t="s">
        <v>47</v>
      </c>
      <c r="F1518">
        <v>17000</v>
      </c>
      <c r="G1518">
        <v>0</v>
      </c>
      <c r="T1518" t="s">
        <v>324</v>
      </c>
      <c r="U1518">
        <v>29000</v>
      </c>
      <c r="V1518">
        <v>0</v>
      </c>
    </row>
    <row r="1519" spans="5:22" x14ac:dyDescent="0.25">
      <c r="E1519" t="s">
        <v>47</v>
      </c>
      <c r="F1519">
        <v>16800</v>
      </c>
      <c r="G1519">
        <v>0</v>
      </c>
      <c r="T1519" t="s">
        <v>324</v>
      </c>
      <c r="U1519">
        <v>0</v>
      </c>
      <c r="V1519">
        <v>0</v>
      </c>
    </row>
    <row r="1520" spans="5:22" x14ac:dyDescent="0.25">
      <c r="E1520" t="s">
        <v>47</v>
      </c>
      <c r="F1520">
        <v>25000</v>
      </c>
      <c r="G1520">
        <v>0</v>
      </c>
      <c r="T1520" t="s">
        <v>324</v>
      </c>
      <c r="U1520">
        <v>0</v>
      </c>
      <c r="V1520">
        <v>0</v>
      </c>
    </row>
    <row r="1521" spans="5:22" x14ac:dyDescent="0.25">
      <c r="E1521" t="s">
        <v>47</v>
      </c>
      <c r="F1521">
        <v>20000</v>
      </c>
      <c r="G1521">
        <v>0</v>
      </c>
      <c r="T1521" t="s">
        <v>324</v>
      </c>
      <c r="U1521">
        <v>0</v>
      </c>
      <c r="V1521">
        <v>0</v>
      </c>
    </row>
    <row r="1522" spans="5:22" x14ac:dyDescent="0.25">
      <c r="E1522" t="s">
        <v>47</v>
      </c>
      <c r="F1522">
        <v>40000</v>
      </c>
      <c r="G1522">
        <v>0</v>
      </c>
      <c r="T1522" t="s">
        <v>324</v>
      </c>
      <c r="U1522">
        <v>0</v>
      </c>
      <c r="V1522">
        <v>0</v>
      </c>
    </row>
    <row r="1523" spans="5:22" x14ac:dyDescent="0.25">
      <c r="E1523" t="s">
        <v>47</v>
      </c>
      <c r="F1523">
        <v>45000</v>
      </c>
      <c r="G1523">
        <v>0</v>
      </c>
      <c r="T1523" t="s">
        <v>324</v>
      </c>
      <c r="U1523">
        <v>0</v>
      </c>
      <c r="V1523">
        <v>0</v>
      </c>
    </row>
    <row r="1524" spans="5:22" x14ac:dyDescent="0.25">
      <c r="E1524" t="s">
        <v>47</v>
      </c>
      <c r="F1524">
        <v>15000</v>
      </c>
      <c r="G1524">
        <v>0</v>
      </c>
      <c r="T1524" t="s">
        <v>324</v>
      </c>
      <c r="U1524">
        <v>0</v>
      </c>
      <c r="V1524">
        <v>0</v>
      </c>
    </row>
    <row r="1525" spans="5:22" x14ac:dyDescent="0.25">
      <c r="E1525" t="s">
        <v>47</v>
      </c>
      <c r="F1525">
        <v>18000</v>
      </c>
      <c r="G1525">
        <v>0</v>
      </c>
      <c r="T1525" t="s">
        <v>324</v>
      </c>
      <c r="U1525">
        <v>31000</v>
      </c>
      <c r="V1525">
        <v>0</v>
      </c>
    </row>
    <row r="1526" spans="5:22" x14ac:dyDescent="0.25">
      <c r="E1526" t="s">
        <v>48</v>
      </c>
      <c r="F1526">
        <v>15000</v>
      </c>
      <c r="G1526">
        <v>0</v>
      </c>
      <c r="T1526" t="s">
        <v>324</v>
      </c>
      <c r="U1526">
        <v>0</v>
      </c>
      <c r="V1526">
        <v>0</v>
      </c>
    </row>
    <row r="1527" spans="5:22" x14ac:dyDescent="0.25">
      <c r="E1527" t="s">
        <v>48</v>
      </c>
      <c r="F1527">
        <v>7500</v>
      </c>
      <c r="G1527">
        <v>0</v>
      </c>
      <c r="T1527" t="s">
        <v>324</v>
      </c>
      <c r="U1527">
        <v>45000</v>
      </c>
      <c r="V1527">
        <v>0</v>
      </c>
    </row>
    <row r="1528" spans="5:22" x14ac:dyDescent="0.25">
      <c r="E1528" t="s">
        <v>48</v>
      </c>
      <c r="F1528">
        <v>0</v>
      </c>
      <c r="G1528">
        <v>0</v>
      </c>
      <c r="T1528" t="s">
        <v>324</v>
      </c>
      <c r="U1528">
        <v>45000</v>
      </c>
      <c r="V1528">
        <v>0</v>
      </c>
    </row>
    <row r="1529" spans="5:22" x14ac:dyDescent="0.25">
      <c r="E1529" t="s">
        <v>48</v>
      </c>
      <c r="F1529">
        <v>7500</v>
      </c>
      <c r="G1529">
        <v>0</v>
      </c>
      <c r="T1529" t="s">
        <v>324</v>
      </c>
      <c r="U1529">
        <v>42000</v>
      </c>
      <c r="V1529">
        <v>0</v>
      </c>
    </row>
    <row r="1530" spans="5:22" x14ac:dyDescent="0.25">
      <c r="E1530" t="s">
        <v>286</v>
      </c>
      <c r="F1530">
        <v>6100</v>
      </c>
      <c r="G1530">
        <v>0</v>
      </c>
      <c r="T1530" t="s">
        <v>324</v>
      </c>
      <c r="U1530">
        <v>0</v>
      </c>
      <c r="V1530">
        <v>0</v>
      </c>
    </row>
    <row r="1531" spans="5:22" x14ac:dyDescent="0.25">
      <c r="E1531" t="s">
        <v>286</v>
      </c>
      <c r="F1531">
        <v>6000</v>
      </c>
      <c r="G1531">
        <v>25700</v>
      </c>
      <c r="T1531" t="s">
        <v>324</v>
      </c>
      <c r="U1531">
        <v>0</v>
      </c>
      <c r="V1531">
        <v>0</v>
      </c>
    </row>
    <row r="1532" spans="5:22" x14ac:dyDescent="0.25">
      <c r="E1532" t="s">
        <v>286</v>
      </c>
      <c r="F1532">
        <v>8000</v>
      </c>
      <c r="G1532">
        <v>0</v>
      </c>
      <c r="T1532" t="s">
        <v>324</v>
      </c>
      <c r="U1532">
        <v>0</v>
      </c>
      <c r="V1532">
        <v>0</v>
      </c>
    </row>
    <row r="1533" spans="5:22" x14ac:dyDescent="0.25">
      <c r="E1533" t="s">
        <v>286</v>
      </c>
      <c r="F1533">
        <v>13000</v>
      </c>
      <c r="G1533">
        <v>0</v>
      </c>
      <c r="T1533" t="s">
        <v>324</v>
      </c>
      <c r="U1533">
        <v>0</v>
      </c>
      <c r="V1533">
        <v>0</v>
      </c>
    </row>
    <row r="1534" spans="5:22" x14ac:dyDescent="0.25">
      <c r="E1534" t="s">
        <v>286</v>
      </c>
      <c r="F1534">
        <v>10000</v>
      </c>
      <c r="G1534">
        <v>0</v>
      </c>
      <c r="T1534" t="s">
        <v>324</v>
      </c>
      <c r="U1534">
        <v>0</v>
      </c>
      <c r="V1534">
        <v>0</v>
      </c>
    </row>
    <row r="1535" spans="5:22" x14ac:dyDescent="0.25">
      <c r="E1535" t="s">
        <v>286</v>
      </c>
      <c r="F1535">
        <v>8000</v>
      </c>
      <c r="G1535">
        <v>0</v>
      </c>
      <c r="T1535" t="s">
        <v>324</v>
      </c>
      <c r="U1535">
        <v>36000</v>
      </c>
      <c r="V1535">
        <v>0</v>
      </c>
    </row>
    <row r="1536" spans="5:22" x14ac:dyDescent="0.25">
      <c r="E1536" t="s">
        <v>286</v>
      </c>
      <c r="F1536">
        <v>5000</v>
      </c>
      <c r="G1536">
        <v>0</v>
      </c>
      <c r="T1536" t="s">
        <v>324</v>
      </c>
      <c r="U1536">
        <v>0</v>
      </c>
      <c r="V1536">
        <v>0</v>
      </c>
    </row>
    <row r="1537" spans="5:22" x14ac:dyDescent="0.25">
      <c r="E1537" t="s">
        <v>286</v>
      </c>
      <c r="F1537">
        <v>10000</v>
      </c>
      <c r="G1537">
        <v>0</v>
      </c>
      <c r="T1537" t="s">
        <v>324</v>
      </c>
      <c r="U1537">
        <v>28000</v>
      </c>
      <c r="V1537">
        <v>0</v>
      </c>
    </row>
    <row r="1538" spans="5:22" x14ac:dyDescent="0.25">
      <c r="E1538" t="s">
        <v>286</v>
      </c>
      <c r="F1538">
        <v>5000</v>
      </c>
      <c r="G1538">
        <v>0</v>
      </c>
      <c r="T1538" t="s">
        <v>324</v>
      </c>
      <c r="U1538">
        <v>44000</v>
      </c>
      <c r="V1538">
        <v>0</v>
      </c>
    </row>
    <row r="1539" spans="5:22" x14ac:dyDescent="0.25">
      <c r="E1539" t="s">
        <v>286</v>
      </c>
      <c r="F1539">
        <v>0</v>
      </c>
      <c r="G1539">
        <v>0</v>
      </c>
      <c r="T1539" t="s">
        <v>326</v>
      </c>
      <c r="U1539">
        <v>0</v>
      </c>
      <c r="V1539">
        <v>0</v>
      </c>
    </row>
    <row r="1540" spans="5:22" x14ac:dyDescent="0.25">
      <c r="E1540" t="s">
        <v>286</v>
      </c>
      <c r="F1540">
        <v>0</v>
      </c>
      <c r="G1540">
        <v>0</v>
      </c>
      <c r="T1540" t="s">
        <v>326</v>
      </c>
      <c r="U1540">
        <v>19000</v>
      </c>
      <c r="V1540">
        <v>0</v>
      </c>
    </row>
    <row r="1541" spans="5:22" x14ac:dyDescent="0.25">
      <c r="E1541" t="s">
        <v>286</v>
      </c>
      <c r="F1541">
        <v>27000</v>
      </c>
      <c r="G1541">
        <v>0</v>
      </c>
      <c r="T1541" t="s">
        <v>326</v>
      </c>
      <c r="U1541">
        <v>0</v>
      </c>
      <c r="V1541">
        <v>0</v>
      </c>
    </row>
    <row r="1542" spans="5:22" x14ac:dyDescent="0.25">
      <c r="E1542" t="s">
        <v>286</v>
      </c>
      <c r="F1542">
        <v>12000</v>
      </c>
      <c r="G1542">
        <v>0</v>
      </c>
      <c r="T1542" t="s">
        <v>326</v>
      </c>
      <c r="U1542">
        <v>22000</v>
      </c>
      <c r="V1542">
        <v>0</v>
      </c>
    </row>
    <row r="1543" spans="5:22" x14ac:dyDescent="0.25">
      <c r="E1543" t="s">
        <v>286</v>
      </c>
      <c r="F1543">
        <v>17000</v>
      </c>
      <c r="G1543">
        <v>0</v>
      </c>
      <c r="T1543" t="s">
        <v>326</v>
      </c>
      <c r="U1543">
        <v>0</v>
      </c>
      <c r="V1543">
        <v>0</v>
      </c>
    </row>
    <row r="1544" spans="5:22" x14ac:dyDescent="0.25">
      <c r="E1544" t="s">
        <v>286</v>
      </c>
      <c r="F1544">
        <v>5000</v>
      </c>
      <c r="G1544">
        <v>0</v>
      </c>
      <c r="T1544" t="s">
        <v>326</v>
      </c>
      <c r="U1544">
        <v>29000</v>
      </c>
      <c r="V1544">
        <v>0</v>
      </c>
    </row>
    <row r="1545" spans="5:22" x14ac:dyDescent="0.25">
      <c r="E1545" t="s">
        <v>286</v>
      </c>
      <c r="F1545">
        <v>8000</v>
      </c>
      <c r="G1545">
        <v>0</v>
      </c>
      <c r="T1545" t="s">
        <v>326</v>
      </c>
      <c r="U1545">
        <v>0</v>
      </c>
      <c r="V1545">
        <v>0</v>
      </c>
    </row>
    <row r="1546" spans="5:22" x14ac:dyDescent="0.25">
      <c r="E1546" t="s">
        <v>286</v>
      </c>
      <c r="F1546">
        <v>0</v>
      </c>
      <c r="G1546">
        <v>0</v>
      </c>
      <c r="T1546" t="s">
        <v>326</v>
      </c>
      <c r="U1546">
        <v>0</v>
      </c>
      <c r="V1546">
        <v>0</v>
      </c>
    </row>
    <row r="1547" spans="5:22" x14ac:dyDescent="0.25">
      <c r="E1547" t="s">
        <v>286</v>
      </c>
      <c r="F1547">
        <v>8100</v>
      </c>
      <c r="G1547">
        <v>0</v>
      </c>
      <c r="T1547" t="s">
        <v>326</v>
      </c>
      <c r="U1547">
        <v>18000</v>
      </c>
      <c r="V1547">
        <v>0</v>
      </c>
    </row>
    <row r="1548" spans="5:22" x14ac:dyDescent="0.25">
      <c r="E1548" t="s">
        <v>286</v>
      </c>
      <c r="F1548">
        <v>6100</v>
      </c>
      <c r="G1548">
        <v>0</v>
      </c>
      <c r="T1548" t="s">
        <v>326</v>
      </c>
      <c r="U1548">
        <v>24000</v>
      </c>
      <c r="V1548">
        <v>0</v>
      </c>
    </row>
    <row r="1549" spans="5:22" x14ac:dyDescent="0.25">
      <c r="E1549" t="s">
        <v>286</v>
      </c>
      <c r="F1549">
        <v>16100</v>
      </c>
      <c r="G1549">
        <v>0</v>
      </c>
      <c r="T1549" t="s">
        <v>326</v>
      </c>
      <c r="U1549">
        <v>0</v>
      </c>
      <c r="V1549">
        <v>0</v>
      </c>
    </row>
    <row r="1550" spans="5:22" x14ac:dyDescent="0.25">
      <c r="E1550" t="s">
        <v>289</v>
      </c>
      <c r="F1550">
        <v>0</v>
      </c>
      <c r="G1550">
        <v>0</v>
      </c>
      <c r="T1550" t="s">
        <v>326</v>
      </c>
      <c r="U1550">
        <v>0</v>
      </c>
      <c r="V1550">
        <v>0</v>
      </c>
    </row>
    <row r="1551" spans="5:22" x14ac:dyDescent="0.25">
      <c r="E1551" t="s">
        <v>289</v>
      </c>
      <c r="F1551">
        <v>0</v>
      </c>
      <c r="G1551">
        <v>0</v>
      </c>
      <c r="T1551" t="s">
        <v>326</v>
      </c>
      <c r="U1551">
        <v>21000</v>
      </c>
      <c r="V1551">
        <v>0</v>
      </c>
    </row>
    <row r="1552" spans="5:22" x14ac:dyDescent="0.25">
      <c r="E1552" t="s">
        <v>289</v>
      </c>
      <c r="F1552">
        <v>0</v>
      </c>
      <c r="G1552">
        <v>0</v>
      </c>
      <c r="T1552" t="s">
        <v>326</v>
      </c>
      <c r="U1552">
        <v>0</v>
      </c>
      <c r="V1552">
        <v>0</v>
      </c>
    </row>
    <row r="1553" spans="5:22" x14ac:dyDescent="0.25">
      <c r="E1553" t="s">
        <v>289</v>
      </c>
      <c r="F1553">
        <v>0</v>
      </c>
      <c r="G1553">
        <v>17900</v>
      </c>
      <c r="T1553" t="s">
        <v>326</v>
      </c>
      <c r="U1553">
        <v>0</v>
      </c>
      <c r="V1553">
        <v>0</v>
      </c>
    </row>
    <row r="1554" spans="5:22" x14ac:dyDescent="0.25">
      <c r="E1554" t="s">
        <v>289</v>
      </c>
      <c r="F1554">
        <v>0</v>
      </c>
      <c r="G1554">
        <v>0</v>
      </c>
      <c r="T1554" t="s">
        <v>326</v>
      </c>
      <c r="U1554">
        <v>0</v>
      </c>
      <c r="V1554">
        <v>0</v>
      </c>
    </row>
    <row r="1555" spans="5:22" x14ac:dyDescent="0.25">
      <c r="E1555" t="s">
        <v>289</v>
      </c>
      <c r="F1555">
        <v>0</v>
      </c>
      <c r="G1555">
        <v>0</v>
      </c>
      <c r="T1555" t="s">
        <v>326</v>
      </c>
      <c r="U1555">
        <v>17000</v>
      </c>
      <c r="V1555">
        <v>0</v>
      </c>
    </row>
    <row r="1556" spans="5:22" x14ac:dyDescent="0.25">
      <c r="E1556" t="s">
        <v>289</v>
      </c>
      <c r="F1556">
        <v>0</v>
      </c>
      <c r="G1556">
        <v>0</v>
      </c>
      <c r="T1556" t="s">
        <v>326</v>
      </c>
      <c r="U1556">
        <v>0</v>
      </c>
      <c r="V1556">
        <v>0</v>
      </c>
    </row>
    <row r="1557" spans="5:22" x14ac:dyDescent="0.25">
      <c r="E1557" t="s">
        <v>289</v>
      </c>
      <c r="F1557">
        <v>0</v>
      </c>
      <c r="G1557">
        <v>4900</v>
      </c>
      <c r="T1557" t="s">
        <v>326</v>
      </c>
      <c r="U1557">
        <v>0</v>
      </c>
      <c r="V1557">
        <v>0</v>
      </c>
    </row>
    <row r="1558" spans="5:22" x14ac:dyDescent="0.25">
      <c r="E1558" t="s">
        <v>289</v>
      </c>
      <c r="F1558">
        <v>0</v>
      </c>
      <c r="G1558">
        <v>0</v>
      </c>
      <c r="T1558" t="s">
        <v>326</v>
      </c>
      <c r="U1558">
        <v>0</v>
      </c>
      <c r="V1558">
        <v>0</v>
      </c>
    </row>
    <row r="1559" spans="5:22" x14ac:dyDescent="0.25">
      <c r="E1559" t="s">
        <v>289</v>
      </c>
      <c r="F1559">
        <v>0</v>
      </c>
      <c r="G1559">
        <v>0</v>
      </c>
      <c r="T1559" t="s">
        <v>326</v>
      </c>
      <c r="U1559">
        <v>0</v>
      </c>
      <c r="V1559">
        <v>0</v>
      </c>
    </row>
    <row r="1560" spans="5:22" x14ac:dyDescent="0.25">
      <c r="E1560" t="s">
        <v>289</v>
      </c>
      <c r="F1560">
        <v>0</v>
      </c>
      <c r="G1560">
        <v>0</v>
      </c>
      <c r="T1560" t="s">
        <v>326</v>
      </c>
      <c r="U1560">
        <v>0</v>
      </c>
      <c r="V1560">
        <v>0</v>
      </c>
    </row>
    <row r="1561" spans="5:22" x14ac:dyDescent="0.25">
      <c r="E1561" t="s">
        <v>289</v>
      </c>
      <c r="F1561">
        <v>0</v>
      </c>
      <c r="G1561">
        <v>0</v>
      </c>
      <c r="T1561" t="s">
        <v>326</v>
      </c>
      <c r="U1561">
        <v>27000</v>
      </c>
      <c r="V1561">
        <v>0</v>
      </c>
    </row>
    <row r="1562" spans="5:22" x14ac:dyDescent="0.25">
      <c r="E1562" t="s">
        <v>289</v>
      </c>
      <c r="F1562">
        <v>0</v>
      </c>
      <c r="G1562">
        <v>0</v>
      </c>
      <c r="T1562" t="s">
        <v>326</v>
      </c>
      <c r="U1562">
        <v>0</v>
      </c>
      <c r="V1562">
        <v>0</v>
      </c>
    </row>
    <row r="1563" spans="5:22" x14ac:dyDescent="0.25">
      <c r="E1563" t="s">
        <v>289</v>
      </c>
      <c r="F1563">
        <v>0</v>
      </c>
      <c r="G1563">
        <v>0</v>
      </c>
      <c r="T1563" t="s">
        <v>326</v>
      </c>
      <c r="U1563">
        <v>20000</v>
      </c>
      <c r="V1563">
        <v>0</v>
      </c>
    </row>
    <row r="1564" spans="5:22" x14ac:dyDescent="0.25">
      <c r="E1564" t="s">
        <v>289</v>
      </c>
      <c r="F1564">
        <v>0</v>
      </c>
      <c r="G1564">
        <v>0</v>
      </c>
      <c r="T1564" t="s">
        <v>326</v>
      </c>
      <c r="U1564">
        <v>0</v>
      </c>
      <c r="V1564">
        <v>0</v>
      </c>
    </row>
    <row r="1565" spans="5:22" x14ac:dyDescent="0.25">
      <c r="E1565" t="s">
        <v>289</v>
      </c>
      <c r="F1565">
        <v>0</v>
      </c>
      <c r="G1565">
        <v>0</v>
      </c>
      <c r="T1565" t="s">
        <v>326</v>
      </c>
      <c r="U1565">
        <v>0</v>
      </c>
      <c r="V1565">
        <v>0</v>
      </c>
    </row>
    <row r="1566" spans="5:22" x14ac:dyDescent="0.25">
      <c r="E1566" t="s">
        <v>289</v>
      </c>
      <c r="F1566">
        <v>0</v>
      </c>
      <c r="G1566">
        <v>0</v>
      </c>
      <c r="T1566" t="s">
        <v>326</v>
      </c>
      <c r="U1566">
        <v>0</v>
      </c>
      <c r="V1566">
        <v>0</v>
      </c>
    </row>
    <row r="1567" spans="5:22" x14ac:dyDescent="0.25">
      <c r="E1567" t="s">
        <v>289</v>
      </c>
      <c r="F1567">
        <v>0</v>
      </c>
      <c r="G1567">
        <v>0</v>
      </c>
      <c r="T1567" t="s">
        <v>326</v>
      </c>
      <c r="U1567">
        <v>0</v>
      </c>
      <c r="V1567">
        <v>0</v>
      </c>
    </row>
    <row r="1568" spans="5:22" x14ac:dyDescent="0.25">
      <c r="E1568" t="s">
        <v>289</v>
      </c>
      <c r="F1568">
        <v>0</v>
      </c>
      <c r="G1568">
        <v>10000</v>
      </c>
      <c r="T1568" t="s">
        <v>326</v>
      </c>
      <c r="U1568">
        <v>0</v>
      </c>
      <c r="V1568">
        <v>0</v>
      </c>
    </row>
    <row r="1569" spans="5:22" x14ac:dyDescent="0.25">
      <c r="E1569" t="s">
        <v>289</v>
      </c>
      <c r="F1569">
        <v>0</v>
      </c>
      <c r="G1569">
        <v>0</v>
      </c>
      <c r="T1569" t="s">
        <v>326</v>
      </c>
      <c r="U1569">
        <v>0</v>
      </c>
      <c r="V1569">
        <v>0</v>
      </c>
    </row>
    <row r="1570" spans="5:22" x14ac:dyDescent="0.25">
      <c r="E1570" t="s">
        <v>289</v>
      </c>
      <c r="F1570">
        <v>0</v>
      </c>
      <c r="G1570">
        <v>0</v>
      </c>
      <c r="T1570" t="s">
        <v>326</v>
      </c>
      <c r="U1570">
        <v>0</v>
      </c>
      <c r="V1570">
        <v>0</v>
      </c>
    </row>
    <row r="1571" spans="5:22" x14ac:dyDescent="0.25">
      <c r="E1571" t="s">
        <v>289</v>
      </c>
      <c r="F1571">
        <v>0</v>
      </c>
      <c r="G1571">
        <v>0</v>
      </c>
      <c r="T1571" t="s">
        <v>326</v>
      </c>
      <c r="U1571">
        <v>0</v>
      </c>
      <c r="V1571">
        <v>0</v>
      </c>
    </row>
    <row r="1572" spans="5:22" x14ac:dyDescent="0.25">
      <c r="E1572" t="s">
        <v>289</v>
      </c>
      <c r="F1572">
        <v>0</v>
      </c>
      <c r="G1572">
        <v>0</v>
      </c>
      <c r="T1572" t="s">
        <v>326</v>
      </c>
      <c r="U1572">
        <v>0</v>
      </c>
      <c r="V1572">
        <v>0</v>
      </c>
    </row>
    <row r="1573" spans="5:22" x14ac:dyDescent="0.25">
      <c r="E1573" t="s">
        <v>289</v>
      </c>
      <c r="F1573">
        <v>0</v>
      </c>
      <c r="G1573">
        <v>0</v>
      </c>
      <c r="T1573" t="s">
        <v>326</v>
      </c>
      <c r="U1573">
        <v>0</v>
      </c>
      <c r="V1573">
        <v>0</v>
      </c>
    </row>
    <row r="1574" spans="5:22" x14ac:dyDescent="0.25">
      <c r="E1574" t="s">
        <v>289</v>
      </c>
      <c r="F1574">
        <v>0</v>
      </c>
      <c r="G1574">
        <v>0</v>
      </c>
      <c r="T1574" t="s">
        <v>326</v>
      </c>
      <c r="U1574">
        <v>25000</v>
      </c>
      <c r="V1574">
        <v>0</v>
      </c>
    </row>
    <row r="1575" spans="5:22" x14ac:dyDescent="0.25">
      <c r="E1575" t="s">
        <v>289</v>
      </c>
      <c r="F1575">
        <v>0</v>
      </c>
      <c r="G1575">
        <v>0</v>
      </c>
      <c r="T1575" t="s">
        <v>326</v>
      </c>
      <c r="U1575">
        <v>0</v>
      </c>
      <c r="V1575">
        <v>0</v>
      </c>
    </row>
    <row r="1576" spans="5:22" x14ac:dyDescent="0.25">
      <c r="E1576" t="s">
        <v>289</v>
      </c>
      <c r="F1576">
        <v>0</v>
      </c>
      <c r="G1576">
        <v>0</v>
      </c>
      <c r="T1576" t="s">
        <v>326</v>
      </c>
      <c r="U1576">
        <v>16000</v>
      </c>
      <c r="V1576">
        <v>0</v>
      </c>
    </row>
    <row r="1577" spans="5:22" x14ac:dyDescent="0.25">
      <c r="E1577" t="s">
        <v>289</v>
      </c>
      <c r="F1577">
        <v>0</v>
      </c>
      <c r="G1577">
        <v>0</v>
      </c>
      <c r="T1577" t="s">
        <v>328</v>
      </c>
      <c r="U1577">
        <v>0</v>
      </c>
      <c r="V1577">
        <v>0</v>
      </c>
    </row>
    <row r="1578" spans="5:22" x14ac:dyDescent="0.25">
      <c r="E1578" t="s">
        <v>289</v>
      </c>
      <c r="F1578">
        <v>0</v>
      </c>
      <c r="G1578">
        <v>0</v>
      </c>
      <c r="T1578" t="s">
        <v>328</v>
      </c>
      <c r="U1578">
        <v>0</v>
      </c>
      <c r="V1578">
        <v>0</v>
      </c>
    </row>
    <row r="1579" spans="5:22" x14ac:dyDescent="0.25">
      <c r="E1579" t="s">
        <v>289</v>
      </c>
      <c r="F1579">
        <v>0</v>
      </c>
      <c r="G1579">
        <v>0</v>
      </c>
      <c r="T1579" t="s">
        <v>328</v>
      </c>
      <c r="U1579">
        <v>0</v>
      </c>
      <c r="V1579">
        <v>0</v>
      </c>
    </row>
    <row r="1580" spans="5:22" x14ac:dyDescent="0.25">
      <c r="E1580" t="s">
        <v>289</v>
      </c>
      <c r="F1580">
        <v>0</v>
      </c>
      <c r="G1580">
        <v>0</v>
      </c>
      <c r="T1580" t="s">
        <v>328</v>
      </c>
      <c r="U1580">
        <v>0</v>
      </c>
      <c r="V1580">
        <v>0</v>
      </c>
    </row>
    <row r="1581" spans="5:22" x14ac:dyDescent="0.25">
      <c r="E1581" t="s">
        <v>289</v>
      </c>
      <c r="F1581">
        <v>0</v>
      </c>
      <c r="G1581">
        <v>0</v>
      </c>
      <c r="T1581" t="s">
        <v>328</v>
      </c>
      <c r="U1581">
        <v>16000</v>
      </c>
      <c r="V1581">
        <v>0</v>
      </c>
    </row>
    <row r="1582" spans="5:22" x14ac:dyDescent="0.25">
      <c r="E1582" t="s">
        <v>289</v>
      </c>
      <c r="F1582">
        <v>0</v>
      </c>
      <c r="G1582">
        <v>0</v>
      </c>
      <c r="T1582" t="s">
        <v>328</v>
      </c>
      <c r="U1582">
        <v>0</v>
      </c>
      <c r="V1582">
        <v>0</v>
      </c>
    </row>
    <row r="1583" spans="5:22" x14ac:dyDescent="0.25">
      <c r="E1583" t="s">
        <v>291</v>
      </c>
      <c r="F1583">
        <v>0</v>
      </c>
      <c r="G1583">
        <v>0</v>
      </c>
      <c r="T1583" t="s">
        <v>328</v>
      </c>
      <c r="U1583">
        <v>0</v>
      </c>
      <c r="V1583">
        <v>0</v>
      </c>
    </row>
    <row r="1584" spans="5:22" x14ac:dyDescent="0.25">
      <c r="E1584" t="s">
        <v>291</v>
      </c>
      <c r="F1584">
        <v>5000</v>
      </c>
      <c r="G1584">
        <v>0</v>
      </c>
      <c r="T1584" t="s">
        <v>328</v>
      </c>
      <c r="U1584">
        <v>25000</v>
      </c>
      <c r="V1584">
        <v>0</v>
      </c>
    </row>
    <row r="1585" spans="5:22" x14ac:dyDescent="0.25">
      <c r="E1585" t="s">
        <v>291</v>
      </c>
      <c r="F1585">
        <v>0</v>
      </c>
      <c r="G1585">
        <v>3000</v>
      </c>
      <c r="T1585" t="s">
        <v>328</v>
      </c>
      <c r="U1585">
        <v>0</v>
      </c>
      <c r="V1585">
        <v>0</v>
      </c>
    </row>
    <row r="1586" spans="5:22" x14ac:dyDescent="0.25">
      <c r="E1586" t="s">
        <v>291</v>
      </c>
      <c r="F1586">
        <v>0</v>
      </c>
      <c r="G1586">
        <v>0</v>
      </c>
      <c r="T1586" t="s">
        <v>328</v>
      </c>
      <c r="U1586">
        <v>0</v>
      </c>
      <c r="V1586">
        <v>0</v>
      </c>
    </row>
    <row r="1587" spans="5:22" x14ac:dyDescent="0.25">
      <c r="E1587" t="s">
        <v>291</v>
      </c>
      <c r="F1587">
        <v>5000</v>
      </c>
      <c r="G1587">
        <v>0</v>
      </c>
      <c r="T1587" t="s">
        <v>328</v>
      </c>
      <c r="U1587">
        <v>0</v>
      </c>
      <c r="V1587">
        <v>0</v>
      </c>
    </row>
    <row r="1588" spans="5:22" x14ac:dyDescent="0.25">
      <c r="E1588" t="s">
        <v>291</v>
      </c>
      <c r="F1588">
        <v>0</v>
      </c>
      <c r="G1588">
        <v>0</v>
      </c>
      <c r="T1588" t="s">
        <v>328</v>
      </c>
      <c r="U1588">
        <v>17000</v>
      </c>
      <c r="V1588">
        <v>0</v>
      </c>
    </row>
    <row r="1589" spans="5:22" x14ac:dyDescent="0.25">
      <c r="E1589" t="s">
        <v>291</v>
      </c>
      <c r="F1589">
        <v>17000</v>
      </c>
      <c r="G1589">
        <v>0</v>
      </c>
      <c r="T1589" t="s">
        <v>328</v>
      </c>
      <c r="U1589">
        <v>0</v>
      </c>
      <c r="V1589">
        <v>0</v>
      </c>
    </row>
    <row r="1590" spans="5:22" x14ac:dyDescent="0.25">
      <c r="E1590" t="s">
        <v>291</v>
      </c>
      <c r="F1590">
        <v>5000</v>
      </c>
      <c r="G1590">
        <v>0</v>
      </c>
      <c r="T1590" t="s">
        <v>328</v>
      </c>
      <c r="U1590">
        <v>0</v>
      </c>
      <c r="V1590">
        <v>0</v>
      </c>
    </row>
    <row r="1591" spans="5:22" x14ac:dyDescent="0.25">
      <c r="E1591" t="s">
        <v>291</v>
      </c>
      <c r="F1591">
        <v>0</v>
      </c>
      <c r="G1591">
        <v>0</v>
      </c>
      <c r="T1591" t="s">
        <v>328</v>
      </c>
      <c r="U1591">
        <v>33000</v>
      </c>
      <c r="V1591">
        <v>0</v>
      </c>
    </row>
    <row r="1592" spans="5:22" x14ac:dyDescent="0.25">
      <c r="E1592" t="s">
        <v>291</v>
      </c>
      <c r="F1592">
        <v>0</v>
      </c>
      <c r="G1592">
        <v>0</v>
      </c>
      <c r="T1592" t="s">
        <v>328</v>
      </c>
      <c r="U1592">
        <v>36000</v>
      </c>
      <c r="V1592">
        <v>0</v>
      </c>
    </row>
    <row r="1593" spans="5:22" x14ac:dyDescent="0.25">
      <c r="E1593" t="s">
        <v>291</v>
      </c>
      <c r="F1593">
        <v>0</v>
      </c>
      <c r="G1593">
        <v>0</v>
      </c>
      <c r="T1593" t="s">
        <v>328</v>
      </c>
      <c r="U1593">
        <v>31000</v>
      </c>
      <c r="V1593">
        <v>0</v>
      </c>
    </row>
    <row r="1594" spans="5:22" x14ac:dyDescent="0.25">
      <c r="E1594" t="s">
        <v>291</v>
      </c>
      <c r="F1594">
        <v>2000</v>
      </c>
      <c r="G1594">
        <v>6000</v>
      </c>
      <c r="T1594" t="s">
        <v>328</v>
      </c>
      <c r="U1594">
        <v>25000</v>
      </c>
      <c r="V1594">
        <v>0</v>
      </c>
    </row>
    <row r="1595" spans="5:22" x14ac:dyDescent="0.25">
      <c r="E1595" t="s">
        <v>291</v>
      </c>
      <c r="F1595">
        <v>0</v>
      </c>
      <c r="G1595">
        <v>0</v>
      </c>
      <c r="T1595" t="s">
        <v>328</v>
      </c>
      <c r="U1595">
        <v>0</v>
      </c>
      <c r="V1595">
        <v>0</v>
      </c>
    </row>
    <row r="1596" spans="5:22" x14ac:dyDescent="0.25">
      <c r="E1596" t="s">
        <v>291</v>
      </c>
      <c r="F1596">
        <v>0</v>
      </c>
      <c r="G1596">
        <v>0</v>
      </c>
      <c r="T1596" t="s">
        <v>328</v>
      </c>
      <c r="U1596">
        <v>0</v>
      </c>
      <c r="V1596">
        <v>0</v>
      </c>
    </row>
    <row r="1597" spans="5:22" x14ac:dyDescent="0.25">
      <c r="E1597" t="s">
        <v>291</v>
      </c>
      <c r="F1597">
        <v>0</v>
      </c>
      <c r="G1597">
        <v>0</v>
      </c>
      <c r="T1597" t="s">
        <v>328</v>
      </c>
      <c r="U1597">
        <v>0</v>
      </c>
      <c r="V1597">
        <v>0</v>
      </c>
    </row>
    <row r="1598" spans="5:22" x14ac:dyDescent="0.25">
      <c r="E1598" t="s">
        <v>291</v>
      </c>
      <c r="F1598">
        <v>0</v>
      </c>
      <c r="G1598">
        <v>0</v>
      </c>
      <c r="T1598" t="s">
        <v>328</v>
      </c>
      <c r="U1598">
        <v>0</v>
      </c>
      <c r="V1598">
        <v>0</v>
      </c>
    </row>
    <row r="1599" spans="5:22" x14ac:dyDescent="0.25">
      <c r="E1599" t="s">
        <v>291</v>
      </c>
      <c r="F1599">
        <v>0</v>
      </c>
      <c r="G1599">
        <v>0</v>
      </c>
      <c r="T1599" t="s">
        <v>328</v>
      </c>
      <c r="U1599">
        <v>0</v>
      </c>
      <c r="V1599">
        <v>0</v>
      </c>
    </row>
    <row r="1600" spans="5:22" x14ac:dyDescent="0.25">
      <c r="E1600" t="s">
        <v>291</v>
      </c>
      <c r="F1600">
        <v>0</v>
      </c>
      <c r="G1600">
        <v>0</v>
      </c>
      <c r="T1600" t="s">
        <v>328</v>
      </c>
      <c r="U1600">
        <v>0</v>
      </c>
      <c r="V1600">
        <v>0</v>
      </c>
    </row>
    <row r="1601" spans="5:22" x14ac:dyDescent="0.25">
      <c r="E1601" t="s">
        <v>291</v>
      </c>
      <c r="F1601">
        <v>3000</v>
      </c>
      <c r="G1601">
        <v>0</v>
      </c>
      <c r="T1601" t="s">
        <v>328</v>
      </c>
      <c r="U1601">
        <v>0</v>
      </c>
      <c r="V1601">
        <v>0</v>
      </c>
    </row>
    <row r="1602" spans="5:22" x14ac:dyDescent="0.25">
      <c r="E1602" t="s">
        <v>291</v>
      </c>
      <c r="F1602">
        <v>0</v>
      </c>
      <c r="G1602">
        <v>5000</v>
      </c>
      <c r="T1602" t="s">
        <v>328</v>
      </c>
      <c r="U1602">
        <v>0</v>
      </c>
      <c r="V1602">
        <v>0</v>
      </c>
    </row>
    <row r="1603" spans="5:22" x14ac:dyDescent="0.25">
      <c r="E1603" t="s">
        <v>291</v>
      </c>
      <c r="F1603">
        <v>0</v>
      </c>
      <c r="G1603">
        <v>0</v>
      </c>
      <c r="T1603" t="s">
        <v>328</v>
      </c>
      <c r="U1603">
        <v>0</v>
      </c>
      <c r="V1603">
        <v>0</v>
      </c>
    </row>
    <row r="1604" spans="5:22" x14ac:dyDescent="0.25">
      <c r="E1604" t="s">
        <v>291</v>
      </c>
      <c r="F1604">
        <v>0</v>
      </c>
      <c r="G1604">
        <v>0</v>
      </c>
      <c r="T1604" t="s">
        <v>328</v>
      </c>
      <c r="U1604">
        <v>29000</v>
      </c>
      <c r="V1604">
        <v>0</v>
      </c>
    </row>
    <row r="1605" spans="5:22" x14ac:dyDescent="0.25">
      <c r="E1605" t="s">
        <v>291</v>
      </c>
      <c r="F1605">
        <v>0</v>
      </c>
      <c r="G1605">
        <v>5000</v>
      </c>
      <c r="T1605" t="s">
        <v>328</v>
      </c>
      <c r="U1605">
        <v>0</v>
      </c>
      <c r="V1605">
        <v>0</v>
      </c>
    </row>
    <row r="1606" spans="5:22" x14ac:dyDescent="0.25">
      <c r="E1606" t="s">
        <v>291</v>
      </c>
      <c r="F1606">
        <v>2000</v>
      </c>
      <c r="G1606">
        <v>6000</v>
      </c>
      <c r="T1606" t="s">
        <v>328</v>
      </c>
      <c r="U1606">
        <v>22000</v>
      </c>
      <c r="V1606">
        <v>0</v>
      </c>
    </row>
    <row r="1607" spans="5:22" x14ac:dyDescent="0.25">
      <c r="E1607" t="s">
        <v>291</v>
      </c>
      <c r="F1607">
        <v>2000</v>
      </c>
      <c r="G1607">
        <v>6000</v>
      </c>
      <c r="T1607" t="s">
        <v>328</v>
      </c>
      <c r="U1607">
        <v>0</v>
      </c>
      <c r="V1607">
        <v>0</v>
      </c>
    </row>
    <row r="1608" spans="5:22" x14ac:dyDescent="0.25">
      <c r="E1608" t="s">
        <v>291</v>
      </c>
      <c r="F1608">
        <v>0</v>
      </c>
      <c r="G1608">
        <v>0</v>
      </c>
      <c r="T1608" t="s">
        <v>328</v>
      </c>
      <c r="U1608">
        <v>0</v>
      </c>
      <c r="V1608">
        <v>0</v>
      </c>
    </row>
    <row r="1609" spans="5:22" x14ac:dyDescent="0.25">
      <c r="E1609" t="s">
        <v>291</v>
      </c>
      <c r="F1609">
        <v>0</v>
      </c>
      <c r="G1609">
        <v>0</v>
      </c>
      <c r="T1609" t="s">
        <v>328</v>
      </c>
      <c r="U1609">
        <v>19000</v>
      </c>
      <c r="V1609">
        <v>0</v>
      </c>
    </row>
    <row r="1610" spans="5:22" x14ac:dyDescent="0.25">
      <c r="E1610" t="s">
        <v>291</v>
      </c>
      <c r="F1610">
        <v>0</v>
      </c>
      <c r="G1610">
        <v>0</v>
      </c>
      <c r="T1610" t="s">
        <v>328</v>
      </c>
      <c r="U1610">
        <v>0</v>
      </c>
      <c r="V1610">
        <v>0</v>
      </c>
    </row>
    <row r="1611" spans="5:22" x14ac:dyDescent="0.25">
      <c r="E1611" t="s">
        <v>291</v>
      </c>
      <c r="F1611">
        <v>0</v>
      </c>
      <c r="G1611">
        <v>0</v>
      </c>
      <c r="T1611" t="s">
        <v>328</v>
      </c>
      <c r="U1611">
        <v>26000</v>
      </c>
      <c r="V1611">
        <v>0</v>
      </c>
    </row>
    <row r="1612" spans="5:22" x14ac:dyDescent="0.25">
      <c r="E1612" t="s">
        <v>291</v>
      </c>
      <c r="F1612">
        <v>0</v>
      </c>
      <c r="G1612">
        <v>0</v>
      </c>
      <c r="T1612" t="s">
        <v>328</v>
      </c>
      <c r="U1612">
        <v>0</v>
      </c>
      <c r="V1612">
        <v>0</v>
      </c>
    </row>
    <row r="1613" spans="5:22" x14ac:dyDescent="0.25">
      <c r="E1613" t="s">
        <v>291</v>
      </c>
      <c r="F1613">
        <v>0</v>
      </c>
      <c r="G1613">
        <v>0</v>
      </c>
      <c r="T1613" t="s">
        <v>328</v>
      </c>
      <c r="U1613">
        <v>0</v>
      </c>
      <c r="V1613">
        <v>0</v>
      </c>
    </row>
    <row r="1614" spans="5:22" x14ac:dyDescent="0.25">
      <c r="E1614" t="s">
        <v>291</v>
      </c>
      <c r="F1614">
        <v>0</v>
      </c>
      <c r="G1614">
        <v>0</v>
      </c>
      <c r="T1614" t="s">
        <v>328</v>
      </c>
      <c r="U1614">
        <v>0</v>
      </c>
      <c r="V1614">
        <v>0</v>
      </c>
    </row>
    <row r="1615" spans="5:22" x14ac:dyDescent="0.25">
      <c r="E1615" t="s">
        <v>291</v>
      </c>
      <c r="F1615">
        <v>3000</v>
      </c>
      <c r="G1615">
        <v>0</v>
      </c>
      <c r="T1615" t="s">
        <v>328</v>
      </c>
      <c r="U1615">
        <v>0</v>
      </c>
      <c r="V1615">
        <v>0</v>
      </c>
    </row>
    <row r="1616" spans="5:22" x14ac:dyDescent="0.25">
      <c r="E1616" t="s">
        <v>291</v>
      </c>
      <c r="F1616">
        <v>3000</v>
      </c>
      <c r="G1616">
        <v>0</v>
      </c>
      <c r="T1616" t="s">
        <v>328</v>
      </c>
      <c r="U1616">
        <v>0</v>
      </c>
      <c r="V1616">
        <v>0</v>
      </c>
    </row>
    <row r="1617" spans="5:22" x14ac:dyDescent="0.25">
      <c r="E1617" t="s">
        <v>293</v>
      </c>
      <c r="F1617">
        <v>0</v>
      </c>
      <c r="G1617">
        <v>0</v>
      </c>
      <c r="T1617" t="s">
        <v>328</v>
      </c>
      <c r="U1617">
        <v>0</v>
      </c>
      <c r="V1617">
        <v>0</v>
      </c>
    </row>
    <row r="1618" spans="5:22" x14ac:dyDescent="0.25">
      <c r="E1618" t="s">
        <v>293</v>
      </c>
      <c r="F1618">
        <v>0</v>
      </c>
      <c r="G1618">
        <v>0</v>
      </c>
      <c r="T1618" t="s">
        <v>328</v>
      </c>
      <c r="U1618">
        <v>0</v>
      </c>
      <c r="V1618">
        <v>0</v>
      </c>
    </row>
    <row r="1619" spans="5:22" x14ac:dyDescent="0.25">
      <c r="E1619" t="s">
        <v>293</v>
      </c>
      <c r="F1619">
        <v>0</v>
      </c>
      <c r="G1619">
        <v>0</v>
      </c>
      <c r="T1619" t="s">
        <v>328</v>
      </c>
      <c r="U1619">
        <v>0</v>
      </c>
      <c r="V1619">
        <v>0</v>
      </c>
    </row>
    <row r="1620" spans="5:22" x14ac:dyDescent="0.25">
      <c r="E1620" t="s">
        <v>293</v>
      </c>
      <c r="F1620">
        <v>0</v>
      </c>
      <c r="G1620">
        <v>0</v>
      </c>
      <c r="T1620" t="s">
        <v>328</v>
      </c>
      <c r="U1620">
        <v>0</v>
      </c>
      <c r="V1620">
        <v>0</v>
      </c>
    </row>
    <row r="1621" spans="5:22" x14ac:dyDescent="0.25">
      <c r="E1621" t="s">
        <v>293</v>
      </c>
      <c r="F1621">
        <v>0</v>
      </c>
      <c r="G1621">
        <v>0</v>
      </c>
      <c r="T1621" t="s">
        <v>328</v>
      </c>
      <c r="U1621">
        <v>22000</v>
      </c>
      <c r="V1621">
        <v>0</v>
      </c>
    </row>
    <row r="1622" spans="5:22" x14ac:dyDescent="0.25">
      <c r="E1622" t="s">
        <v>293</v>
      </c>
      <c r="F1622">
        <v>0</v>
      </c>
      <c r="G1622">
        <v>0</v>
      </c>
      <c r="T1622" t="s">
        <v>328</v>
      </c>
      <c r="U1622">
        <v>0</v>
      </c>
      <c r="V1622">
        <v>0</v>
      </c>
    </row>
    <row r="1623" spans="5:22" x14ac:dyDescent="0.25">
      <c r="E1623" t="s">
        <v>293</v>
      </c>
      <c r="F1623">
        <v>0</v>
      </c>
      <c r="G1623">
        <v>0</v>
      </c>
      <c r="T1623" t="s">
        <v>328</v>
      </c>
      <c r="U1623">
        <v>0</v>
      </c>
      <c r="V1623">
        <v>0</v>
      </c>
    </row>
    <row r="1624" spans="5:22" x14ac:dyDescent="0.25">
      <c r="E1624" t="s">
        <v>293</v>
      </c>
      <c r="F1624">
        <v>0</v>
      </c>
      <c r="G1624">
        <v>0</v>
      </c>
      <c r="T1624" t="s">
        <v>328</v>
      </c>
      <c r="U1624">
        <v>0</v>
      </c>
      <c r="V1624">
        <v>0</v>
      </c>
    </row>
    <row r="1625" spans="5:22" x14ac:dyDescent="0.25">
      <c r="E1625" t="s">
        <v>293</v>
      </c>
      <c r="F1625">
        <v>0</v>
      </c>
      <c r="G1625">
        <v>0</v>
      </c>
      <c r="T1625" t="s">
        <v>328</v>
      </c>
      <c r="U1625">
        <v>0</v>
      </c>
      <c r="V1625">
        <v>0</v>
      </c>
    </row>
    <row r="1626" spans="5:22" x14ac:dyDescent="0.25">
      <c r="E1626" t="s">
        <v>293</v>
      </c>
      <c r="F1626">
        <v>0</v>
      </c>
      <c r="G1626">
        <v>0</v>
      </c>
      <c r="T1626" t="s">
        <v>328</v>
      </c>
      <c r="U1626">
        <v>0</v>
      </c>
      <c r="V1626">
        <v>0</v>
      </c>
    </row>
    <row r="1627" spans="5:22" x14ac:dyDescent="0.25">
      <c r="E1627" t="s">
        <v>296</v>
      </c>
      <c r="F1627">
        <v>7000</v>
      </c>
      <c r="G1627">
        <v>0</v>
      </c>
      <c r="T1627" t="s">
        <v>328</v>
      </c>
      <c r="U1627">
        <v>0</v>
      </c>
      <c r="V1627">
        <v>0</v>
      </c>
    </row>
    <row r="1628" spans="5:22" x14ac:dyDescent="0.25">
      <c r="E1628" t="s">
        <v>296</v>
      </c>
      <c r="F1628">
        <v>3200</v>
      </c>
      <c r="G1628">
        <v>0</v>
      </c>
      <c r="T1628" t="s">
        <v>328</v>
      </c>
      <c r="U1628">
        <v>0</v>
      </c>
      <c r="V1628">
        <v>0</v>
      </c>
    </row>
    <row r="1629" spans="5:22" x14ac:dyDescent="0.25">
      <c r="E1629" t="s">
        <v>296</v>
      </c>
      <c r="F1629">
        <v>0</v>
      </c>
      <c r="G1629">
        <v>0</v>
      </c>
      <c r="T1629" t="s">
        <v>328</v>
      </c>
      <c r="U1629">
        <v>0</v>
      </c>
      <c r="V1629">
        <v>0</v>
      </c>
    </row>
    <row r="1630" spans="5:22" x14ac:dyDescent="0.25">
      <c r="E1630" t="s">
        <v>296</v>
      </c>
      <c r="F1630">
        <v>0</v>
      </c>
      <c r="G1630">
        <v>0</v>
      </c>
      <c r="T1630" t="s">
        <v>328</v>
      </c>
      <c r="U1630">
        <v>23000</v>
      </c>
      <c r="V1630">
        <v>0</v>
      </c>
    </row>
    <row r="1631" spans="5:22" x14ac:dyDescent="0.25">
      <c r="E1631" t="s">
        <v>296</v>
      </c>
      <c r="F1631">
        <v>0</v>
      </c>
      <c r="G1631">
        <v>0</v>
      </c>
      <c r="T1631" t="s">
        <v>328</v>
      </c>
      <c r="U1631">
        <v>0</v>
      </c>
      <c r="V1631">
        <v>0</v>
      </c>
    </row>
    <row r="1632" spans="5:22" x14ac:dyDescent="0.25">
      <c r="E1632" t="s">
        <v>296</v>
      </c>
      <c r="F1632">
        <v>9200</v>
      </c>
      <c r="G1632">
        <v>0</v>
      </c>
      <c r="T1632" t="s">
        <v>328</v>
      </c>
      <c r="U1632">
        <v>0</v>
      </c>
      <c r="V1632">
        <v>0</v>
      </c>
    </row>
    <row r="1633" spans="5:22" x14ac:dyDescent="0.25">
      <c r="E1633" t="s">
        <v>296</v>
      </c>
      <c r="F1633">
        <v>0</v>
      </c>
      <c r="G1633">
        <v>0</v>
      </c>
      <c r="T1633" t="s">
        <v>328</v>
      </c>
      <c r="U1633">
        <v>20000</v>
      </c>
      <c r="V1633">
        <v>0</v>
      </c>
    </row>
    <row r="1634" spans="5:22" x14ac:dyDescent="0.25">
      <c r="E1634" t="s">
        <v>296</v>
      </c>
      <c r="F1634">
        <v>5000</v>
      </c>
      <c r="G1634">
        <v>0</v>
      </c>
      <c r="T1634" t="s">
        <v>328</v>
      </c>
      <c r="U1634">
        <v>0</v>
      </c>
      <c r="V1634">
        <v>0</v>
      </c>
    </row>
    <row r="1635" spans="5:22" x14ac:dyDescent="0.25">
      <c r="E1635" t="s">
        <v>296</v>
      </c>
      <c r="F1635">
        <v>5000</v>
      </c>
      <c r="G1635">
        <v>0</v>
      </c>
      <c r="T1635" t="s">
        <v>328</v>
      </c>
      <c r="U1635">
        <v>0</v>
      </c>
      <c r="V1635">
        <v>0</v>
      </c>
    </row>
    <row r="1636" spans="5:22" x14ac:dyDescent="0.25">
      <c r="E1636" t="s">
        <v>296</v>
      </c>
      <c r="F1636">
        <v>0</v>
      </c>
      <c r="G1636">
        <v>0</v>
      </c>
      <c r="T1636" t="s">
        <v>328</v>
      </c>
      <c r="U1636">
        <v>0</v>
      </c>
      <c r="V1636">
        <v>0</v>
      </c>
    </row>
    <row r="1637" spans="5:22" x14ac:dyDescent="0.25">
      <c r="E1637" t="s">
        <v>296</v>
      </c>
      <c r="F1637">
        <v>6000</v>
      </c>
      <c r="G1637">
        <v>0</v>
      </c>
      <c r="T1637" t="s">
        <v>328</v>
      </c>
      <c r="U1637">
        <v>0</v>
      </c>
      <c r="V1637">
        <v>0</v>
      </c>
    </row>
    <row r="1638" spans="5:22" x14ac:dyDescent="0.25">
      <c r="E1638" t="s">
        <v>296</v>
      </c>
      <c r="F1638">
        <v>8000</v>
      </c>
      <c r="G1638">
        <v>0</v>
      </c>
      <c r="T1638" t="s">
        <v>328</v>
      </c>
      <c r="U1638">
        <v>27000</v>
      </c>
      <c r="V1638">
        <v>0</v>
      </c>
    </row>
    <row r="1639" spans="5:22" x14ac:dyDescent="0.25">
      <c r="E1639" t="s">
        <v>296</v>
      </c>
      <c r="F1639">
        <v>10000</v>
      </c>
      <c r="G1639">
        <v>0</v>
      </c>
      <c r="T1639" t="s">
        <v>328</v>
      </c>
      <c r="U1639">
        <v>0</v>
      </c>
      <c r="V1639">
        <v>0</v>
      </c>
    </row>
    <row r="1640" spans="5:22" x14ac:dyDescent="0.25">
      <c r="E1640" t="s">
        <v>296</v>
      </c>
      <c r="F1640">
        <v>0</v>
      </c>
      <c r="G1640">
        <v>0</v>
      </c>
      <c r="T1640" t="s">
        <v>328</v>
      </c>
      <c r="U1640">
        <v>0</v>
      </c>
      <c r="V1640">
        <v>0</v>
      </c>
    </row>
    <row r="1641" spans="5:22" x14ac:dyDescent="0.25">
      <c r="E1641" t="s">
        <v>296</v>
      </c>
      <c r="F1641">
        <v>8000</v>
      </c>
      <c r="G1641">
        <v>0</v>
      </c>
      <c r="T1641" t="s">
        <v>328</v>
      </c>
      <c r="U1641">
        <v>0</v>
      </c>
      <c r="V1641">
        <v>0</v>
      </c>
    </row>
    <row r="1642" spans="5:22" x14ac:dyDescent="0.25">
      <c r="E1642" t="s">
        <v>296</v>
      </c>
      <c r="F1642">
        <v>0</v>
      </c>
      <c r="G1642">
        <v>0</v>
      </c>
      <c r="T1642" t="s">
        <v>328</v>
      </c>
      <c r="U1642">
        <v>0</v>
      </c>
      <c r="V1642">
        <v>0</v>
      </c>
    </row>
    <row r="1643" spans="5:22" x14ac:dyDescent="0.25">
      <c r="E1643" t="s">
        <v>296</v>
      </c>
      <c r="F1643">
        <v>0</v>
      </c>
      <c r="G1643">
        <v>0</v>
      </c>
      <c r="T1643" t="s">
        <v>328</v>
      </c>
      <c r="U1643">
        <v>0</v>
      </c>
      <c r="V1643">
        <v>25000</v>
      </c>
    </row>
    <row r="1644" spans="5:22" x14ac:dyDescent="0.25">
      <c r="E1644" t="s">
        <v>296</v>
      </c>
      <c r="F1644">
        <v>4000</v>
      </c>
      <c r="G1644">
        <v>0</v>
      </c>
      <c r="T1644" t="s">
        <v>328</v>
      </c>
      <c r="U1644">
        <v>0</v>
      </c>
      <c r="V1644">
        <v>0</v>
      </c>
    </row>
    <row r="1645" spans="5:22" x14ac:dyDescent="0.25">
      <c r="E1645" t="s">
        <v>299</v>
      </c>
      <c r="F1645">
        <v>0</v>
      </c>
      <c r="G1645">
        <v>0</v>
      </c>
      <c r="T1645" t="s">
        <v>328</v>
      </c>
      <c r="U1645">
        <v>0</v>
      </c>
      <c r="V1645">
        <v>0</v>
      </c>
    </row>
    <row r="1646" spans="5:22" x14ac:dyDescent="0.25">
      <c r="E1646" t="s">
        <v>299</v>
      </c>
      <c r="F1646">
        <v>0</v>
      </c>
      <c r="G1646">
        <v>0</v>
      </c>
      <c r="T1646" t="s">
        <v>328</v>
      </c>
      <c r="U1646">
        <v>0</v>
      </c>
      <c r="V1646">
        <v>0</v>
      </c>
    </row>
    <row r="1647" spans="5:22" x14ac:dyDescent="0.25">
      <c r="E1647" t="s">
        <v>299</v>
      </c>
      <c r="F1647">
        <v>0</v>
      </c>
      <c r="G1647">
        <v>0</v>
      </c>
      <c r="T1647" t="s">
        <v>328</v>
      </c>
      <c r="U1647">
        <v>0</v>
      </c>
      <c r="V1647">
        <v>0</v>
      </c>
    </row>
    <row r="1648" spans="5:22" x14ac:dyDescent="0.25">
      <c r="E1648" t="s">
        <v>299</v>
      </c>
      <c r="F1648">
        <v>0</v>
      </c>
      <c r="G1648">
        <v>22000</v>
      </c>
      <c r="T1648" t="s">
        <v>328</v>
      </c>
      <c r="U1648">
        <v>24000</v>
      </c>
      <c r="V1648">
        <v>0</v>
      </c>
    </row>
    <row r="1649" spans="5:22" x14ac:dyDescent="0.25">
      <c r="E1649" t="s">
        <v>299</v>
      </c>
      <c r="F1649">
        <v>0</v>
      </c>
      <c r="G1649">
        <v>0</v>
      </c>
      <c r="T1649" t="s">
        <v>328</v>
      </c>
      <c r="U1649">
        <v>0</v>
      </c>
      <c r="V1649">
        <v>0</v>
      </c>
    </row>
    <row r="1650" spans="5:22" x14ac:dyDescent="0.25">
      <c r="E1650" t="s">
        <v>299</v>
      </c>
      <c r="F1650">
        <v>6000</v>
      </c>
      <c r="G1650">
        <v>0</v>
      </c>
      <c r="T1650" t="s">
        <v>328</v>
      </c>
      <c r="U1650">
        <v>0</v>
      </c>
      <c r="V1650">
        <v>0</v>
      </c>
    </row>
    <row r="1651" spans="5:22" x14ac:dyDescent="0.25">
      <c r="E1651" t="s">
        <v>299</v>
      </c>
      <c r="F1651">
        <v>0</v>
      </c>
      <c r="G1651">
        <v>0</v>
      </c>
      <c r="T1651" t="s">
        <v>328</v>
      </c>
      <c r="U1651">
        <v>0</v>
      </c>
      <c r="V1651">
        <v>0</v>
      </c>
    </row>
    <row r="1652" spans="5:22" x14ac:dyDescent="0.25">
      <c r="E1652" t="s">
        <v>299</v>
      </c>
      <c r="F1652">
        <v>0</v>
      </c>
      <c r="G1652">
        <v>0</v>
      </c>
      <c r="T1652" t="s">
        <v>328</v>
      </c>
      <c r="U1652">
        <v>0</v>
      </c>
      <c r="V1652">
        <v>0</v>
      </c>
    </row>
    <row r="1653" spans="5:22" x14ac:dyDescent="0.25">
      <c r="E1653" t="s">
        <v>299</v>
      </c>
      <c r="F1653">
        <v>8000</v>
      </c>
      <c r="G1653">
        <v>0</v>
      </c>
      <c r="T1653" t="s">
        <v>328</v>
      </c>
      <c r="U1653">
        <v>0</v>
      </c>
      <c r="V1653">
        <v>0</v>
      </c>
    </row>
    <row r="1654" spans="5:22" x14ac:dyDescent="0.25">
      <c r="E1654" t="s">
        <v>299</v>
      </c>
      <c r="F1654">
        <v>0</v>
      </c>
      <c r="G1654">
        <v>0</v>
      </c>
      <c r="T1654" t="s">
        <v>328</v>
      </c>
      <c r="U1654">
        <v>0</v>
      </c>
      <c r="V1654">
        <v>0</v>
      </c>
    </row>
    <row r="1655" spans="5:22" x14ac:dyDescent="0.25">
      <c r="E1655" t="s">
        <v>299</v>
      </c>
      <c r="F1655">
        <v>0</v>
      </c>
      <c r="G1655">
        <v>0</v>
      </c>
      <c r="T1655" t="s">
        <v>328</v>
      </c>
      <c r="U1655">
        <v>0</v>
      </c>
      <c r="V1655">
        <v>0</v>
      </c>
    </row>
    <row r="1656" spans="5:22" x14ac:dyDescent="0.25">
      <c r="E1656" t="s">
        <v>299</v>
      </c>
      <c r="F1656">
        <v>0</v>
      </c>
      <c r="G1656">
        <v>0</v>
      </c>
      <c r="T1656" t="s">
        <v>328</v>
      </c>
      <c r="U1656">
        <v>0</v>
      </c>
      <c r="V1656">
        <v>0</v>
      </c>
    </row>
    <row r="1657" spans="5:22" x14ac:dyDescent="0.25">
      <c r="E1657" t="s">
        <v>299</v>
      </c>
      <c r="F1657">
        <v>0</v>
      </c>
      <c r="G1657">
        <v>0</v>
      </c>
      <c r="T1657" t="s">
        <v>328</v>
      </c>
      <c r="U1657">
        <v>32000</v>
      </c>
      <c r="V1657">
        <v>0</v>
      </c>
    </row>
    <row r="1658" spans="5:22" x14ac:dyDescent="0.25">
      <c r="E1658" t="s">
        <v>299</v>
      </c>
      <c r="F1658">
        <v>0</v>
      </c>
      <c r="G1658">
        <v>0</v>
      </c>
      <c r="T1658" t="s">
        <v>328</v>
      </c>
      <c r="U1658">
        <v>0</v>
      </c>
      <c r="V1658">
        <v>0</v>
      </c>
    </row>
    <row r="1659" spans="5:22" x14ac:dyDescent="0.25">
      <c r="E1659" t="s">
        <v>299</v>
      </c>
      <c r="F1659">
        <v>0</v>
      </c>
      <c r="G1659">
        <v>0</v>
      </c>
      <c r="T1659" t="s">
        <v>328</v>
      </c>
      <c r="U1659">
        <v>0</v>
      </c>
      <c r="V1659">
        <v>0</v>
      </c>
    </row>
    <row r="1660" spans="5:22" x14ac:dyDescent="0.25">
      <c r="E1660" t="s">
        <v>299</v>
      </c>
      <c r="F1660">
        <v>0</v>
      </c>
      <c r="G1660">
        <v>0</v>
      </c>
      <c r="T1660" t="s">
        <v>328</v>
      </c>
      <c r="U1660">
        <v>0</v>
      </c>
      <c r="V1660">
        <v>0</v>
      </c>
    </row>
    <row r="1661" spans="5:22" x14ac:dyDescent="0.25">
      <c r="E1661" t="s">
        <v>299</v>
      </c>
      <c r="F1661">
        <v>8000</v>
      </c>
      <c r="G1661">
        <v>0</v>
      </c>
      <c r="T1661" t="s">
        <v>328</v>
      </c>
      <c r="U1661">
        <v>0</v>
      </c>
      <c r="V1661">
        <v>0</v>
      </c>
    </row>
    <row r="1662" spans="5:22" x14ac:dyDescent="0.25">
      <c r="E1662" t="s">
        <v>299</v>
      </c>
      <c r="F1662">
        <v>12000</v>
      </c>
      <c r="G1662">
        <v>0</v>
      </c>
      <c r="T1662" t="s">
        <v>328</v>
      </c>
      <c r="U1662">
        <v>0</v>
      </c>
      <c r="V1662">
        <v>0</v>
      </c>
    </row>
    <row r="1663" spans="5:22" x14ac:dyDescent="0.25">
      <c r="E1663" t="s">
        <v>299</v>
      </c>
      <c r="F1663">
        <v>4000</v>
      </c>
      <c r="G1663">
        <v>0</v>
      </c>
      <c r="T1663" t="s">
        <v>328</v>
      </c>
      <c r="U1663">
        <v>0</v>
      </c>
      <c r="V1663">
        <v>0</v>
      </c>
    </row>
    <row r="1664" spans="5:22" x14ac:dyDescent="0.25">
      <c r="E1664" t="s">
        <v>299</v>
      </c>
      <c r="F1664">
        <v>0</v>
      </c>
      <c r="G1664">
        <v>0</v>
      </c>
      <c r="T1664" t="s">
        <v>328</v>
      </c>
      <c r="U1664">
        <v>0</v>
      </c>
      <c r="V1664">
        <v>0</v>
      </c>
    </row>
    <row r="1665" spans="5:22" x14ac:dyDescent="0.25">
      <c r="E1665" t="s">
        <v>299</v>
      </c>
      <c r="F1665">
        <v>0</v>
      </c>
      <c r="G1665">
        <v>22000</v>
      </c>
      <c r="T1665" t="s">
        <v>328</v>
      </c>
      <c r="U1665">
        <v>0</v>
      </c>
      <c r="V1665">
        <v>0</v>
      </c>
    </row>
    <row r="1666" spans="5:22" x14ac:dyDescent="0.25">
      <c r="E1666" t="s">
        <v>299</v>
      </c>
      <c r="F1666">
        <v>0</v>
      </c>
      <c r="G1666">
        <v>0</v>
      </c>
      <c r="T1666" t="s">
        <v>328</v>
      </c>
      <c r="U1666">
        <v>26000</v>
      </c>
      <c r="V1666">
        <v>0</v>
      </c>
    </row>
    <row r="1667" spans="5:22" x14ac:dyDescent="0.25">
      <c r="E1667" t="s">
        <v>299</v>
      </c>
      <c r="F1667">
        <v>0</v>
      </c>
      <c r="G1667">
        <v>0</v>
      </c>
      <c r="T1667" t="s">
        <v>328</v>
      </c>
      <c r="U1667">
        <v>22000</v>
      </c>
      <c r="V1667">
        <v>0</v>
      </c>
    </row>
    <row r="1668" spans="5:22" x14ac:dyDescent="0.25">
      <c r="E1668" t="s">
        <v>299</v>
      </c>
      <c r="F1668">
        <v>0</v>
      </c>
      <c r="G1668">
        <v>0</v>
      </c>
      <c r="T1668" t="s">
        <v>328</v>
      </c>
      <c r="U1668">
        <v>0</v>
      </c>
      <c r="V1668">
        <v>0</v>
      </c>
    </row>
    <row r="1669" spans="5:22" x14ac:dyDescent="0.25">
      <c r="E1669" t="s">
        <v>299</v>
      </c>
      <c r="F1669">
        <v>0</v>
      </c>
      <c r="G1669">
        <v>0</v>
      </c>
      <c r="T1669" t="s">
        <v>328</v>
      </c>
      <c r="U1669">
        <v>0</v>
      </c>
      <c r="V1669">
        <v>0</v>
      </c>
    </row>
    <row r="1670" spans="5:22" x14ac:dyDescent="0.25">
      <c r="E1670" t="s">
        <v>299</v>
      </c>
      <c r="F1670">
        <v>0</v>
      </c>
      <c r="G1670">
        <v>0</v>
      </c>
      <c r="T1670" t="s">
        <v>328</v>
      </c>
      <c r="U1670">
        <v>27000</v>
      </c>
      <c r="V1670">
        <v>0</v>
      </c>
    </row>
    <row r="1671" spans="5:22" x14ac:dyDescent="0.25">
      <c r="E1671" t="s">
        <v>299</v>
      </c>
      <c r="F1671">
        <v>0</v>
      </c>
      <c r="G1671">
        <v>22000</v>
      </c>
      <c r="T1671" t="s">
        <v>328</v>
      </c>
      <c r="U1671">
        <v>0</v>
      </c>
      <c r="V1671">
        <v>0</v>
      </c>
    </row>
    <row r="1672" spans="5:22" x14ac:dyDescent="0.25">
      <c r="E1672" t="s">
        <v>302</v>
      </c>
      <c r="F1672">
        <v>0</v>
      </c>
      <c r="G1672">
        <v>0</v>
      </c>
      <c r="T1672" t="s">
        <v>328</v>
      </c>
      <c r="U1672">
        <v>21000</v>
      </c>
      <c r="V1672">
        <v>0</v>
      </c>
    </row>
    <row r="1673" spans="5:22" x14ac:dyDescent="0.25">
      <c r="E1673" t="s">
        <v>302</v>
      </c>
      <c r="F1673">
        <v>0</v>
      </c>
      <c r="G1673">
        <v>0</v>
      </c>
      <c r="T1673" t="s">
        <v>328</v>
      </c>
      <c r="U1673">
        <v>20000</v>
      </c>
      <c r="V1673">
        <v>0</v>
      </c>
    </row>
    <row r="1674" spans="5:22" x14ac:dyDescent="0.25">
      <c r="E1674" t="s">
        <v>302</v>
      </c>
      <c r="F1674">
        <v>0</v>
      </c>
      <c r="G1674">
        <v>0</v>
      </c>
      <c r="T1674" t="s">
        <v>328</v>
      </c>
      <c r="U1674">
        <v>34000</v>
      </c>
      <c r="V1674">
        <v>0</v>
      </c>
    </row>
    <row r="1675" spans="5:22" x14ac:dyDescent="0.25">
      <c r="E1675" t="s">
        <v>302</v>
      </c>
      <c r="F1675">
        <v>0</v>
      </c>
      <c r="G1675">
        <v>0</v>
      </c>
      <c r="T1675" t="s">
        <v>328</v>
      </c>
      <c r="U1675">
        <v>0</v>
      </c>
      <c r="V1675">
        <v>0</v>
      </c>
    </row>
    <row r="1676" spans="5:22" x14ac:dyDescent="0.25">
      <c r="E1676" t="s">
        <v>302</v>
      </c>
      <c r="F1676">
        <v>0</v>
      </c>
      <c r="G1676">
        <v>24000</v>
      </c>
      <c r="T1676" t="s">
        <v>328</v>
      </c>
      <c r="U1676">
        <v>0</v>
      </c>
      <c r="V1676">
        <v>0</v>
      </c>
    </row>
    <row r="1677" spans="5:22" x14ac:dyDescent="0.25">
      <c r="E1677" t="s">
        <v>302</v>
      </c>
      <c r="F1677">
        <v>0</v>
      </c>
      <c r="G1677">
        <v>0</v>
      </c>
      <c r="T1677" t="s">
        <v>328</v>
      </c>
      <c r="U1677">
        <v>0</v>
      </c>
      <c r="V1677">
        <v>0</v>
      </c>
    </row>
    <row r="1678" spans="5:22" x14ac:dyDescent="0.25">
      <c r="E1678" t="s">
        <v>302</v>
      </c>
      <c r="F1678">
        <v>0</v>
      </c>
      <c r="G1678">
        <v>0</v>
      </c>
      <c r="T1678" t="s">
        <v>328</v>
      </c>
      <c r="U1678">
        <v>23000</v>
      </c>
      <c r="V1678">
        <v>0</v>
      </c>
    </row>
    <row r="1679" spans="5:22" x14ac:dyDescent="0.25">
      <c r="E1679" t="s">
        <v>302</v>
      </c>
      <c r="F1679">
        <v>0</v>
      </c>
      <c r="G1679">
        <v>0</v>
      </c>
      <c r="T1679" t="s">
        <v>328</v>
      </c>
      <c r="U1679">
        <v>0</v>
      </c>
      <c r="V1679">
        <v>0</v>
      </c>
    </row>
    <row r="1680" spans="5:22" x14ac:dyDescent="0.25">
      <c r="E1680" t="s">
        <v>302</v>
      </c>
      <c r="F1680">
        <v>0</v>
      </c>
      <c r="G1680">
        <v>0</v>
      </c>
      <c r="T1680" t="s">
        <v>328</v>
      </c>
      <c r="U1680">
        <v>0</v>
      </c>
      <c r="V1680">
        <v>0</v>
      </c>
    </row>
    <row r="1681" spans="5:22" x14ac:dyDescent="0.25">
      <c r="E1681" t="s">
        <v>302</v>
      </c>
      <c r="F1681">
        <v>0</v>
      </c>
      <c r="G1681">
        <v>0</v>
      </c>
      <c r="T1681" t="s">
        <v>328</v>
      </c>
      <c r="U1681">
        <v>18000</v>
      </c>
      <c r="V1681">
        <v>0</v>
      </c>
    </row>
    <row r="1682" spans="5:22" x14ac:dyDescent="0.25">
      <c r="E1682" t="s">
        <v>302</v>
      </c>
      <c r="F1682">
        <v>0</v>
      </c>
      <c r="G1682">
        <v>20000</v>
      </c>
      <c r="T1682" t="s">
        <v>328</v>
      </c>
      <c r="U1682">
        <v>28000</v>
      </c>
      <c r="V1682">
        <v>0</v>
      </c>
    </row>
    <row r="1683" spans="5:22" x14ac:dyDescent="0.25">
      <c r="E1683" t="s">
        <v>302</v>
      </c>
      <c r="F1683">
        <v>0</v>
      </c>
      <c r="G1683">
        <v>21000</v>
      </c>
      <c r="T1683" t="s">
        <v>328</v>
      </c>
      <c r="U1683">
        <v>0</v>
      </c>
      <c r="V1683">
        <v>0</v>
      </c>
    </row>
    <row r="1684" spans="5:22" x14ac:dyDescent="0.25">
      <c r="E1684" t="s">
        <v>302</v>
      </c>
      <c r="F1684">
        <v>0</v>
      </c>
      <c r="G1684">
        <v>24000</v>
      </c>
      <c r="T1684" t="s">
        <v>328</v>
      </c>
      <c r="U1684">
        <v>0</v>
      </c>
      <c r="V1684">
        <v>0</v>
      </c>
    </row>
    <row r="1685" spans="5:22" x14ac:dyDescent="0.25">
      <c r="E1685" t="s">
        <v>302</v>
      </c>
      <c r="F1685">
        <v>0</v>
      </c>
      <c r="G1685">
        <v>24000</v>
      </c>
      <c r="T1685" t="s">
        <v>328</v>
      </c>
      <c r="U1685">
        <v>0</v>
      </c>
      <c r="V1685">
        <v>0</v>
      </c>
    </row>
    <row r="1686" spans="5:22" x14ac:dyDescent="0.25">
      <c r="E1686" t="s">
        <v>302</v>
      </c>
      <c r="F1686">
        <v>0</v>
      </c>
      <c r="G1686">
        <v>0</v>
      </c>
      <c r="T1686" t="s">
        <v>328</v>
      </c>
      <c r="U1686">
        <v>24000</v>
      </c>
      <c r="V1686">
        <v>0</v>
      </c>
    </row>
    <row r="1687" spans="5:22" x14ac:dyDescent="0.25">
      <c r="E1687" t="s">
        <v>302</v>
      </c>
      <c r="F1687">
        <v>0</v>
      </c>
      <c r="G1687">
        <v>22000</v>
      </c>
      <c r="T1687" t="s">
        <v>328</v>
      </c>
      <c r="U1687">
        <v>0</v>
      </c>
      <c r="V1687">
        <v>0</v>
      </c>
    </row>
    <row r="1688" spans="5:22" x14ac:dyDescent="0.25">
      <c r="E1688" t="s">
        <v>302</v>
      </c>
      <c r="F1688">
        <v>0</v>
      </c>
      <c r="G1688">
        <v>0</v>
      </c>
      <c r="T1688" t="s">
        <v>328</v>
      </c>
      <c r="U1688">
        <v>0</v>
      </c>
      <c r="V1688">
        <v>0</v>
      </c>
    </row>
    <row r="1689" spans="5:22" x14ac:dyDescent="0.25">
      <c r="E1689" t="s">
        <v>302</v>
      </c>
      <c r="F1689">
        <v>0</v>
      </c>
      <c r="G1689">
        <v>0</v>
      </c>
      <c r="T1689" t="s">
        <v>328</v>
      </c>
      <c r="U1689">
        <v>0</v>
      </c>
      <c r="V1689">
        <v>0</v>
      </c>
    </row>
    <row r="1690" spans="5:22" x14ac:dyDescent="0.25">
      <c r="E1690" t="s">
        <v>302</v>
      </c>
      <c r="F1690">
        <v>0</v>
      </c>
      <c r="G1690">
        <v>0</v>
      </c>
      <c r="T1690" t="s">
        <v>328</v>
      </c>
      <c r="U1690">
        <v>0</v>
      </c>
      <c r="V1690">
        <v>0</v>
      </c>
    </row>
    <row r="1691" spans="5:22" x14ac:dyDescent="0.25">
      <c r="E1691" t="s">
        <v>302</v>
      </c>
      <c r="F1691">
        <v>0</v>
      </c>
      <c r="G1691">
        <v>0</v>
      </c>
      <c r="T1691" t="s">
        <v>328</v>
      </c>
      <c r="U1691">
        <v>0</v>
      </c>
      <c r="V1691">
        <v>0</v>
      </c>
    </row>
    <row r="1692" spans="5:22" x14ac:dyDescent="0.25">
      <c r="E1692" t="s">
        <v>302</v>
      </c>
      <c r="F1692">
        <v>0</v>
      </c>
      <c r="G1692">
        <v>0</v>
      </c>
      <c r="T1692" t="s">
        <v>328</v>
      </c>
      <c r="U1692">
        <v>0</v>
      </c>
      <c r="V1692">
        <v>0</v>
      </c>
    </row>
    <row r="1693" spans="5:22" x14ac:dyDescent="0.25">
      <c r="E1693" t="s">
        <v>302</v>
      </c>
      <c r="F1693">
        <v>0</v>
      </c>
      <c r="G1693">
        <v>0</v>
      </c>
      <c r="T1693" t="s">
        <v>328</v>
      </c>
      <c r="U1693">
        <v>23000</v>
      </c>
      <c r="V1693">
        <v>0</v>
      </c>
    </row>
    <row r="1694" spans="5:22" x14ac:dyDescent="0.25">
      <c r="E1694" t="s">
        <v>302</v>
      </c>
      <c r="F1694">
        <v>0</v>
      </c>
      <c r="G1694">
        <v>24000</v>
      </c>
      <c r="T1694" t="s">
        <v>328</v>
      </c>
      <c r="U1694">
        <v>0</v>
      </c>
      <c r="V1694">
        <v>0</v>
      </c>
    </row>
    <row r="1695" spans="5:22" x14ac:dyDescent="0.25">
      <c r="E1695" t="s">
        <v>302</v>
      </c>
      <c r="F1695">
        <v>0</v>
      </c>
      <c r="G1695">
        <v>24000</v>
      </c>
      <c r="T1695" t="s">
        <v>328</v>
      </c>
      <c r="U1695">
        <v>0</v>
      </c>
      <c r="V1695">
        <v>0</v>
      </c>
    </row>
    <row r="1696" spans="5:22" x14ac:dyDescent="0.25">
      <c r="E1696" t="s">
        <v>302</v>
      </c>
      <c r="F1696">
        <v>0</v>
      </c>
      <c r="G1696">
        <v>0</v>
      </c>
      <c r="T1696" t="s">
        <v>328</v>
      </c>
      <c r="U1696">
        <v>21000</v>
      </c>
      <c r="V1696">
        <v>0</v>
      </c>
    </row>
    <row r="1697" spans="5:22" x14ac:dyDescent="0.25">
      <c r="E1697" t="s">
        <v>302</v>
      </c>
      <c r="F1697">
        <v>0</v>
      </c>
      <c r="G1697">
        <v>0</v>
      </c>
      <c r="T1697" t="s">
        <v>328</v>
      </c>
      <c r="U1697">
        <v>0</v>
      </c>
      <c r="V1697">
        <v>0</v>
      </c>
    </row>
    <row r="1698" spans="5:22" x14ac:dyDescent="0.25">
      <c r="E1698" t="s">
        <v>302</v>
      </c>
      <c r="F1698">
        <v>0</v>
      </c>
      <c r="G1698">
        <v>24000</v>
      </c>
      <c r="T1698" t="s">
        <v>328</v>
      </c>
      <c r="U1698">
        <v>0</v>
      </c>
      <c r="V1698">
        <v>0</v>
      </c>
    </row>
    <row r="1699" spans="5:22" x14ac:dyDescent="0.25">
      <c r="E1699" t="s">
        <v>302</v>
      </c>
      <c r="F1699">
        <v>0</v>
      </c>
      <c r="G1699">
        <v>0</v>
      </c>
      <c r="T1699" t="s">
        <v>328</v>
      </c>
      <c r="U1699">
        <v>0</v>
      </c>
      <c r="V1699">
        <v>0</v>
      </c>
    </row>
    <row r="1700" spans="5:22" x14ac:dyDescent="0.25">
      <c r="E1700" t="s">
        <v>302</v>
      </c>
      <c r="F1700">
        <v>0</v>
      </c>
      <c r="G1700">
        <v>0</v>
      </c>
      <c r="T1700" t="s">
        <v>328</v>
      </c>
      <c r="U1700">
        <v>35000</v>
      </c>
      <c r="V1700">
        <v>0</v>
      </c>
    </row>
    <row r="1701" spans="5:22" x14ac:dyDescent="0.25">
      <c r="E1701" t="s">
        <v>302</v>
      </c>
      <c r="F1701">
        <v>0</v>
      </c>
      <c r="G1701">
        <v>0</v>
      </c>
      <c r="T1701" t="s">
        <v>328</v>
      </c>
      <c r="U1701">
        <v>0</v>
      </c>
      <c r="V1701">
        <v>0</v>
      </c>
    </row>
    <row r="1702" spans="5:22" x14ac:dyDescent="0.25">
      <c r="E1702" t="s">
        <v>302</v>
      </c>
      <c r="F1702">
        <v>0</v>
      </c>
      <c r="G1702">
        <v>0</v>
      </c>
      <c r="T1702" t="s">
        <v>328</v>
      </c>
      <c r="U1702">
        <v>30000</v>
      </c>
      <c r="V1702">
        <v>0</v>
      </c>
    </row>
    <row r="1703" spans="5:22" x14ac:dyDescent="0.25">
      <c r="E1703" t="s">
        <v>302</v>
      </c>
      <c r="F1703">
        <v>0</v>
      </c>
      <c r="G1703">
        <v>24000</v>
      </c>
      <c r="T1703" t="s">
        <v>328</v>
      </c>
      <c r="U1703">
        <v>0</v>
      </c>
      <c r="V1703">
        <v>0</v>
      </c>
    </row>
    <row r="1704" spans="5:22" x14ac:dyDescent="0.25">
      <c r="E1704" t="s">
        <v>302</v>
      </c>
      <c r="F1704">
        <v>0</v>
      </c>
      <c r="G1704">
        <v>0</v>
      </c>
      <c r="T1704" t="s">
        <v>328</v>
      </c>
      <c r="U1704">
        <v>0</v>
      </c>
      <c r="V1704">
        <v>0</v>
      </c>
    </row>
    <row r="1705" spans="5:22" x14ac:dyDescent="0.25">
      <c r="E1705" t="s">
        <v>302</v>
      </c>
      <c r="F1705">
        <v>0</v>
      </c>
      <c r="G1705">
        <v>0</v>
      </c>
      <c r="T1705" t="s">
        <v>328</v>
      </c>
      <c r="U1705">
        <v>0</v>
      </c>
      <c r="V1705">
        <v>0</v>
      </c>
    </row>
    <row r="1706" spans="5:22" x14ac:dyDescent="0.25">
      <c r="E1706" t="s">
        <v>302</v>
      </c>
      <c r="F1706">
        <v>0</v>
      </c>
      <c r="G1706">
        <v>0</v>
      </c>
      <c r="T1706" t="s">
        <v>328</v>
      </c>
      <c r="U1706">
        <v>24000</v>
      </c>
      <c r="V1706">
        <v>0</v>
      </c>
    </row>
    <row r="1707" spans="5:22" x14ac:dyDescent="0.25">
      <c r="E1707" t="s">
        <v>302</v>
      </c>
      <c r="F1707">
        <v>0</v>
      </c>
      <c r="G1707">
        <v>0</v>
      </c>
      <c r="T1707" t="s">
        <v>330</v>
      </c>
      <c r="U1707">
        <v>0</v>
      </c>
      <c r="V1707">
        <v>37000</v>
      </c>
    </row>
    <row r="1708" spans="5:22" x14ac:dyDescent="0.25">
      <c r="E1708" t="s">
        <v>302</v>
      </c>
      <c r="F1708">
        <v>0</v>
      </c>
      <c r="G1708">
        <v>24000</v>
      </c>
      <c r="T1708" t="s">
        <v>330</v>
      </c>
      <c r="U1708">
        <v>0</v>
      </c>
      <c r="V1708">
        <v>0</v>
      </c>
    </row>
    <row r="1709" spans="5:22" x14ac:dyDescent="0.25">
      <c r="E1709" t="s">
        <v>302</v>
      </c>
      <c r="F1709">
        <v>0</v>
      </c>
      <c r="G1709">
        <v>0</v>
      </c>
      <c r="T1709" t="s">
        <v>330</v>
      </c>
      <c r="U1709">
        <v>0</v>
      </c>
      <c r="V1709">
        <v>0</v>
      </c>
    </row>
    <row r="1710" spans="5:22" x14ac:dyDescent="0.25">
      <c r="E1710" t="s">
        <v>302</v>
      </c>
      <c r="F1710">
        <v>0</v>
      </c>
      <c r="G1710">
        <v>0</v>
      </c>
      <c r="T1710" t="s">
        <v>330</v>
      </c>
      <c r="U1710">
        <v>0</v>
      </c>
      <c r="V1710">
        <v>0</v>
      </c>
    </row>
    <row r="1711" spans="5:22" x14ac:dyDescent="0.25">
      <c r="E1711" t="s">
        <v>302</v>
      </c>
      <c r="F1711">
        <v>0</v>
      </c>
      <c r="G1711">
        <v>0</v>
      </c>
      <c r="T1711" t="s">
        <v>330</v>
      </c>
      <c r="U1711">
        <v>43000</v>
      </c>
      <c r="V1711">
        <v>0</v>
      </c>
    </row>
    <row r="1712" spans="5:22" x14ac:dyDescent="0.25">
      <c r="E1712" t="s">
        <v>302</v>
      </c>
      <c r="F1712">
        <v>0</v>
      </c>
      <c r="G1712">
        <v>0</v>
      </c>
      <c r="T1712" t="s">
        <v>330</v>
      </c>
      <c r="U1712">
        <v>0</v>
      </c>
      <c r="V1712">
        <v>0</v>
      </c>
    </row>
    <row r="1713" spans="5:22" x14ac:dyDescent="0.25">
      <c r="E1713" t="s">
        <v>302</v>
      </c>
      <c r="F1713">
        <v>0</v>
      </c>
      <c r="G1713">
        <v>0</v>
      </c>
      <c r="T1713" t="s">
        <v>330</v>
      </c>
      <c r="U1713">
        <v>0</v>
      </c>
      <c r="V1713">
        <v>43000</v>
      </c>
    </row>
    <row r="1714" spans="5:22" x14ac:dyDescent="0.25">
      <c r="E1714" t="s">
        <v>302</v>
      </c>
      <c r="F1714">
        <v>0</v>
      </c>
      <c r="G1714">
        <v>0</v>
      </c>
      <c r="T1714" t="s">
        <v>330</v>
      </c>
      <c r="U1714">
        <v>0</v>
      </c>
      <c r="V1714">
        <v>0</v>
      </c>
    </row>
    <row r="1715" spans="5:22" x14ac:dyDescent="0.25">
      <c r="E1715" t="s">
        <v>302</v>
      </c>
      <c r="F1715">
        <v>0</v>
      </c>
      <c r="G1715">
        <v>0</v>
      </c>
      <c r="T1715" t="s">
        <v>330</v>
      </c>
      <c r="U1715">
        <v>0</v>
      </c>
      <c r="V1715">
        <v>0</v>
      </c>
    </row>
    <row r="1716" spans="5:22" x14ac:dyDescent="0.25">
      <c r="E1716" t="s">
        <v>302</v>
      </c>
      <c r="F1716">
        <v>0</v>
      </c>
      <c r="G1716">
        <v>0</v>
      </c>
      <c r="T1716" t="s">
        <v>330</v>
      </c>
      <c r="U1716">
        <v>0</v>
      </c>
      <c r="V1716">
        <v>0</v>
      </c>
    </row>
    <row r="1717" spans="5:22" x14ac:dyDescent="0.25">
      <c r="E1717" t="s">
        <v>302</v>
      </c>
      <c r="F1717">
        <v>0</v>
      </c>
      <c r="G1717">
        <v>0</v>
      </c>
      <c r="T1717" t="s">
        <v>330</v>
      </c>
      <c r="U1717">
        <v>29000</v>
      </c>
      <c r="V1717">
        <v>0</v>
      </c>
    </row>
    <row r="1718" spans="5:22" x14ac:dyDescent="0.25">
      <c r="E1718" t="s">
        <v>302</v>
      </c>
      <c r="F1718">
        <v>0</v>
      </c>
      <c r="G1718">
        <v>0</v>
      </c>
      <c r="T1718" t="s">
        <v>330</v>
      </c>
      <c r="U1718">
        <v>0</v>
      </c>
      <c r="V1718">
        <v>40000</v>
      </c>
    </row>
    <row r="1719" spans="5:22" x14ac:dyDescent="0.25">
      <c r="E1719" t="s">
        <v>302</v>
      </c>
      <c r="F1719">
        <v>0</v>
      </c>
      <c r="G1719">
        <v>0</v>
      </c>
      <c r="T1719" t="s">
        <v>330</v>
      </c>
      <c r="U1719">
        <v>0</v>
      </c>
      <c r="V1719">
        <v>0</v>
      </c>
    </row>
    <row r="1720" spans="5:22" x14ac:dyDescent="0.25">
      <c r="E1720" t="s">
        <v>302</v>
      </c>
      <c r="F1720">
        <v>0</v>
      </c>
      <c r="G1720">
        <v>0</v>
      </c>
      <c r="T1720" t="s">
        <v>330</v>
      </c>
      <c r="U1720">
        <v>0</v>
      </c>
      <c r="V1720">
        <v>0</v>
      </c>
    </row>
    <row r="1721" spans="5:22" x14ac:dyDescent="0.25">
      <c r="E1721" t="s">
        <v>302</v>
      </c>
      <c r="F1721">
        <v>0</v>
      </c>
      <c r="G1721">
        <v>0</v>
      </c>
      <c r="T1721" t="s">
        <v>330</v>
      </c>
      <c r="U1721">
        <v>0</v>
      </c>
      <c r="V1721">
        <v>0</v>
      </c>
    </row>
    <row r="1722" spans="5:22" x14ac:dyDescent="0.25">
      <c r="E1722" t="s">
        <v>302</v>
      </c>
      <c r="F1722">
        <v>0</v>
      </c>
      <c r="G1722">
        <v>24000</v>
      </c>
      <c r="T1722" t="s">
        <v>330</v>
      </c>
      <c r="U1722">
        <v>0</v>
      </c>
      <c r="V1722">
        <v>0</v>
      </c>
    </row>
    <row r="1723" spans="5:22" x14ac:dyDescent="0.25">
      <c r="E1723" t="s">
        <v>302</v>
      </c>
      <c r="F1723">
        <v>0</v>
      </c>
      <c r="G1723">
        <v>0</v>
      </c>
      <c r="T1723" t="s">
        <v>330</v>
      </c>
      <c r="U1723">
        <v>0</v>
      </c>
      <c r="V1723">
        <v>0</v>
      </c>
    </row>
    <row r="1724" spans="5:22" x14ac:dyDescent="0.25">
      <c r="E1724" t="s">
        <v>302</v>
      </c>
      <c r="F1724">
        <v>0</v>
      </c>
      <c r="G1724">
        <v>0</v>
      </c>
      <c r="T1724" t="s">
        <v>330</v>
      </c>
      <c r="U1724">
        <v>0</v>
      </c>
      <c r="V1724">
        <v>31000</v>
      </c>
    </row>
    <row r="1725" spans="5:22" x14ac:dyDescent="0.25">
      <c r="E1725" t="s">
        <v>302</v>
      </c>
      <c r="F1725">
        <v>0</v>
      </c>
      <c r="G1725">
        <v>0</v>
      </c>
      <c r="T1725" t="s">
        <v>330</v>
      </c>
      <c r="U1725">
        <v>0</v>
      </c>
      <c r="V1725">
        <v>39000</v>
      </c>
    </row>
    <row r="1726" spans="5:22" x14ac:dyDescent="0.25">
      <c r="E1726" t="s">
        <v>302</v>
      </c>
      <c r="F1726">
        <v>0</v>
      </c>
      <c r="G1726">
        <v>0</v>
      </c>
      <c r="T1726" t="s">
        <v>330</v>
      </c>
      <c r="U1726">
        <v>0</v>
      </c>
      <c r="V1726">
        <v>0</v>
      </c>
    </row>
    <row r="1727" spans="5:22" x14ac:dyDescent="0.25">
      <c r="E1727" t="s">
        <v>302</v>
      </c>
      <c r="F1727">
        <v>0</v>
      </c>
      <c r="G1727">
        <v>0</v>
      </c>
      <c r="T1727" t="s">
        <v>330</v>
      </c>
      <c r="U1727">
        <v>0</v>
      </c>
      <c r="V1727">
        <v>0</v>
      </c>
    </row>
    <row r="1728" spans="5:22" x14ac:dyDescent="0.25">
      <c r="E1728" t="s">
        <v>302</v>
      </c>
      <c r="F1728">
        <v>0</v>
      </c>
      <c r="G1728">
        <v>0</v>
      </c>
      <c r="T1728" t="s">
        <v>330</v>
      </c>
      <c r="U1728">
        <v>38000</v>
      </c>
      <c r="V1728">
        <v>0</v>
      </c>
    </row>
    <row r="1729" spans="5:22" x14ac:dyDescent="0.25">
      <c r="E1729" t="s">
        <v>302</v>
      </c>
      <c r="F1729">
        <v>0</v>
      </c>
      <c r="G1729">
        <v>0</v>
      </c>
      <c r="T1729" t="s">
        <v>330</v>
      </c>
      <c r="U1729">
        <v>0</v>
      </c>
      <c r="V1729">
        <v>0</v>
      </c>
    </row>
    <row r="1730" spans="5:22" x14ac:dyDescent="0.25">
      <c r="E1730" t="s">
        <v>302</v>
      </c>
      <c r="F1730">
        <v>0</v>
      </c>
      <c r="G1730">
        <v>0</v>
      </c>
      <c r="T1730" t="s">
        <v>330</v>
      </c>
      <c r="U1730">
        <v>0</v>
      </c>
      <c r="V1730">
        <v>0</v>
      </c>
    </row>
    <row r="1731" spans="5:22" x14ac:dyDescent="0.25">
      <c r="E1731" t="s">
        <v>302</v>
      </c>
      <c r="F1731">
        <v>0</v>
      </c>
      <c r="G1731">
        <v>0</v>
      </c>
      <c r="T1731" t="s">
        <v>330</v>
      </c>
      <c r="U1731">
        <v>0</v>
      </c>
      <c r="V1731">
        <v>0</v>
      </c>
    </row>
    <row r="1732" spans="5:22" x14ac:dyDescent="0.25">
      <c r="E1732" t="s">
        <v>302</v>
      </c>
      <c r="F1732">
        <v>0</v>
      </c>
      <c r="G1732">
        <v>0</v>
      </c>
      <c r="T1732" t="s">
        <v>330</v>
      </c>
      <c r="U1732">
        <v>40000</v>
      </c>
      <c r="V1732">
        <v>0</v>
      </c>
    </row>
    <row r="1733" spans="5:22" x14ac:dyDescent="0.25">
      <c r="E1733" t="s">
        <v>302</v>
      </c>
      <c r="F1733">
        <v>0</v>
      </c>
      <c r="G1733">
        <v>0</v>
      </c>
      <c r="T1733" t="s">
        <v>330</v>
      </c>
      <c r="U1733">
        <v>0</v>
      </c>
      <c r="V1733">
        <v>0</v>
      </c>
    </row>
    <row r="1734" spans="5:22" x14ac:dyDescent="0.25">
      <c r="E1734" t="s">
        <v>302</v>
      </c>
      <c r="F1734">
        <v>0</v>
      </c>
      <c r="G1734">
        <v>0</v>
      </c>
      <c r="T1734" t="s">
        <v>330</v>
      </c>
      <c r="U1734">
        <v>0</v>
      </c>
      <c r="V1734">
        <v>45000</v>
      </c>
    </row>
    <row r="1735" spans="5:22" x14ac:dyDescent="0.25">
      <c r="E1735" t="s">
        <v>302</v>
      </c>
      <c r="F1735">
        <v>0</v>
      </c>
      <c r="G1735">
        <v>0</v>
      </c>
      <c r="T1735" t="s">
        <v>330</v>
      </c>
      <c r="U1735">
        <v>0</v>
      </c>
      <c r="V1735">
        <v>0</v>
      </c>
    </row>
    <row r="1736" spans="5:22" x14ac:dyDescent="0.25">
      <c r="E1736" t="s">
        <v>545</v>
      </c>
      <c r="F1736">
        <v>0</v>
      </c>
      <c r="G1736">
        <v>0</v>
      </c>
      <c r="T1736" t="s">
        <v>330</v>
      </c>
      <c r="U1736">
        <v>0</v>
      </c>
      <c r="V1736">
        <v>35000</v>
      </c>
    </row>
    <row r="1737" spans="5:22" x14ac:dyDescent="0.25">
      <c r="E1737" t="s">
        <v>440</v>
      </c>
      <c r="F1737">
        <v>0</v>
      </c>
      <c r="G1737">
        <v>0</v>
      </c>
      <c r="T1737" t="s">
        <v>330</v>
      </c>
      <c r="U1737">
        <v>25000</v>
      </c>
      <c r="V1737">
        <v>0</v>
      </c>
    </row>
    <row r="1738" spans="5:22" x14ac:dyDescent="0.25">
      <c r="E1738" t="s">
        <v>440</v>
      </c>
      <c r="F1738">
        <v>0</v>
      </c>
      <c r="G1738">
        <v>0</v>
      </c>
      <c r="T1738" t="s">
        <v>330</v>
      </c>
      <c r="U1738">
        <v>0</v>
      </c>
      <c r="V1738">
        <v>0</v>
      </c>
    </row>
    <row r="1739" spans="5:22" x14ac:dyDescent="0.25">
      <c r="E1739" t="s">
        <v>440</v>
      </c>
      <c r="F1739">
        <v>0</v>
      </c>
      <c r="G1739">
        <v>0</v>
      </c>
      <c r="T1739" t="s">
        <v>330</v>
      </c>
      <c r="U1739">
        <v>0</v>
      </c>
      <c r="V1739">
        <v>0</v>
      </c>
    </row>
    <row r="1740" spans="5:22" x14ac:dyDescent="0.25">
      <c r="E1740" t="s">
        <v>440</v>
      </c>
      <c r="F1740">
        <v>0</v>
      </c>
      <c r="G1740">
        <v>0</v>
      </c>
      <c r="T1740" t="s">
        <v>330</v>
      </c>
      <c r="U1740">
        <v>0</v>
      </c>
      <c r="V1740">
        <v>0</v>
      </c>
    </row>
    <row r="1741" spans="5:22" x14ac:dyDescent="0.25">
      <c r="E1741" t="s">
        <v>440</v>
      </c>
      <c r="F1741">
        <v>0</v>
      </c>
      <c r="G1741">
        <v>0</v>
      </c>
      <c r="T1741" t="s">
        <v>330</v>
      </c>
      <c r="U1741">
        <v>0</v>
      </c>
      <c r="V1741">
        <v>0</v>
      </c>
    </row>
    <row r="1742" spans="5:22" x14ac:dyDescent="0.25">
      <c r="E1742" t="s">
        <v>440</v>
      </c>
      <c r="F1742">
        <v>0</v>
      </c>
      <c r="G1742">
        <v>0</v>
      </c>
      <c r="T1742" t="s">
        <v>330</v>
      </c>
      <c r="U1742">
        <v>0</v>
      </c>
      <c r="V1742">
        <v>0</v>
      </c>
    </row>
    <row r="1743" spans="5:22" x14ac:dyDescent="0.25">
      <c r="E1743" t="s">
        <v>440</v>
      </c>
      <c r="F1743">
        <v>0</v>
      </c>
      <c r="G1743">
        <v>0</v>
      </c>
      <c r="T1743" t="s">
        <v>330</v>
      </c>
      <c r="U1743">
        <v>0</v>
      </c>
      <c r="V1743">
        <v>0</v>
      </c>
    </row>
    <row r="1744" spans="5:22" x14ac:dyDescent="0.25">
      <c r="E1744" t="s">
        <v>440</v>
      </c>
      <c r="F1744">
        <v>0</v>
      </c>
      <c r="G1744">
        <v>0</v>
      </c>
      <c r="T1744" t="s">
        <v>330</v>
      </c>
      <c r="U1744">
        <v>0</v>
      </c>
      <c r="V1744">
        <v>40000</v>
      </c>
    </row>
    <row r="1745" spans="5:22" x14ac:dyDescent="0.25">
      <c r="E1745" t="s">
        <v>440</v>
      </c>
      <c r="F1745">
        <v>0</v>
      </c>
      <c r="G1745">
        <v>0</v>
      </c>
      <c r="T1745" t="s">
        <v>330</v>
      </c>
      <c r="U1745">
        <v>0</v>
      </c>
      <c r="V1745">
        <v>0</v>
      </c>
    </row>
    <row r="1746" spans="5:22" x14ac:dyDescent="0.25">
      <c r="E1746" t="s">
        <v>440</v>
      </c>
      <c r="F1746">
        <v>0</v>
      </c>
      <c r="G1746">
        <v>0</v>
      </c>
      <c r="T1746" t="s">
        <v>330</v>
      </c>
      <c r="U1746">
        <v>37000</v>
      </c>
      <c r="V1746">
        <v>0</v>
      </c>
    </row>
    <row r="1747" spans="5:22" x14ac:dyDescent="0.25">
      <c r="E1747" t="s">
        <v>440</v>
      </c>
      <c r="F1747">
        <v>0</v>
      </c>
      <c r="G1747">
        <v>0</v>
      </c>
      <c r="T1747" t="s">
        <v>330</v>
      </c>
      <c r="U1747">
        <v>0</v>
      </c>
      <c r="V1747">
        <v>0</v>
      </c>
    </row>
    <row r="1748" spans="5:22" x14ac:dyDescent="0.25">
      <c r="E1748" t="s">
        <v>440</v>
      </c>
      <c r="F1748">
        <v>0</v>
      </c>
      <c r="G1748">
        <v>0</v>
      </c>
      <c r="T1748" t="s">
        <v>330</v>
      </c>
      <c r="U1748">
        <v>0</v>
      </c>
      <c r="V1748">
        <v>0</v>
      </c>
    </row>
    <row r="1749" spans="5:22" x14ac:dyDescent="0.25">
      <c r="E1749" t="s">
        <v>6803</v>
      </c>
      <c r="F1749">
        <v>0</v>
      </c>
      <c r="G1749">
        <v>0</v>
      </c>
      <c r="T1749" t="s">
        <v>330</v>
      </c>
      <c r="U1749">
        <v>0</v>
      </c>
      <c r="V1749">
        <v>0</v>
      </c>
    </row>
    <row r="1750" spans="5:22" x14ac:dyDescent="0.25">
      <c r="E1750" t="s">
        <v>6803</v>
      </c>
      <c r="F1750">
        <v>0</v>
      </c>
      <c r="G1750">
        <v>0</v>
      </c>
      <c r="T1750" t="s">
        <v>330</v>
      </c>
      <c r="U1750">
        <v>0</v>
      </c>
      <c r="V1750">
        <v>0</v>
      </c>
    </row>
    <row r="1751" spans="5:22" x14ac:dyDescent="0.25">
      <c r="E1751" t="s">
        <v>6803</v>
      </c>
      <c r="F1751">
        <v>0</v>
      </c>
      <c r="G1751">
        <v>0</v>
      </c>
      <c r="T1751" t="s">
        <v>330</v>
      </c>
      <c r="U1751">
        <v>0</v>
      </c>
      <c r="V1751">
        <v>0</v>
      </c>
    </row>
    <row r="1752" spans="5:22" x14ac:dyDescent="0.25">
      <c r="E1752" t="s">
        <v>6803</v>
      </c>
      <c r="F1752">
        <v>0</v>
      </c>
      <c r="G1752">
        <v>0</v>
      </c>
      <c r="T1752" t="s">
        <v>330</v>
      </c>
      <c r="U1752">
        <v>0</v>
      </c>
      <c r="V1752">
        <v>0</v>
      </c>
    </row>
    <row r="1753" spans="5:22" x14ac:dyDescent="0.25">
      <c r="E1753" t="s">
        <v>6803</v>
      </c>
      <c r="F1753">
        <v>0</v>
      </c>
      <c r="G1753">
        <v>0</v>
      </c>
      <c r="T1753" t="s">
        <v>330</v>
      </c>
      <c r="U1753">
        <v>0</v>
      </c>
      <c r="V1753">
        <v>0</v>
      </c>
    </row>
    <row r="1754" spans="5:22" x14ac:dyDescent="0.25">
      <c r="E1754" t="s">
        <v>6803</v>
      </c>
      <c r="F1754">
        <v>0</v>
      </c>
      <c r="G1754">
        <v>0</v>
      </c>
      <c r="T1754" t="s">
        <v>330</v>
      </c>
      <c r="U1754">
        <v>34000</v>
      </c>
      <c r="V1754">
        <v>0</v>
      </c>
    </row>
    <row r="1755" spans="5:22" x14ac:dyDescent="0.25">
      <c r="E1755" t="s">
        <v>348</v>
      </c>
      <c r="F1755">
        <v>0</v>
      </c>
      <c r="G1755">
        <v>0</v>
      </c>
      <c r="T1755" t="s">
        <v>330</v>
      </c>
      <c r="U1755">
        <v>32000</v>
      </c>
      <c r="V1755">
        <v>0</v>
      </c>
    </row>
    <row r="1756" spans="5:22" x14ac:dyDescent="0.25">
      <c r="E1756" t="s">
        <v>348</v>
      </c>
      <c r="F1756">
        <v>2000</v>
      </c>
      <c r="G1756">
        <v>0</v>
      </c>
      <c r="T1756" t="s">
        <v>330</v>
      </c>
      <c r="U1756">
        <v>0</v>
      </c>
      <c r="V1756">
        <v>0</v>
      </c>
    </row>
    <row r="1757" spans="5:22" x14ac:dyDescent="0.25">
      <c r="E1757" t="s">
        <v>308</v>
      </c>
      <c r="F1757">
        <v>3000</v>
      </c>
      <c r="G1757">
        <v>0</v>
      </c>
      <c r="T1757" t="s">
        <v>330</v>
      </c>
      <c r="U1757">
        <v>27000</v>
      </c>
      <c r="V1757">
        <v>0</v>
      </c>
    </row>
    <row r="1758" spans="5:22" x14ac:dyDescent="0.25">
      <c r="E1758" t="s">
        <v>308</v>
      </c>
      <c r="F1758">
        <v>0</v>
      </c>
      <c r="G1758">
        <v>14000</v>
      </c>
      <c r="T1758" t="s">
        <v>330</v>
      </c>
      <c r="U1758">
        <v>36000</v>
      </c>
      <c r="V1758">
        <v>0</v>
      </c>
    </row>
    <row r="1759" spans="5:22" x14ac:dyDescent="0.25">
      <c r="E1759" t="s">
        <v>308</v>
      </c>
      <c r="F1759">
        <v>0</v>
      </c>
      <c r="G1759">
        <v>0</v>
      </c>
      <c r="T1759" t="s">
        <v>330</v>
      </c>
      <c r="U1759">
        <v>0</v>
      </c>
      <c r="V1759">
        <v>0</v>
      </c>
    </row>
    <row r="1760" spans="5:22" x14ac:dyDescent="0.25">
      <c r="E1760" t="s">
        <v>308</v>
      </c>
      <c r="F1760">
        <v>0</v>
      </c>
      <c r="G1760">
        <v>12000</v>
      </c>
      <c r="T1760" t="s">
        <v>330</v>
      </c>
      <c r="U1760">
        <v>26000</v>
      </c>
      <c r="V1760">
        <v>0</v>
      </c>
    </row>
    <row r="1761" spans="5:22" x14ac:dyDescent="0.25">
      <c r="E1761" t="s">
        <v>308</v>
      </c>
      <c r="F1761">
        <v>0</v>
      </c>
      <c r="G1761">
        <v>0</v>
      </c>
      <c r="T1761" t="s">
        <v>330</v>
      </c>
      <c r="U1761">
        <v>0</v>
      </c>
      <c r="V1761">
        <v>40000</v>
      </c>
    </row>
    <row r="1762" spans="5:22" x14ac:dyDescent="0.25">
      <c r="E1762" t="s">
        <v>308</v>
      </c>
      <c r="F1762">
        <v>0</v>
      </c>
      <c r="G1762">
        <v>16000</v>
      </c>
      <c r="T1762" t="s">
        <v>330</v>
      </c>
      <c r="U1762">
        <v>0</v>
      </c>
      <c r="V1762">
        <v>0</v>
      </c>
    </row>
    <row r="1763" spans="5:22" x14ac:dyDescent="0.25">
      <c r="E1763" t="s">
        <v>308</v>
      </c>
      <c r="F1763">
        <v>0</v>
      </c>
      <c r="G1763">
        <v>12000</v>
      </c>
      <c r="T1763" t="s">
        <v>330</v>
      </c>
      <c r="U1763">
        <v>41000</v>
      </c>
      <c r="V1763">
        <v>0</v>
      </c>
    </row>
    <row r="1764" spans="5:22" x14ac:dyDescent="0.25">
      <c r="E1764" t="s">
        <v>308</v>
      </c>
      <c r="F1764">
        <v>16000</v>
      </c>
      <c r="G1764">
        <v>0</v>
      </c>
      <c r="T1764" t="s">
        <v>330</v>
      </c>
      <c r="U1764">
        <v>39000</v>
      </c>
      <c r="V1764">
        <v>0</v>
      </c>
    </row>
    <row r="1765" spans="5:22" x14ac:dyDescent="0.25">
      <c r="E1765" t="s">
        <v>308</v>
      </c>
      <c r="F1765">
        <v>0</v>
      </c>
      <c r="G1765">
        <v>35000</v>
      </c>
      <c r="T1765" t="s">
        <v>330</v>
      </c>
      <c r="U1765">
        <v>0</v>
      </c>
      <c r="V1765">
        <v>0</v>
      </c>
    </row>
    <row r="1766" spans="5:22" x14ac:dyDescent="0.25">
      <c r="E1766" t="s">
        <v>308</v>
      </c>
      <c r="F1766">
        <v>0</v>
      </c>
      <c r="G1766">
        <v>0</v>
      </c>
      <c r="T1766" t="s">
        <v>330</v>
      </c>
      <c r="U1766">
        <v>0</v>
      </c>
      <c r="V1766">
        <v>0</v>
      </c>
    </row>
    <row r="1767" spans="5:22" x14ac:dyDescent="0.25">
      <c r="E1767" t="s">
        <v>308</v>
      </c>
      <c r="F1767">
        <v>0</v>
      </c>
      <c r="G1767">
        <v>4000</v>
      </c>
      <c r="T1767" t="s">
        <v>330</v>
      </c>
      <c r="U1767">
        <v>28000</v>
      </c>
      <c r="V1767">
        <v>0</v>
      </c>
    </row>
    <row r="1768" spans="5:22" x14ac:dyDescent="0.25">
      <c r="E1768" t="s">
        <v>308</v>
      </c>
      <c r="F1768">
        <v>0</v>
      </c>
      <c r="G1768">
        <v>12000</v>
      </c>
      <c r="T1768" t="s">
        <v>330</v>
      </c>
      <c r="U1768">
        <v>0</v>
      </c>
      <c r="V1768">
        <v>0</v>
      </c>
    </row>
    <row r="1769" spans="5:22" x14ac:dyDescent="0.25">
      <c r="E1769" t="s">
        <v>308</v>
      </c>
      <c r="F1769">
        <v>0</v>
      </c>
      <c r="G1769">
        <v>16000</v>
      </c>
      <c r="T1769" t="s">
        <v>330</v>
      </c>
      <c r="U1769">
        <v>0</v>
      </c>
      <c r="V1769">
        <v>0</v>
      </c>
    </row>
    <row r="1770" spans="5:22" x14ac:dyDescent="0.25">
      <c r="E1770" t="s">
        <v>308</v>
      </c>
      <c r="F1770">
        <v>2400</v>
      </c>
      <c r="G1770">
        <v>0</v>
      </c>
      <c r="T1770" t="s">
        <v>330</v>
      </c>
      <c r="U1770">
        <v>0</v>
      </c>
      <c r="V1770">
        <v>0</v>
      </c>
    </row>
    <row r="1771" spans="5:22" x14ac:dyDescent="0.25">
      <c r="E1771" t="s">
        <v>308</v>
      </c>
      <c r="F1771">
        <v>0</v>
      </c>
      <c r="G1771">
        <v>12000</v>
      </c>
      <c r="T1771" t="s">
        <v>330</v>
      </c>
      <c r="U1771">
        <v>0</v>
      </c>
      <c r="V1771">
        <v>41000</v>
      </c>
    </row>
    <row r="1772" spans="5:22" x14ac:dyDescent="0.25">
      <c r="E1772" t="s">
        <v>308</v>
      </c>
      <c r="F1772">
        <v>0</v>
      </c>
      <c r="G1772">
        <v>0</v>
      </c>
      <c r="T1772" t="s">
        <v>330</v>
      </c>
      <c r="U1772">
        <v>33000</v>
      </c>
      <c r="V1772">
        <v>0</v>
      </c>
    </row>
    <row r="1773" spans="5:22" x14ac:dyDescent="0.25">
      <c r="E1773" t="s">
        <v>308</v>
      </c>
      <c r="F1773">
        <v>0</v>
      </c>
      <c r="G1773">
        <v>0</v>
      </c>
      <c r="T1773" t="s">
        <v>330</v>
      </c>
      <c r="U1773">
        <v>0</v>
      </c>
      <c r="V1773">
        <v>0</v>
      </c>
    </row>
    <row r="1774" spans="5:22" x14ac:dyDescent="0.25">
      <c r="E1774" t="s">
        <v>308</v>
      </c>
      <c r="F1774">
        <v>5000</v>
      </c>
      <c r="G1774">
        <v>0</v>
      </c>
      <c r="T1774" t="s">
        <v>330</v>
      </c>
      <c r="U1774">
        <v>42000</v>
      </c>
      <c r="V1774">
        <v>0</v>
      </c>
    </row>
    <row r="1775" spans="5:22" x14ac:dyDescent="0.25">
      <c r="E1775" t="s">
        <v>308</v>
      </c>
      <c r="F1775">
        <v>5000</v>
      </c>
      <c r="G1775">
        <v>0</v>
      </c>
      <c r="T1775" t="s">
        <v>330</v>
      </c>
      <c r="U1775">
        <v>0</v>
      </c>
      <c r="V1775">
        <v>0</v>
      </c>
    </row>
    <row r="1776" spans="5:22" x14ac:dyDescent="0.25">
      <c r="E1776" t="s">
        <v>308</v>
      </c>
      <c r="F1776">
        <v>0</v>
      </c>
      <c r="G1776">
        <v>0</v>
      </c>
      <c r="T1776" t="s">
        <v>330</v>
      </c>
      <c r="U1776">
        <v>0</v>
      </c>
      <c r="V1776">
        <v>0</v>
      </c>
    </row>
    <row r="1777" spans="5:22" x14ac:dyDescent="0.25">
      <c r="E1777" t="s">
        <v>308</v>
      </c>
      <c r="F1777">
        <v>0</v>
      </c>
      <c r="G1777">
        <v>0</v>
      </c>
      <c r="T1777" t="s">
        <v>330</v>
      </c>
      <c r="U1777">
        <v>0</v>
      </c>
      <c r="V1777">
        <v>0</v>
      </c>
    </row>
    <row r="1778" spans="5:22" x14ac:dyDescent="0.25">
      <c r="E1778" t="s">
        <v>308</v>
      </c>
      <c r="F1778">
        <v>0</v>
      </c>
      <c r="G1778">
        <v>16000</v>
      </c>
      <c r="T1778" t="s">
        <v>330</v>
      </c>
      <c r="U1778">
        <v>0</v>
      </c>
      <c r="V1778">
        <v>0</v>
      </c>
    </row>
    <row r="1779" spans="5:22" x14ac:dyDescent="0.25">
      <c r="E1779" t="s">
        <v>308</v>
      </c>
      <c r="F1779">
        <v>0</v>
      </c>
      <c r="G1779">
        <v>8000</v>
      </c>
      <c r="T1779" t="s">
        <v>330</v>
      </c>
      <c r="U1779">
        <v>30000</v>
      </c>
      <c r="V1779">
        <v>0</v>
      </c>
    </row>
    <row r="1780" spans="5:22" x14ac:dyDescent="0.25">
      <c r="E1780" t="s">
        <v>308</v>
      </c>
      <c r="F1780">
        <v>0</v>
      </c>
      <c r="G1780">
        <v>0</v>
      </c>
      <c r="T1780" t="s">
        <v>330</v>
      </c>
      <c r="U1780">
        <v>0</v>
      </c>
      <c r="V1780">
        <v>0</v>
      </c>
    </row>
    <row r="1781" spans="5:22" x14ac:dyDescent="0.25">
      <c r="E1781" t="s">
        <v>308</v>
      </c>
      <c r="F1781">
        <v>0</v>
      </c>
      <c r="G1781">
        <v>0</v>
      </c>
      <c r="T1781" t="s">
        <v>330</v>
      </c>
      <c r="U1781">
        <v>35000</v>
      </c>
      <c r="V1781">
        <v>0</v>
      </c>
    </row>
    <row r="1782" spans="5:22" x14ac:dyDescent="0.25">
      <c r="E1782" t="s">
        <v>308</v>
      </c>
      <c r="F1782">
        <v>0</v>
      </c>
      <c r="G1782">
        <v>0</v>
      </c>
      <c r="T1782" t="s">
        <v>330</v>
      </c>
      <c r="U1782">
        <v>0</v>
      </c>
      <c r="V1782">
        <v>0</v>
      </c>
    </row>
    <row r="1783" spans="5:22" x14ac:dyDescent="0.25">
      <c r="E1783" t="s">
        <v>308</v>
      </c>
      <c r="F1783">
        <v>0</v>
      </c>
      <c r="G1783">
        <v>0</v>
      </c>
      <c r="T1783" t="s">
        <v>330</v>
      </c>
      <c r="U1783">
        <v>0</v>
      </c>
      <c r="V1783">
        <v>0</v>
      </c>
    </row>
    <row r="1784" spans="5:22" x14ac:dyDescent="0.25">
      <c r="E1784" t="s">
        <v>308</v>
      </c>
      <c r="F1784">
        <v>0</v>
      </c>
      <c r="G1784">
        <v>10000</v>
      </c>
      <c r="T1784" t="s">
        <v>330</v>
      </c>
      <c r="U1784">
        <v>0</v>
      </c>
      <c r="V1784">
        <v>0</v>
      </c>
    </row>
    <row r="1785" spans="5:22" x14ac:dyDescent="0.25">
      <c r="E1785" t="s">
        <v>308</v>
      </c>
      <c r="F1785">
        <v>0</v>
      </c>
      <c r="G1785">
        <v>10000</v>
      </c>
      <c r="T1785" t="s">
        <v>330</v>
      </c>
      <c r="U1785">
        <v>0</v>
      </c>
      <c r="V1785">
        <v>0</v>
      </c>
    </row>
    <row r="1786" spans="5:22" x14ac:dyDescent="0.25">
      <c r="E1786" t="s">
        <v>308</v>
      </c>
      <c r="F1786">
        <v>0</v>
      </c>
      <c r="G1786">
        <v>0</v>
      </c>
      <c r="T1786" t="s">
        <v>330</v>
      </c>
      <c r="U1786">
        <v>0</v>
      </c>
      <c r="V1786">
        <v>0</v>
      </c>
    </row>
    <row r="1787" spans="5:22" x14ac:dyDescent="0.25">
      <c r="E1787" t="s">
        <v>308</v>
      </c>
      <c r="F1787">
        <v>0</v>
      </c>
      <c r="G1787">
        <v>12000</v>
      </c>
      <c r="T1787" t="s">
        <v>506</v>
      </c>
      <c r="U1787">
        <v>0</v>
      </c>
      <c r="V1787">
        <v>0</v>
      </c>
    </row>
    <row r="1788" spans="5:22" x14ac:dyDescent="0.25">
      <c r="E1788" t="s">
        <v>308</v>
      </c>
      <c r="F1788">
        <v>4200</v>
      </c>
      <c r="G1788">
        <v>0</v>
      </c>
      <c r="T1788" t="s">
        <v>506</v>
      </c>
      <c r="U1788">
        <v>28000</v>
      </c>
      <c r="V1788">
        <v>0</v>
      </c>
    </row>
    <row r="1789" spans="5:22" x14ac:dyDescent="0.25">
      <c r="E1789" t="s">
        <v>308</v>
      </c>
      <c r="F1789">
        <v>0</v>
      </c>
      <c r="G1789">
        <v>0</v>
      </c>
      <c r="T1789" t="s">
        <v>506</v>
      </c>
      <c r="U1789">
        <v>30000</v>
      </c>
      <c r="V1789">
        <v>0</v>
      </c>
    </row>
    <row r="1790" spans="5:22" x14ac:dyDescent="0.25">
      <c r="E1790" t="s">
        <v>308</v>
      </c>
      <c r="F1790">
        <v>0</v>
      </c>
      <c r="G1790">
        <v>0</v>
      </c>
      <c r="T1790" t="s">
        <v>506</v>
      </c>
      <c r="U1790">
        <v>0</v>
      </c>
      <c r="V1790">
        <v>0</v>
      </c>
    </row>
    <row r="1791" spans="5:22" x14ac:dyDescent="0.25">
      <c r="E1791" t="s">
        <v>308</v>
      </c>
      <c r="F1791">
        <v>0</v>
      </c>
      <c r="G1791">
        <v>0</v>
      </c>
      <c r="T1791" t="s">
        <v>506</v>
      </c>
      <c r="U1791">
        <v>0</v>
      </c>
      <c r="V1791">
        <v>0</v>
      </c>
    </row>
    <row r="1792" spans="5:22" x14ac:dyDescent="0.25">
      <c r="E1792" t="s">
        <v>308</v>
      </c>
      <c r="F1792">
        <v>0</v>
      </c>
      <c r="G1792">
        <v>8000</v>
      </c>
      <c r="T1792" t="s">
        <v>506</v>
      </c>
      <c r="U1792">
        <v>0</v>
      </c>
      <c r="V1792">
        <v>0</v>
      </c>
    </row>
    <row r="1793" spans="5:22" x14ac:dyDescent="0.25">
      <c r="E1793" t="s">
        <v>308</v>
      </c>
      <c r="F1793">
        <v>0</v>
      </c>
      <c r="G1793">
        <v>0</v>
      </c>
      <c r="T1793" t="s">
        <v>506</v>
      </c>
      <c r="U1793">
        <v>36000</v>
      </c>
      <c r="V1793">
        <v>0</v>
      </c>
    </row>
    <row r="1794" spans="5:22" x14ac:dyDescent="0.25">
      <c r="E1794" t="s">
        <v>308</v>
      </c>
      <c r="F1794">
        <v>2800</v>
      </c>
      <c r="G1794">
        <v>0</v>
      </c>
      <c r="T1794" t="s">
        <v>506</v>
      </c>
      <c r="U1794">
        <v>0</v>
      </c>
      <c r="V1794">
        <v>0</v>
      </c>
    </row>
    <row r="1795" spans="5:22" x14ac:dyDescent="0.25">
      <c r="E1795" t="s">
        <v>308</v>
      </c>
      <c r="F1795">
        <v>0</v>
      </c>
      <c r="G1795">
        <v>0</v>
      </c>
      <c r="T1795" t="s">
        <v>506</v>
      </c>
      <c r="U1795">
        <v>37000</v>
      </c>
      <c r="V1795">
        <v>0</v>
      </c>
    </row>
    <row r="1796" spans="5:22" x14ac:dyDescent="0.25">
      <c r="E1796" t="s">
        <v>308</v>
      </c>
      <c r="F1796">
        <v>0</v>
      </c>
      <c r="G1796">
        <v>25000</v>
      </c>
      <c r="T1796" t="s">
        <v>506</v>
      </c>
      <c r="U1796">
        <v>0</v>
      </c>
      <c r="V1796">
        <v>0</v>
      </c>
    </row>
    <row r="1797" spans="5:22" x14ac:dyDescent="0.25">
      <c r="E1797" t="s">
        <v>308</v>
      </c>
      <c r="F1797">
        <v>0</v>
      </c>
      <c r="G1797">
        <v>0</v>
      </c>
      <c r="T1797" t="s">
        <v>506</v>
      </c>
      <c r="U1797">
        <v>50000</v>
      </c>
      <c r="V1797">
        <v>0</v>
      </c>
    </row>
    <row r="1798" spans="5:22" x14ac:dyDescent="0.25">
      <c r="E1798" t="s">
        <v>308</v>
      </c>
      <c r="F1798">
        <v>0</v>
      </c>
      <c r="G1798">
        <v>20000</v>
      </c>
      <c r="T1798" t="s">
        <v>506</v>
      </c>
      <c r="U1798">
        <v>37000</v>
      </c>
      <c r="V1798">
        <v>0</v>
      </c>
    </row>
    <row r="1799" spans="5:22" x14ac:dyDescent="0.25">
      <c r="E1799" t="s">
        <v>308</v>
      </c>
      <c r="F1799">
        <v>3000</v>
      </c>
      <c r="G1799">
        <v>0</v>
      </c>
      <c r="T1799" t="s">
        <v>506</v>
      </c>
      <c r="U1799">
        <v>0</v>
      </c>
      <c r="V1799">
        <v>0</v>
      </c>
    </row>
    <row r="1800" spans="5:22" x14ac:dyDescent="0.25">
      <c r="E1800" t="s">
        <v>308</v>
      </c>
      <c r="F1800">
        <v>0</v>
      </c>
      <c r="G1800">
        <v>8000</v>
      </c>
      <c r="T1800" t="s">
        <v>506</v>
      </c>
      <c r="U1800">
        <v>40000</v>
      </c>
      <c r="V1800">
        <v>0</v>
      </c>
    </row>
    <row r="1801" spans="5:22" x14ac:dyDescent="0.25">
      <c r="E1801" t="s">
        <v>308</v>
      </c>
      <c r="F1801">
        <v>0</v>
      </c>
      <c r="G1801">
        <v>17000</v>
      </c>
      <c r="T1801" t="s">
        <v>506</v>
      </c>
      <c r="U1801">
        <v>30000</v>
      </c>
      <c r="V1801">
        <v>0</v>
      </c>
    </row>
    <row r="1802" spans="5:22" x14ac:dyDescent="0.25">
      <c r="E1802" t="s">
        <v>308</v>
      </c>
      <c r="F1802">
        <v>0</v>
      </c>
      <c r="G1802">
        <v>18000</v>
      </c>
      <c r="T1802" t="s">
        <v>506</v>
      </c>
      <c r="U1802">
        <v>45000</v>
      </c>
      <c r="V1802">
        <v>0</v>
      </c>
    </row>
    <row r="1803" spans="5:22" x14ac:dyDescent="0.25">
      <c r="E1803" t="s">
        <v>308</v>
      </c>
      <c r="F1803">
        <v>0</v>
      </c>
      <c r="G1803">
        <v>0</v>
      </c>
      <c r="T1803" t="s">
        <v>506</v>
      </c>
      <c r="U1803">
        <v>0</v>
      </c>
      <c r="V1803">
        <v>0</v>
      </c>
    </row>
    <row r="1804" spans="5:22" x14ac:dyDescent="0.25">
      <c r="E1804" t="s">
        <v>308</v>
      </c>
      <c r="F1804">
        <v>1400</v>
      </c>
      <c r="G1804">
        <v>0</v>
      </c>
      <c r="T1804" t="s">
        <v>506</v>
      </c>
      <c r="U1804">
        <v>37000</v>
      </c>
      <c r="V1804">
        <v>0</v>
      </c>
    </row>
    <row r="1805" spans="5:22" x14ac:dyDescent="0.25">
      <c r="E1805" t="s">
        <v>321</v>
      </c>
      <c r="F1805">
        <v>0</v>
      </c>
      <c r="G1805">
        <v>0</v>
      </c>
      <c r="T1805" t="s">
        <v>506</v>
      </c>
      <c r="U1805">
        <v>37000</v>
      </c>
      <c r="V1805">
        <v>0</v>
      </c>
    </row>
    <row r="1806" spans="5:22" x14ac:dyDescent="0.25">
      <c r="E1806" t="s">
        <v>321</v>
      </c>
      <c r="F1806">
        <v>7000</v>
      </c>
      <c r="G1806">
        <v>0</v>
      </c>
      <c r="T1806" t="s">
        <v>506</v>
      </c>
      <c r="U1806">
        <v>33000</v>
      </c>
      <c r="V1806">
        <v>0</v>
      </c>
    </row>
    <row r="1807" spans="5:22" x14ac:dyDescent="0.25">
      <c r="E1807" t="s">
        <v>321</v>
      </c>
      <c r="F1807">
        <v>0</v>
      </c>
      <c r="G1807">
        <v>0</v>
      </c>
      <c r="T1807" t="s">
        <v>506</v>
      </c>
      <c r="U1807">
        <v>37000</v>
      </c>
      <c r="V1807">
        <v>0</v>
      </c>
    </row>
    <row r="1808" spans="5:22" x14ac:dyDescent="0.25">
      <c r="E1808" t="s">
        <v>321</v>
      </c>
      <c r="F1808">
        <v>0</v>
      </c>
      <c r="G1808">
        <v>0</v>
      </c>
      <c r="T1808" t="s">
        <v>506</v>
      </c>
      <c r="U1808">
        <v>50000</v>
      </c>
      <c r="V1808">
        <v>0</v>
      </c>
    </row>
    <row r="1809" spans="5:22" x14ac:dyDescent="0.25">
      <c r="E1809" t="s">
        <v>321</v>
      </c>
      <c r="F1809">
        <v>0</v>
      </c>
      <c r="G1809">
        <v>0</v>
      </c>
      <c r="T1809" t="s">
        <v>506</v>
      </c>
      <c r="U1809">
        <v>0</v>
      </c>
      <c r="V1809">
        <v>0</v>
      </c>
    </row>
    <row r="1810" spans="5:22" x14ac:dyDescent="0.25">
      <c r="E1810" t="s">
        <v>321</v>
      </c>
      <c r="F1810">
        <v>0</v>
      </c>
      <c r="G1810">
        <v>0</v>
      </c>
      <c r="T1810" t="s">
        <v>506</v>
      </c>
      <c r="U1810">
        <v>28000</v>
      </c>
      <c r="V1810">
        <v>0</v>
      </c>
    </row>
    <row r="1811" spans="5:22" x14ac:dyDescent="0.25">
      <c r="E1811" t="s">
        <v>321</v>
      </c>
      <c r="F1811">
        <v>0</v>
      </c>
      <c r="G1811">
        <v>0</v>
      </c>
      <c r="T1811" t="s">
        <v>506</v>
      </c>
      <c r="U1811">
        <v>30000</v>
      </c>
      <c r="V1811">
        <v>0</v>
      </c>
    </row>
    <row r="1812" spans="5:22" x14ac:dyDescent="0.25">
      <c r="E1812" t="s">
        <v>321</v>
      </c>
      <c r="F1812">
        <v>0</v>
      </c>
      <c r="G1812">
        <v>0</v>
      </c>
      <c r="T1812" t="s">
        <v>506</v>
      </c>
      <c r="U1812">
        <v>30000</v>
      </c>
      <c r="V1812">
        <v>0</v>
      </c>
    </row>
    <row r="1813" spans="5:22" x14ac:dyDescent="0.25">
      <c r="E1813" t="s">
        <v>321</v>
      </c>
      <c r="F1813">
        <v>0</v>
      </c>
      <c r="G1813">
        <v>0</v>
      </c>
      <c r="T1813" t="s">
        <v>506</v>
      </c>
      <c r="U1813">
        <v>37000</v>
      </c>
      <c r="V1813">
        <v>0</v>
      </c>
    </row>
    <row r="1814" spans="5:22" x14ac:dyDescent="0.25">
      <c r="E1814" t="s">
        <v>321</v>
      </c>
      <c r="F1814">
        <v>0</v>
      </c>
      <c r="G1814">
        <v>0</v>
      </c>
      <c r="T1814" t="s">
        <v>506</v>
      </c>
      <c r="U1814">
        <v>41000</v>
      </c>
      <c r="V1814">
        <v>0</v>
      </c>
    </row>
    <row r="1815" spans="5:22" x14ac:dyDescent="0.25">
      <c r="E1815" t="s">
        <v>321</v>
      </c>
      <c r="F1815">
        <v>0</v>
      </c>
      <c r="G1815">
        <v>0</v>
      </c>
      <c r="T1815" t="s">
        <v>506</v>
      </c>
      <c r="U1815">
        <v>0</v>
      </c>
      <c r="V1815">
        <v>0</v>
      </c>
    </row>
    <row r="1816" spans="5:22" x14ac:dyDescent="0.25">
      <c r="E1816" t="s">
        <v>321</v>
      </c>
      <c r="F1816">
        <v>0</v>
      </c>
      <c r="G1816">
        <v>0</v>
      </c>
      <c r="T1816" t="s">
        <v>506</v>
      </c>
      <c r="U1816">
        <v>0</v>
      </c>
      <c r="V1816">
        <v>0</v>
      </c>
    </row>
    <row r="1817" spans="5:22" x14ac:dyDescent="0.25">
      <c r="E1817" t="s">
        <v>321</v>
      </c>
      <c r="F1817">
        <v>0</v>
      </c>
      <c r="G1817">
        <v>0</v>
      </c>
      <c r="T1817" t="s">
        <v>506</v>
      </c>
      <c r="U1817">
        <v>40000</v>
      </c>
      <c r="V1817">
        <v>0</v>
      </c>
    </row>
    <row r="1818" spans="5:22" x14ac:dyDescent="0.25">
      <c r="E1818" t="s">
        <v>321</v>
      </c>
      <c r="F1818">
        <v>0</v>
      </c>
      <c r="G1818">
        <v>0</v>
      </c>
      <c r="T1818" t="s">
        <v>506</v>
      </c>
      <c r="U1818">
        <v>35000</v>
      </c>
      <c r="V1818">
        <v>0</v>
      </c>
    </row>
    <row r="1819" spans="5:22" x14ac:dyDescent="0.25">
      <c r="E1819" t="s">
        <v>324</v>
      </c>
      <c r="F1819">
        <v>0</v>
      </c>
      <c r="G1819">
        <v>0</v>
      </c>
      <c r="T1819" t="s">
        <v>506</v>
      </c>
      <c r="U1819">
        <v>40000</v>
      </c>
      <c r="V1819">
        <v>0</v>
      </c>
    </row>
    <row r="1820" spans="5:22" x14ac:dyDescent="0.25">
      <c r="E1820" t="s">
        <v>324</v>
      </c>
      <c r="F1820">
        <v>5000</v>
      </c>
      <c r="G1820">
        <v>0</v>
      </c>
      <c r="T1820" t="s">
        <v>506</v>
      </c>
      <c r="U1820">
        <v>0</v>
      </c>
      <c r="V1820">
        <v>0</v>
      </c>
    </row>
    <row r="1821" spans="5:22" x14ac:dyDescent="0.25">
      <c r="E1821" t="s">
        <v>324</v>
      </c>
      <c r="F1821">
        <v>0</v>
      </c>
      <c r="G1821">
        <v>0</v>
      </c>
      <c r="T1821" t="s">
        <v>506</v>
      </c>
      <c r="U1821">
        <v>0</v>
      </c>
      <c r="V1821">
        <v>0</v>
      </c>
    </row>
    <row r="1822" spans="5:22" x14ac:dyDescent="0.25">
      <c r="E1822" t="s">
        <v>324</v>
      </c>
      <c r="F1822">
        <v>0</v>
      </c>
      <c r="G1822">
        <v>0</v>
      </c>
      <c r="T1822" t="s">
        <v>508</v>
      </c>
      <c r="U1822">
        <v>0</v>
      </c>
      <c r="V1822">
        <v>0</v>
      </c>
    </row>
    <row r="1823" spans="5:22" x14ac:dyDescent="0.25">
      <c r="E1823" t="s">
        <v>324</v>
      </c>
      <c r="F1823">
        <v>0</v>
      </c>
      <c r="G1823">
        <v>0</v>
      </c>
      <c r="T1823" t="s">
        <v>508</v>
      </c>
      <c r="U1823">
        <v>0</v>
      </c>
      <c r="V1823">
        <v>0</v>
      </c>
    </row>
    <row r="1824" spans="5:22" x14ac:dyDescent="0.25">
      <c r="E1824" t="s">
        <v>324</v>
      </c>
      <c r="F1824">
        <v>0</v>
      </c>
      <c r="G1824">
        <v>0</v>
      </c>
      <c r="T1824" t="s">
        <v>508</v>
      </c>
      <c r="U1824">
        <v>0</v>
      </c>
      <c r="V1824">
        <v>0</v>
      </c>
    </row>
    <row r="1825" spans="5:22" x14ac:dyDescent="0.25">
      <c r="E1825" t="s">
        <v>324</v>
      </c>
      <c r="F1825">
        <v>7000</v>
      </c>
      <c r="G1825">
        <v>0</v>
      </c>
      <c r="T1825" t="s">
        <v>508</v>
      </c>
      <c r="U1825">
        <v>0</v>
      </c>
      <c r="V1825">
        <v>0</v>
      </c>
    </row>
    <row r="1826" spans="5:22" x14ac:dyDescent="0.25">
      <c r="E1826" t="s">
        <v>324</v>
      </c>
      <c r="F1826">
        <v>9500</v>
      </c>
      <c r="G1826">
        <v>0</v>
      </c>
      <c r="T1826" t="s">
        <v>508</v>
      </c>
      <c r="U1826">
        <v>0</v>
      </c>
      <c r="V1826">
        <v>0</v>
      </c>
    </row>
    <row r="1827" spans="5:22" x14ac:dyDescent="0.25">
      <c r="E1827" t="s">
        <v>324</v>
      </c>
      <c r="F1827">
        <v>7500</v>
      </c>
      <c r="G1827">
        <v>0</v>
      </c>
      <c r="T1827" t="s">
        <v>508</v>
      </c>
      <c r="U1827">
        <v>0</v>
      </c>
      <c r="V1827">
        <v>0</v>
      </c>
    </row>
    <row r="1828" spans="5:22" x14ac:dyDescent="0.25">
      <c r="E1828" t="s">
        <v>324</v>
      </c>
      <c r="F1828">
        <v>0</v>
      </c>
      <c r="G1828">
        <v>0</v>
      </c>
      <c r="T1828" t="s">
        <v>508</v>
      </c>
      <c r="U1828">
        <v>0</v>
      </c>
      <c r="V1828">
        <v>0</v>
      </c>
    </row>
    <row r="1829" spans="5:22" x14ac:dyDescent="0.25">
      <c r="E1829" t="s">
        <v>326</v>
      </c>
      <c r="F1829">
        <v>0</v>
      </c>
      <c r="G1829">
        <v>0</v>
      </c>
      <c r="T1829" t="s">
        <v>508</v>
      </c>
      <c r="U1829">
        <v>0</v>
      </c>
      <c r="V1829">
        <v>0</v>
      </c>
    </row>
    <row r="1830" spans="5:22" x14ac:dyDescent="0.25">
      <c r="E1830" t="s">
        <v>326</v>
      </c>
      <c r="F1830">
        <v>0</v>
      </c>
      <c r="G1830">
        <v>0</v>
      </c>
      <c r="T1830" t="s">
        <v>508</v>
      </c>
      <c r="U1830">
        <v>0</v>
      </c>
      <c r="V1830">
        <v>30000</v>
      </c>
    </row>
    <row r="1831" spans="5:22" x14ac:dyDescent="0.25">
      <c r="E1831" t="s">
        <v>326</v>
      </c>
      <c r="F1831">
        <v>8000</v>
      </c>
      <c r="G1831">
        <v>0</v>
      </c>
      <c r="T1831" t="s">
        <v>508</v>
      </c>
      <c r="U1831">
        <v>0</v>
      </c>
      <c r="V1831">
        <v>0</v>
      </c>
    </row>
    <row r="1832" spans="5:22" x14ac:dyDescent="0.25">
      <c r="E1832" t="s">
        <v>326</v>
      </c>
      <c r="F1832">
        <v>0</v>
      </c>
      <c r="G1832">
        <v>0</v>
      </c>
      <c r="T1832" t="s">
        <v>508</v>
      </c>
      <c r="U1832">
        <v>0</v>
      </c>
      <c r="V1832">
        <v>0</v>
      </c>
    </row>
    <row r="1833" spans="5:22" x14ac:dyDescent="0.25">
      <c r="E1833" t="s">
        <v>326</v>
      </c>
      <c r="F1833">
        <v>4500</v>
      </c>
      <c r="G1833">
        <v>0</v>
      </c>
      <c r="T1833" t="s">
        <v>508</v>
      </c>
      <c r="U1833">
        <v>0</v>
      </c>
      <c r="V1833">
        <v>40000</v>
      </c>
    </row>
    <row r="1834" spans="5:22" x14ac:dyDescent="0.25">
      <c r="E1834" t="s">
        <v>326</v>
      </c>
      <c r="F1834">
        <v>0</v>
      </c>
      <c r="G1834">
        <v>0</v>
      </c>
      <c r="T1834" t="s">
        <v>508</v>
      </c>
      <c r="U1834">
        <v>0</v>
      </c>
      <c r="V1834">
        <v>0</v>
      </c>
    </row>
    <row r="1835" spans="5:22" x14ac:dyDescent="0.25">
      <c r="E1835" t="s">
        <v>326</v>
      </c>
      <c r="F1835">
        <v>0</v>
      </c>
      <c r="G1835">
        <v>0</v>
      </c>
      <c r="T1835" t="s">
        <v>508</v>
      </c>
      <c r="U1835">
        <v>0</v>
      </c>
      <c r="V1835">
        <v>0</v>
      </c>
    </row>
    <row r="1836" spans="5:22" x14ac:dyDescent="0.25">
      <c r="E1836" t="s">
        <v>326</v>
      </c>
      <c r="F1836">
        <v>0</v>
      </c>
      <c r="G1836">
        <v>0</v>
      </c>
      <c r="T1836" t="s">
        <v>508</v>
      </c>
      <c r="U1836">
        <v>0</v>
      </c>
      <c r="V1836">
        <v>0</v>
      </c>
    </row>
    <row r="1837" spans="5:22" x14ac:dyDescent="0.25">
      <c r="E1837" t="s">
        <v>326</v>
      </c>
      <c r="F1837">
        <v>0</v>
      </c>
      <c r="G1837">
        <v>0</v>
      </c>
      <c r="T1837" t="s">
        <v>508</v>
      </c>
      <c r="U1837">
        <v>0</v>
      </c>
      <c r="V1837">
        <v>0</v>
      </c>
    </row>
    <row r="1838" spans="5:22" x14ac:dyDescent="0.25">
      <c r="E1838" t="s">
        <v>326</v>
      </c>
      <c r="F1838">
        <v>0</v>
      </c>
      <c r="G1838">
        <v>0</v>
      </c>
      <c r="T1838" t="s">
        <v>508</v>
      </c>
      <c r="U1838">
        <v>0</v>
      </c>
      <c r="V1838">
        <v>0</v>
      </c>
    </row>
    <row r="1839" spans="5:22" x14ac:dyDescent="0.25">
      <c r="E1839" t="s">
        <v>326</v>
      </c>
      <c r="F1839">
        <v>0</v>
      </c>
      <c r="G1839">
        <v>0</v>
      </c>
      <c r="T1839" t="s">
        <v>508</v>
      </c>
      <c r="U1839">
        <v>0</v>
      </c>
      <c r="V1839">
        <v>0</v>
      </c>
    </row>
    <row r="1840" spans="5:22" x14ac:dyDescent="0.25">
      <c r="E1840" t="s">
        <v>326</v>
      </c>
      <c r="F1840">
        <v>0</v>
      </c>
      <c r="G1840">
        <v>0</v>
      </c>
      <c r="T1840" t="s">
        <v>508</v>
      </c>
      <c r="U1840">
        <v>0</v>
      </c>
      <c r="V1840">
        <v>40000</v>
      </c>
    </row>
    <row r="1841" spans="5:22" x14ac:dyDescent="0.25">
      <c r="E1841" t="s">
        <v>326</v>
      </c>
      <c r="F1841">
        <v>0</v>
      </c>
      <c r="G1841">
        <v>0</v>
      </c>
      <c r="T1841" t="s">
        <v>508</v>
      </c>
      <c r="U1841">
        <v>0</v>
      </c>
      <c r="V1841">
        <v>0</v>
      </c>
    </row>
    <row r="1842" spans="5:22" x14ac:dyDescent="0.25">
      <c r="E1842" t="s">
        <v>326</v>
      </c>
      <c r="F1842">
        <v>0</v>
      </c>
      <c r="G1842">
        <v>0</v>
      </c>
      <c r="T1842" t="s">
        <v>508</v>
      </c>
      <c r="U1842">
        <v>0</v>
      </c>
      <c r="V1842">
        <v>40000</v>
      </c>
    </row>
    <row r="1843" spans="5:22" x14ac:dyDescent="0.25">
      <c r="E1843" t="s">
        <v>326</v>
      </c>
      <c r="F1843">
        <v>0</v>
      </c>
      <c r="G1843">
        <v>0</v>
      </c>
      <c r="T1843" t="s">
        <v>508</v>
      </c>
      <c r="U1843">
        <v>0</v>
      </c>
      <c r="V1843">
        <v>0</v>
      </c>
    </row>
    <row r="1844" spans="5:22" x14ac:dyDescent="0.25">
      <c r="E1844" t="s">
        <v>326</v>
      </c>
      <c r="F1844">
        <v>10000</v>
      </c>
      <c r="G1844">
        <v>0</v>
      </c>
      <c r="T1844" t="s">
        <v>508</v>
      </c>
      <c r="U1844">
        <v>0</v>
      </c>
      <c r="V1844">
        <v>0</v>
      </c>
    </row>
    <row r="1845" spans="5:22" x14ac:dyDescent="0.25">
      <c r="E1845" t="s">
        <v>326</v>
      </c>
      <c r="F1845">
        <v>4200</v>
      </c>
      <c r="G1845">
        <v>0</v>
      </c>
      <c r="T1845" t="s">
        <v>508</v>
      </c>
      <c r="U1845">
        <v>0</v>
      </c>
      <c r="V1845">
        <v>0</v>
      </c>
    </row>
    <row r="1846" spans="5:22" x14ac:dyDescent="0.25">
      <c r="E1846" t="s">
        <v>326</v>
      </c>
      <c r="F1846">
        <v>4700</v>
      </c>
      <c r="G1846">
        <v>0</v>
      </c>
      <c r="T1846" t="s">
        <v>508</v>
      </c>
      <c r="U1846">
        <v>0</v>
      </c>
      <c r="V1846">
        <v>32000</v>
      </c>
    </row>
    <row r="1847" spans="5:22" x14ac:dyDescent="0.25">
      <c r="E1847" t="s">
        <v>326</v>
      </c>
      <c r="F1847">
        <v>0</v>
      </c>
      <c r="G1847">
        <v>0</v>
      </c>
      <c r="T1847" t="s">
        <v>508</v>
      </c>
      <c r="U1847">
        <v>0</v>
      </c>
      <c r="V1847">
        <v>40000</v>
      </c>
    </row>
    <row r="1848" spans="5:22" x14ac:dyDescent="0.25">
      <c r="E1848" t="s">
        <v>326</v>
      </c>
      <c r="F1848">
        <v>12000</v>
      </c>
      <c r="G1848">
        <v>0</v>
      </c>
      <c r="T1848" t="s">
        <v>508</v>
      </c>
      <c r="U1848">
        <v>0</v>
      </c>
      <c r="V1848">
        <v>0</v>
      </c>
    </row>
    <row r="1849" spans="5:22" x14ac:dyDescent="0.25">
      <c r="E1849" t="s">
        <v>326</v>
      </c>
      <c r="F1849">
        <v>0</v>
      </c>
      <c r="G1849">
        <v>0</v>
      </c>
      <c r="T1849" t="s">
        <v>508</v>
      </c>
      <c r="U1849">
        <v>0</v>
      </c>
      <c r="V1849">
        <v>32000</v>
      </c>
    </row>
    <row r="1850" spans="5:22" x14ac:dyDescent="0.25">
      <c r="E1850" t="s">
        <v>326</v>
      </c>
      <c r="F1850">
        <v>5000</v>
      </c>
      <c r="G1850">
        <v>0</v>
      </c>
      <c r="T1850" t="s">
        <v>508</v>
      </c>
      <c r="U1850">
        <v>0</v>
      </c>
      <c r="V1850">
        <v>0</v>
      </c>
    </row>
    <row r="1851" spans="5:22" x14ac:dyDescent="0.25">
      <c r="E1851" t="s">
        <v>326</v>
      </c>
      <c r="F1851">
        <v>0</v>
      </c>
      <c r="G1851">
        <v>0</v>
      </c>
      <c r="T1851" t="s">
        <v>508</v>
      </c>
      <c r="U1851">
        <v>0</v>
      </c>
      <c r="V1851">
        <v>0</v>
      </c>
    </row>
    <row r="1852" spans="5:22" x14ac:dyDescent="0.25">
      <c r="E1852" t="s">
        <v>326</v>
      </c>
      <c r="F1852">
        <v>0</v>
      </c>
      <c r="G1852">
        <v>0</v>
      </c>
      <c r="T1852" t="s">
        <v>508</v>
      </c>
      <c r="U1852">
        <v>0</v>
      </c>
      <c r="V1852">
        <v>0</v>
      </c>
    </row>
    <row r="1853" spans="5:22" x14ac:dyDescent="0.25">
      <c r="E1853" t="s">
        <v>326</v>
      </c>
      <c r="F1853">
        <v>0</v>
      </c>
      <c r="G1853">
        <v>0</v>
      </c>
      <c r="T1853" t="s">
        <v>508</v>
      </c>
      <c r="U1853">
        <v>0</v>
      </c>
      <c r="V1853">
        <v>0</v>
      </c>
    </row>
    <row r="1854" spans="5:22" x14ac:dyDescent="0.25">
      <c r="E1854" t="s">
        <v>326</v>
      </c>
      <c r="F1854">
        <v>0</v>
      </c>
      <c r="G1854">
        <v>0</v>
      </c>
      <c r="T1854" t="s">
        <v>508</v>
      </c>
      <c r="U1854">
        <v>0</v>
      </c>
      <c r="V1854">
        <v>0</v>
      </c>
    </row>
    <row r="1855" spans="5:22" x14ac:dyDescent="0.25">
      <c r="E1855" t="s">
        <v>326</v>
      </c>
      <c r="F1855">
        <v>0</v>
      </c>
      <c r="G1855">
        <v>0</v>
      </c>
      <c r="T1855" t="s">
        <v>508</v>
      </c>
      <c r="U1855">
        <v>0</v>
      </c>
      <c r="V1855">
        <v>0</v>
      </c>
    </row>
    <row r="1856" spans="5:22" x14ac:dyDescent="0.25">
      <c r="E1856" t="s">
        <v>326</v>
      </c>
      <c r="F1856">
        <v>0</v>
      </c>
      <c r="G1856">
        <v>0</v>
      </c>
      <c r="T1856" t="s">
        <v>508</v>
      </c>
      <c r="U1856">
        <v>0</v>
      </c>
      <c r="V1856">
        <v>0</v>
      </c>
    </row>
    <row r="1857" spans="5:22" x14ac:dyDescent="0.25">
      <c r="E1857" t="s">
        <v>326</v>
      </c>
      <c r="F1857">
        <v>0</v>
      </c>
      <c r="G1857">
        <v>0</v>
      </c>
      <c r="T1857" t="s">
        <v>508</v>
      </c>
      <c r="U1857">
        <v>0</v>
      </c>
      <c r="V1857">
        <v>32000</v>
      </c>
    </row>
    <row r="1858" spans="5:22" x14ac:dyDescent="0.25">
      <c r="E1858" t="s">
        <v>326</v>
      </c>
      <c r="F1858">
        <v>8000</v>
      </c>
      <c r="G1858">
        <v>0</v>
      </c>
      <c r="T1858" t="s">
        <v>508</v>
      </c>
      <c r="U1858">
        <v>0</v>
      </c>
      <c r="V1858">
        <v>0</v>
      </c>
    </row>
    <row r="1859" spans="5:22" x14ac:dyDescent="0.25">
      <c r="E1859" t="s">
        <v>326</v>
      </c>
      <c r="F1859">
        <v>0</v>
      </c>
      <c r="G1859">
        <v>0</v>
      </c>
      <c r="T1859" t="s">
        <v>508</v>
      </c>
      <c r="U1859">
        <v>0</v>
      </c>
      <c r="V1859">
        <v>0</v>
      </c>
    </row>
    <row r="1860" spans="5:22" x14ac:dyDescent="0.25">
      <c r="E1860" t="s">
        <v>326</v>
      </c>
      <c r="F1860">
        <v>0</v>
      </c>
      <c r="G1860">
        <v>0</v>
      </c>
      <c r="T1860" t="s">
        <v>508</v>
      </c>
      <c r="U1860">
        <v>0</v>
      </c>
      <c r="V1860">
        <v>0</v>
      </c>
    </row>
    <row r="1861" spans="5:22" x14ac:dyDescent="0.25">
      <c r="E1861" t="s">
        <v>326</v>
      </c>
      <c r="F1861">
        <v>0</v>
      </c>
      <c r="G1861">
        <v>0</v>
      </c>
      <c r="T1861" t="s">
        <v>508</v>
      </c>
      <c r="U1861">
        <v>0</v>
      </c>
      <c r="V1861">
        <v>0</v>
      </c>
    </row>
    <row r="1862" spans="5:22" x14ac:dyDescent="0.25">
      <c r="E1862" t="s">
        <v>326</v>
      </c>
      <c r="F1862">
        <v>0</v>
      </c>
      <c r="G1862">
        <v>0</v>
      </c>
      <c r="T1862" t="s">
        <v>508</v>
      </c>
      <c r="U1862">
        <v>0</v>
      </c>
      <c r="V1862">
        <v>0</v>
      </c>
    </row>
    <row r="1863" spans="5:22" x14ac:dyDescent="0.25">
      <c r="E1863" t="s">
        <v>326</v>
      </c>
      <c r="F1863">
        <v>0</v>
      </c>
      <c r="G1863">
        <v>0</v>
      </c>
      <c r="T1863" t="s">
        <v>508</v>
      </c>
      <c r="U1863">
        <v>0</v>
      </c>
      <c r="V1863">
        <v>0</v>
      </c>
    </row>
    <row r="1864" spans="5:22" x14ac:dyDescent="0.25">
      <c r="E1864" t="s">
        <v>326</v>
      </c>
      <c r="F1864">
        <v>4200</v>
      </c>
      <c r="G1864">
        <v>0</v>
      </c>
      <c r="T1864" t="s">
        <v>508</v>
      </c>
      <c r="U1864">
        <v>0</v>
      </c>
      <c r="V1864">
        <v>0</v>
      </c>
    </row>
    <row r="1865" spans="5:22" x14ac:dyDescent="0.25">
      <c r="E1865" t="s">
        <v>326</v>
      </c>
      <c r="F1865">
        <v>0</v>
      </c>
      <c r="G1865">
        <v>0</v>
      </c>
      <c r="T1865" t="s">
        <v>508</v>
      </c>
      <c r="U1865">
        <v>0</v>
      </c>
      <c r="V1865">
        <v>0</v>
      </c>
    </row>
    <row r="1866" spans="5:22" x14ac:dyDescent="0.25">
      <c r="E1866" t="s">
        <v>326</v>
      </c>
      <c r="F1866">
        <v>0</v>
      </c>
      <c r="G1866">
        <v>0</v>
      </c>
      <c r="T1866" t="s">
        <v>508</v>
      </c>
      <c r="U1866">
        <v>0</v>
      </c>
      <c r="V1866">
        <v>0</v>
      </c>
    </row>
    <row r="1867" spans="5:22" x14ac:dyDescent="0.25">
      <c r="E1867" t="s">
        <v>326</v>
      </c>
      <c r="F1867">
        <v>0</v>
      </c>
      <c r="G1867">
        <v>0</v>
      </c>
      <c r="T1867" t="s">
        <v>508</v>
      </c>
      <c r="U1867">
        <v>0</v>
      </c>
      <c r="V1867">
        <v>0</v>
      </c>
    </row>
    <row r="1868" spans="5:22" x14ac:dyDescent="0.25">
      <c r="E1868" t="s">
        <v>326</v>
      </c>
      <c r="F1868">
        <v>0</v>
      </c>
      <c r="G1868">
        <v>0</v>
      </c>
      <c r="T1868" t="s">
        <v>508</v>
      </c>
      <c r="U1868">
        <v>0</v>
      </c>
      <c r="V1868">
        <v>0</v>
      </c>
    </row>
    <row r="1869" spans="5:22" x14ac:dyDescent="0.25">
      <c r="E1869" t="s">
        <v>326</v>
      </c>
      <c r="F1869">
        <v>0</v>
      </c>
      <c r="G1869">
        <v>0</v>
      </c>
      <c r="T1869" t="s">
        <v>508</v>
      </c>
      <c r="U1869">
        <v>0</v>
      </c>
      <c r="V1869">
        <v>0</v>
      </c>
    </row>
    <row r="1870" spans="5:22" x14ac:dyDescent="0.25">
      <c r="E1870" t="s">
        <v>326</v>
      </c>
      <c r="F1870">
        <v>12100</v>
      </c>
      <c r="G1870">
        <v>0</v>
      </c>
      <c r="T1870" t="s">
        <v>508</v>
      </c>
      <c r="U1870">
        <v>0</v>
      </c>
      <c r="V1870">
        <v>0</v>
      </c>
    </row>
    <row r="1871" spans="5:22" x14ac:dyDescent="0.25">
      <c r="E1871" t="s">
        <v>326</v>
      </c>
      <c r="F1871">
        <v>16000</v>
      </c>
      <c r="G1871">
        <v>0</v>
      </c>
      <c r="T1871" t="s">
        <v>508</v>
      </c>
      <c r="U1871">
        <v>0</v>
      </c>
      <c r="V1871">
        <v>0</v>
      </c>
    </row>
    <row r="1872" spans="5:22" x14ac:dyDescent="0.25">
      <c r="E1872" t="s">
        <v>326</v>
      </c>
      <c r="F1872">
        <v>0</v>
      </c>
      <c r="G1872">
        <v>0</v>
      </c>
      <c r="T1872" t="s">
        <v>508</v>
      </c>
      <c r="U1872">
        <v>0</v>
      </c>
      <c r="V1872">
        <v>32000</v>
      </c>
    </row>
    <row r="1873" spans="5:22" x14ac:dyDescent="0.25">
      <c r="E1873" t="s">
        <v>326</v>
      </c>
      <c r="F1873">
        <v>0</v>
      </c>
      <c r="G1873">
        <v>0</v>
      </c>
      <c r="T1873" t="s">
        <v>508</v>
      </c>
      <c r="U1873">
        <v>0</v>
      </c>
      <c r="V1873">
        <v>0</v>
      </c>
    </row>
    <row r="1874" spans="5:22" x14ac:dyDescent="0.25">
      <c r="E1874" t="s">
        <v>326</v>
      </c>
      <c r="F1874">
        <v>0</v>
      </c>
      <c r="G1874">
        <v>0</v>
      </c>
      <c r="T1874" t="s">
        <v>413</v>
      </c>
      <c r="U1874">
        <v>0</v>
      </c>
      <c r="V1874">
        <v>25000</v>
      </c>
    </row>
    <row r="1875" spans="5:22" x14ac:dyDescent="0.25">
      <c r="E1875" t="s">
        <v>326</v>
      </c>
      <c r="F1875">
        <v>0</v>
      </c>
      <c r="G1875">
        <v>0</v>
      </c>
      <c r="T1875" t="s">
        <v>413</v>
      </c>
      <c r="U1875">
        <v>0</v>
      </c>
      <c r="V1875">
        <v>27000</v>
      </c>
    </row>
    <row r="1876" spans="5:22" x14ac:dyDescent="0.25">
      <c r="E1876" t="s">
        <v>326</v>
      </c>
      <c r="F1876">
        <v>2800</v>
      </c>
      <c r="G1876">
        <v>0</v>
      </c>
      <c r="T1876" t="s">
        <v>413</v>
      </c>
      <c r="U1876">
        <v>0</v>
      </c>
      <c r="V1876">
        <v>31000</v>
      </c>
    </row>
    <row r="1877" spans="5:22" x14ac:dyDescent="0.25">
      <c r="E1877" t="s">
        <v>326</v>
      </c>
      <c r="F1877">
        <v>0</v>
      </c>
      <c r="G1877">
        <v>0</v>
      </c>
      <c r="T1877" t="s">
        <v>413</v>
      </c>
      <c r="U1877">
        <v>0</v>
      </c>
      <c r="V1877">
        <v>17000</v>
      </c>
    </row>
    <row r="1878" spans="5:22" x14ac:dyDescent="0.25">
      <c r="E1878" t="s">
        <v>326</v>
      </c>
      <c r="F1878">
        <v>0</v>
      </c>
      <c r="G1878">
        <v>0</v>
      </c>
      <c r="T1878" t="s">
        <v>413</v>
      </c>
      <c r="U1878">
        <v>0</v>
      </c>
      <c r="V1878">
        <v>0</v>
      </c>
    </row>
    <row r="1879" spans="5:22" x14ac:dyDescent="0.25">
      <c r="E1879" t="s">
        <v>326</v>
      </c>
      <c r="F1879">
        <v>0</v>
      </c>
      <c r="G1879">
        <v>0</v>
      </c>
      <c r="T1879" t="s">
        <v>413</v>
      </c>
      <c r="U1879">
        <v>0</v>
      </c>
      <c r="V1879">
        <v>0</v>
      </c>
    </row>
    <row r="1880" spans="5:22" x14ac:dyDescent="0.25">
      <c r="E1880" t="s">
        <v>326</v>
      </c>
      <c r="F1880">
        <v>0</v>
      </c>
      <c r="G1880">
        <v>0</v>
      </c>
      <c r="T1880" t="s">
        <v>413</v>
      </c>
      <c r="U1880">
        <v>0</v>
      </c>
      <c r="V1880">
        <v>21000</v>
      </c>
    </row>
    <row r="1881" spans="5:22" x14ac:dyDescent="0.25">
      <c r="E1881" t="s">
        <v>326</v>
      </c>
      <c r="F1881">
        <v>4200</v>
      </c>
      <c r="G1881">
        <v>0</v>
      </c>
      <c r="T1881" t="s">
        <v>413</v>
      </c>
      <c r="U1881">
        <v>0</v>
      </c>
      <c r="V1881">
        <v>20000</v>
      </c>
    </row>
    <row r="1882" spans="5:22" x14ac:dyDescent="0.25">
      <c r="E1882" t="s">
        <v>326</v>
      </c>
      <c r="F1882">
        <v>0</v>
      </c>
      <c r="G1882">
        <v>0</v>
      </c>
      <c r="T1882" t="s">
        <v>413</v>
      </c>
      <c r="U1882">
        <v>0</v>
      </c>
      <c r="V1882">
        <v>19000</v>
      </c>
    </row>
    <row r="1883" spans="5:22" x14ac:dyDescent="0.25">
      <c r="E1883" t="s">
        <v>326</v>
      </c>
      <c r="F1883">
        <v>0</v>
      </c>
      <c r="G1883">
        <v>0</v>
      </c>
      <c r="T1883" t="s">
        <v>413</v>
      </c>
      <c r="U1883">
        <v>0</v>
      </c>
      <c r="V1883">
        <v>23000</v>
      </c>
    </row>
    <row r="1884" spans="5:22" x14ac:dyDescent="0.25">
      <c r="E1884" t="s">
        <v>326</v>
      </c>
      <c r="F1884">
        <v>16000</v>
      </c>
      <c r="G1884">
        <v>0</v>
      </c>
      <c r="T1884" t="s">
        <v>355</v>
      </c>
      <c r="U1884">
        <v>0</v>
      </c>
      <c r="V1884">
        <v>0</v>
      </c>
    </row>
    <row r="1885" spans="5:22" x14ac:dyDescent="0.25">
      <c r="E1885" t="s">
        <v>326</v>
      </c>
      <c r="F1885">
        <v>0</v>
      </c>
      <c r="G1885">
        <v>0</v>
      </c>
      <c r="T1885" t="s">
        <v>355</v>
      </c>
      <c r="U1885">
        <v>0</v>
      </c>
      <c r="V1885">
        <v>0</v>
      </c>
    </row>
    <row r="1886" spans="5:22" x14ac:dyDescent="0.25">
      <c r="E1886" t="s">
        <v>326</v>
      </c>
      <c r="F1886">
        <v>0</v>
      </c>
      <c r="G1886">
        <v>0</v>
      </c>
      <c r="T1886" t="s">
        <v>355</v>
      </c>
      <c r="U1886">
        <v>22000</v>
      </c>
      <c r="V1886">
        <v>0</v>
      </c>
    </row>
    <row r="1887" spans="5:22" x14ac:dyDescent="0.25">
      <c r="E1887" t="s">
        <v>326</v>
      </c>
      <c r="F1887">
        <v>0</v>
      </c>
      <c r="G1887">
        <v>0</v>
      </c>
      <c r="T1887" t="s">
        <v>355</v>
      </c>
      <c r="U1887">
        <v>19000</v>
      </c>
      <c r="V1887">
        <v>0</v>
      </c>
    </row>
    <row r="1888" spans="5:22" x14ac:dyDescent="0.25">
      <c r="E1888" t="s">
        <v>326</v>
      </c>
      <c r="F1888">
        <v>12100</v>
      </c>
      <c r="G1888">
        <v>0</v>
      </c>
      <c r="T1888" t="s">
        <v>355</v>
      </c>
      <c r="U1888">
        <v>0</v>
      </c>
      <c r="V1888">
        <v>0</v>
      </c>
    </row>
    <row r="1889" spans="5:22" x14ac:dyDescent="0.25">
      <c r="E1889" t="s">
        <v>326</v>
      </c>
      <c r="F1889">
        <v>0</v>
      </c>
      <c r="G1889">
        <v>0</v>
      </c>
      <c r="T1889" t="s">
        <v>597</v>
      </c>
      <c r="U1889">
        <v>0</v>
      </c>
      <c r="V1889">
        <v>0</v>
      </c>
    </row>
    <row r="1890" spans="5:22" x14ac:dyDescent="0.25">
      <c r="E1890" t="s">
        <v>326</v>
      </c>
      <c r="F1890">
        <v>0</v>
      </c>
      <c r="G1890">
        <v>0</v>
      </c>
      <c r="T1890" t="s">
        <v>597</v>
      </c>
      <c r="U1890">
        <v>0</v>
      </c>
      <c r="V1890">
        <v>0</v>
      </c>
    </row>
    <row r="1891" spans="5:22" x14ac:dyDescent="0.25">
      <c r="E1891" t="s">
        <v>326</v>
      </c>
      <c r="F1891">
        <v>0</v>
      </c>
      <c r="G1891">
        <v>0</v>
      </c>
      <c r="T1891" t="s">
        <v>597</v>
      </c>
      <c r="U1891">
        <v>0</v>
      </c>
      <c r="V1891">
        <v>0</v>
      </c>
    </row>
    <row r="1892" spans="5:22" x14ac:dyDescent="0.25">
      <c r="E1892" t="s">
        <v>326</v>
      </c>
      <c r="F1892">
        <v>2800</v>
      </c>
      <c r="G1892">
        <v>0</v>
      </c>
      <c r="T1892" t="s">
        <v>597</v>
      </c>
      <c r="U1892">
        <v>0</v>
      </c>
      <c r="V1892">
        <v>0</v>
      </c>
    </row>
    <row r="1893" spans="5:22" x14ac:dyDescent="0.25">
      <c r="E1893" t="s">
        <v>326</v>
      </c>
      <c r="F1893">
        <v>0</v>
      </c>
      <c r="G1893">
        <v>0</v>
      </c>
      <c r="T1893" t="s">
        <v>597</v>
      </c>
      <c r="U1893">
        <v>0</v>
      </c>
      <c r="V1893">
        <v>0</v>
      </c>
    </row>
    <row r="1894" spans="5:22" x14ac:dyDescent="0.25">
      <c r="E1894" t="s">
        <v>328</v>
      </c>
      <c r="F1894">
        <v>0</v>
      </c>
      <c r="G1894">
        <v>0</v>
      </c>
      <c r="T1894" t="s">
        <v>597</v>
      </c>
      <c r="U1894">
        <v>0</v>
      </c>
      <c r="V1894">
        <v>0</v>
      </c>
    </row>
    <row r="1895" spans="5:22" x14ac:dyDescent="0.25">
      <c r="E1895" t="s">
        <v>328</v>
      </c>
      <c r="F1895">
        <v>0</v>
      </c>
      <c r="G1895">
        <v>25000</v>
      </c>
      <c r="T1895" t="s">
        <v>597</v>
      </c>
      <c r="U1895">
        <v>0</v>
      </c>
      <c r="V1895">
        <v>0</v>
      </c>
    </row>
    <row r="1896" spans="5:22" x14ac:dyDescent="0.25">
      <c r="E1896" t="s">
        <v>328</v>
      </c>
      <c r="F1896">
        <v>0</v>
      </c>
      <c r="G1896">
        <v>0</v>
      </c>
      <c r="T1896" t="s">
        <v>597</v>
      </c>
      <c r="U1896">
        <v>0</v>
      </c>
      <c r="V1896">
        <v>0</v>
      </c>
    </row>
    <row r="1897" spans="5:22" x14ac:dyDescent="0.25">
      <c r="E1897" t="s">
        <v>328</v>
      </c>
      <c r="F1897">
        <v>0</v>
      </c>
      <c r="G1897">
        <v>0</v>
      </c>
      <c r="T1897" t="s">
        <v>597</v>
      </c>
      <c r="U1897">
        <v>0</v>
      </c>
      <c r="V1897">
        <v>0</v>
      </c>
    </row>
    <row r="1898" spans="5:22" x14ac:dyDescent="0.25">
      <c r="E1898" t="s">
        <v>328</v>
      </c>
      <c r="F1898">
        <v>0</v>
      </c>
      <c r="G1898">
        <v>0</v>
      </c>
      <c r="T1898" t="s">
        <v>597</v>
      </c>
      <c r="U1898">
        <v>0</v>
      </c>
      <c r="V1898">
        <v>0</v>
      </c>
    </row>
    <row r="1899" spans="5:22" x14ac:dyDescent="0.25">
      <c r="E1899" t="s">
        <v>328</v>
      </c>
      <c r="F1899">
        <v>0</v>
      </c>
      <c r="G1899">
        <v>0</v>
      </c>
      <c r="T1899" t="s">
        <v>597</v>
      </c>
      <c r="U1899">
        <v>0</v>
      </c>
      <c r="V1899">
        <v>0</v>
      </c>
    </row>
    <row r="1900" spans="5:22" x14ac:dyDescent="0.25">
      <c r="E1900" t="s">
        <v>328</v>
      </c>
      <c r="F1900">
        <v>0</v>
      </c>
      <c r="G1900">
        <v>0</v>
      </c>
      <c r="T1900" t="s">
        <v>597</v>
      </c>
      <c r="U1900">
        <v>0</v>
      </c>
      <c r="V1900">
        <v>0</v>
      </c>
    </row>
    <row r="1901" spans="5:22" x14ac:dyDescent="0.25">
      <c r="E1901" t="s">
        <v>328</v>
      </c>
      <c r="F1901">
        <v>0</v>
      </c>
      <c r="G1901">
        <v>0</v>
      </c>
      <c r="T1901" t="s">
        <v>597</v>
      </c>
      <c r="U1901">
        <v>17000</v>
      </c>
      <c r="V1901">
        <v>0</v>
      </c>
    </row>
    <row r="1902" spans="5:22" x14ac:dyDescent="0.25">
      <c r="E1902" t="s">
        <v>328</v>
      </c>
      <c r="F1902">
        <v>0</v>
      </c>
      <c r="G1902">
        <v>0</v>
      </c>
      <c r="T1902" t="s">
        <v>597</v>
      </c>
      <c r="U1902">
        <v>0</v>
      </c>
      <c r="V1902">
        <v>0</v>
      </c>
    </row>
    <row r="1903" spans="5:22" x14ac:dyDescent="0.25">
      <c r="E1903" t="s">
        <v>328</v>
      </c>
      <c r="F1903">
        <v>0</v>
      </c>
      <c r="G1903">
        <v>0</v>
      </c>
      <c r="T1903" t="s">
        <v>597</v>
      </c>
      <c r="U1903">
        <v>0</v>
      </c>
      <c r="V1903">
        <v>0</v>
      </c>
    </row>
    <row r="1904" spans="5:22" x14ac:dyDescent="0.25">
      <c r="E1904" t="s">
        <v>328</v>
      </c>
      <c r="F1904">
        <v>5000</v>
      </c>
      <c r="G1904">
        <v>0</v>
      </c>
      <c r="T1904" t="s">
        <v>597</v>
      </c>
      <c r="U1904">
        <v>0</v>
      </c>
      <c r="V1904">
        <v>0</v>
      </c>
    </row>
    <row r="1905" spans="5:22" x14ac:dyDescent="0.25">
      <c r="E1905" t="s">
        <v>328</v>
      </c>
      <c r="F1905">
        <v>0</v>
      </c>
      <c r="G1905">
        <v>0</v>
      </c>
      <c r="T1905" t="s">
        <v>597</v>
      </c>
      <c r="U1905">
        <v>0</v>
      </c>
      <c r="V1905">
        <v>0</v>
      </c>
    </row>
    <row r="1906" spans="5:22" x14ac:dyDescent="0.25">
      <c r="E1906" t="s">
        <v>328</v>
      </c>
      <c r="F1906">
        <v>0</v>
      </c>
      <c r="G1906">
        <v>27000</v>
      </c>
      <c r="T1906" t="s">
        <v>597</v>
      </c>
      <c r="U1906">
        <v>0</v>
      </c>
      <c r="V1906">
        <v>0</v>
      </c>
    </row>
    <row r="1907" spans="5:22" x14ac:dyDescent="0.25">
      <c r="E1907" t="s">
        <v>328</v>
      </c>
      <c r="F1907">
        <v>0</v>
      </c>
      <c r="G1907">
        <v>0</v>
      </c>
      <c r="T1907" t="s">
        <v>597</v>
      </c>
      <c r="U1907">
        <v>0</v>
      </c>
      <c r="V1907">
        <v>0</v>
      </c>
    </row>
    <row r="1908" spans="5:22" x14ac:dyDescent="0.25">
      <c r="E1908" t="s">
        <v>328</v>
      </c>
      <c r="F1908">
        <v>0</v>
      </c>
      <c r="G1908">
        <v>0</v>
      </c>
      <c r="T1908" t="s">
        <v>597</v>
      </c>
      <c r="U1908">
        <v>0</v>
      </c>
      <c r="V1908">
        <v>0</v>
      </c>
    </row>
    <row r="1909" spans="5:22" x14ac:dyDescent="0.25">
      <c r="E1909" t="s">
        <v>328</v>
      </c>
      <c r="F1909">
        <v>0</v>
      </c>
      <c r="G1909">
        <v>0</v>
      </c>
      <c r="T1909" t="s">
        <v>597</v>
      </c>
      <c r="U1909">
        <v>0</v>
      </c>
      <c r="V1909">
        <v>0</v>
      </c>
    </row>
    <row r="1910" spans="5:22" x14ac:dyDescent="0.25">
      <c r="E1910" t="s">
        <v>328</v>
      </c>
      <c r="F1910">
        <v>0</v>
      </c>
      <c r="G1910">
        <v>0</v>
      </c>
      <c r="T1910" t="s">
        <v>597</v>
      </c>
      <c r="U1910">
        <v>0</v>
      </c>
      <c r="V1910">
        <v>0</v>
      </c>
    </row>
    <row r="1911" spans="5:22" x14ac:dyDescent="0.25">
      <c r="E1911" t="s">
        <v>328</v>
      </c>
      <c r="F1911">
        <v>5000</v>
      </c>
      <c r="G1911">
        <v>0</v>
      </c>
      <c r="T1911" t="s">
        <v>597</v>
      </c>
      <c r="U1911">
        <v>0</v>
      </c>
      <c r="V1911">
        <v>0</v>
      </c>
    </row>
    <row r="1912" spans="5:22" x14ac:dyDescent="0.25">
      <c r="E1912" t="s">
        <v>328</v>
      </c>
      <c r="F1912">
        <v>0</v>
      </c>
      <c r="G1912">
        <v>0</v>
      </c>
      <c r="T1912" t="s">
        <v>597</v>
      </c>
      <c r="U1912">
        <v>0</v>
      </c>
      <c r="V1912">
        <v>0</v>
      </c>
    </row>
    <row r="1913" spans="5:22" x14ac:dyDescent="0.25">
      <c r="E1913" t="s">
        <v>328</v>
      </c>
      <c r="F1913">
        <v>0</v>
      </c>
      <c r="G1913">
        <v>0</v>
      </c>
      <c r="T1913" t="s">
        <v>597</v>
      </c>
      <c r="U1913">
        <v>0</v>
      </c>
      <c r="V1913">
        <v>0</v>
      </c>
    </row>
    <row r="1914" spans="5:22" x14ac:dyDescent="0.25">
      <c r="E1914" t="s">
        <v>328</v>
      </c>
      <c r="F1914">
        <v>0</v>
      </c>
      <c r="G1914">
        <v>27000</v>
      </c>
      <c r="T1914" t="s">
        <v>597</v>
      </c>
      <c r="U1914">
        <v>0</v>
      </c>
      <c r="V1914">
        <v>0</v>
      </c>
    </row>
    <row r="1915" spans="5:22" x14ac:dyDescent="0.25">
      <c r="E1915" t="s">
        <v>328</v>
      </c>
      <c r="F1915">
        <v>0</v>
      </c>
      <c r="G1915">
        <v>21000</v>
      </c>
      <c r="T1915" t="s">
        <v>597</v>
      </c>
      <c r="U1915">
        <v>30000</v>
      </c>
      <c r="V1915">
        <v>0</v>
      </c>
    </row>
    <row r="1916" spans="5:22" x14ac:dyDescent="0.25">
      <c r="E1916" t="s">
        <v>328</v>
      </c>
      <c r="F1916">
        <v>0</v>
      </c>
      <c r="G1916">
        <v>0</v>
      </c>
      <c r="T1916" t="s">
        <v>597</v>
      </c>
      <c r="U1916">
        <v>0</v>
      </c>
      <c r="V1916">
        <v>0</v>
      </c>
    </row>
    <row r="1917" spans="5:22" x14ac:dyDescent="0.25">
      <c r="E1917" t="s">
        <v>328</v>
      </c>
      <c r="F1917">
        <v>0</v>
      </c>
      <c r="G1917">
        <v>0</v>
      </c>
      <c r="T1917" t="s">
        <v>597</v>
      </c>
      <c r="U1917">
        <v>0</v>
      </c>
      <c r="V1917">
        <v>0</v>
      </c>
    </row>
    <row r="1918" spans="5:22" x14ac:dyDescent="0.25">
      <c r="E1918" t="s">
        <v>328</v>
      </c>
      <c r="F1918">
        <v>0</v>
      </c>
      <c r="G1918">
        <v>0</v>
      </c>
      <c r="T1918" t="s">
        <v>597</v>
      </c>
      <c r="U1918">
        <v>0</v>
      </c>
      <c r="V1918">
        <v>0</v>
      </c>
    </row>
    <row r="1919" spans="5:22" x14ac:dyDescent="0.25">
      <c r="E1919" t="s">
        <v>328</v>
      </c>
      <c r="F1919">
        <v>0</v>
      </c>
      <c r="G1919">
        <v>0</v>
      </c>
      <c r="T1919" t="s">
        <v>597</v>
      </c>
      <c r="U1919">
        <v>0</v>
      </c>
      <c r="V1919">
        <v>0</v>
      </c>
    </row>
    <row r="1920" spans="5:22" x14ac:dyDescent="0.25">
      <c r="E1920" t="s">
        <v>328</v>
      </c>
      <c r="F1920">
        <v>0</v>
      </c>
      <c r="G1920">
        <v>0</v>
      </c>
      <c r="T1920" t="s">
        <v>597</v>
      </c>
      <c r="U1920">
        <v>0</v>
      </c>
      <c r="V1920">
        <v>0</v>
      </c>
    </row>
    <row r="1921" spans="5:22" x14ac:dyDescent="0.25">
      <c r="E1921" t="s">
        <v>328</v>
      </c>
      <c r="F1921">
        <v>4200</v>
      </c>
      <c r="G1921">
        <v>0</v>
      </c>
      <c r="T1921" t="s">
        <v>597</v>
      </c>
      <c r="U1921">
        <v>0</v>
      </c>
      <c r="V1921">
        <v>0</v>
      </c>
    </row>
    <row r="1922" spans="5:22" x14ac:dyDescent="0.25">
      <c r="E1922" t="s">
        <v>328</v>
      </c>
      <c r="F1922">
        <v>0</v>
      </c>
      <c r="G1922">
        <v>0</v>
      </c>
      <c r="T1922" t="s">
        <v>597</v>
      </c>
      <c r="U1922">
        <v>0</v>
      </c>
      <c r="V1922">
        <v>0</v>
      </c>
    </row>
    <row r="1923" spans="5:22" x14ac:dyDescent="0.25">
      <c r="E1923" t="s">
        <v>328</v>
      </c>
      <c r="F1923">
        <v>0</v>
      </c>
      <c r="G1923">
        <v>0</v>
      </c>
      <c r="T1923" t="s">
        <v>597</v>
      </c>
      <c r="U1923">
        <v>0</v>
      </c>
      <c r="V1923">
        <v>0</v>
      </c>
    </row>
    <row r="1924" spans="5:22" x14ac:dyDescent="0.25">
      <c r="E1924" t="s">
        <v>328</v>
      </c>
      <c r="F1924">
        <v>0</v>
      </c>
      <c r="G1924">
        <v>20000</v>
      </c>
      <c r="T1924" t="s">
        <v>597</v>
      </c>
      <c r="U1924">
        <v>0</v>
      </c>
      <c r="V1924">
        <v>0</v>
      </c>
    </row>
    <row r="1925" spans="5:22" x14ac:dyDescent="0.25">
      <c r="E1925" t="s">
        <v>328</v>
      </c>
      <c r="F1925">
        <v>0</v>
      </c>
      <c r="G1925">
        <v>0</v>
      </c>
      <c r="T1925" t="s">
        <v>597</v>
      </c>
      <c r="U1925">
        <v>0</v>
      </c>
      <c r="V1925">
        <v>0</v>
      </c>
    </row>
    <row r="1926" spans="5:22" x14ac:dyDescent="0.25">
      <c r="E1926" t="s">
        <v>328</v>
      </c>
      <c r="F1926">
        <v>0</v>
      </c>
      <c r="G1926">
        <v>0</v>
      </c>
      <c r="T1926" t="s">
        <v>597</v>
      </c>
      <c r="U1926">
        <v>0</v>
      </c>
      <c r="V1926">
        <v>0</v>
      </c>
    </row>
    <row r="1927" spans="5:22" x14ac:dyDescent="0.25">
      <c r="E1927" t="s">
        <v>328</v>
      </c>
      <c r="F1927">
        <v>0</v>
      </c>
      <c r="G1927">
        <v>0</v>
      </c>
      <c r="T1927" t="s">
        <v>597</v>
      </c>
      <c r="U1927">
        <v>0</v>
      </c>
      <c r="V1927">
        <v>0</v>
      </c>
    </row>
    <row r="1928" spans="5:22" x14ac:dyDescent="0.25">
      <c r="E1928" t="s">
        <v>328</v>
      </c>
      <c r="F1928">
        <v>0</v>
      </c>
      <c r="G1928">
        <v>13000</v>
      </c>
      <c r="T1928" t="s">
        <v>597</v>
      </c>
      <c r="U1928">
        <v>40000</v>
      </c>
      <c r="V1928">
        <v>0</v>
      </c>
    </row>
    <row r="1929" spans="5:22" x14ac:dyDescent="0.25">
      <c r="E1929" t="s">
        <v>328</v>
      </c>
      <c r="F1929">
        <v>0</v>
      </c>
      <c r="G1929">
        <v>0</v>
      </c>
      <c r="T1929" t="s">
        <v>597</v>
      </c>
      <c r="U1929">
        <v>0</v>
      </c>
      <c r="V1929">
        <v>0</v>
      </c>
    </row>
    <row r="1930" spans="5:22" x14ac:dyDescent="0.25">
      <c r="E1930" t="s">
        <v>328</v>
      </c>
      <c r="F1930">
        <v>0</v>
      </c>
      <c r="G1930">
        <v>0</v>
      </c>
      <c r="T1930" t="s">
        <v>597</v>
      </c>
      <c r="U1930">
        <v>0</v>
      </c>
      <c r="V1930">
        <v>0</v>
      </c>
    </row>
    <row r="1931" spans="5:22" x14ac:dyDescent="0.25">
      <c r="E1931" t="s">
        <v>328</v>
      </c>
      <c r="F1931">
        <v>0</v>
      </c>
      <c r="G1931">
        <v>0</v>
      </c>
      <c r="T1931" t="s">
        <v>597</v>
      </c>
      <c r="U1931">
        <v>0</v>
      </c>
      <c r="V1931">
        <v>0</v>
      </c>
    </row>
    <row r="1932" spans="5:22" x14ac:dyDescent="0.25">
      <c r="E1932" t="s">
        <v>328</v>
      </c>
      <c r="F1932">
        <v>0</v>
      </c>
      <c r="G1932">
        <v>15000</v>
      </c>
      <c r="T1932" t="s">
        <v>597</v>
      </c>
      <c r="U1932">
        <v>0</v>
      </c>
      <c r="V1932">
        <v>0</v>
      </c>
    </row>
    <row r="1933" spans="5:22" x14ac:dyDescent="0.25">
      <c r="E1933" t="s">
        <v>328</v>
      </c>
      <c r="F1933">
        <v>0</v>
      </c>
      <c r="G1933">
        <v>0</v>
      </c>
      <c r="T1933" t="s">
        <v>597</v>
      </c>
      <c r="U1933">
        <v>0</v>
      </c>
      <c r="V1933">
        <v>0</v>
      </c>
    </row>
    <row r="1934" spans="5:22" x14ac:dyDescent="0.25">
      <c r="E1934" t="s">
        <v>328</v>
      </c>
      <c r="F1934">
        <v>0</v>
      </c>
      <c r="G1934">
        <v>20000</v>
      </c>
      <c r="T1934" t="s">
        <v>597</v>
      </c>
      <c r="U1934">
        <v>0</v>
      </c>
      <c r="V1934">
        <v>0</v>
      </c>
    </row>
    <row r="1935" spans="5:22" x14ac:dyDescent="0.25">
      <c r="E1935" t="s">
        <v>328</v>
      </c>
      <c r="F1935">
        <v>0</v>
      </c>
      <c r="G1935">
        <v>16000</v>
      </c>
      <c r="T1935" t="s">
        <v>597</v>
      </c>
      <c r="U1935">
        <v>15000</v>
      </c>
      <c r="V1935">
        <v>0</v>
      </c>
    </row>
    <row r="1936" spans="5:22" x14ac:dyDescent="0.25">
      <c r="E1936" t="s">
        <v>328</v>
      </c>
      <c r="F1936">
        <v>0</v>
      </c>
      <c r="G1936">
        <v>0</v>
      </c>
      <c r="T1936" t="s">
        <v>597</v>
      </c>
      <c r="U1936">
        <v>0</v>
      </c>
      <c r="V1936">
        <v>0</v>
      </c>
    </row>
    <row r="1937" spans="5:22" x14ac:dyDescent="0.25">
      <c r="E1937" t="s">
        <v>328</v>
      </c>
      <c r="F1937">
        <v>0</v>
      </c>
      <c r="G1937">
        <v>0</v>
      </c>
      <c r="T1937" t="s">
        <v>597</v>
      </c>
      <c r="U1937">
        <v>0</v>
      </c>
      <c r="V1937">
        <v>0</v>
      </c>
    </row>
    <row r="1938" spans="5:22" x14ac:dyDescent="0.25">
      <c r="E1938" t="s">
        <v>328</v>
      </c>
      <c r="F1938">
        <v>0</v>
      </c>
      <c r="G1938">
        <v>0</v>
      </c>
      <c r="T1938" t="s">
        <v>597</v>
      </c>
      <c r="U1938">
        <v>0</v>
      </c>
      <c r="V1938">
        <v>0</v>
      </c>
    </row>
    <row r="1939" spans="5:22" x14ac:dyDescent="0.25">
      <c r="E1939" t="s">
        <v>328</v>
      </c>
      <c r="F1939">
        <v>0</v>
      </c>
      <c r="G1939">
        <v>25000</v>
      </c>
      <c r="T1939" t="s">
        <v>597</v>
      </c>
      <c r="U1939">
        <v>0</v>
      </c>
      <c r="V1939">
        <v>0</v>
      </c>
    </row>
    <row r="1940" spans="5:22" x14ac:dyDescent="0.25">
      <c r="E1940" t="s">
        <v>328</v>
      </c>
      <c r="F1940">
        <v>2800</v>
      </c>
      <c r="G1940">
        <v>0</v>
      </c>
      <c r="T1940" t="s">
        <v>597</v>
      </c>
      <c r="U1940">
        <v>0</v>
      </c>
      <c r="V1940">
        <v>0</v>
      </c>
    </row>
    <row r="1941" spans="5:22" x14ac:dyDescent="0.25">
      <c r="E1941" t="s">
        <v>328</v>
      </c>
      <c r="F1941">
        <v>0</v>
      </c>
      <c r="G1941">
        <v>0</v>
      </c>
      <c r="T1941" t="s">
        <v>597</v>
      </c>
      <c r="U1941">
        <v>0</v>
      </c>
      <c r="V1941">
        <v>0</v>
      </c>
    </row>
    <row r="1942" spans="5:22" x14ac:dyDescent="0.25">
      <c r="E1942" t="s">
        <v>328</v>
      </c>
      <c r="F1942">
        <v>4200</v>
      </c>
      <c r="G1942">
        <v>0</v>
      </c>
      <c r="T1942" t="s">
        <v>597</v>
      </c>
      <c r="U1942">
        <v>0</v>
      </c>
      <c r="V1942">
        <v>0</v>
      </c>
    </row>
    <row r="1943" spans="5:22" x14ac:dyDescent="0.25">
      <c r="E1943" t="s">
        <v>328</v>
      </c>
      <c r="F1943">
        <v>0</v>
      </c>
      <c r="G1943">
        <v>0</v>
      </c>
      <c r="T1943" t="s">
        <v>597</v>
      </c>
      <c r="U1943">
        <v>0</v>
      </c>
      <c r="V1943">
        <v>0</v>
      </c>
    </row>
    <row r="1944" spans="5:22" x14ac:dyDescent="0.25">
      <c r="E1944" t="s">
        <v>328</v>
      </c>
      <c r="F1944">
        <v>0</v>
      </c>
      <c r="G1944">
        <v>0</v>
      </c>
      <c r="T1944" t="s">
        <v>597</v>
      </c>
      <c r="U1944">
        <v>0</v>
      </c>
      <c r="V1944">
        <v>0</v>
      </c>
    </row>
    <row r="1945" spans="5:22" x14ac:dyDescent="0.25">
      <c r="E1945" t="s">
        <v>328</v>
      </c>
      <c r="F1945">
        <v>0</v>
      </c>
      <c r="G1945">
        <v>0</v>
      </c>
      <c r="T1945" t="s">
        <v>597</v>
      </c>
      <c r="U1945">
        <v>0</v>
      </c>
      <c r="V1945">
        <v>0</v>
      </c>
    </row>
    <row r="1946" spans="5:22" x14ac:dyDescent="0.25">
      <c r="E1946" t="s">
        <v>328</v>
      </c>
      <c r="F1946">
        <v>0</v>
      </c>
      <c r="G1946">
        <v>0</v>
      </c>
      <c r="T1946" t="s">
        <v>597</v>
      </c>
      <c r="U1946">
        <v>0</v>
      </c>
      <c r="V1946">
        <v>0</v>
      </c>
    </row>
    <row r="1947" spans="5:22" x14ac:dyDescent="0.25">
      <c r="E1947" t="s">
        <v>328</v>
      </c>
      <c r="F1947">
        <v>0</v>
      </c>
      <c r="G1947">
        <v>22000</v>
      </c>
      <c r="T1947" t="s">
        <v>597</v>
      </c>
      <c r="U1947">
        <v>0</v>
      </c>
      <c r="V1947">
        <v>0</v>
      </c>
    </row>
    <row r="1948" spans="5:22" x14ac:dyDescent="0.25">
      <c r="E1948" t="s">
        <v>328</v>
      </c>
      <c r="F1948">
        <v>0</v>
      </c>
      <c r="G1948">
        <v>0</v>
      </c>
      <c r="T1948" t="s">
        <v>414</v>
      </c>
      <c r="U1948">
        <v>0</v>
      </c>
      <c r="V1948">
        <v>46000</v>
      </c>
    </row>
    <row r="1949" spans="5:22" x14ac:dyDescent="0.25">
      <c r="E1949" t="s">
        <v>328</v>
      </c>
      <c r="F1949">
        <v>0</v>
      </c>
      <c r="G1949">
        <v>0</v>
      </c>
      <c r="T1949" t="s">
        <v>414</v>
      </c>
      <c r="U1949">
        <v>0</v>
      </c>
      <c r="V1949">
        <v>45000</v>
      </c>
    </row>
    <row r="1950" spans="5:22" x14ac:dyDescent="0.25">
      <c r="E1950" t="s">
        <v>328</v>
      </c>
      <c r="F1950">
        <v>0</v>
      </c>
      <c r="G1950">
        <v>0</v>
      </c>
      <c r="T1950" t="s">
        <v>414</v>
      </c>
      <c r="U1950">
        <v>0</v>
      </c>
      <c r="V1950">
        <v>0</v>
      </c>
    </row>
    <row r="1951" spans="5:22" x14ac:dyDescent="0.25">
      <c r="E1951" t="s">
        <v>328</v>
      </c>
      <c r="F1951">
        <v>0</v>
      </c>
      <c r="G1951">
        <v>10000</v>
      </c>
      <c r="T1951" t="s">
        <v>414</v>
      </c>
      <c r="U1951">
        <v>23000</v>
      </c>
      <c r="V1951">
        <v>0</v>
      </c>
    </row>
    <row r="1952" spans="5:22" x14ac:dyDescent="0.25">
      <c r="E1952" t="s">
        <v>328</v>
      </c>
      <c r="F1952">
        <v>0</v>
      </c>
      <c r="G1952">
        <v>0</v>
      </c>
      <c r="T1952" t="s">
        <v>414</v>
      </c>
      <c r="U1952">
        <v>0</v>
      </c>
      <c r="V1952">
        <v>0</v>
      </c>
    </row>
    <row r="1953" spans="5:22" x14ac:dyDescent="0.25">
      <c r="E1953" t="s">
        <v>328</v>
      </c>
      <c r="F1953">
        <v>12000</v>
      </c>
      <c r="G1953">
        <v>0</v>
      </c>
      <c r="T1953" t="s">
        <v>414</v>
      </c>
      <c r="U1953">
        <v>0</v>
      </c>
      <c r="V1953">
        <v>0</v>
      </c>
    </row>
    <row r="1954" spans="5:22" x14ac:dyDescent="0.25">
      <c r="E1954" t="s">
        <v>328</v>
      </c>
      <c r="F1954">
        <v>0</v>
      </c>
      <c r="G1954">
        <v>18000</v>
      </c>
      <c r="T1954" t="s">
        <v>414</v>
      </c>
      <c r="U1954">
        <v>0</v>
      </c>
      <c r="V1954">
        <v>0</v>
      </c>
    </row>
    <row r="1955" spans="5:22" x14ac:dyDescent="0.25">
      <c r="E1955" t="s">
        <v>328</v>
      </c>
      <c r="F1955">
        <v>0</v>
      </c>
      <c r="G1955">
        <v>24000</v>
      </c>
      <c r="T1955" t="s">
        <v>414</v>
      </c>
      <c r="U1955">
        <v>0</v>
      </c>
      <c r="V1955">
        <v>45000</v>
      </c>
    </row>
    <row r="1956" spans="5:22" x14ac:dyDescent="0.25">
      <c r="E1956" t="s">
        <v>328</v>
      </c>
      <c r="F1956">
        <v>0</v>
      </c>
      <c r="G1956">
        <v>0</v>
      </c>
      <c r="T1956" t="s">
        <v>414</v>
      </c>
      <c r="U1956">
        <v>0</v>
      </c>
      <c r="V1956">
        <v>38000</v>
      </c>
    </row>
    <row r="1957" spans="5:22" x14ac:dyDescent="0.25">
      <c r="E1957" t="s">
        <v>328</v>
      </c>
      <c r="F1957">
        <v>0</v>
      </c>
      <c r="G1957">
        <v>22000</v>
      </c>
      <c r="T1957" t="s">
        <v>414</v>
      </c>
      <c r="U1957">
        <v>20000</v>
      </c>
      <c r="V1957">
        <v>46000</v>
      </c>
    </row>
    <row r="1958" spans="5:22" x14ac:dyDescent="0.25">
      <c r="E1958" t="s">
        <v>328</v>
      </c>
      <c r="F1958">
        <v>0</v>
      </c>
      <c r="G1958">
        <v>0</v>
      </c>
      <c r="T1958" t="s">
        <v>414</v>
      </c>
      <c r="U1958">
        <v>22000</v>
      </c>
      <c r="V1958">
        <v>0</v>
      </c>
    </row>
    <row r="1959" spans="5:22" x14ac:dyDescent="0.25">
      <c r="E1959" t="s">
        <v>328</v>
      </c>
      <c r="F1959">
        <v>0</v>
      </c>
      <c r="G1959">
        <v>0</v>
      </c>
      <c r="T1959" t="s">
        <v>414</v>
      </c>
      <c r="U1959">
        <v>0</v>
      </c>
      <c r="V1959">
        <v>0</v>
      </c>
    </row>
    <row r="1960" spans="5:22" x14ac:dyDescent="0.25">
      <c r="E1960" t="s">
        <v>328</v>
      </c>
      <c r="F1960">
        <v>0</v>
      </c>
      <c r="G1960">
        <v>0</v>
      </c>
      <c r="T1960" t="s">
        <v>414</v>
      </c>
      <c r="U1960">
        <v>0</v>
      </c>
      <c r="V1960">
        <v>0</v>
      </c>
    </row>
    <row r="1961" spans="5:22" x14ac:dyDescent="0.25">
      <c r="E1961" t="s">
        <v>328</v>
      </c>
      <c r="F1961">
        <v>0</v>
      </c>
      <c r="G1961">
        <v>0</v>
      </c>
      <c r="T1961" t="s">
        <v>414</v>
      </c>
      <c r="U1961">
        <v>21000</v>
      </c>
      <c r="V1961">
        <v>0</v>
      </c>
    </row>
    <row r="1962" spans="5:22" x14ac:dyDescent="0.25">
      <c r="E1962" t="s">
        <v>328</v>
      </c>
      <c r="F1962">
        <v>16000</v>
      </c>
      <c r="G1962">
        <v>0</v>
      </c>
      <c r="T1962" t="s">
        <v>414</v>
      </c>
      <c r="U1962">
        <v>0</v>
      </c>
      <c r="V1962">
        <v>0</v>
      </c>
    </row>
    <row r="1963" spans="5:22" x14ac:dyDescent="0.25">
      <c r="E1963" t="s">
        <v>328</v>
      </c>
      <c r="F1963">
        <v>0</v>
      </c>
      <c r="G1963">
        <v>0</v>
      </c>
      <c r="T1963" t="s">
        <v>414</v>
      </c>
      <c r="U1963">
        <v>0</v>
      </c>
      <c r="V1963">
        <v>0</v>
      </c>
    </row>
    <row r="1964" spans="5:22" x14ac:dyDescent="0.25">
      <c r="E1964" t="s">
        <v>328</v>
      </c>
      <c r="F1964">
        <v>0</v>
      </c>
      <c r="G1964">
        <v>0</v>
      </c>
      <c r="T1964" t="s">
        <v>414</v>
      </c>
      <c r="U1964">
        <v>24000</v>
      </c>
      <c r="V1964">
        <v>0</v>
      </c>
    </row>
    <row r="1965" spans="5:22" x14ac:dyDescent="0.25">
      <c r="E1965" t="s">
        <v>328</v>
      </c>
      <c r="F1965">
        <v>0</v>
      </c>
      <c r="G1965">
        <v>25000</v>
      </c>
    </row>
    <row r="1966" spans="5:22" x14ac:dyDescent="0.25">
      <c r="E1966" t="s">
        <v>328</v>
      </c>
      <c r="F1966">
        <v>0</v>
      </c>
      <c r="G1966">
        <v>0</v>
      </c>
    </row>
    <row r="1967" spans="5:22" x14ac:dyDescent="0.25">
      <c r="E1967" t="s">
        <v>328</v>
      </c>
      <c r="F1967">
        <v>0</v>
      </c>
      <c r="G1967">
        <v>0</v>
      </c>
    </row>
    <row r="1968" spans="5:22" x14ac:dyDescent="0.25">
      <c r="E1968" t="s">
        <v>328</v>
      </c>
      <c r="F1968">
        <v>0</v>
      </c>
      <c r="G1968">
        <v>6000</v>
      </c>
    </row>
    <row r="1969" spans="5:7" x14ac:dyDescent="0.25">
      <c r="E1969" t="s">
        <v>328</v>
      </c>
      <c r="F1969">
        <v>0</v>
      </c>
      <c r="G1969">
        <v>25000</v>
      </c>
    </row>
    <row r="1970" spans="5:7" x14ac:dyDescent="0.25">
      <c r="E1970" t="s">
        <v>328</v>
      </c>
      <c r="F1970">
        <v>0</v>
      </c>
      <c r="G1970">
        <v>8000</v>
      </c>
    </row>
    <row r="1971" spans="5:7" x14ac:dyDescent="0.25">
      <c r="E1971" t="s">
        <v>328</v>
      </c>
      <c r="F1971">
        <v>0</v>
      </c>
      <c r="G1971">
        <v>0</v>
      </c>
    </row>
    <row r="1972" spans="5:7" x14ac:dyDescent="0.25">
      <c r="E1972" t="s">
        <v>328</v>
      </c>
      <c r="F1972">
        <v>0</v>
      </c>
      <c r="G1972">
        <v>0</v>
      </c>
    </row>
    <row r="1973" spans="5:7" x14ac:dyDescent="0.25">
      <c r="E1973" t="s">
        <v>328</v>
      </c>
      <c r="F1973">
        <v>6000</v>
      </c>
      <c r="G1973">
        <v>0</v>
      </c>
    </row>
    <row r="1974" spans="5:7" x14ac:dyDescent="0.25">
      <c r="E1974" t="s">
        <v>328</v>
      </c>
      <c r="F1974">
        <v>0</v>
      </c>
      <c r="G1974">
        <v>0</v>
      </c>
    </row>
    <row r="1975" spans="5:7" x14ac:dyDescent="0.25">
      <c r="E1975" t="s">
        <v>328</v>
      </c>
      <c r="F1975">
        <v>0</v>
      </c>
      <c r="G1975">
        <v>0</v>
      </c>
    </row>
    <row r="1976" spans="5:7" x14ac:dyDescent="0.25">
      <c r="E1976" t="s">
        <v>328</v>
      </c>
      <c r="F1976">
        <v>0</v>
      </c>
      <c r="G1976">
        <v>0</v>
      </c>
    </row>
    <row r="1977" spans="5:7" x14ac:dyDescent="0.25">
      <c r="E1977" t="s">
        <v>328</v>
      </c>
      <c r="F1977">
        <v>0</v>
      </c>
      <c r="G1977">
        <v>0</v>
      </c>
    </row>
    <row r="1978" spans="5:7" x14ac:dyDescent="0.25">
      <c r="E1978" t="s">
        <v>328</v>
      </c>
      <c r="F1978">
        <v>0</v>
      </c>
      <c r="G1978">
        <v>0</v>
      </c>
    </row>
    <row r="1979" spans="5:7" x14ac:dyDescent="0.25">
      <c r="E1979" t="s">
        <v>328</v>
      </c>
      <c r="F1979">
        <v>0</v>
      </c>
      <c r="G1979">
        <v>19000</v>
      </c>
    </row>
    <row r="1980" spans="5:7" x14ac:dyDescent="0.25">
      <c r="E1980" t="s">
        <v>328</v>
      </c>
      <c r="F1980">
        <v>0</v>
      </c>
      <c r="G1980">
        <v>0</v>
      </c>
    </row>
    <row r="1981" spans="5:7" x14ac:dyDescent="0.25">
      <c r="E1981" t="s">
        <v>328</v>
      </c>
      <c r="F1981">
        <v>0</v>
      </c>
      <c r="G1981">
        <v>0</v>
      </c>
    </row>
    <row r="1982" spans="5:7" x14ac:dyDescent="0.25">
      <c r="E1982" t="s">
        <v>328</v>
      </c>
      <c r="F1982">
        <v>0</v>
      </c>
      <c r="G1982">
        <v>0</v>
      </c>
    </row>
    <row r="1983" spans="5:7" x14ac:dyDescent="0.25">
      <c r="E1983" t="s">
        <v>328</v>
      </c>
      <c r="F1983">
        <v>2800</v>
      </c>
      <c r="G1983">
        <v>0</v>
      </c>
    </row>
    <row r="1984" spans="5:7" x14ac:dyDescent="0.25">
      <c r="E1984" t="s">
        <v>328</v>
      </c>
      <c r="F1984">
        <v>0</v>
      </c>
      <c r="G1984">
        <v>0</v>
      </c>
    </row>
    <row r="1985" spans="5:7" x14ac:dyDescent="0.25">
      <c r="E1985" t="s">
        <v>328</v>
      </c>
      <c r="F1985">
        <v>0</v>
      </c>
      <c r="G1985">
        <v>0</v>
      </c>
    </row>
    <row r="1986" spans="5:7" x14ac:dyDescent="0.25">
      <c r="E1986" t="s">
        <v>328</v>
      </c>
      <c r="F1986">
        <v>4000</v>
      </c>
      <c r="G1986">
        <v>0</v>
      </c>
    </row>
    <row r="1987" spans="5:7" x14ac:dyDescent="0.25">
      <c r="E1987" t="s">
        <v>328</v>
      </c>
      <c r="F1987">
        <v>0</v>
      </c>
      <c r="G1987">
        <v>14000</v>
      </c>
    </row>
    <row r="1988" spans="5:7" x14ac:dyDescent="0.25">
      <c r="E1988" t="s">
        <v>328</v>
      </c>
      <c r="F1988">
        <v>0</v>
      </c>
      <c r="G1988">
        <v>0</v>
      </c>
    </row>
    <row r="1989" spans="5:7" x14ac:dyDescent="0.25">
      <c r="E1989" t="s">
        <v>328</v>
      </c>
      <c r="F1989">
        <v>0</v>
      </c>
      <c r="G1989">
        <v>0</v>
      </c>
    </row>
    <row r="1990" spans="5:7" x14ac:dyDescent="0.25">
      <c r="E1990" t="s">
        <v>328</v>
      </c>
      <c r="F1990">
        <v>0</v>
      </c>
      <c r="G1990">
        <v>0</v>
      </c>
    </row>
    <row r="1991" spans="5:7" x14ac:dyDescent="0.25">
      <c r="E1991" t="s">
        <v>328</v>
      </c>
      <c r="F1991">
        <v>0</v>
      </c>
      <c r="G1991">
        <v>0</v>
      </c>
    </row>
    <row r="1992" spans="5:7" x14ac:dyDescent="0.25">
      <c r="E1992" t="s">
        <v>328</v>
      </c>
      <c r="F1992">
        <v>0</v>
      </c>
      <c r="G1992">
        <v>0</v>
      </c>
    </row>
    <row r="1993" spans="5:7" x14ac:dyDescent="0.25">
      <c r="E1993" t="s">
        <v>328</v>
      </c>
      <c r="F1993">
        <v>0</v>
      </c>
      <c r="G1993">
        <v>0</v>
      </c>
    </row>
    <row r="1994" spans="5:7" x14ac:dyDescent="0.25">
      <c r="E1994" t="s">
        <v>328</v>
      </c>
      <c r="F1994">
        <v>0</v>
      </c>
      <c r="G1994">
        <v>0</v>
      </c>
    </row>
    <row r="1995" spans="5:7" x14ac:dyDescent="0.25">
      <c r="E1995" t="s">
        <v>328</v>
      </c>
      <c r="F1995">
        <v>0</v>
      </c>
      <c r="G1995">
        <v>0</v>
      </c>
    </row>
    <row r="1996" spans="5:7" x14ac:dyDescent="0.25">
      <c r="E1996" t="s">
        <v>328</v>
      </c>
      <c r="F1996">
        <v>8000</v>
      </c>
      <c r="G1996">
        <v>0</v>
      </c>
    </row>
    <row r="1997" spans="5:7" x14ac:dyDescent="0.25">
      <c r="E1997" t="s">
        <v>328</v>
      </c>
      <c r="F1997">
        <v>0</v>
      </c>
      <c r="G1997">
        <v>0</v>
      </c>
    </row>
    <row r="1998" spans="5:7" x14ac:dyDescent="0.25">
      <c r="E1998" t="s">
        <v>328</v>
      </c>
      <c r="F1998">
        <v>0</v>
      </c>
      <c r="G1998">
        <v>0</v>
      </c>
    </row>
    <row r="1999" spans="5:7" x14ac:dyDescent="0.25">
      <c r="E1999" t="s">
        <v>328</v>
      </c>
      <c r="F1999">
        <v>4200</v>
      </c>
      <c r="G1999">
        <v>0</v>
      </c>
    </row>
    <row r="2000" spans="5:7" x14ac:dyDescent="0.25">
      <c r="E2000" t="s">
        <v>328</v>
      </c>
      <c r="F2000">
        <v>0</v>
      </c>
      <c r="G2000">
        <v>25000</v>
      </c>
    </row>
    <row r="2001" spans="5:7" x14ac:dyDescent="0.25">
      <c r="E2001" t="s">
        <v>328</v>
      </c>
      <c r="F2001">
        <v>0</v>
      </c>
      <c r="G2001">
        <v>0</v>
      </c>
    </row>
    <row r="2002" spans="5:7" x14ac:dyDescent="0.25">
      <c r="E2002" t="s">
        <v>328</v>
      </c>
      <c r="F2002">
        <v>0</v>
      </c>
      <c r="G2002">
        <v>0</v>
      </c>
    </row>
    <row r="2003" spans="5:7" x14ac:dyDescent="0.25">
      <c r="E2003" t="s">
        <v>328</v>
      </c>
      <c r="F2003">
        <v>0</v>
      </c>
      <c r="G2003">
        <v>7500</v>
      </c>
    </row>
    <row r="2004" spans="5:7" x14ac:dyDescent="0.25">
      <c r="E2004" t="s">
        <v>328</v>
      </c>
      <c r="F2004">
        <v>0</v>
      </c>
      <c r="G2004">
        <v>11000</v>
      </c>
    </row>
    <row r="2005" spans="5:7" x14ac:dyDescent="0.25">
      <c r="E2005" t="s">
        <v>328</v>
      </c>
      <c r="F2005">
        <v>0</v>
      </c>
      <c r="G2005">
        <v>0</v>
      </c>
    </row>
    <row r="2006" spans="5:7" x14ac:dyDescent="0.25">
      <c r="E2006" t="s">
        <v>328</v>
      </c>
      <c r="F2006">
        <v>0</v>
      </c>
      <c r="G2006">
        <v>0</v>
      </c>
    </row>
    <row r="2007" spans="5:7" x14ac:dyDescent="0.25">
      <c r="E2007" t="s">
        <v>328</v>
      </c>
      <c r="F2007">
        <v>0</v>
      </c>
      <c r="G2007">
        <v>0</v>
      </c>
    </row>
    <row r="2008" spans="5:7" x14ac:dyDescent="0.25">
      <c r="E2008" t="s">
        <v>328</v>
      </c>
      <c r="F2008">
        <v>0</v>
      </c>
      <c r="G2008">
        <v>0</v>
      </c>
    </row>
    <row r="2009" spans="5:7" x14ac:dyDescent="0.25">
      <c r="E2009" t="s">
        <v>328</v>
      </c>
      <c r="F2009">
        <v>0</v>
      </c>
      <c r="G2009">
        <v>0</v>
      </c>
    </row>
    <row r="2010" spans="5:7" x14ac:dyDescent="0.25">
      <c r="E2010" t="s">
        <v>328</v>
      </c>
      <c r="F2010">
        <v>0</v>
      </c>
      <c r="G2010">
        <v>0</v>
      </c>
    </row>
    <row r="2011" spans="5:7" x14ac:dyDescent="0.25">
      <c r="E2011" t="s">
        <v>328</v>
      </c>
      <c r="F2011">
        <v>0</v>
      </c>
      <c r="G2011">
        <v>0</v>
      </c>
    </row>
    <row r="2012" spans="5:7" x14ac:dyDescent="0.25">
      <c r="E2012" t="s">
        <v>328</v>
      </c>
      <c r="F2012">
        <v>0</v>
      </c>
      <c r="G2012">
        <v>0</v>
      </c>
    </row>
    <row r="2013" spans="5:7" x14ac:dyDescent="0.25">
      <c r="E2013" t="s">
        <v>328</v>
      </c>
      <c r="F2013">
        <v>5000</v>
      </c>
      <c r="G2013">
        <v>0</v>
      </c>
    </row>
    <row r="2014" spans="5:7" x14ac:dyDescent="0.25">
      <c r="E2014" t="s">
        <v>328</v>
      </c>
      <c r="F2014">
        <v>0</v>
      </c>
      <c r="G2014">
        <v>18000</v>
      </c>
    </row>
    <row r="2015" spans="5:7" x14ac:dyDescent="0.25">
      <c r="E2015" t="s">
        <v>328</v>
      </c>
      <c r="F2015">
        <v>0</v>
      </c>
      <c r="G2015">
        <v>0</v>
      </c>
    </row>
    <row r="2016" spans="5:7" x14ac:dyDescent="0.25">
      <c r="E2016" t="s">
        <v>328</v>
      </c>
      <c r="F2016">
        <v>7000</v>
      </c>
      <c r="G2016">
        <v>0</v>
      </c>
    </row>
    <row r="2017" spans="5:7" x14ac:dyDescent="0.25">
      <c r="E2017" t="s">
        <v>328</v>
      </c>
      <c r="F2017">
        <v>0</v>
      </c>
      <c r="G2017">
        <v>0</v>
      </c>
    </row>
    <row r="2018" spans="5:7" x14ac:dyDescent="0.25">
      <c r="E2018" t="s">
        <v>328</v>
      </c>
      <c r="F2018">
        <v>0</v>
      </c>
      <c r="G2018">
        <v>16000</v>
      </c>
    </row>
    <row r="2019" spans="5:7" x14ac:dyDescent="0.25">
      <c r="E2019" t="s">
        <v>328</v>
      </c>
      <c r="F2019">
        <v>0</v>
      </c>
      <c r="G2019">
        <v>0</v>
      </c>
    </row>
    <row r="2020" spans="5:7" x14ac:dyDescent="0.25">
      <c r="E2020" t="s">
        <v>328</v>
      </c>
      <c r="F2020">
        <v>0</v>
      </c>
      <c r="G2020">
        <v>0</v>
      </c>
    </row>
    <row r="2021" spans="5:7" x14ac:dyDescent="0.25">
      <c r="E2021" t="s">
        <v>328</v>
      </c>
      <c r="F2021">
        <v>0</v>
      </c>
      <c r="G2021">
        <v>0</v>
      </c>
    </row>
    <row r="2022" spans="5:7" x14ac:dyDescent="0.25">
      <c r="E2022" t="s">
        <v>328</v>
      </c>
      <c r="F2022">
        <v>0</v>
      </c>
      <c r="G2022">
        <v>0</v>
      </c>
    </row>
    <row r="2023" spans="5:7" x14ac:dyDescent="0.25">
      <c r="E2023" t="s">
        <v>328</v>
      </c>
      <c r="F2023">
        <v>0</v>
      </c>
      <c r="G2023">
        <v>0</v>
      </c>
    </row>
    <row r="2024" spans="5:7" x14ac:dyDescent="0.25">
      <c r="E2024" t="s">
        <v>328</v>
      </c>
      <c r="F2024">
        <v>0</v>
      </c>
      <c r="G2024">
        <v>27000</v>
      </c>
    </row>
    <row r="2025" spans="5:7" x14ac:dyDescent="0.25">
      <c r="E2025" t="s">
        <v>328</v>
      </c>
      <c r="F2025">
        <v>0</v>
      </c>
      <c r="G2025">
        <v>0</v>
      </c>
    </row>
    <row r="2026" spans="5:7" x14ac:dyDescent="0.25">
      <c r="E2026" t="s">
        <v>328</v>
      </c>
      <c r="F2026">
        <v>0</v>
      </c>
      <c r="G2026">
        <v>12000</v>
      </c>
    </row>
    <row r="2027" spans="5:7" x14ac:dyDescent="0.25">
      <c r="E2027" t="s">
        <v>328</v>
      </c>
      <c r="F2027">
        <v>0</v>
      </c>
      <c r="G2027">
        <v>0</v>
      </c>
    </row>
    <row r="2028" spans="5:7" x14ac:dyDescent="0.25">
      <c r="E2028" t="s">
        <v>328</v>
      </c>
      <c r="F2028">
        <v>0</v>
      </c>
      <c r="G2028">
        <v>0</v>
      </c>
    </row>
    <row r="2029" spans="5:7" x14ac:dyDescent="0.25">
      <c r="E2029" t="s">
        <v>328</v>
      </c>
      <c r="F2029">
        <v>0</v>
      </c>
      <c r="G2029">
        <v>17000</v>
      </c>
    </row>
    <row r="2030" spans="5:7" x14ac:dyDescent="0.25">
      <c r="E2030" t="s">
        <v>328</v>
      </c>
      <c r="F2030">
        <v>0</v>
      </c>
      <c r="G2030">
        <v>12000</v>
      </c>
    </row>
    <row r="2031" spans="5:7" x14ac:dyDescent="0.25">
      <c r="E2031" t="s">
        <v>328</v>
      </c>
      <c r="F2031">
        <v>0</v>
      </c>
      <c r="G2031">
        <v>0</v>
      </c>
    </row>
    <row r="2032" spans="5:7" x14ac:dyDescent="0.25">
      <c r="E2032" t="s">
        <v>328</v>
      </c>
      <c r="F2032">
        <v>0</v>
      </c>
      <c r="G2032">
        <v>0</v>
      </c>
    </row>
    <row r="2033" spans="5:7" x14ac:dyDescent="0.25">
      <c r="E2033" t="s">
        <v>328</v>
      </c>
      <c r="F2033">
        <v>0</v>
      </c>
      <c r="G2033">
        <v>0</v>
      </c>
    </row>
    <row r="2034" spans="5:7" x14ac:dyDescent="0.25">
      <c r="E2034" t="s">
        <v>328</v>
      </c>
      <c r="F2034">
        <v>0</v>
      </c>
      <c r="G2034">
        <v>0</v>
      </c>
    </row>
    <row r="2035" spans="5:7" x14ac:dyDescent="0.25">
      <c r="E2035" t="s">
        <v>328</v>
      </c>
      <c r="F2035">
        <v>0</v>
      </c>
      <c r="G2035">
        <v>0</v>
      </c>
    </row>
    <row r="2036" spans="5:7" x14ac:dyDescent="0.25">
      <c r="E2036" t="s">
        <v>328</v>
      </c>
      <c r="F2036">
        <v>0</v>
      </c>
      <c r="G2036">
        <v>0</v>
      </c>
    </row>
    <row r="2037" spans="5:7" x14ac:dyDescent="0.25">
      <c r="E2037" t="s">
        <v>328</v>
      </c>
      <c r="F2037">
        <v>0</v>
      </c>
      <c r="G2037">
        <v>5000</v>
      </c>
    </row>
    <row r="2038" spans="5:7" x14ac:dyDescent="0.25">
      <c r="E2038" t="s">
        <v>328</v>
      </c>
      <c r="F2038">
        <v>0</v>
      </c>
      <c r="G2038">
        <v>25000</v>
      </c>
    </row>
    <row r="2039" spans="5:7" x14ac:dyDescent="0.25">
      <c r="E2039" t="s">
        <v>328</v>
      </c>
      <c r="F2039">
        <v>0</v>
      </c>
      <c r="G2039">
        <v>15000</v>
      </c>
    </row>
    <row r="2040" spans="5:7" x14ac:dyDescent="0.25">
      <c r="E2040" t="s">
        <v>328</v>
      </c>
      <c r="F2040">
        <v>0</v>
      </c>
      <c r="G2040">
        <v>25000</v>
      </c>
    </row>
    <row r="2041" spans="5:7" x14ac:dyDescent="0.25">
      <c r="E2041" t="s">
        <v>328</v>
      </c>
      <c r="F2041">
        <v>4200</v>
      </c>
      <c r="G2041">
        <v>0</v>
      </c>
    </row>
    <row r="2042" spans="5:7" x14ac:dyDescent="0.25">
      <c r="E2042" t="s">
        <v>328</v>
      </c>
      <c r="F2042">
        <v>0</v>
      </c>
      <c r="G2042">
        <v>0</v>
      </c>
    </row>
    <row r="2043" spans="5:7" x14ac:dyDescent="0.25">
      <c r="E2043" t="s">
        <v>328</v>
      </c>
      <c r="F2043">
        <v>0</v>
      </c>
      <c r="G2043">
        <v>0</v>
      </c>
    </row>
    <row r="2044" spans="5:7" x14ac:dyDescent="0.25">
      <c r="E2044" t="s">
        <v>328</v>
      </c>
      <c r="F2044">
        <v>0</v>
      </c>
      <c r="G2044">
        <v>0</v>
      </c>
    </row>
    <row r="2045" spans="5:7" x14ac:dyDescent="0.25">
      <c r="E2045" t="s">
        <v>328</v>
      </c>
      <c r="F2045">
        <v>0</v>
      </c>
      <c r="G2045">
        <v>0</v>
      </c>
    </row>
    <row r="2046" spans="5:7" x14ac:dyDescent="0.25">
      <c r="E2046" t="s">
        <v>328</v>
      </c>
      <c r="F2046">
        <v>0</v>
      </c>
      <c r="G2046">
        <v>0</v>
      </c>
    </row>
    <row r="2047" spans="5:7" x14ac:dyDescent="0.25">
      <c r="E2047" t="s">
        <v>328</v>
      </c>
      <c r="F2047">
        <v>0</v>
      </c>
      <c r="G2047">
        <v>0</v>
      </c>
    </row>
    <row r="2048" spans="5:7" x14ac:dyDescent="0.25">
      <c r="E2048" t="s">
        <v>328</v>
      </c>
      <c r="F2048">
        <v>0</v>
      </c>
      <c r="G2048">
        <v>0</v>
      </c>
    </row>
    <row r="2049" spans="5:7" x14ac:dyDescent="0.25">
      <c r="E2049" t="s">
        <v>328</v>
      </c>
      <c r="F2049">
        <v>0</v>
      </c>
      <c r="G2049">
        <v>0</v>
      </c>
    </row>
    <row r="2050" spans="5:7" x14ac:dyDescent="0.25">
      <c r="E2050" t="s">
        <v>328</v>
      </c>
      <c r="F2050">
        <v>0</v>
      </c>
      <c r="G2050">
        <v>0</v>
      </c>
    </row>
    <row r="2051" spans="5:7" x14ac:dyDescent="0.25">
      <c r="E2051" t="s">
        <v>328</v>
      </c>
      <c r="F2051">
        <v>5000</v>
      </c>
      <c r="G2051">
        <v>0</v>
      </c>
    </row>
    <row r="2052" spans="5:7" x14ac:dyDescent="0.25">
      <c r="E2052" t="s">
        <v>328</v>
      </c>
      <c r="F2052">
        <v>0</v>
      </c>
      <c r="G2052">
        <v>4500</v>
      </c>
    </row>
    <row r="2053" spans="5:7" x14ac:dyDescent="0.25">
      <c r="E2053" t="s">
        <v>328</v>
      </c>
      <c r="F2053">
        <v>0</v>
      </c>
      <c r="G2053">
        <v>0</v>
      </c>
    </row>
    <row r="2054" spans="5:7" x14ac:dyDescent="0.25">
      <c r="E2054" t="s">
        <v>328</v>
      </c>
      <c r="F2054">
        <v>0</v>
      </c>
      <c r="G2054">
        <v>0</v>
      </c>
    </row>
    <row r="2055" spans="5:7" x14ac:dyDescent="0.25">
      <c r="E2055" t="s">
        <v>328</v>
      </c>
      <c r="F2055">
        <v>0</v>
      </c>
      <c r="G2055">
        <v>13000</v>
      </c>
    </row>
    <row r="2056" spans="5:7" x14ac:dyDescent="0.25">
      <c r="E2056" t="s">
        <v>328</v>
      </c>
      <c r="F2056">
        <v>0</v>
      </c>
      <c r="G2056">
        <v>16000</v>
      </c>
    </row>
    <row r="2057" spans="5:7" x14ac:dyDescent="0.25">
      <c r="E2057" t="s">
        <v>328</v>
      </c>
      <c r="F2057">
        <v>0</v>
      </c>
      <c r="G2057">
        <v>0</v>
      </c>
    </row>
    <row r="2058" spans="5:7" x14ac:dyDescent="0.25">
      <c r="E2058" t="s">
        <v>328</v>
      </c>
      <c r="F2058">
        <v>0</v>
      </c>
      <c r="G2058">
        <v>0</v>
      </c>
    </row>
    <row r="2059" spans="5:7" x14ac:dyDescent="0.25">
      <c r="E2059" t="s">
        <v>328</v>
      </c>
      <c r="F2059">
        <v>0</v>
      </c>
      <c r="G2059">
        <v>0</v>
      </c>
    </row>
    <row r="2060" spans="5:7" x14ac:dyDescent="0.25">
      <c r="E2060" t="s">
        <v>328</v>
      </c>
      <c r="F2060">
        <v>0</v>
      </c>
      <c r="G2060">
        <v>0</v>
      </c>
    </row>
    <row r="2061" spans="5:7" x14ac:dyDescent="0.25">
      <c r="E2061" t="s">
        <v>328</v>
      </c>
      <c r="F2061">
        <v>0</v>
      </c>
      <c r="G2061">
        <v>0</v>
      </c>
    </row>
    <row r="2062" spans="5:7" x14ac:dyDescent="0.25">
      <c r="E2062" t="s">
        <v>328</v>
      </c>
      <c r="F2062">
        <v>0</v>
      </c>
      <c r="G2062">
        <v>0</v>
      </c>
    </row>
    <row r="2063" spans="5:7" x14ac:dyDescent="0.25">
      <c r="E2063" t="s">
        <v>328</v>
      </c>
      <c r="F2063">
        <v>8000</v>
      </c>
      <c r="G2063">
        <v>0</v>
      </c>
    </row>
    <row r="2064" spans="5:7" x14ac:dyDescent="0.25">
      <c r="E2064" t="s">
        <v>328</v>
      </c>
      <c r="F2064">
        <v>0</v>
      </c>
      <c r="G2064">
        <v>0</v>
      </c>
    </row>
    <row r="2065" spans="5:7" x14ac:dyDescent="0.25">
      <c r="E2065" t="s">
        <v>328</v>
      </c>
      <c r="F2065">
        <v>0</v>
      </c>
      <c r="G2065">
        <v>26000</v>
      </c>
    </row>
    <row r="2066" spans="5:7" x14ac:dyDescent="0.25">
      <c r="E2066" t="s">
        <v>328</v>
      </c>
      <c r="F2066">
        <v>5000</v>
      </c>
      <c r="G2066">
        <v>0</v>
      </c>
    </row>
    <row r="2067" spans="5:7" x14ac:dyDescent="0.25">
      <c r="E2067" t="s">
        <v>328</v>
      </c>
      <c r="F2067">
        <v>0</v>
      </c>
      <c r="G2067">
        <v>0</v>
      </c>
    </row>
    <row r="2068" spans="5:7" x14ac:dyDescent="0.25">
      <c r="E2068" t="s">
        <v>328</v>
      </c>
      <c r="F2068">
        <v>0</v>
      </c>
      <c r="G2068">
        <v>0</v>
      </c>
    </row>
    <row r="2069" spans="5:7" x14ac:dyDescent="0.25">
      <c r="E2069" t="s">
        <v>328</v>
      </c>
      <c r="F2069">
        <v>0</v>
      </c>
      <c r="G2069">
        <v>0</v>
      </c>
    </row>
    <row r="2070" spans="5:7" x14ac:dyDescent="0.25">
      <c r="E2070" t="s">
        <v>328</v>
      </c>
      <c r="F2070">
        <v>0</v>
      </c>
      <c r="G2070">
        <v>0</v>
      </c>
    </row>
    <row r="2071" spans="5:7" x14ac:dyDescent="0.25">
      <c r="E2071" t="s">
        <v>328</v>
      </c>
      <c r="F2071">
        <v>0</v>
      </c>
      <c r="G2071">
        <v>0</v>
      </c>
    </row>
    <row r="2072" spans="5:7" x14ac:dyDescent="0.25">
      <c r="E2072" t="s">
        <v>328</v>
      </c>
      <c r="F2072">
        <v>0</v>
      </c>
      <c r="G2072">
        <v>0</v>
      </c>
    </row>
    <row r="2073" spans="5:7" x14ac:dyDescent="0.25">
      <c r="E2073" t="s">
        <v>328</v>
      </c>
      <c r="F2073">
        <v>0</v>
      </c>
      <c r="G2073">
        <v>0</v>
      </c>
    </row>
    <row r="2074" spans="5:7" x14ac:dyDescent="0.25">
      <c r="E2074" t="s">
        <v>328</v>
      </c>
      <c r="F2074">
        <v>0</v>
      </c>
      <c r="G2074">
        <v>14000</v>
      </c>
    </row>
    <row r="2075" spans="5:7" x14ac:dyDescent="0.25">
      <c r="E2075" t="s">
        <v>328</v>
      </c>
      <c r="F2075">
        <v>12000</v>
      </c>
      <c r="G2075">
        <v>0</v>
      </c>
    </row>
    <row r="2076" spans="5:7" x14ac:dyDescent="0.25">
      <c r="E2076" t="s">
        <v>328</v>
      </c>
      <c r="F2076">
        <v>6000</v>
      </c>
      <c r="G2076">
        <v>0</v>
      </c>
    </row>
    <row r="2077" spans="5:7" x14ac:dyDescent="0.25">
      <c r="E2077" t="s">
        <v>328</v>
      </c>
      <c r="F2077">
        <v>16000</v>
      </c>
      <c r="G2077">
        <v>0</v>
      </c>
    </row>
    <row r="2078" spans="5:7" x14ac:dyDescent="0.25">
      <c r="E2078" t="s">
        <v>328</v>
      </c>
      <c r="F2078">
        <v>0</v>
      </c>
      <c r="G2078">
        <v>0</v>
      </c>
    </row>
    <row r="2079" spans="5:7" x14ac:dyDescent="0.25">
      <c r="E2079" t="s">
        <v>328</v>
      </c>
      <c r="F2079">
        <v>0</v>
      </c>
      <c r="G2079">
        <v>0</v>
      </c>
    </row>
    <row r="2080" spans="5:7" x14ac:dyDescent="0.25">
      <c r="E2080" t="s">
        <v>328</v>
      </c>
      <c r="F2080">
        <v>0</v>
      </c>
      <c r="G2080">
        <v>0</v>
      </c>
    </row>
    <row r="2081" spans="5:7" x14ac:dyDescent="0.25">
      <c r="E2081" t="s">
        <v>328</v>
      </c>
      <c r="F2081">
        <v>0</v>
      </c>
      <c r="G2081">
        <v>0</v>
      </c>
    </row>
    <row r="2082" spans="5:7" x14ac:dyDescent="0.25">
      <c r="E2082" t="s">
        <v>328</v>
      </c>
      <c r="F2082">
        <v>8000</v>
      </c>
      <c r="G2082">
        <v>0</v>
      </c>
    </row>
    <row r="2083" spans="5:7" x14ac:dyDescent="0.25">
      <c r="E2083" t="s">
        <v>328</v>
      </c>
      <c r="F2083">
        <v>5000</v>
      </c>
      <c r="G2083">
        <v>0</v>
      </c>
    </row>
    <row r="2084" spans="5:7" x14ac:dyDescent="0.25">
      <c r="E2084" t="s">
        <v>328</v>
      </c>
      <c r="F2084">
        <v>0</v>
      </c>
      <c r="G2084">
        <v>0</v>
      </c>
    </row>
    <row r="2085" spans="5:7" x14ac:dyDescent="0.25">
      <c r="E2085" t="s">
        <v>328</v>
      </c>
      <c r="F2085">
        <v>0</v>
      </c>
      <c r="G2085">
        <v>0</v>
      </c>
    </row>
    <row r="2086" spans="5:7" x14ac:dyDescent="0.25">
      <c r="E2086" t="s">
        <v>328</v>
      </c>
      <c r="F2086">
        <v>0</v>
      </c>
      <c r="G2086">
        <v>0</v>
      </c>
    </row>
    <row r="2087" spans="5:7" x14ac:dyDescent="0.25">
      <c r="E2087" t="s">
        <v>328</v>
      </c>
      <c r="F2087">
        <v>0</v>
      </c>
      <c r="G2087">
        <v>11000</v>
      </c>
    </row>
    <row r="2088" spans="5:7" x14ac:dyDescent="0.25">
      <c r="E2088" t="s">
        <v>328</v>
      </c>
      <c r="F2088">
        <v>0</v>
      </c>
      <c r="G2088">
        <v>0</v>
      </c>
    </row>
    <row r="2089" spans="5:7" x14ac:dyDescent="0.25">
      <c r="E2089" t="s">
        <v>328</v>
      </c>
      <c r="F2089">
        <v>4000</v>
      </c>
      <c r="G2089">
        <v>0</v>
      </c>
    </row>
    <row r="2090" spans="5:7" x14ac:dyDescent="0.25">
      <c r="E2090" t="s">
        <v>328</v>
      </c>
      <c r="F2090">
        <v>5000</v>
      </c>
      <c r="G2090">
        <v>0</v>
      </c>
    </row>
    <row r="2091" spans="5:7" x14ac:dyDescent="0.25">
      <c r="E2091" t="s">
        <v>328</v>
      </c>
      <c r="F2091">
        <v>0</v>
      </c>
      <c r="G2091">
        <v>0</v>
      </c>
    </row>
    <row r="2092" spans="5:7" x14ac:dyDescent="0.25">
      <c r="E2092" t="s">
        <v>328</v>
      </c>
      <c r="F2092">
        <v>0</v>
      </c>
      <c r="G2092">
        <v>0</v>
      </c>
    </row>
    <row r="2093" spans="5:7" x14ac:dyDescent="0.25">
      <c r="E2093" t="s">
        <v>328</v>
      </c>
      <c r="F2093">
        <v>0</v>
      </c>
      <c r="G2093">
        <v>0</v>
      </c>
    </row>
    <row r="2094" spans="5:7" x14ac:dyDescent="0.25">
      <c r="E2094" t="s">
        <v>328</v>
      </c>
      <c r="F2094">
        <v>0</v>
      </c>
      <c r="G2094">
        <v>0</v>
      </c>
    </row>
    <row r="2095" spans="5:7" x14ac:dyDescent="0.25">
      <c r="E2095" t="s">
        <v>328</v>
      </c>
      <c r="F2095">
        <v>0</v>
      </c>
      <c r="G2095">
        <v>0</v>
      </c>
    </row>
    <row r="2096" spans="5:7" x14ac:dyDescent="0.25">
      <c r="E2096" t="s">
        <v>328</v>
      </c>
      <c r="F2096">
        <v>0</v>
      </c>
      <c r="G2096">
        <v>10000</v>
      </c>
    </row>
    <row r="2097" spans="5:7" x14ac:dyDescent="0.25">
      <c r="E2097" t="s">
        <v>328</v>
      </c>
      <c r="F2097">
        <v>0</v>
      </c>
      <c r="G2097">
        <v>0</v>
      </c>
    </row>
    <row r="2098" spans="5:7" x14ac:dyDescent="0.25">
      <c r="E2098" t="s">
        <v>328</v>
      </c>
      <c r="F2098">
        <v>0</v>
      </c>
      <c r="G2098">
        <v>0</v>
      </c>
    </row>
    <row r="2099" spans="5:7" x14ac:dyDescent="0.25">
      <c r="E2099" t="s">
        <v>328</v>
      </c>
      <c r="F2099">
        <v>0</v>
      </c>
      <c r="G2099">
        <v>0</v>
      </c>
    </row>
    <row r="2100" spans="5:7" x14ac:dyDescent="0.25">
      <c r="E2100" t="s">
        <v>328</v>
      </c>
      <c r="F2100">
        <v>0</v>
      </c>
      <c r="G2100">
        <v>0</v>
      </c>
    </row>
    <row r="2101" spans="5:7" x14ac:dyDescent="0.25">
      <c r="E2101" t="s">
        <v>328</v>
      </c>
      <c r="F2101">
        <v>0</v>
      </c>
      <c r="G2101">
        <v>0</v>
      </c>
    </row>
    <row r="2102" spans="5:7" x14ac:dyDescent="0.25">
      <c r="E2102" t="s">
        <v>328</v>
      </c>
      <c r="F2102">
        <v>0</v>
      </c>
      <c r="G2102">
        <v>0</v>
      </c>
    </row>
    <row r="2103" spans="5:7" x14ac:dyDescent="0.25">
      <c r="E2103" t="s">
        <v>328</v>
      </c>
      <c r="F2103">
        <v>0</v>
      </c>
      <c r="G2103">
        <v>23000</v>
      </c>
    </row>
    <row r="2104" spans="5:7" x14ac:dyDescent="0.25">
      <c r="E2104" t="s">
        <v>328</v>
      </c>
      <c r="F2104">
        <v>0</v>
      </c>
      <c r="G2104">
        <v>10000</v>
      </c>
    </row>
    <row r="2105" spans="5:7" x14ac:dyDescent="0.25">
      <c r="E2105" t="s">
        <v>328</v>
      </c>
      <c r="F2105">
        <v>0</v>
      </c>
      <c r="G2105">
        <v>12000</v>
      </c>
    </row>
    <row r="2106" spans="5:7" x14ac:dyDescent="0.25">
      <c r="E2106" t="s">
        <v>328</v>
      </c>
      <c r="F2106">
        <v>0</v>
      </c>
      <c r="G2106">
        <v>0</v>
      </c>
    </row>
    <row r="2107" spans="5:7" x14ac:dyDescent="0.25">
      <c r="E2107" t="s">
        <v>328</v>
      </c>
      <c r="F2107">
        <v>0</v>
      </c>
      <c r="G2107">
        <v>14000</v>
      </c>
    </row>
    <row r="2108" spans="5:7" x14ac:dyDescent="0.25">
      <c r="E2108" t="s">
        <v>328</v>
      </c>
      <c r="F2108">
        <v>0</v>
      </c>
      <c r="G2108">
        <v>0</v>
      </c>
    </row>
    <row r="2109" spans="5:7" x14ac:dyDescent="0.25">
      <c r="E2109" t="s">
        <v>328</v>
      </c>
      <c r="F2109">
        <v>0</v>
      </c>
      <c r="G2109">
        <v>0</v>
      </c>
    </row>
    <row r="2110" spans="5:7" x14ac:dyDescent="0.25">
      <c r="E2110" t="s">
        <v>328</v>
      </c>
      <c r="F2110">
        <v>0</v>
      </c>
      <c r="G2110">
        <v>0</v>
      </c>
    </row>
    <row r="2111" spans="5:7" x14ac:dyDescent="0.25">
      <c r="E2111" t="s">
        <v>328</v>
      </c>
      <c r="F2111">
        <v>0</v>
      </c>
      <c r="G2111">
        <v>27000</v>
      </c>
    </row>
    <row r="2112" spans="5:7" x14ac:dyDescent="0.25">
      <c r="E2112" t="s">
        <v>328</v>
      </c>
      <c r="F2112">
        <v>0</v>
      </c>
      <c r="G2112">
        <v>10000</v>
      </c>
    </row>
    <row r="2113" spans="5:7" x14ac:dyDescent="0.25">
      <c r="E2113" t="s">
        <v>328</v>
      </c>
      <c r="F2113">
        <v>3100</v>
      </c>
      <c r="G2113">
        <v>0</v>
      </c>
    </row>
    <row r="2114" spans="5:7" x14ac:dyDescent="0.25">
      <c r="E2114" t="s">
        <v>328</v>
      </c>
      <c r="F2114">
        <v>0</v>
      </c>
      <c r="G2114">
        <v>0</v>
      </c>
    </row>
    <row r="2115" spans="5:7" x14ac:dyDescent="0.25">
      <c r="E2115" t="s">
        <v>328</v>
      </c>
      <c r="F2115">
        <v>0</v>
      </c>
      <c r="G2115">
        <v>0</v>
      </c>
    </row>
    <row r="2116" spans="5:7" x14ac:dyDescent="0.25">
      <c r="E2116" t="s">
        <v>328</v>
      </c>
      <c r="F2116">
        <v>0</v>
      </c>
      <c r="G2116">
        <v>0</v>
      </c>
    </row>
    <row r="2117" spans="5:7" x14ac:dyDescent="0.25">
      <c r="E2117" t="s">
        <v>328</v>
      </c>
      <c r="F2117">
        <v>0</v>
      </c>
      <c r="G2117">
        <v>0</v>
      </c>
    </row>
    <row r="2118" spans="5:7" x14ac:dyDescent="0.25">
      <c r="E2118" t="s">
        <v>328</v>
      </c>
      <c r="F2118">
        <v>0</v>
      </c>
      <c r="G2118">
        <v>0</v>
      </c>
    </row>
    <row r="2119" spans="5:7" x14ac:dyDescent="0.25">
      <c r="E2119" t="s">
        <v>328</v>
      </c>
      <c r="F2119">
        <v>0</v>
      </c>
      <c r="G2119">
        <v>0</v>
      </c>
    </row>
    <row r="2120" spans="5:7" x14ac:dyDescent="0.25">
      <c r="E2120" t="s">
        <v>328</v>
      </c>
      <c r="F2120">
        <v>0</v>
      </c>
      <c r="G2120">
        <v>0</v>
      </c>
    </row>
    <row r="2121" spans="5:7" x14ac:dyDescent="0.25">
      <c r="E2121" t="s">
        <v>328</v>
      </c>
      <c r="F2121">
        <v>0</v>
      </c>
      <c r="G2121">
        <v>0</v>
      </c>
    </row>
    <row r="2122" spans="5:7" x14ac:dyDescent="0.25">
      <c r="E2122" t="s">
        <v>328</v>
      </c>
      <c r="F2122">
        <v>0</v>
      </c>
      <c r="G2122">
        <v>0</v>
      </c>
    </row>
    <row r="2123" spans="5:7" x14ac:dyDescent="0.25">
      <c r="E2123" t="s">
        <v>328</v>
      </c>
      <c r="F2123">
        <v>0</v>
      </c>
      <c r="G2123">
        <v>24000</v>
      </c>
    </row>
    <row r="2124" spans="5:7" x14ac:dyDescent="0.25">
      <c r="E2124" t="s">
        <v>328</v>
      </c>
      <c r="F2124">
        <v>0</v>
      </c>
      <c r="G2124">
        <v>0</v>
      </c>
    </row>
    <row r="2125" spans="5:7" x14ac:dyDescent="0.25">
      <c r="E2125" t="s">
        <v>328</v>
      </c>
      <c r="F2125">
        <v>4200</v>
      </c>
      <c r="G2125">
        <v>0</v>
      </c>
    </row>
    <row r="2126" spans="5:7" x14ac:dyDescent="0.25">
      <c r="E2126" t="s">
        <v>328</v>
      </c>
      <c r="F2126">
        <v>0</v>
      </c>
      <c r="G2126">
        <v>17000</v>
      </c>
    </row>
    <row r="2127" spans="5:7" x14ac:dyDescent="0.25">
      <c r="E2127" t="s">
        <v>328</v>
      </c>
      <c r="F2127">
        <v>0</v>
      </c>
      <c r="G2127">
        <v>0</v>
      </c>
    </row>
    <row r="2128" spans="5:7" x14ac:dyDescent="0.25">
      <c r="E2128" t="s">
        <v>330</v>
      </c>
      <c r="F2128">
        <v>25000</v>
      </c>
      <c r="G2128">
        <v>0</v>
      </c>
    </row>
    <row r="2129" spans="5:7" x14ac:dyDescent="0.25">
      <c r="E2129" t="s">
        <v>330</v>
      </c>
      <c r="F2129">
        <v>0</v>
      </c>
      <c r="G2129">
        <v>0</v>
      </c>
    </row>
    <row r="2130" spans="5:7" x14ac:dyDescent="0.25">
      <c r="E2130" t="s">
        <v>330</v>
      </c>
      <c r="F2130">
        <v>0</v>
      </c>
      <c r="G2130">
        <v>0</v>
      </c>
    </row>
    <row r="2131" spans="5:7" x14ac:dyDescent="0.25">
      <c r="E2131" t="s">
        <v>330</v>
      </c>
      <c r="F2131">
        <v>0</v>
      </c>
      <c r="G2131">
        <v>0</v>
      </c>
    </row>
    <row r="2132" spans="5:7" x14ac:dyDescent="0.25">
      <c r="E2132" t="s">
        <v>330</v>
      </c>
      <c r="F2132">
        <v>0</v>
      </c>
      <c r="G2132">
        <v>0</v>
      </c>
    </row>
    <row r="2133" spans="5:7" x14ac:dyDescent="0.25">
      <c r="E2133" t="s">
        <v>330</v>
      </c>
      <c r="F2133">
        <v>0</v>
      </c>
      <c r="G2133">
        <v>0</v>
      </c>
    </row>
    <row r="2134" spans="5:7" x14ac:dyDescent="0.25">
      <c r="E2134" t="s">
        <v>330</v>
      </c>
      <c r="F2134">
        <v>0</v>
      </c>
      <c r="G2134">
        <v>18000</v>
      </c>
    </row>
    <row r="2135" spans="5:7" x14ac:dyDescent="0.25">
      <c r="E2135" t="s">
        <v>330</v>
      </c>
      <c r="F2135">
        <v>0</v>
      </c>
      <c r="G2135">
        <v>16000</v>
      </c>
    </row>
    <row r="2136" spans="5:7" x14ac:dyDescent="0.25">
      <c r="E2136" t="s">
        <v>330</v>
      </c>
      <c r="F2136">
        <v>0</v>
      </c>
      <c r="G2136">
        <v>0</v>
      </c>
    </row>
    <row r="2137" spans="5:7" x14ac:dyDescent="0.25">
      <c r="E2137" t="s">
        <v>330</v>
      </c>
      <c r="F2137">
        <v>0</v>
      </c>
      <c r="G2137">
        <v>0</v>
      </c>
    </row>
    <row r="2138" spans="5:7" x14ac:dyDescent="0.25">
      <c r="E2138" t="s">
        <v>330</v>
      </c>
      <c r="F2138">
        <v>0</v>
      </c>
      <c r="G2138">
        <v>0</v>
      </c>
    </row>
    <row r="2139" spans="5:7" x14ac:dyDescent="0.25">
      <c r="E2139" t="s">
        <v>330</v>
      </c>
      <c r="F2139">
        <v>0</v>
      </c>
      <c r="G2139">
        <v>0</v>
      </c>
    </row>
    <row r="2140" spans="5:7" x14ac:dyDescent="0.25">
      <c r="E2140" t="s">
        <v>330</v>
      </c>
      <c r="F2140">
        <v>0</v>
      </c>
      <c r="G2140">
        <v>0</v>
      </c>
    </row>
    <row r="2141" spans="5:7" x14ac:dyDescent="0.25">
      <c r="E2141" t="s">
        <v>330</v>
      </c>
      <c r="F2141">
        <v>0</v>
      </c>
      <c r="G2141">
        <v>0</v>
      </c>
    </row>
    <row r="2142" spans="5:7" x14ac:dyDescent="0.25">
      <c r="E2142" t="s">
        <v>330</v>
      </c>
      <c r="F2142">
        <v>0</v>
      </c>
      <c r="G2142">
        <v>20000</v>
      </c>
    </row>
    <row r="2143" spans="5:7" x14ac:dyDescent="0.25">
      <c r="E2143" t="s">
        <v>330</v>
      </c>
      <c r="F2143">
        <v>0</v>
      </c>
      <c r="G2143">
        <v>0</v>
      </c>
    </row>
    <row r="2144" spans="5:7" x14ac:dyDescent="0.25">
      <c r="E2144" t="s">
        <v>330</v>
      </c>
      <c r="F2144">
        <v>0</v>
      </c>
      <c r="G2144">
        <v>0</v>
      </c>
    </row>
    <row r="2145" spans="5:7" x14ac:dyDescent="0.25">
      <c r="E2145" t="s">
        <v>330</v>
      </c>
      <c r="F2145">
        <v>0</v>
      </c>
      <c r="G2145">
        <v>0</v>
      </c>
    </row>
    <row r="2146" spans="5:7" x14ac:dyDescent="0.25">
      <c r="E2146" t="s">
        <v>330</v>
      </c>
      <c r="F2146">
        <v>0</v>
      </c>
      <c r="G2146">
        <v>0</v>
      </c>
    </row>
    <row r="2147" spans="5:7" x14ac:dyDescent="0.25">
      <c r="E2147" t="s">
        <v>330</v>
      </c>
      <c r="F2147">
        <v>0</v>
      </c>
      <c r="G2147">
        <v>0</v>
      </c>
    </row>
    <row r="2148" spans="5:7" x14ac:dyDescent="0.25">
      <c r="E2148" t="s">
        <v>330</v>
      </c>
      <c r="F2148">
        <v>0</v>
      </c>
      <c r="G2148">
        <v>0</v>
      </c>
    </row>
    <row r="2149" spans="5:7" x14ac:dyDescent="0.25">
      <c r="E2149" t="s">
        <v>330</v>
      </c>
      <c r="F2149">
        <v>6000</v>
      </c>
      <c r="G2149">
        <v>0</v>
      </c>
    </row>
    <row r="2150" spans="5:7" x14ac:dyDescent="0.25">
      <c r="E2150" t="s">
        <v>330</v>
      </c>
      <c r="F2150">
        <v>0</v>
      </c>
      <c r="G2150">
        <v>0</v>
      </c>
    </row>
    <row r="2151" spans="5:7" x14ac:dyDescent="0.25">
      <c r="E2151" t="s">
        <v>330</v>
      </c>
      <c r="F2151">
        <v>0</v>
      </c>
      <c r="G2151">
        <v>0</v>
      </c>
    </row>
    <row r="2152" spans="5:7" x14ac:dyDescent="0.25">
      <c r="E2152" t="s">
        <v>330</v>
      </c>
      <c r="F2152">
        <v>0</v>
      </c>
      <c r="G2152">
        <v>0</v>
      </c>
    </row>
    <row r="2153" spans="5:7" x14ac:dyDescent="0.25">
      <c r="E2153" t="s">
        <v>330</v>
      </c>
      <c r="F2153">
        <v>0</v>
      </c>
      <c r="G2153">
        <v>0</v>
      </c>
    </row>
    <row r="2154" spans="5:7" x14ac:dyDescent="0.25">
      <c r="E2154" t="s">
        <v>330</v>
      </c>
      <c r="F2154">
        <v>0</v>
      </c>
      <c r="G2154">
        <v>14000</v>
      </c>
    </row>
    <row r="2155" spans="5:7" x14ac:dyDescent="0.25">
      <c r="E2155" t="s">
        <v>330</v>
      </c>
      <c r="F2155">
        <v>0</v>
      </c>
      <c r="G2155">
        <v>0</v>
      </c>
    </row>
    <row r="2156" spans="5:7" x14ac:dyDescent="0.25">
      <c r="E2156" t="s">
        <v>330</v>
      </c>
      <c r="F2156">
        <v>0</v>
      </c>
      <c r="G2156">
        <v>0</v>
      </c>
    </row>
    <row r="2157" spans="5:7" x14ac:dyDescent="0.25">
      <c r="E2157" t="s">
        <v>330</v>
      </c>
      <c r="F2157">
        <v>0</v>
      </c>
      <c r="G2157">
        <v>0</v>
      </c>
    </row>
    <row r="2158" spans="5:7" x14ac:dyDescent="0.25">
      <c r="E2158" t="s">
        <v>330</v>
      </c>
      <c r="F2158">
        <v>0</v>
      </c>
      <c r="G2158">
        <v>0</v>
      </c>
    </row>
    <row r="2159" spans="5:7" x14ac:dyDescent="0.25">
      <c r="E2159" t="s">
        <v>330</v>
      </c>
      <c r="F2159">
        <v>0</v>
      </c>
      <c r="G2159">
        <v>0</v>
      </c>
    </row>
    <row r="2160" spans="5:7" x14ac:dyDescent="0.25">
      <c r="E2160" t="s">
        <v>333</v>
      </c>
      <c r="F2160">
        <v>8000</v>
      </c>
      <c r="G2160">
        <v>0</v>
      </c>
    </row>
    <row r="2161" spans="5:7" x14ac:dyDescent="0.25">
      <c r="E2161" t="s">
        <v>333</v>
      </c>
      <c r="F2161">
        <v>0</v>
      </c>
      <c r="G2161">
        <v>0</v>
      </c>
    </row>
    <row r="2162" spans="5:7" x14ac:dyDescent="0.25">
      <c r="E2162" t="s">
        <v>333</v>
      </c>
      <c r="F2162">
        <v>0</v>
      </c>
      <c r="G2162">
        <v>0</v>
      </c>
    </row>
    <row r="2163" spans="5:7" x14ac:dyDescent="0.25">
      <c r="E2163" t="s">
        <v>333</v>
      </c>
      <c r="F2163">
        <v>4000</v>
      </c>
      <c r="G2163">
        <v>0</v>
      </c>
    </row>
    <row r="2164" spans="5:7" x14ac:dyDescent="0.25">
      <c r="E2164" t="s">
        <v>333</v>
      </c>
      <c r="F2164">
        <v>0</v>
      </c>
      <c r="G2164">
        <v>0</v>
      </c>
    </row>
    <row r="2165" spans="5:7" x14ac:dyDescent="0.25">
      <c r="E2165" t="s">
        <v>333</v>
      </c>
      <c r="F2165">
        <v>0</v>
      </c>
      <c r="G2165">
        <v>0</v>
      </c>
    </row>
    <row r="2166" spans="5:7" x14ac:dyDescent="0.25">
      <c r="E2166" t="s">
        <v>333</v>
      </c>
      <c r="F2166">
        <v>0</v>
      </c>
      <c r="G2166">
        <v>0</v>
      </c>
    </row>
    <row r="2167" spans="5:7" x14ac:dyDescent="0.25">
      <c r="E2167" t="s">
        <v>333</v>
      </c>
      <c r="F2167">
        <v>0</v>
      </c>
      <c r="G2167">
        <v>0</v>
      </c>
    </row>
    <row r="2168" spans="5:7" x14ac:dyDescent="0.25">
      <c r="E2168" t="s">
        <v>333</v>
      </c>
      <c r="F2168">
        <v>0</v>
      </c>
      <c r="G2168">
        <v>0</v>
      </c>
    </row>
    <row r="2169" spans="5:7" x14ac:dyDescent="0.25">
      <c r="E2169" t="s">
        <v>333</v>
      </c>
      <c r="F2169">
        <v>0</v>
      </c>
      <c r="G2169">
        <v>0</v>
      </c>
    </row>
    <row r="2170" spans="5:7" x14ac:dyDescent="0.25">
      <c r="E2170" t="s">
        <v>333</v>
      </c>
      <c r="F2170">
        <v>0</v>
      </c>
      <c r="G2170">
        <v>0</v>
      </c>
    </row>
    <row r="2171" spans="5:7" x14ac:dyDescent="0.25">
      <c r="E2171" t="s">
        <v>333</v>
      </c>
      <c r="F2171">
        <v>16000</v>
      </c>
      <c r="G2171">
        <v>0</v>
      </c>
    </row>
    <row r="2172" spans="5:7" x14ac:dyDescent="0.25">
      <c r="E2172" t="s">
        <v>333</v>
      </c>
      <c r="F2172">
        <v>0</v>
      </c>
      <c r="G2172">
        <v>15000</v>
      </c>
    </row>
    <row r="2173" spans="5:7" x14ac:dyDescent="0.25">
      <c r="E2173" t="s">
        <v>333</v>
      </c>
      <c r="F2173">
        <v>0</v>
      </c>
      <c r="G2173">
        <v>0</v>
      </c>
    </row>
    <row r="2174" spans="5:7" x14ac:dyDescent="0.25">
      <c r="E2174" t="s">
        <v>333</v>
      </c>
      <c r="F2174">
        <v>0</v>
      </c>
      <c r="G2174">
        <v>6000</v>
      </c>
    </row>
    <row r="2175" spans="5:7" x14ac:dyDescent="0.25">
      <c r="E2175" t="s">
        <v>333</v>
      </c>
      <c r="F2175">
        <v>0</v>
      </c>
      <c r="G2175">
        <v>0</v>
      </c>
    </row>
    <row r="2176" spans="5:7" x14ac:dyDescent="0.25">
      <c r="E2176" t="s">
        <v>333</v>
      </c>
      <c r="F2176">
        <v>0</v>
      </c>
      <c r="G2176">
        <v>24000</v>
      </c>
    </row>
    <row r="2177" spans="5:7" x14ac:dyDescent="0.25">
      <c r="E2177" t="s">
        <v>333</v>
      </c>
      <c r="F2177">
        <v>16000</v>
      </c>
      <c r="G2177">
        <v>0</v>
      </c>
    </row>
    <row r="2178" spans="5:7" x14ac:dyDescent="0.25">
      <c r="E2178" t="s">
        <v>333</v>
      </c>
      <c r="F2178">
        <v>0</v>
      </c>
      <c r="G2178">
        <v>0</v>
      </c>
    </row>
    <row r="2179" spans="5:7" x14ac:dyDescent="0.25">
      <c r="E2179" t="s">
        <v>333</v>
      </c>
      <c r="F2179">
        <v>8000</v>
      </c>
      <c r="G2179">
        <v>0</v>
      </c>
    </row>
    <row r="2180" spans="5:7" x14ac:dyDescent="0.25">
      <c r="E2180" t="s">
        <v>333</v>
      </c>
      <c r="F2180">
        <v>0</v>
      </c>
      <c r="G2180">
        <v>0</v>
      </c>
    </row>
    <row r="2181" spans="5:7" x14ac:dyDescent="0.25">
      <c r="E2181" t="s">
        <v>333</v>
      </c>
      <c r="F2181">
        <v>0</v>
      </c>
      <c r="G2181">
        <v>0</v>
      </c>
    </row>
    <row r="2182" spans="5:7" x14ac:dyDescent="0.25">
      <c r="E2182" t="s">
        <v>333</v>
      </c>
      <c r="F2182">
        <v>0</v>
      </c>
      <c r="G2182">
        <v>15000</v>
      </c>
    </row>
    <row r="2183" spans="5:7" x14ac:dyDescent="0.25">
      <c r="E2183" t="s">
        <v>333</v>
      </c>
      <c r="F2183">
        <v>0</v>
      </c>
      <c r="G2183">
        <v>0</v>
      </c>
    </row>
    <row r="2184" spans="5:7" x14ac:dyDescent="0.25">
      <c r="E2184" t="s">
        <v>333</v>
      </c>
      <c r="F2184">
        <v>0</v>
      </c>
      <c r="G2184">
        <v>6000</v>
      </c>
    </row>
    <row r="2185" spans="5:7" x14ac:dyDescent="0.25">
      <c r="E2185" t="s">
        <v>333</v>
      </c>
      <c r="F2185">
        <v>0</v>
      </c>
      <c r="G2185">
        <v>0</v>
      </c>
    </row>
    <row r="2186" spans="5:7" x14ac:dyDescent="0.25">
      <c r="E2186" t="s">
        <v>333</v>
      </c>
      <c r="F2186">
        <v>0</v>
      </c>
      <c r="G2186">
        <v>0</v>
      </c>
    </row>
    <row r="2187" spans="5:7" x14ac:dyDescent="0.25">
      <c r="E2187" t="s">
        <v>333</v>
      </c>
      <c r="F2187">
        <v>0</v>
      </c>
      <c r="G2187">
        <v>0</v>
      </c>
    </row>
    <row r="2188" spans="5:7" x14ac:dyDescent="0.25">
      <c r="E2188" t="s">
        <v>333</v>
      </c>
      <c r="F2188">
        <v>0</v>
      </c>
      <c r="G2188">
        <v>6000</v>
      </c>
    </row>
    <row r="2189" spans="5:7" x14ac:dyDescent="0.25">
      <c r="E2189" t="s">
        <v>333</v>
      </c>
      <c r="F2189">
        <v>0</v>
      </c>
      <c r="G2189">
        <v>0</v>
      </c>
    </row>
    <row r="2190" spans="5:7" x14ac:dyDescent="0.25">
      <c r="E2190" t="s">
        <v>333</v>
      </c>
      <c r="F2190">
        <v>0</v>
      </c>
      <c r="G2190">
        <v>0</v>
      </c>
    </row>
    <row r="2191" spans="5:7" x14ac:dyDescent="0.25">
      <c r="E2191" t="s">
        <v>333</v>
      </c>
      <c r="F2191">
        <v>0</v>
      </c>
      <c r="G2191">
        <v>0</v>
      </c>
    </row>
    <row r="2192" spans="5:7" x14ac:dyDescent="0.25">
      <c r="E2192" t="s">
        <v>333</v>
      </c>
      <c r="F2192">
        <v>8000</v>
      </c>
      <c r="G2192">
        <v>0</v>
      </c>
    </row>
    <row r="2193" spans="5:7" x14ac:dyDescent="0.25">
      <c r="E2193" t="s">
        <v>333</v>
      </c>
      <c r="F2193">
        <v>0</v>
      </c>
      <c r="G2193">
        <v>0</v>
      </c>
    </row>
    <row r="2194" spans="5:7" x14ac:dyDescent="0.25">
      <c r="E2194" t="s">
        <v>351</v>
      </c>
      <c r="F2194">
        <v>7000</v>
      </c>
      <c r="G2194">
        <v>0</v>
      </c>
    </row>
    <row r="2195" spans="5:7" x14ac:dyDescent="0.25">
      <c r="E2195" t="s">
        <v>351</v>
      </c>
      <c r="F2195">
        <v>9500</v>
      </c>
      <c r="G2195">
        <v>0</v>
      </c>
    </row>
    <row r="2196" spans="5:7" x14ac:dyDescent="0.25">
      <c r="E2196" t="s">
        <v>351</v>
      </c>
      <c r="F2196">
        <v>15000</v>
      </c>
      <c r="G2196">
        <v>0</v>
      </c>
    </row>
    <row r="2197" spans="5:7" x14ac:dyDescent="0.25">
      <c r="E2197" t="s">
        <v>351</v>
      </c>
      <c r="F2197">
        <v>18000</v>
      </c>
      <c r="G2197">
        <v>0</v>
      </c>
    </row>
    <row r="2198" spans="5:7" x14ac:dyDescent="0.25">
      <c r="E2198" t="s">
        <v>351</v>
      </c>
      <c r="F2198">
        <v>17000</v>
      </c>
      <c r="G2198">
        <v>0</v>
      </c>
    </row>
    <row r="2199" spans="5:7" x14ac:dyDescent="0.25">
      <c r="E2199" t="s">
        <v>351</v>
      </c>
      <c r="F2199">
        <v>20000</v>
      </c>
      <c r="G2199">
        <v>0</v>
      </c>
    </row>
    <row r="2200" spans="5:7" x14ac:dyDescent="0.25">
      <c r="E2200" t="s">
        <v>351</v>
      </c>
      <c r="F2200">
        <v>13000</v>
      </c>
      <c r="G2200">
        <v>0</v>
      </c>
    </row>
    <row r="2201" spans="5:7" x14ac:dyDescent="0.25">
      <c r="E2201" t="s">
        <v>351</v>
      </c>
      <c r="F2201">
        <v>0</v>
      </c>
      <c r="G2201">
        <v>0</v>
      </c>
    </row>
    <row r="2202" spans="5:7" x14ac:dyDescent="0.25">
      <c r="E2202" t="s">
        <v>351</v>
      </c>
      <c r="F2202">
        <v>0</v>
      </c>
      <c r="G2202">
        <v>0</v>
      </c>
    </row>
    <row r="2203" spans="5:7" x14ac:dyDescent="0.25">
      <c r="E2203" t="s">
        <v>351</v>
      </c>
      <c r="F2203">
        <v>0</v>
      </c>
      <c r="G2203">
        <v>0</v>
      </c>
    </row>
    <row r="2204" spans="5:7" x14ac:dyDescent="0.25">
      <c r="E2204" t="s">
        <v>351</v>
      </c>
      <c r="F2204">
        <v>12000</v>
      </c>
      <c r="G2204">
        <v>0</v>
      </c>
    </row>
    <row r="2205" spans="5:7" x14ac:dyDescent="0.25">
      <c r="E2205" t="s">
        <v>351</v>
      </c>
      <c r="F2205">
        <v>40000</v>
      </c>
      <c r="G2205">
        <v>0</v>
      </c>
    </row>
    <row r="2206" spans="5:7" x14ac:dyDescent="0.25">
      <c r="E2206" t="s">
        <v>351</v>
      </c>
      <c r="F2206">
        <v>40000</v>
      </c>
      <c r="G2206">
        <v>0</v>
      </c>
    </row>
    <row r="2207" spans="5:7" x14ac:dyDescent="0.25">
      <c r="E2207" t="s">
        <v>351</v>
      </c>
      <c r="F2207">
        <v>7000</v>
      </c>
      <c r="G2207">
        <v>0</v>
      </c>
    </row>
    <row r="2208" spans="5:7" x14ac:dyDescent="0.25">
      <c r="E2208" t="s">
        <v>351</v>
      </c>
      <c r="F2208">
        <v>22000</v>
      </c>
      <c r="G2208">
        <v>0</v>
      </c>
    </row>
    <row r="2209" spans="5:7" x14ac:dyDescent="0.25">
      <c r="E2209" t="s">
        <v>413</v>
      </c>
      <c r="F2209">
        <v>0</v>
      </c>
      <c r="G2209">
        <v>8000</v>
      </c>
    </row>
    <row r="2210" spans="5:7" x14ac:dyDescent="0.25">
      <c r="E2210" t="s">
        <v>413</v>
      </c>
      <c r="F2210">
        <v>0</v>
      </c>
      <c r="G2210">
        <v>0</v>
      </c>
    </row>
    <row r="2211" spans="5:7" x14ac:dyDescent="0.25">
      <c r="E2211" t="s">
        <v>413</v>
      </c>
      <c r="F2211">
        <v>0</v>
      </c>
      <c r="G2211">
        <v>16000</v>
      </c>
    </row>
    <row r="2212" spans="5:7" x14ac:dyDescent="0.25">
      <c r="E2212" t="s">
        <v>413</v>
      </c>
      <c r="F2212">
        <v>0</v>
      </c>
      <c r="G2212">
        <v>8000</v>
      </c>
    </row>
    <row r="2213" spans="5:7" x14ac:dyDescent="0.25">
      <c r="E2213" t="s">
        <v>413</v>
      </c>
      <c r="F2213">
        <v>0</v>
      </c>
      <c r="G2213">
        <v>0</v>
      </c>
    </row>
    <row r="2214" spans="5:7" x14ac:dyDescent="0.25">
      <c r="E2214" t="s">
        <v>413</v>
      </c>
      <c r="F2214">
        <v>0</v>
      </c>
      <c r="G2214">
        <v>8000</v>
      </c>
    </row>
    <row r="2215" spans="5:7" x14ac:dyDescent="0.25">
      <c r="E2215" t="s">
        <v>413</v>
      </c>
      <c r="F2215">
        <v>0</v>
      </c>
      <c r="G2215">
        <v>4000</v>
      </c>
    </row>
    <row r="2216" spans="5:7" x14ac:dyDescent="0.25">
      <c r="E2216" t="s">
        <v>413</v>
      </c>
      <c r="F2216">
        <v>0</v>
      </c>
      <c r="G2216">
        <v>8000</v>
      </c>
    </row>
    <row r="2217" spans="5:7" x14ac:dyDescent="0.25">
      <c r="E2217" t="s">
        <v>413</v>
      </c>
      <c r="F2217">
        <v>0</v>
      </c>
      <c r="G2217">
        <v>8000</v>
      </c>
    </row>
    <row r="2218" spans="5:7" x14ac:dyDescent="0.25">
      <c r="E2218" t="s">
        <v>413</v>
      </c>
      <c r="F2218">
        <v>0</v>
      </c>
      <c r="G2218">
        <v>0</v>
      </c>
    </row>
    <row r="2219" spans="5:7" x14ac:dyDescent="0.25">
      <c r="E2219" t="s">
        <v>413</v>
      </c>
      <c r="F2219">
        <v>0</v>
      </c>
      <c r="G2219">
        <v>8000</v>
      </c>
    </row>
    <row r="2220" spans="5:7" x14ac:dyDescent="0.25">
      <c r="E2220" t="s">
        <v>413</v>
      </c>
      <c r="F2220">
        <v>0</v>
      </c>
      <c r="G2220">
        <v>0</v>
      </c>
    </row>
    <row r="2221" spans="5:7" x14ac:dyDescent="0.25">
      <c r="E2221" t="s">
        <v>355</v>
      </c>
      <c r="F2221">
        <v>0</v>
      </c>
      <c r="G2221">
        <v>0</v>
      </c>
    </row>
    <row r="2222" spans="5:7" x14ac:dyDescent="0.25">
      <c r="E2222" t="s">
        <v>355</v>
      </c>
      <c r="F2222">
        <v>0</v>
      </c>
      <c r="G2222">
        <v>0</v>
      </c>
    </row>
    <row r="2223" spans="5:7" x14ac:dyDescent="0.25">
      <c r="E2223" t="s">
        <v>355</v>
      </c>
      <c r="F2223">
        <v>16000</v>
      </c>
      <c r="G2223">
        <v>0</v>
      </c>
    </row>
    <row r="2224" spans="5:7" x14ac:dyDescent="0.25">
      <c r="E2224" t="s">
        <v>355</v>
      </c>
      <c r="F2224">
        <v>3100</v>
      </c>
      <c r="G2224">
        <v>0</v>
      </c>
    </row>
    <row r="2225" spans="5:7" x14ac:dyDescent="0.25">
      <c r="E2225" t="s">
        <v>355</v>
      </c>
      <c r="F2225">
        <v>0</v>
      </c>
      <c r="G2225">
        <v>0</v>
      </c>
    </row>
    <row r="2226" spans="5:7" x14ac:dyDescent="0.25">
      <c r="E2226" t="s">
        <v>355</v>
      </c>
      <c r="F2226">
        <v>0</v>
      </c>
      <c r="G2226">
        <v>30000</v>
      </c>
    </row>
    <row r="2227" spans="5:7" x14ac:dyDescent="0.25">
      <c r="E2227" t="s">
        <v>355</v>
      </c>
      <c r="F2227">
        <v>0</v>
      </c>
      <c r="G2227">
        <v>0</v>
      </c>
    </row>
    <row r="2228" spans="5:7" x14ac:dyDescent="0.25">
      <c r="E2228" t="s">
        <v>355</v>
      </c>
      <c r="F2228">
        <v>0</v>
      </c>
      <c r="G2228">
        <v>0</v>
      </c>
    </row>
    <row r="2229" spans="5:7" x14ac:dyDescent="0.25">
      <c r="E2229" t="s">
        <v>355</v>
      </c>
      <c r="F2229">
        <v>0</v>
      </c>
      <c r="G2229">
        <v>5000</v>
      </c>
    </row>
    <row r="2230" spans="5:7" x14ac:dyDescent="0.25">
      <c r="E2230" t="s">
        <v>355</v>
      </c>
      <c r="F2230">
        <v>0</v>
      </c>
      <c r="G2230">
        <v>5000</v>
      </c>
    </row>
    <row r="2231" spans="5:7" x14ac:dyDescent="0.25">
      <c r="E2231" t="s">
        <v>355</v>
      </c>
      <c r="F2231">
        <v>4000</v>
      </c>
      <c r="G2231">
        <v>8000</v>
      </c>
    </row>
    <row r="2232" spans="5:7" x14ac:dyDescent="0.25">
      <c r="E2232" t="s">
        <v>355</v>
      </c>
      <c r="F2232">
        <v>0</v>
      </c>
      <c r="G2232">
        <v>0</v>
      </c>
    </row>
    <row r="2233" spans="5:7" x14ac:dyDescent="0.25">
      <c r="E2233" t="s">
        <v>355</v>
      </c>
      <c r="F2233">
        <v>0</v>
      </c>
      <c r="G2233">
        <v>30000</v>
      </c>
    </row>
    <row r="2234" spans="5:7" x14ac:dyDescent="0.25">
      <c r="E2234" t="s">
        <v>355</v>
      </c>
      <c r="F2234">
        <v>0</v>
      </c>
      <c r="G2234">
        <v>6000</v>
      </c>
    </row>
    <row r="2235" spans="5:7" x14ac:dyDescent="0.25">
      <c r="E2235" t="s">
        <v>355</v>
      </c>
      <c r="F2235">
        <v>0</v>
      </c>
      <c r="G2235">
        <v>30000</v>
      </c>
    </row>
    <row r="2236" spans="5:7" x14ac:dyDescent="0.25">
      <c r="E2236" t="s">
        <v>355</v>
      </c>
      <c r="F2236">
        <v>8000</v>
      </c>
      <c r="G2236">
        <v>0</v>
      </c>
    </row>
    <row r="2237" spans="5:7" x14ac:dyDescent="0.25">
      <c r="E2237" t="s">
        <v>355</v>
      </c>
      <c r="F2237">
        <v>0</v>
      </c>
      <c r="G2237">
        <v>17000</v>
      </c>
    </row>
    <row r="2238" spans="5:7" x14ac:dyDescent="0.25">
      <c r="E2238" t="s">
        <v>355</v>
      </c>
      <c r="F2238">
        <v>16000</v>
      </c>
      <c r="G2238">
        <v>0</v>
      </c>
    </row>
    <row r="2239" spans="5:7" x14ac:dyDescent="0.25">
      <c r="E2239" t="s">
        <v>355</v>
      </c>
      <c r="F2239">
        <v>0</v>
      </c>
      <c r="G2239">
        <v>20000</v>
      </c>
    </row>
    <row r="2240" spans="5:7" x14ac:dyDescent="0.25">
      <c r="E2240" t="s">
        <v>355</v>
      </c>
      <c r="F2240">
        <v>0</v>
      </c>
      <c r="G2240">
        <v>0</v>
      </c>
    </row>
    <row r="2241" spans="5:7" x14ac:dyDescent="0.25">
      <c r="E2241" t="s">
        <v>355</v>
      </c>
      <c r="F2241">
        <v>0</v>
      </c>
      <c r="G2241">
        <v>0</v>
      </c>
    </row>
    <row r="2242" spans="5:7" x14ac:dyDescent="0.25">
      <c r="E2242" t="s">
        <v>355</v>
      </c>
      <c r="F2242">
        <v>0</v>
      </c>
      <c r="G2242">
        <v>0</v>
      </c>
    </row>
    <row r="2243" spans="5:7" x14ac:dyDescent="0.25">
      <c r="E2243" t="s">
        <v>355</v>
      </c>
      <c r="F2243">
        <v>0</v>
      </c>
      <c r="G2243">
        <v>22000</v>
      </c>
    </row>
    <row r="2244" spans="5:7" x14ac:dyDescent="0.25">
      <c r="E2244" t="s">
        <v>355</v>
      </c>
      <c r="F2244">
        <v>0</v>
      </c>
      <c r="G2244">
        <v>27000</v>
      </c>
    </row>
    <row r="2245" spans="5:7" x14ac:dyDescent="0.25">
      <c r="E2245" t="s">
        <v>355</v>
      </c>
      <c r="F2245">
        <v>0</v>
      </c>
      <c r="G2245">
        <v>22000</v>
      </c>
    </row>
    <row r="2246" spans="5:7" x14ac:dyDescent="0.25">
      <c r="E2246" t="s">
        <v>355</v>
      </c>
      <c r="F2246">
        <v>0</v>
      </c>
      <c r="G2246">
        <v>0</v>
      </c>
    </row>
    <row r="2247" spans="5:7" x14ac:dyDescent="0.25">
      <c r="E2247" t="s">
        <v>355</v>
      </c>
      <c r="F2247">
        <v>0</v>
      </c>
      <c r="G2247">
        <v>0</v>
      </c>
    </row>
    <row r="2248" spans="5:7" x14ac:dyDescent="0.25">
      <c r="E2248" t="s">
        <v>355</v>
      </c>
      <c r="F2248">
        <v>0</v>
      </c>
      <c r="G2248">
        <v>0</v>
      </c>
    </row>
    <row r="2249" spans="5:7" x14ac:dyDescent="0.25">
      <c r="E2249" t="s">
        <v>355</v>
      </c>
      <c r="F2249">
        <v>0</v>
      </c>
      <c r="G2249">
        <v>17000</v>
      </c>
    </row>
    <row r="2250" spans="5:7" x14ac:dyDescent="0.25">
      <c r="E2250" t="s">
        <v>355</v>
      </c>
      <c r="F2250">
        <v>0</v>
      </c>
      <c r="G2250">
        <v>0</v>
      </c>
    </row>
    <row r="2251" spans="5:7" x14ac:dyDescent="0.25">
      <c r="E2251" t="s">
        <v>355</v>
      </c>
      <c r="F2251">
        <v>0</v>
      </c>
      <c r="G2251">
        <v>0</v>
      </c>
    </row>
    <row r="2252" spans="5:7" x14ac:dyDescent="0.25">
      <c r="E2252" t="s">
        <v>355</v>
      </c>
      <c r="F2252">
        <v>2100</v>
      </c>
      <c r="G2252">
        <v>0</v>
      </c>
    </row>
    <row r="2253" spans="5:7" x14ac:dyDescent="0.25">
      <c r="E2253" t="s">
        <v>357</v>
      </c>
      <c r="F2253">
        <v>0</v>
      </c>
      <c r="G2253">
        <v>17000</v>
      </c>
    </row>
    <row r="2254" spans="5:7" x14ac:dyDescent="0.25">
      <c r="E2254" t="s">
        <v>357</v>
      </c>
      <c r="F2254">
        <v>0</v>
      </c>
      <c r="G2254">
        <v>1600</v>
      </c>
    </row>
    <row r="2255" spans="5:7" x14ac:dyDescent="0.25">
      <c r="E2255" t="s">
        <v>357</v>
      </c>
      <c r="F2255">
        <v>0</v>
      </c>
      <c r="G2255">
        <v>8000</v>
      </c>
    </row>
    <row r="2256" spans="5:7" x14ac:dyDescent="0.25">
      <c r="E2256" t="s">
        <v>357</v>
      </c>
      <c r="F2256">
        <v>0</v>
      </c>
      <c r="G2256">
        <v>3000</v>
      </c>
    </row>
    <row r="2257" spans="5:7" x14ac:dyDescent="0.25">
      <c r="E2257" t="s">
        <v>357</v>
      </c>
      <c r="F2257">
        <v>0</v>
      </c>
      <c r="G2257">
        <v>1600</v>
      </c>
    </row>
    <row r="2258" spans="5:7" x14ac:dyDescent="0.25">
      <c r="E2258" t="s">
        <v>357</v>
      </c>
      <c r="F2258">
        <v>0</v>
      </c>
      <c r="G2258">
        <v>0</v>
      </c>
    </row>
    <row r="2259" spans="5:7" x14ac:dyDescent="0.25">
      <c r="E2259" t="s">
        <v>357</v>
      </c>
      <c r="F2259">
        <v>0</v>
      </c>
      <c r="G2259">
        <v>3000</v>
      </c>
    </row>
    <row r="2260" spans="5:7" x14ac:dyDescent="0.25">
      <c r="E2260" t="s">
        <v>357</v>
      </c>
      <c r="F2260">
        <v>0</v>
      </c>
      <c r="G2260">
        <v>1600</v>
      </c>
    </row>
    <row r="2261" spans="5:7" x14ac:dyDescent="0.25">
      <c r="E2261" t="s">
        <v>357</v>
      </c>
      <c r="F2261">
        <v>0</v>
      </c>
      <c r="G2261">
        <v>4000</v>
      </c>
    </row>
    <row r="2262" spans="5:7" x14ac:dyDescent="0.25">
      <c r="E2262" t="s">
        <v>359</v>
      </c>
      <c r="F2262">
        <v>0</v>
      </c>
      <c r="G2262">
        <v>7000</v>
      </c>
    </row>
    <row r="2263" spans="5:7" x14ac:dyDescent="0.25">
      <c r="E2263" t="s">
        <v>359</v>
      </c>
      <c r="F2263">
        <v>0</v>
      </c>
      <c r="G2263">
        <v>7000</v>
      </c>
    </row>
    <row r="2264" spans="5:7" x14ac:dyDescent="0.25">
      <c r="E2264" t="s">
        <v>359</v>
      </c>
      <c r="F2264">
        <v>16000</v>
      </c>
      <c r="G2264">
        <v>0</v>
      </c>
    </row>
    <row r="2265" spans="5:7" x14ac:dyDescent="0.25">
      <c r="E2265" t="s">
        <v>361</v>
      </c>
      <c r="F2265">
        <v>8000</v>
      </c>
      <c r="G2265">
        <v>0</v>
      </c>
    </row>
    <row r="2266" spans="5:7" x14ac:dyDescent="0.25">
      <c r="E2266" t="s">
        <v>361</v>
      </c>
      <c r="F2266">
        <v>0</v>
      </c>
      <c r="G2266">
        <v>8000</v>
      </c>
    </row>
    <row r="2267" spans="5:7" x14ac:dyDescent="0.25">
      <c r="E2267" t="s">
        <v>444</v>
      </c>
      <c r="F2267">
        <v>0</v>
      </c>
      <c r="G2267">
        <v>0</v>
      </c>
    </row>
    <row r="2268" spans="5:7" x14ac:dyDescent="0.25">
      <c r="E2268" t="s">
        <v>444</v>
      </c>
      <c r="F2268">
        <v>0</v>
      </c>
      <c r="G2268">
        <v>0</v>
      </c>
    </row>
    <row r="2269" spans="5:7" x14ac:dyDescent="0.25">
      <c r="E2269" t="s">
        <v>444</v>
      </c>
      <c r="F2269">
        <v>0</v>
      </c>
      <c r="G2269">
        <v>0</v>
      </c>
    </row>
    <row r="2270" spans="5:7" x14ac:dyDescent="0.25">
      <c r="E2270" t="s">
        <v>487</v>
      </c>
      <c r="F2270">
        <v>0</v>
      </c>
      <c r="G2270">
        <v>30000</v>
      </c>
    </row>
    <row r="2271" spans="5:7" x14ac:dyDescent="0.25">
      <c r="E2271" t="s">
        <v>487</v>
      </c>
      <c r="F2271">
        <v>0</v>
      </c>
      <c r="G2271">
        <v>0</v>
      </c>
    </row>
    <row r="2272" spans="5:7" x14ac:dyDescent="0.25">
      <c r="E2272" t="s">
        <v>489</v>
      </c>
      <c r="F2272">
        <v>0</v>
      </c>
      <c r="G2272">
        <v>4000</v>
      </c>
    </row>
    <row r="2273" spans="5:7" x14ac:dyDescent="0.25">
      <c r="E2273" t="s">
        <v>489</v>
      </c>
      <c r="F2273">
        <v>0</v>
      </c>
      <c r="G2273">
        <v>3000</v>
      </c>
    </row>
    <row r="2274" spans="5:7" x14ac:dyDescent="0.25">
      <c r="E2274" t="s">
        <v>489</v>
      </c>
      <c r="F2274">
        <v>0</v>
      </c>
      <c r="G2274">
        <v>2600</v>
      </c>
    </row>
    <row r="2275" spans="5:7" x14ac:dyDescent="0.25">
      <c r="E2275" t="s">
        <v>489</v>
      </c>
      <c r="F2275">
        <v>0</v>
      </c>
      <c r="G2275">
        <v>3000</v>
      </c>
    </row>
    <row r="2276" spans="5:7" x14ac:dyDescent="0.25">
      <c r="E2276" t="s">
        <v>489</v>
      </c>
      <c r="F2276">
        <v>0</v>
      </c>
      <c r="G2276">
        <v>0</v>
      </c>
    </row>
    <row r="2277" spans="5:7" x14ac:dyDescent="0.25">
      <c r="E2277" t="s">
        <v>489</v>
      </c>
      <c r="F2277">
        <v>0</v>
      </c>
      <c r="G2277">
        <v>2600</v>
      </c>
    </row>
    <row r="2278" spans="5:7" x14ac:dyDescent="0.25">
      <c r="E2278" t="s">
        <v>489</v>
      </c>
      <c r="F2278">
        <v>0</v>
      </c>
      <c r="G2278">
        <v>0</v>
      </c>
    </row>
    <row r="2279" spans="5:7" x14ac:dyDescent="0.25">
      <c r="E2279" t="s">
        <v>489</v>
      </c>
      <c r="F2279">
        <v>0</v>
      </c>
      <c r="G2279">
        <v>3000</v>
      </c>
    </row>
    <row r="2280" spans="5:7" x14ac:dyDescent="0.25">
      <c r="E2280" t="s">
        <v>597</v>
      </c>
      <c r="F2280">
        <v>0</v>
      </c>
      <c r="G2280">
        <v>0</v>
      </c>
    </row>
    <row r="2281" spans="5:7" x14ac:dyDescent="0.25">
      <c r="E2281" t="s">
        <v>597</v>
      </c>
      <c r="F2281">
        <v>0</v>
      </c>
      <c r="G2281">
        <v>0</v>
      </c>
    </row>
    <row r="2282" spans="5:7" x14ac:dyDescent="0.25">
      <c r="E2282" t="s">
        <v>597</v>
      </c>
      <c r="F2282">
        <v>0</v>
      </c>
      <c r="G2282">
        <v>0</v>
      </c>
    </row>
    <row r="2283" spans="5:7" x14ac:dyDescent="0.25">
      <c r="E2283" t="s">
        <v>597</v>
      </c>
      <c r="F2283">
        <v>0</v>
      </c>
      <c r="G2283">
        <v>0</v>
      </c>
    </row>
    <row r="2284" spans="5:7" x14ac:dyDescent="0.25">
      <c r="E2284" t="s">
        <v>597</v>
      </c>
      <c r="F2284">
        <v>0</v>
      </c>
      <c r="G2284">
        <v>0</v>
      </c>
    </row>
    <row r="2285" spans="5:7" x14ac:dyDescent="0.25">
      <c r="E2285" t="s">
        <v>597</v>
      </c>
      <c r="F2285">
        <v>0</v>
      </c>
      <c r="G2285">
        <v>0</v>
      </c>
    </row>
    <row r="2286" spans="5:7" x14ac:dyDescent="0.25">
      <c r="E2286" t="s">
        <v>597</v>
      </c>
      <c r="F2286">
        <v>0</v>
      </c>
      <c r="G2286">
        <v>0</v>
      </c>
    </row>
    <row r="2287" spans="5:7" x14ac:dyDescent="0.25">
      <c r="E2287" t="s">
        <v>597</v>
      </c>
      <c r="F2287">
        <v>0</v>
      </c>
      <c r="G2287">
        <v>0</v>
      </c>
    </row>
    <row r="2288" spans="5:7" x14ac:dyDescent="0.25">
      <c r="E2288" t="s">
        <v>597</v>
      </c>
      <c r="F2288">
        <v>28000</v>
      </c>
      <c r="G2288">
        <v>0</v>
      </c>
    </row>
    <row r="2289" spans="5:7" x14ac:dyDescent="0.25">
      <c r="E2289" t="s">
        <v>597</v>
      </c>
      <c r="F2289">
        <v>0</v>
      </c>
      <c r="G2289">
        <v>0</v>
      </c>
    </row>
    <row r="2290" spans="5:7" x14ac:dyDescent="0.25">
      <c r="E2290" t="s">
        <v>597</v>
      </c>
      <c r="F2290">
        <v>0</v>
      </c>
      <c r="G2290">
        <v>0</v>
      </c>
    </row>
    <row r="2291" spans="5:7" x14ac:dyDescent="0.25">
      <c r="E2291" t="s">
        <v>597</v>
      </c>
      <c r="F2291">
        <v>0</v>
      </c>
      <c r="G2291">
        <v>0</v>
      </c>
    </row>
    <row r="2292" spans="5:7" x14ac:dyDescent="0.25">
      <c r="E2292" t="s">
        <v>597</v>
      </c>
      <c r="F2292">
        <v>0</v>
      </c>
      <c r="G2292">
        <v>0</v>
      </c>
    </row>
    <row r="2293" spans="5:7" x14ac:dyDescent="0.25">
      <c r="E2293" t="s">
        <v>597</v>
      </c>
      <c r="F2293">
        <v>0</v>
      </c>
      <c r="G2293">
        <v>0</v>
      </c>
    </row>
    <row r="2294" spans="5:7" x14ac:dyDescent="0.25">
      <c r="E2294" t="s">
        <v>597</v>
      </c>
      <c r="F2294">
        <v>0</v>
      </c>
      <c r="G2294">
        <v>0</v>
      </c>
    </row>
    <row r="2295" spans="5:7" x14ac:dyDescent="0.25">
      <c r="E2295" t="s">
        <v>597</v>
      </c>
      <c r="F2295">
        <v>0</v>
      </c>
      <c r="G2295">
        <v>0</v>
      </c>
    </row>
    <row r="2296" spans="5:7" x14ac:dyDescent="0.25">
      <c r="E2296" t="s">
        <v>597</v>
      </c>
      <c r="F2296">
        <v>0</v>
      </c>
      <c r="G2296">
        <v>0</v>
      </c>
    </row>
    <row r="2297" spans="5:7" x14ac:dyDescent="0.25">
      <c r="E2297" t="s">
        <v>597</v>
      </c>
      <c r="F2297">
        <v>0</v>
      </c>
      <c r="G2297">
        <v>0</v>
      </c>
    </row>
    <row r="2298" spans="5:7" x14ac:dyDescent="0.25">
      <c r="E2298" t="s">
        <v>597</v>
      </c>
      <c r="F2298">
        <v>0</v>
      </c>
      <c r="G2298">
        <v>0</v>
      </c>
    </row>
    <row r="2299" spans="5:7" x14ac:dyDescent="0.25">
      <c r="E2299" t="s">
        <v>597</v>
      </c>
      <c r="F2299">
        <v>0</v>
      </c>
      <c r="G2299">
        <v>0</v>
      </c>
    </row>
    <row r="2300" spans="5:7" x14ac:dyDescent="0.25">
      <c r="E2300" t="s">
        <v>597</v>
      </c>
      <c r="F2300">
        <v>0</v>
      </c>
      <c r="G2300">
        <v>0</v>
      </c>
    </row>
    <row r="2301" spans="5:7" x14ac:dyDescent="0.25">
      <c r="E2301" t="s">
        <v>597</v>
      </c>
      <c r="F2301">
        <v>0</v>
      </c>
      <c r="G2301">
        <v>0</v>
      </c>
    </row>
    <row r="2302" spans="5:7" x14ac:dyDescent="0.25">
      <c r="E2302" t="s">
        <v>597</v>
      </c>
      <c r="F2302">
        <v>0</v>
      </c>
      <c r="G2302">
        <v>0</v>
      </c>
    </row>
    <row r="2303" spans="5:7" x14ac:dyDescent="0.25">
      <c r="E2303" t="s">
        <v>597</v>
      </c>
      <c r="F2303">
        <v>0</v>
      </c>
      <c r="G2303">
        <v>0</v>
      </c>
    </row>
    <row r="2304" spans="5:7" x14ac:dyDescent="0.25">
      <c r="E2304" t="s">
        <v>597</v>
      </c>
      <c r="F2304">
        <v>0</v>
      </c>
      <c r="G2304">
        <v>0</v>
      </c>
    </row>
    <row r="2305" spans="5:7" x14ac:dyDescent="0.25">
      <c r="E2305" t="s">
        <v>597</v>
      </c>
      <c r="F2305">
        <v>0</v>
      </c>
      <c r="G2305">
        <v>0</v>
      </c>
    </row>
    <row r="2306" spans="5:7" x14ac:dyDescent="0.25">
      <c r="E2306" t="s">
        <v>597</v>
      </c>
      <c r="F2306">
        <v>0</v>
      </c>
      <c r="G2306">
        <v>0</v>
      </c>
    </row>
    <row r="2307" spans="5:7" x14ac:dyDescent="0.25">
      <c r="E2307" t="s">
        <v>597</v>
      </c>
      <c r="F2307">
        <v>0</v>
      </c>
      <c r="G2307">
        <v>0</v>
      </c>
    </row>
    <row r="2308" spans="5:7" x14ac:dyDescent="0.25">
      <c r="E2308" t="s">
        <v>597</v>
      </c>
      <c r="F2308">
        <v>0</v>
      </c>
      <c r="G2308">
        <v>0</v>
      </c>
    </row>
    <row r="2309" spans="5:7" x14ac:dyDescent="0.25">
      <c r="E2309" t="s">
        <v>597</v>
      </c>
      <c r="F2309">
        <v>0</v>
      </c>
      <c r="G2309">
        <v>0</v>
      </c>
    </row>
    <row r="2310" spans="5:7" x14ac:dyDescent="0.25">
      <c r="E2310" t="s">
        <v>597</v>
      </c>
      <c r="F2310">
        <v>0</v>
      </c>
      <c r="G2310">
        <v>0</v>
      </c>
    </row>
    <row r="2311" spans="5:7" x14ac:dyDescent="0.25">
      <c r="E2311" t="s">
        <v>597</v>
      </c>
      <c r="F2311">
        <v>0</v>
      </c>
      <c r="G2311">
        <v>0</v>
      </c>
    </row>
    <row r="2312" spans="5:7" x14ac:dyDescent="0.25">
      <c r="E2312" t="s">
        <v>597</v>
      </c>
      <c r="F2312">
        <v>0</v>
      </c>
      <c r="G2312">
        <v>0</v>
      </c>
    </row>
    <row r="2313" spans="5:7" x14ac:dyDescent="0.25">
      <c r="E2313" t="s">
        <v>363</v>
      </c>
      <c r="F2313">
        <v>0</v>
      </c>
      <c r="G2313">
        <v>0</v>
      </c>
    </row>
    <row r="2314" spans="5:7" x14ac:dyDescent="0.25">
      <c r="E2314" t="s">
        <v>363</v>
      </c>
      <c r="F2314">
        <v>17000</v>
      </c>
      <c r="G2314">
        <v>0</v>
      </c>
    </row>
    <row r="2315" spans="5:7" x14ac:dyDescent="0.25">
      <c r="E2315" t="s">
        <v>363</v>
      </c>
      <c r="F2315">
        <v>20200</v>
      </c>
      <c r="G2315">
        <v>0</v>
      </c>
    </row>
    <row r="2316" spans="5:7" x14ac:dyDescent="0.25">
      <c r="E2316" t="s">
        <v>363</v>
      </c>
      <c r="F2316">
        <v>0</v>
      </c>
      <c r="G2316">
        <v>0</v>
      </c>
    </row>
    <row r="2317" spans="5:7" x14ac:dyDescent="0.25">
      <c r="E2317" t="s">
        <v>363</v>
      </c>
      <c r="F2317">
        <v>19000</v>
      </c>
      <c r="G2317">
        <v>0</v>
      </c>
    </row>
    <row r="2318" spans="5:7" x14ac:dyDescent="0.25">
      <c r="E2318" t="s">
        <v>363</v>
      </c>
      <c r="F2318">
        <v>37000</v>
      </c>
      <c r="G2318">
        <v>0</v>
      </c>
    </row>
    <row r="2319" spans="5:7" x14ac:dyDescent="0.25">
      <c r="E2319" t="s">
        <v>363</v>
      </c>
      <c r="F2319">
        <v>12000</v>
      </c>
      <c r="G2319">
        <v>0</v>
      </c>
    </row>
    <row r="2320" spans="5:7" x14ac:dyDescent="0.25">
      <c r="E2320" t="s">
        <v>363</v>
      </c>
      <c r="F2320">
        <v>15000</v>
      </c>
      <c r="G2320">
        <v>25000</v>
      </c>
    </row>
    <row r="2321" spans="5:7" x14ac:dyDescent="0.25">
      <c r="E2321" t="s">
        <v>363</v>
      </c>
      <c r="F2321">
        <v>0</v>
      </c>
      <c r="G2321">
        <v>0</v>
      </c>
    </row>
    <row r="2322" spans="5:7" x14ac:dyDescent="0.25">
      <c r="E2322" t="s">
        <v>363</v>
      </c>
      <c r="F2322">
        <v>0</v>
      </c>
      <c r="G2322">
        <v>0</v>
      </c>
    </row>
    <row r="2323" spans="5:7" x14ac:dyDescent="0.25">
      <c r="E2323" t="s">
        <v>363</v>
      </c>
      <c r="F2323">
        <v>0</v>
      </c>
      <c r="G2323">
        <v>0</v>
      </c>
    </row>
    <row r="2324" spans="5:7" x14ac:dyDescent="0.25">
      <c r="E2324" t="s">
        <v>363</v>
      </c>
      <c r="F2324">
        <v>37000</v>
      </c>
      <c r="G2324">
        <v>0</v>
      </c>
    </row>
    <row r="2325" spans="5:7" x14ac:dyDescent="0.25">
      <c r="E2325" t="s">
        <v>363</v>
      </c>
      <c r="F2325">
        <v>0</v>
      </c>
      <c r="G2325">
        <v>0</v>
      </c>
    </row>
    <row r="2326" spans="5:7" x14ac:dyDescent="0.25">
      <c r="E2326" t="s">
        <v>363</v>
      </c>
      <c r="F2326">
        <v>40000</v>
      </c>
      <c r="G2326">
        <v>0</v>
      </c>
    </row>
    <row r="2327" spans="5:7" x14ac:dyDescent="0.25">
      <c r="E2327" t="s">
        <v>363</v>
      </c>
      <c r="F2327">
        <v>0</v>
      </c>
      <c r="G2327">
        <v>0</v>
      </c>
    </row>
    <row r="2328" spans="5:7" x14ac:dyDescent="0.25">
      <c r="E2328" t="s">
        <v>363</v>
      </c>
      <c r="F2328">
        <v>15000</v>
      </c>
      <c r="G2328">
        <v>0</v>
      </c>
    </row>
    <row r="2329" spans="5:7" x14ac:dyDescent="0.25">
      <c r="E2329" t="s">
        <v>363</v>
      </c>
      <c r="F2329">
        <v>25000</v>
      </c>
      <c r="G2329">
        <v>0</v>
      </c>
    </row>
    <row r="2330" spans="5:7" x14ac:dyDescent="0.25">
      <c r="E2330" t="s">
        <v>363</v>
      </c>
      <c r="F2330">
        <v>0</v>
      </c>
      <c r="G2330">
        <v>0</v>
      </c>
    </row>
    <row r="2331" spans="5:7" x14ac:dyDescent="0.25">
      <c r="E2331" t="s">
        <v>363</v>
      </c>
      <c r="F2331">
        <v>28000</v>
      </c>
      <c r="G2331">
        <v>0</v>
      </c>
    </row>
    <row r="2332" spans="5:7" x14ac:dyDescent="0.25">
      <c r="E2332" t="s">
        <v>363</v>
      </c>
      <c r="F2332">
        <v>15000</v>
      </c>
      <c r="G2332">
        <v>0</v>
      </c>
    </row>
    <row r="2333" spans="5:7" x14ac:dyDescent="0.25">
      <c r="E2333" t="s">
        <v>414</v>
      </c>
      <c r="F2333">
        <v>0</v>
      </c>
      <c r="G2333">
        <v>0</v>
      </c>
    </row>
    <row r="2334" spans="5:7" x14ac:dyDescent="0.25">
      <c r="E2334" t="s">
        <v>414</v>
      </c>
      <c r="F2334">
        <v>0</v>
      </c>
      <c r="G2334">
        <v>0</v>
      </c>
    </row>
    <row r="2335" spans="5:7" x14ac:dyDescent="0.25">
      <c r="E2335" t="s">
        <v>414</v>
      </c>
      <c r="F2335">
        <v>0</v>
      </c>
      <c r="G2335">
        <v>0</v>
      </c>
    </row>
    <row r="2336" spans="5:7" x14ac:dyDescent="0.25">
      <c r="E2336" t="s">
        <v>414</v>
      </c>
      <c r="F2336">
        <v>0</v>
      </c>
      <c r="G2336">
        <v>0</v>
      </c>
    </row>
    <row r="2337" spans="5:7" x14ac:dyDescent="0.25">
      <c r="E2337" t="s">
        <v>414</v>
      </c>
      <c r="F2337">
        <v>0</v>
      </c>
      <c r="G2337">
        <v>0</v>
      </c>
    </row>
    <row r="2338" spans="5:7" x14ac:dyDescent="0.25">
      <c r="E2338" t="s">
        <v>414</v>
      </c>
      <c r="F2338">
        <v>0</v>
      </c>
      <c r="G2338">
        <v>0</v>
      </c>
    </row>
    <row r="2339" spans="5:7" x14ac:dyDescent="0.25">
      <c r="E2339" t="s">
        <v>414</v>
      </c>
      <c r="F2339">
        <v>0</v>
      </c>
      <c r="G2339">
        <v>0</v>
      </c>
    </row>
    <row r="2340" spans="5:7" x14ac:dyDescent="0.25">
      <c r="E2340" t="s">
        <v>414</v>
      </c>
      <c r="F2340">
        <v>0</v>
      </c>
      <c r="G2340">
        <v>0</v>
      </c>
    </row>
    <row r="2341" spans="5:7" x14ac:dyDescent="0.25">
      <c r="E2341" t="s">
        <v>414</v>
      </c>
      <c r="F2341">
        <v>0</v>
      </c>
      <c r="G2341">
        <v>0</v>
      </c>
    </row>
    <row r="2342" spans="5:7" x14ac:dyDescent="0.25">
      <c r="E2342" t="s">
        <v>414</v>
      </c>
      <c r="F2342">
        <v>0</v>
      </c>
      <c r="G2342">
        <v>0</v>
      </c>
    </row>
    <row r="2343" spans="5:7" x14ac:dyDescent="0.25">
      <c r="E2343" t="s">
        <v>414</v>
      </c>
      <c r="F2343">
        <v>0</v>
      </c>
      <c r="G2343">
        <v>0</v>
      </c>
    </row>
    <row r="2344" spans="5:7" x14ac:dyDescent="0.25">
      <c r="E2344" t="s">
        <v>414</v>
      </c>
      <c r="F2344">
        <v>0</v>
      </c>
      <c r="G2344">
        <v>0</v>
      </c>
    </row>
    <row r="2345" spans="5:7" x14ac:dyDescent="0.25">
      <c r="E2345" t="s">
        <v>414</v>
      </c>
      <c r="F2345">
        <v>0</v>
      </c>
      <c r="G2345">
        <v>0</v>
      </c>
    </row>
    <row r="2346" spans="5:7" x14ac:dyDescent="0.25">
      <c r="E2346" t="s">
        <v>414</v>
      </c>
      <c r="F2346">
        <v>0</v>
      </c>
      <c r="G2346">
        <v>0</v>
      </c>
    </row>
    <row r="2347" spans="5:7" x14ac:dyDescent="0.25">
      <c r="E2347" t="s">
        <v>414</v>
      </c>
      <c r="F2347">
        <v>0</v>
      </c>
      <c r="G2347">
        <v>0</v>
      </c>
    </row>
    <row r="2348" spans="5:7" x14ac:dyDescent="0.25">
      <c r="E2348" t="s">
        <v>414</v>
      </c>
      <c r="F2348">
        <v>0</v>
      </c>
      <c r="G2348">
        <v>0</v>
      </c>
    </row>
    <row r="2349" spans="5:7" x14ac:dyDescent="0.25">
      <c r="E2349" t="s">
        <v>414</v>
      </c>
      <c r="F2349">
        <v>0</v>
      </c>
      <c r="G2349">
        <v>0</v>
      </c>
    </row>
    <row r="2350" spans="5:7" x14ac:dyDescent="0.25">
      <c r="E2350" t="s">
        <v>414</v>
      </c>
      <c r="F2350">
        <v>0</v>
      </c>
      <c r="G2350">
        <v>0</v>
      </c>
    </row>
    <row r="2351" spans="5:7" x14ac:dyDescent="0.25">
      <c r="E2351" t="s">
        <v>414</v>
      </c>
      <c r="F2351">
        <v>0</v>
      </c>
      <c r="G2351">
        <v>0</v>
      </c>
    </row>
    <row r="2352" spans="5:7" x14ac:dyDescent="0.25">
      <c r="E2352" t="s">
        <v>414</v>
      </c>
      <c r="F2352">
        <v>0</v>
      </c>
      <c r="G2352">
        <v>0</v>
      </c>
    </row>
    <row r="2353" spans="5:7" x14ac:dyDescent="0.25">
      <c r="E2353" t="s">
        <v>414</v>
      </c>
      <c r="F2353">
        <v>0</v>
      </c>
      <c r="G2353">
        <v>0</v>
      </c>
    </row>
    <row r="2354" spans="5:7" x14ac:dyDescent="0.25">
      <c r="E2354" t="s">
        <v>414</v>
      </c>
      <c r="F2354">
        <v>0</v>
      </c>
      <c r="G2354">
        <v>0</v>
      </c>
    </row>
    <row r="2355" spans="5:7" x14ac:dyDescent="0.25">
      <c r="E2355" t="s">
        <v>414</v>
      </c>
      <c r="F2355">
        <v>0</v>
      </c>
      <c r="G2355">
        <v>0</v>
      </c>
    </row>
    <row r="2356" spans="5:7" x14ac:dyDescent="0.25">
      <c r="E2356" t="s">
        <v>414</v>
      </c>
      <c r="F2356">
        <v>0</v>
      </c>
      <c r="G2356">
        <v>0</v>
      </c>
    </row>
    <row r="2357" spans="5:7" x14ac:dyDescent="0.25">
      <c r="E2357" t="s">
        <v>414</v>
      </c>
      <c r="F2357">
        <v>0</v>
      </c>
      <c r="G2357">
        <v>0</v>
      </c>
    </row>
    <row r="2358" spans="5:7" x14ac:dyDescent="0.25">
      <c r="E2358" t="s">
        <v>414</v>
      </c>
      <c r="F2358">
        <v>0</v>
      </c>
      <c r="G2358">
        <v>0</v>
      </c>
    </row>
    <row r="2359" spans="5:7" x14ac:dyDescent="0.25">
      <c r="E2359" t="s">
        <v>414</v>
      </c>
      <c r="F2359">
        <v>0</v>
      </c>
      <c r="G2359">
        <v>0</v>
      </c>
    </row>
    <row r="2360" spans="5:7" x14ac:dyDescent="0.25">
      <c r="E2360" t="s">
        <v>414</v>
      </c>
      <c r="F2360">
        <v>0</v>
      </c>
      <c r="G2360">
        <v>0</v>
      </c>
    </row>
    <row r="2361" spans="5:7" x14ac:dyDescent="0.25">
      <c r="E2361" t="s">
        <v>414</v>
      </c>
      <c r="F2361">
        <v>0</v>
      </c>
      <c r="G2361">
        <v>0</v>
      </c>
    </row>
    <row r="2362" spans="5:7" x14ac:dyDescent="0.25">
      <c r="E2362" t="s">
        <v>414</v>
      </c>
      <c r="F2362">
        <v>0</v>
      </c>
      <c r="G2362">
        <v>0</v>
      </c>
    </row>
    <row r="2363" spans="5:7" x14ac:dyDescent="0.25">
      <c r="E2363" t="s">
        <v>414</v>
      </c>
      <c r="F2363">
        <v>0</v>
      </c>
      <c r="G2363">
        <v>0</v>
      </c>
    </row>
    <row r="2364" spans="5:7" x14ac:dyDescent="0.25">
      <c r="E2364" t="s">
        <v>414</v>
      </c>
      <c r="F2364">
        <v>0</v>
      </c>
      <c r="G2364">
        <v>0</v>
      </c>
    </row>
    <row r="2365" spans="5:7" x14ac:dyDescent="0.25">
      <c r="E2365" t="s">
        <v>414</v>
      </c>
      <c r="F2365">
        <v>0</v>
      </c>
      <c r="G2365">
        <v>0</v>
      </c>
    </row>
    <row r="2366" spans="5:7" x14ac:dyDescent="0.25">
      <c r="E2366" t="s">
        <v>414</v>
      </c>
      <c r="F2366">
        <v>0</v>
      </c>
      <c r="G2366">
        <v>0</v>
      </c>
    </row>
    <row r="2367" spans="5:7" x14ac:dyDescent="0.25">
      <c r="E2367" t="s">
        <v>414</v>
      </c>
      <c r="F2367">
        <v>0</v>
      </c>
      <c r="G2367">
        <v>0</v>
      </c>
    </row>
    <row r="2368" spans="5:7" x14ac:dyDescent="0.25">
      <c r="E2368" t="s">
        <v>414</v>
      </c>
      <c r="F2368">
        <v>0</v>
      </c>
      <c r="G2368">
        <v>0</v>
      </c>
    </row>
    <row r="2369" spans="5:7" x14ac:dyDescent="0.25">
      <c r="E2369" t="s">
        <v>414</v>
      </c>
      <c r="F2369">
        <v>0</v>
      </c>
      <c r="G2369">
        <v>0</v>
      </c>
    </row>
    <row r="2370" spans="5:7" x14ac:dyDescent="0.25">
      <c r="E2370" t="s">
        <v>414</v>
      </c>
      <c r="F2370">
        <v>0</v>
      </c>
      <c r="G2370">
        <v>0</v>
      </c>
    </row>
    <row r="2371" spans="5:7" x14ac:dyDescent="0.25">
      <c r="E2371" t="s">
        <v>414</v>
      </c>
      <c r="F2371">
        <v>0</v>
      </c>
      <c r="G2371">
        <v>0</v>
      </c>
    </row>
    <row r="2372" spans="5:7" x14ac:dyDescent="0.25">
      <c r="E2372" t="s">
        <v>414</v>
      </c>
      <c r="F2372">
        <v>0</v>
      </c>
      <c r="G2372">
        <v>0</v>
      </c>
    </row>
    <row r="2373" spans="5:7" x14ac:dyDescent="0.25">
      <c r="E2373" t="s">
        <v>414</v>
      </c>
      <c r="F2373">
        <v>0</v>
      </c>
      <c r="G2373">
        <v>0</v>
      </c>
    </row>
    <row r="2374" spans="5:7" x14ac:dyDescent="0.25">
      <c r="E2374" t="s">
        <v>414</v>
      </c>
      <c r="F2374">
        <v>0</v>
      </c>
      <c r="G2374">
        <v>0</v>
      </c>
    </row>
    <row r="2375" spans="5:7" x14ac:dyDescent="0.25">
      <c r="E2375" t="s">
        <v>414</v>
      </c>
      <c r="F2375">
        <v>0</v>
      </c>
      <c r="G2375">
        <v>0</v>
      </c>
    </row>
    <row r="2376" spans="5:7" x14ac:dyDescent="0.25">
      <c r="E2376" t="s">
        <v>414</v>
      </c>
      <c r="F2376">
        <v>0</v>
      </c>
      <c r="G2376">
        <v>0</v>
      </c>
    </row>
    <row r="2377" spans="5:7" x14ac:dyDescent="0.25">
      <c r="E2377" t="s">
        <v>414</v>
      </c>
      <c r="F2377">
        <v>0</v>
      </c>
      <c r="G2377">
        <v>0</v>
      </c>
    </row>
    <row r="2378" spans="5:7" x14ac:dyDescent="0.25">
      <c r="E2378" t="s">
        <v>414</v>
      </c>
      <c r="F2378">
        <v>0</v>
      </c>
      <c r="G2378">
        <v>0</v>
      </c>
    </row>
    <row r="2379" spans="5:7" x14ac:dyDescent="0.25">
      <c r="E2379" t="s">
        <v>414</v>
      </c>
      <c r="F2379">
        <v>0</v>
      </c>
      <c r="G2379">
        <v>0</v>
      </c>
    </row>
    <row r="2380" spans="5:7" x14ac:dyDescent="0.25">
      <c r="E2380" t="s">
        <v>414</v>
      </c>
      <c r="F2380">
        <v>0</v>
      </c>
      <c r="G2380">
        <v>0</v>
      </c>
    </row>
    <row r="2381" spans="5:7" x14ac:dyDescent="0.25">
      <c r="E2381" t="s">
        <v>414</v>
      </c>
      <c r="F2381">
        <v>0</v>
      </c>
      <c r="G2381">
        <v>0</v>
      </c>
    </row>
    <row r="2382" spans="5:7" x14ac:dyDescent="0.25">
      <c r="E2382" t="s">
        <v>414</v>
      </c>
      <c r="F2382">
        <v>0</v>
      </c>
      <c r="G2382">
        <v>0</v>
      </c>
    </row>
    <row r="2383" spans="5:7" x14ac:dyDescent="0.25">
      <c r="E2383" t="s">
        <v>414</v>
      </c>
      <c r="F2383">
        <v>0</v>
      </c>
      <c r="G2383">
        <v>0</v>
      </c>
    </row>
    <row r="2384" spans="5:7" x14ac:dyDescent="0.25">
      <c r="E2384" t="s">
        <v>414</v>
      </c>
      <c r="F2384">
        <v>0</v>
      </c>
      <c r="G2384">
        <v>0</v>
      </c>
    </row>
    <row r="2385" spans="5:7" x14ac:dyDescent="0.25">
      <c r="E2385" t="s">
        <v>414</v>
      </c>
      <c r="F2385">
        <v>0</v>
      </c>
      <c r="G2385">
        <v>0</v>
      </c>
    </row>
    <row r="2386" spans="5:7" x14ac:dyDescent="0.25">
      <c r="E2386" t="s">
        <v>414</v>
      </c>
      <c r="F2386">
        <v>0</v>
      </c>
      <c r="G2386">
        <v>0</v>
      </c>
    </row>
    <row r="2387" spans="5:7" x14ac:dyDescent="0.25">
      <c r="E2387" t="s">
        <v>414</v>
      </c>
      <c r="F2387">
        <v>0</v>
      </c>
      <c r="G2387">
        <v>0</v>
      </c>
    </row>
    <row r="2388" spans="5:7" x14ac:dyDescent="0.25">
      <c r="E2388" t="s">
        <v>414</v>
      </c>
      <c r="F2388">
        <v>0</v>
      </c>
      <c r="G2388">
        <v>0</v>
      </c>
    </row>
    <row r="2389" spans="5:7" x14ac:dyDescent="0.25">
      <c r="E2389" t="s">
        <v>414</v>
      </c>
      <c r="F2389">
        <v>0</v>
      </c>
      <c r="G2389">
        <v>0</v>
      </c>
    </row>
    <row r="2390" spans="5:7" x14ac:dyDescent="0.25">
      <c r="E2390" t="s">
        <v>414</v>
      </c>
      <c r="F2390">
        <v>0</v>
      </c>
      <c r="G2390">
        <v>0</v>
      </c>
    </row>
    <row r="2391" spans="5:7" x14ac:dyDescent="0.25">
      <c r="E2391" t="s">
        <v>414</v>
      </c>
      <c r="F2391">
        <v>0</v>
      </c>
      <c r="G2391">
        <v>0</v>
      </c>
    </row>
    <row r="2392" spans="5:7" x14ac:dyDescent="0.25">
      <c r="E2392" t="s">
        <v>414</v>
      </c>
      <c r="F2392">
        <v>0</v>
      </c>
      <c r="G2392">
        <v>0</v>
      </c>
    </row>
    <row r="2393" spans="5:7" x14ac:dyDescent="0.25">
      <c r="E2393" t="s">
        <v>414</v>
      </c>
      <c r="F2393">
        <v>0</v>
      </c>
      <c r="G2393">
        <v>0</v>
      </c>
    </row>
    <row r="2394" spans="5:7" x14ac:dyDescent="0.25">
      <c r="E2394" t="s">
        <v>414</v>
      </c>
      <c r="F2394">
        <v>0</v>
      </c>
      <c r="G2394">
        <v>0</v>
      </c>
    </row>
    <row r="2395" spans="5:7" x14ac:dyDescent="0.25">
      <c r="E2395" t="s">
        <v>414</v>
      </c>
      <c r="F2395">
        <v>0</v>
      </c>
      <c r="G2395">
        <v>0</v>
      </c>
    </row>
    <row r="2396" spans="5:7" x14ac:dyDescent="0.25">
      <c r="E2396" t="s">
        <v>414</v>
      </c>
      <c r="F2396">
        <v>0</v>
      </c>
      <c r="G2396">
        <v>0</v>
      </c>
    </row>
    <row r="2397" spans="5:7" x14ac:dyDescent="0.25">
      <c r="E2397" t="s">
        <v>414</v>
      </c>
      <c r="F2397">
        <v>0</v>
      </c>
      <c r="G2397">
        <v>0</v>
      </c>
    </row>
    <row r="2398" spans="5:7" x14ac:dyDescent="0.25">
      <c r="E2398" t="s">
        <v>414</v>
      </c>
      <c r="F2398">
        <v>0</v>
      </c>
      <c r="G2398">
        <v>0</v>
      </c>
    </row>
    <row r="2399" spans="5:7" x14ac:dyDescent="0.25">
      <c r="E2399" t="s">
        <v>414</v>
      </c>
      <c r="F2399">
        <v>0</v>
      </c>
      <c r="G2399">
        <v>0</v>
      </c>
    </row>
    <row r="2400" spans="5:7" x14ac:dyDescent="0.25">
      <c r="E2400" t="s">
        <v>414</v>
      </c>
      <c r="F2400">
        <v>0</v>
      </c>
      <c r="G2400">
        <v>0</v>
      </c>
    </row>
    <row r="2401" spans="5:7" x14ac:dyDescent="0.25">
      <c r="E2401" t="s">
        <v>414</v>
      </c>
      <c r="F2401">
        <v>0</v>
      </c>
      <c r="G2401">
        <v>0</v>
      </c>
    </row>
    <row r="2402" spans="5:7" x14ac:dyDescent="0.25">
      <c r="E2402" t="s">
        <v>414</v>
      </c>
      <c r="F2402">
        <v>0</v>
      </c>
      <c r="G2402">
        <v>0</v>
      </c>
    </row>
    <row r="2403" spans="5:7" x14ac:dyDescent="0.25">
      <c r="E2403" t="s">
        <v>414</v>
      </c>
      <c r="F2403">
        <v>0</v>
      </c>
      <c r="G2403">
        <v>0</v>
      </c>
    </row>
    <row r="2404" spans="5:7" x14ac:dyDescent="0.25">
      <c r="E2404" t="s">
        <v>414</v>
      </c>
      <c r="F2404">
        <v>0</v>
      </c>
      <c r="G2404">
        <v>0</v>
      </c>
    </row>
    <row r="2405" spans="5:7" x14ac:dyDescent="0.25">
      <c r="E2405" t="s">
        <v>414</v>
      </c>
      <c r="F2405">
        <v>0</v>
      </c>
      <c r="G2405">
        <v>0</v>
      </c>
    </row>
    <row r="2406" spans="5:7" x14ac:dyDescent="0.25">
      <c r="E2406" t="s">
        <v>414</v>
      </c>
      <c r="F2406">
        <v>0</v>
      </c>
      <c r="G2406">
        <v>0</v>
      </c>
    </row>
    <row r="2407" spans="5:7" x14ac:dyDescent="0.25">
      <c r="E2407" t="s">
        <v>414</v>
      </c>
      <c r="F2407">
        <v>0</v>
      </c>
      <c r="G2407">
        <v>0</v>
      </c>
    </row>
    <row r="2408" spans="5:7" x14ac:dyDescent="0.25">
      <c r="E2408" t="s">
        <v>414</v>
      </c>
      <c r="F2408">
        <v>0</v>
      </c>
      <c r="G2408">
        <v>0</v>
      </c>
    </row>
    <row r="2409" spans="5:7" x14ac:dyDescent="0.25">
      <c r="E2409" t="s">
        <v>414</v>
      </c>
      <c r="F2409">
        <v>0</v>
      </c>
      <c r="G2409">
        <v>0</v>
      </c>
    </row>
    <row r="2410" spans="5:7" x14ac:dyDescent="0.25">
      <c r="E2410" t="s">
        <v>414</v>
      </c>
      <c r="F2410">
        <v>0</v>
      </c>
      <c r="G2410">
        <v>0</v>
      </c>
    </row>
    <row r="2411" spans="5:7" x14ac:dyDescent="0.25">
      <c r="E2411" t="s">
        <v>414</v>
      </c>
      <c r="F2411">
        <v>0</v>
      </c>
      <c r="G2411">
        <v>0</v>
      </c>
    </row>
    <row r="2412" spans="5:7" x14ac:dyDescent="0.25">
      <c r="E2412" t="s">
        <v>414</v>
      </c>
      <c r="F2412">
        <v>0</v>
      </c>
      <c r="G2412">
        <v>0</v>
      </c>
    </row>
    <row r="2413" spans="5:7" x14ac:dyDescent="0.25">
      <c r="E2413" t="s">
        <v>414</v>
      </c>
      <c r="F2413">
        <v>0</v>
      </c>
      <c r="G2413">
        <v>0</v>
      </c>
    </row>
    <row r="2414" spans="5:7" x14ac:dyDescent="0.25">
      <c r="E2414" t="s">
        <v>414</v>
      </c>
      <c r="F2414">
        <v>0</v>
      </c>
      <c r="G2414">
        <v>0</v>
      </c>
    </row>
    <row r="2415" spans="5:7" x14ac:dyDescent="0.25">
      <c r="E2415" t="s">
        <v>414</v>
      </c>
      <c r="F2415">
        <v>0</v>
      </c>
      <c r="G2415">
        <v>0</v>
      </c>
    </row>
    <row r="2416" spans="5:7" x14ac:dyDescent="0.25">
      <c r="E2416" t="s">
        <v>414</v>
      </c>
      <c r="F2416">
        <v>0</v>
      </c>
      <c r="G2416">
        <v>0</v>
      </c>
    </row>
    <row r="2417" spans="5:7" x14ac:dyDescent="0.25">
      <c r="E2417" t="s">
        <v>414</v>
      </c>
      <c r="F2417">
        <v>0</v>
      </c>
      <c r="G2417">
        <v>0</v>
      </c>
    </row>
    <row r="2418" spans="5:7" x14ac:dyDescent="0.25">
      <c r="E2418" t="s">
        <v>414</v>
      </c>
      <c r="F2418">
        <v>0</v>
      </c>
      <c r="G2418">
        <v>0</v>
      </c>
    </row>
    <row r="2419" spans="5:7" x14ac:dyDescent="0.25">
      <c r="E2419" t="s">
        <v>414</v>
      </c>
      <c r="F2419">
        <v>0</v>
      </c>
      <c r="G2419">
        <v>0</v>
      </c>
    </row>
    <row r="2420" spans="5:7" x14ac:dyDescent="0.25">
      <c r="E2420" t="s">
        <v>414</v>
      </c>
      <c r="F2420">
        <v>0</v>
      </c>
      <c r="G2420">
        <v>0</v>
      </c>
    </row>
    <row r="2421" spans="5:7" x14ac:dyDescent="0.25">
      <c r="E2421" t="s">
        <v>414</v>
      </c>
      <c r="F2421">
        <v>0</v>
      </c>
      <c r="G2421">
        <v>0</v>
      </c>
    </row>
    <row r="2422" spans="5:7" x14ac:dyDescent="0.25">
      <c r="E2422" t="s">
        <v>414</v>
      </c>
      <c r="F2422">
        <v>0</v>
      </c>
      <c r="G2422">
        <v>0</v>
      </c>
    </row>
    <row r="2423" spans="5:7" x14ac:dyDescent="0.25">
      <c r="E2423" t="s">
        <v>414</v>
      </c>
      <c r="F2423">
        <v>0</v>
      </c>
      <c r="G2423">
        <v>0</v>
      </c>
    </row>
    <row r="2424" spans="5:7" x14ac:dyDescent="0.25">
      <c r="E2424" t="s">
        <v>414</v>
      </c>
      <c r="F2424">
        <v>0</v>
      </c>
      <c r="G2424">
        <v>0</v>
      </c>
    </row>
    <row r="2425" spans="5:7" x14ac:dyDescent="0.25">
      <c r="E2425" t="s">
        <v>414</v>
      </c>
      <c r="F2425">
        <v>0</v>
      </c>
      <c r="G2425">
        <v>0</v>
      </c>
    </row>
    <row r="2426" spans="5:7" x14ac:dyDescent="0.25">
      <c r="E2426" t="s">
        <v>414</v>
      </c>
      <c r="F2426">
        <v>0</v>
      </c>
      <c r="G2426">
        <v>0</v>
      </c>
    </row>
    <row r="2427" spans="5:7" x14ac:dyDescent="0.25">
      <c r="E2427" t="s">
        <v>414</v>
      </c>
      <c r="F2427">
        <v>0</v>
      </c>
      <c r="G2427">
        <v>0</v>
      </c>
    </row>
    <row r="2428" spans="5:7" x14ac:dyDescent="0.25">
      <c r="E2428" t="s">
        <v>414</v>
      </c>
      <c r="F2428">
        <v>0</v>
      </c>
      <c r="G2428">
        <v>0</v>
      </c>
    </row>
    <row r="2429" spans="5:7" x14ac:dyDescent="0.25">
      <c r="E2429" t="s">
        <v>414</v>
      </c>
      <c r="F2429">
        <v>0</v>
      </c>
      <c r="G2429">
        <v>0</v>
      </c>
    </row>
    <row r="2430" spans="5:7" x14ac:dyDescent="0.25">
      <c r="E2430" t="s">
        <v>414</v>
      </c>
      <c r="F2430">
        <v>0</v>
      </c>
      <c r="G2430">
        <v>0</v>
      </c>
    </row>
    <row r="2431" spans="5:7" x14ac:dyDescent="0.25">
      <c r="E2431" t="s">
        <v>414</v>
      </c>
      <c r="F2431">
        <v>0</v>
      </c>
      <c r="G2431">
        <v>0</v>
      </c>
    </row>
    <row r="2432" spans="5:7" x14ac:dyDescent="0.25">
      <c r="E2432" t="s">
        <v>414</v>
      </c>
      <c r="F2432">
        <v>0</v>
      </c>
      <c r="G2432">
        <v>0</v>
      </c>
    </row>
    <row r="2433" spans="5:7" x14ac:dyDescent="0.25">
      <c r="E2433" t="s">
        <v>414</v>
      </c>
      <c r="F2433">
        <v>7000</v>
      </c>
      <c r="G2433">
        <v>0</v>
      </c>
    </row>
    <row r="2434" spans="5:7" x14ac:dyDescent="0.25">
      <c r="E2434" t="s">
        <v>414</v>
      </c>
      <c r="F2434">
        <v>0</v>
      </c>
      <c r="G2434">
        <v>0</v>
      </c>
    </row>
    <row r="2435" spans="5:7" x14ac:dyDescent="0.25">
      <c r="E2435" t="s">
        <v>414</v>
      </c>
      <c r="F2435">
        <v>0</v>
      </c>
      <c r="G2435">
        <v>0</v>
      </c>
    </row>
    <row r="2436" spans="5:7" x14ac:dyDescent="0.25">
      <c r="E2436" t="s">
        <v>414</v>
      </c>
      <c r="F2436">
        <v>0</v>
      </c>
      <c r="G2436">
        <v>0</v>
      </c>
    </row>
    <row r="2437" spans="5:7" x14ac:dyDescent="0.25">
      <c r="E2437" t="s">
        <v>414</v>
      </c>
      <c r="F2437">
        <v>0</v>
      </c>
      <c r="G2437">
        <v>0</v>
      </c>
    </row>
    <row r="2438" spans="5:7" x14ac:dyDescent="0.25">
      <c r="E2438" t="s">
        <v>414</v>
      </c>
      <c r="F2438">
        <v>0</v>
      </c>
      <c r="G2438">
        <v>0</v>
      </c>
    </row>
    <row r="2439" spans="5:7" x14ac:dyDescent="0.25">
      <c r="E2439" t="s">
        <v>414</v>
      </c>
      <c r="F2439">
        <v>0</v>
      </c>
      <c r="G2439">
        <v>0</v>
      </c>
    </row>
    <row r="2440" spans="5:7" x14ac:dyDescent="0.25">
      <c r="E2440" t="s">
        <v>414</v>
      </c>
      <c r="F2440">
        <v>0</v>
      </c>
      <c r="G2440">
        <v>0</v>
      </c>
    </row>
    <row r="2441" spans="5:7" x14ac:dyDescent="0.25">
      <c r="E2441" t="s">
        <v>414</v>
      </c>
      <c r="F2441">
        <v>0</v>
      </c>
      <c r="G2441">
        <v>0</v>
      </c>
    </row>
    <row r="2442" spans="5:7" x14ac:dyDescent="0.25">
      <c r="E2442" t="s">
        <v>414</v>
      </c>
      <c r="F2442">
        <v>0</v>
      </c>
      <c r="G2442">
        <v>0</v>
      </c>
    </row>
    <row r="2443" spans="5:7" x14ac:dyDescent="0.25">
      <c r="E2443" t="s">
        <v>414</v>
      </c>
      <c r="F2443">
        <v>0</v>
      </c>
      <c r="G2443">
        <v>0</v>
      </c>
    </row>
    <row r="2444" spans="5:7" x14ac:dyDescent="0.25">
      <c r="E2444" t="s">
        <v>414</v>
      </c>
      <c r="F2444">
        <v>0</v>
      </c>
      <c r="G2444">
        <v>0</v>
      </c>
    </row>
    <row r="2445" spans="5:7" x14ac:dyDescent="0.25">
      <c r="E2445" t="s">
        <v>414</v>
      </c>
      <c r="F2445">
        <v>0</v>
      </c>
      <c r="G2445">
        <v>0</v>
      </c>
    </row>
    <row r="2446" spans="5:7" x14ac:dyDescent="0.25">
      <c r="E2446" t="s">
        <v>414</v>
      </c>
      <c r="F2446">
        <v>0</v>
      </c>
      <c r="G2446">
        <v>0</v>
      </c>
    </row>
    <row r="2447" spans="5:7" x14ac:dyDescent="0.25">
      <c r="E2447" t="s">
        <v>414</v>
      </c>
      <c r="F2447">
        <v>0</v>
      </c>
      <c r="G2447">
        <v>0</v>
      </c>
    </row>
    <row r="2448" spans="5:7" x14ac:dyDescent="0.25">
      <c r="E2448" t="s">
        <v>414</v>
      </c>
      <c r="F2448">
        <v>0</v>
      </c>
      <c r="G2448">
        <v>0</v>
      </c>
    </row>
    <row r="2449" spans="5:7" x14ac:dyDescent="0.25">
      <c r="E2449" t="s">
        <v>414</v>
      </c>
      <c r="F2449">
        <v>0</v>
      </c>
      <c r="G2449">
        <v>0</v>
      </c>
    </row>
    <row r="2450" spans="5:7" x14ac:dyDescent="0.25">
      <c r="E2450" t="s">
        <v>414</v>
      </c>
      <c r="F2450">
        <v>0</v>
      </c>
      <c r="G2450">
        <v>0</v>
      </c>
    </row>
    <row r="2451" spans="5:7" x14ac:dyDescent="0.25">
      <c r="E2451" t="s">
        <v>414</v>
      </c>
      <c r="F2451">
        <v>0</v>
      </c>
      <c r="G2451">
        <v>0</v>
      </c>
    </row>
    <row r="2452" spans="5:7" x14ac:dyDescent="0.25">
      <c r="E2452" t="s">
        <v>414</v>
      </c>
      <c r="F2452">
        <v>0</v>
      </c>
      <c r="G2452">
        <v>0</v>
      </c>
    </row>
    <row r="2453" spans="5:7" x14ac:dyDescent="0.25">
      <c r="E2453" t="s">
        <v>414</v>
      </c>
      <c r="F2453">
        <v>6000</v>
      </c>
      <c r="G2453">
        <v>0</v>
      </c>
    </row>
    <row r="2454" spans="5:7" x14ac:dyDescent="0.25">
      <c r="E2454" t="s">
        <v>414</v>
      </c>
      <c r="F2454">
        <v>0</v>
      </c>
      <c r="G2454">
        <v>0</v>
      </c>
    </row>
    <row r="2455" spans="5:7" x14ac:dyDescent="0.25">
      <c r="E2455" t="s">
        <v>414</v>
      </c>
      <c r="F2455">
        <v>0</v>
      </c>
      <c r="G2455">
        <v>0</v>
      </c>
    </row>
    <row r="2456" spans="5:7" x14ac:dyDescent="0.25">
      <c r="E2456" t="s">
        <v>414</v>
      </c>
      <c r="F2456">
        <v>0</v>
      </c>
      <c r="G2456">
        <v>0</v>
      </c>
    </row>
    <row r="2457" spans="5:7" x14ac:dyDescent="0.25">
      <c r="E2457" t="s">
        <v>414</v>
      </c>
      <c r="F2457">
        <v>0</v>
      </c>
      <c r="G2457">
        <v>0</v>
      </c>
    </row>
    <row r="2458" spans="5:7" x14ac:dyDescent="0.25">
      <c r="E2458" t="s">
        <v>414</v>
      </c>
      <c r="F2458">
        <v>0</v>
      </c>
      <c r="G2458">
        <v>0</v>
      </c>
    </row>
    <row r="2459" spans="5:7" x14ac:dyDescent="0.25">
      <c r="E2459" t="s">
        <v>414</v>
      </c>
      <c r="F2459">
        <v>0</v>
      </c>
      <c r="G2459">
        <v>0</v>
      </c>
    </row>
    <row r="2460" spans="5:7" x14ac:dyDescent="0.25">
      <c r="E2460" t="s">
        <v>414</v>
      </c>
      <c r="F2460">
        <v>5000</v>
      </c>
      <c r="G2460">
        <v>0</v>
      </c>
    </row>
    <row r="2461" spans="5:7" x14ac:dyDescent="0.25">
      <c r="E2461" t="s">
        <v>414</v>
      </c>
      <c r="F2461">
        <v>0</v>
      </c>
      <c r="G2461">
        <v>0</v>
      </c>
    </row>
    <row r="2462" spans="5:7" x14ac:dyDescent="0.25">
      <c r="E2462" t="s">
        <v>414</v>
      </c>
      <c r="F2462">
        <v>0</v>
      </c>
      <c r="G2462">
        <v>0</v>
      </c>
    </row>
    <row r="2463" spans="5:7" x14ac:dyDescent="0.25">
      <c r="E2463" t="s">
        <v>414</v>
      </c>
      <c r="F2463">
        <v>0</v>
      </c>
      <c r="G2463">
        <v>0</v>
      </c>
    </row>
    <row r="2464" spans="5:7" x14ac:dyDescent="0.25">
      <c r="E2464" t="s">
        <v>414</v>
      </c>
      <c r="F2464">
        <v>0</v>
      </c>
      <c r="G2464">
        <v>0</v>
      </c>
    </row>
    <row r="2465" spans="5:7" x14ac:dyDescent="0.25">
      <c r="E2465" t="s">
        <v>414</v>
      </c>
      <c r="F2465">
        <v>0</v>
      </c>
      <c r="G2465">
        <v>0</v>
      </c>
    </row>
    <row r="2466" spans="5:7" x14ac:dyDescent="0.25">
      <c r="E2466" t="s">
        <v>414</v>
      </c>
      <c r="F2466">
        <v>0</v>
      </c>
      <c r="G2466">
        <v>0</v>
      </c>
    </row>
    <row r="2467" spans="5:7" x14ac:dyDescent="0.25">
      <c r="E2467" t="s">
        <v>414</v>
      </c>
      <c r="F2467">
        <v>0</v>
      </c>
      <c r="G2467">
        <v>0</v>
      </c>
    </row>
    <row r="2468" spans="5:7" x14ac:dyDescent="0.25">
      <c r="E2468" t="s">
        <v>414</v>
      </c>
      <c r="F2468">
        <v>0</v>
      </c>
      <c r="G2468">
        <v>0</v>
      </c>
    </row>
    <row r="2469" spans="5:7" x14ac:dyDescent="0.25">
      <c r="E2469" t="s">
        <v>414</v>
      </c>
      <c r="F2469">
        <v>0</v>
      </c>
      <c r="G2469">
        <v>0</v>
      </c>
    </row>
    <row r="2470" spans="5:7" x14ac:dyDescent="0.25">
      <c r="E2470" t="s">
        <v>414</v>
      </c>
      <c r="F2470">
        <v>0</v>
      </c>
      <c r="G2470">
        <v>0</v>
      </c>
    </row>
    <row r="2471" spans="5:7" x14ac:dyDescent="0.25">
      <c r="E2471" t="s">
        <v>414</v>
      </c>
      <c r="F2471">
        <v>0</v>
      </c>
      <c r="G2471">
        <v>0</v>
      </c>
    </row>
    <row r="2472" spans="5:7" x14ac:dyDescent="0.25">
      <c r="E2472" t="s">
        <v>364</v>
      </c>
      <c r="F2472">
        <v>0</v>
      </c>
      <c r="G2472">
        <v>7000</v>
      </c>
    </row>
    <row r="2473" spans="5:7" x14ac:dyDescent="0.25">
      <c r="E2473" t="s">
        <v>364</v>
      </c>
      <c r="F2473">
        <v>0</v>
      </c>
      <c r="G2473">
        <v>0</v>
      </c>
    </row>
    <row r="2474" spans="5:7" x14ac:dyDescent="0.25">
      <c r="E2474" t="s">
        <v>364</v>
      </c>
      <c r="F2474">
        <v>0</v>
      </c>
      <c r="G2474">
        <v>0</v>
      </c>
    </row>
    <row r="2475" spans="5:7" x14ac:dyDescent="0.25">
      <c r="E2475" t="s">
        <v>364</v>
      </c>
      <c r="F2475">
        <v>0</v>
      </c>
      <c r="G2475">
        <v>0</v>
      </c>
    </row>
    <row r="2476" spans="5:7" x14ac:dyDescent="0.25">
      <c r="E2476" t="s">
        <v>368</v>
      </c>
      <c r="F2476">
        <v>0</v>
      </c>
      <c r="G2476">
        <v>0</v>
      </c>
    </row>
  </sheetData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Entities</vt:lpstr>
      <vt:lpstr>Dragons</vt:lpstr>
      <vt:lpstr>Prog.</vt:lpstr>
      <vt:lpstr>Prog. "Village"</vt:lpstr>
      <vt:lpstr>Prog. "Castle"</vt:lpstr>
      <vt:lpstr>Prog. "Dark"</vt:lpstr>
      <vt:lpstr>DATA_DRAGONS_CONTENT</vt:lpstr>
      <vt:lpstr>DATA_SCENES_UNITY_1</vt:lpstr>
      <vt:lpstr>DATA_SCENES_UNITY_2</vt:lpstr>
      <vt:lpstr>CheckSpawnersDuplicity</vt:lpstr>
      <vt:lpstr>Entities FPS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Camacho</dc:creator>
  <cp:lastModifiedBy>Jose Camacho</cp:lastModifiedBy>
  <dcterms:created xsi:type="dcterms:W3CDTF">2017-03-02T15:19:08Z</dcterms:created>
  <dcterms:modified xsi:type="dcterms:W3CDTF">2018-04-12T09:17:53Z</dcterms:modified>
</cp:coreProperties>
</file>