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7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2" i="53"/>
  <c r="F61" i="53"/>
  <c r="F60" i="53"/>
  <c r="C39" i="53" l="1"/>
  <c r="C43" i="53"/>
  <c r="C42" i="53"/>
  <c r="C45" i="53"/>
  <c r="C41" i="53"/>
  <c r="C40" i="53"/>
  <c r="C44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6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AF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8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AH14" i="53"/>
  <c r="L14" i="53" s="1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C47" i="53" l="1"/>
  <c r="AB31" i="53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C48" i="53"/>
  <c r="C46" i="53"/>
  <c r="AA21" i="53" s="1"/>
  <c r="J21" i="53" s="1"/>
  <c r="H21" i="53" s="1"/>
  <c r="AA14" i="53"/>
  <c r="J14" i="53" s="1"/>
  <c r="H14" i="53" s="1"/>
  <c r="AA19" i="53"/>
  <c r="J19" i="53" s="1"/>
  <c r="H19" i="53" s="1"/>
  <c r="AA20" i="53"/>
  <c r="J20" i="53" s="1"/>
  <c r="H20" i="53" s="1"/>
  <c r="AA17" i="53"/>
  <c r="J17" i="53" s="1"/>
  <c r="H17" i="53" s="1"/>
  <c r="AA18" i="53"/>
  <c r="J18" i="53" s="1"/>
  <c r="H18" i="53" s="1"/>
  <c r="AA15" i="53"/>
  <c r="J15" i="53" s="1"/>
  <c r="H15" i="53" s="1"/>
  <c r="AA16" i="53"/>
  <c r="J16" i="53" s="1"/>
  <c r="H16" i="53" s="1"/>
  <c r="AA22" i="53" l="1"/>
  <c r="J22" i="53" s="1"/>
  <c r="H22" i="53" s="1"/>
  <c r="AA23" i="53"/>
  <c r="J23" i="53" s="1"/>
  <c r="H23" i="53" s="1"/>
  <c r="AA26" i="53"/>
  <c r="J26" i="53" s="1"/>
  <c r="H26" i="53" s="1"/>
  <c r="AA27" i="53"/>
  <c r="J27" i="53" s="1"/>
  <c r="H27" i="53" s="1"/>
  <c r="AA28" i="53"/>
  <c r="J28" i="53" s="1"/>
  <c r="H28" i="53" s="1"/>
  <c r="AA25" i="53"/>
  <c r="J25" i="53" s="1"/>
  <c r="H25" i="53" s="1"/>
  <c r="AA29" i="53"/>
  <c r="J29" i="53" s="1"/>
  <c r="H29" i="53" s="1"/>
  <c r="AA30" i="53"/>
  <c r="J30" i="53" s="1"/>
  <c r="H30" i="53" s="1"/>
  <c r="AA24" i="53"/>
  <c r="J24" i="53" s="1"/>
  <c r="H24" i="53" s="1"/>
  <c r="AA31" i="53"/>
  <c r="J31" i="53" s="1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M74" i="15" l="1"/>
  <c r="H79" i="15"/>
  <c r="H76" i="15"/>
  <c r="H77" i="15"/>
  <c r="H78" i="15"/>
  <c r="H74" i="15"/>
  <c r="H75" i="15"/>
  <c r="H72" i="15"/>
  <c r="H73" i="15"/>
  <c r="H70" i="15"/>
  <c r="H71" i="15"/>
  <c r="H69" i="15"/>
  <c r="H68" i="15"/>
  <c r="S27" i="15" l="1"/>
  <c r="S26" i="15"/>
  <c r="S25" i="15"/>
  <c r="S24" i="15"/>
  <c r="S23" i="15"/>
  <c r="S22" i="15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90" i="15" l="1"/>
  <c r="M90" i="15"/>
  <c r="C90" i="15"/>
  <c r="C104" i="15"/>
  <c r="H104" i="15"/>
  <c r="M104" i="15"/>
  <c r="C99" i="15"/>
  <c r="H99" i="15"/>
  <c r="M99" i="15"/>
  <c r="C116" i="15"/>
  <c r="M116" i="15"/>
  <c r="H116" i="15"/>
  <c r="C111" i="15"/>
  <c r="H111" i="15"/>
  <c r="M111" i="15"/>
  <c r="H101" i="15"/>
  <c r="C101" i="15"/>
  <c r="M101" i="15"/>
  <c r="C100" i="15"/>
  <c r="H100" i="15"/>
  <c r="M100" i="15"/>
  <c r="H108" i="15"/>
  <c r="M108" i="15"/>
  <c r="C108" i="15"/>
  <c r="M103" i="15"/>
  <c r="C103" i="15"/>
  <c r="H103" i="15"/>
  <c r="M118" i="15"/>
  <c r="C118" i="15"/>
  <c r="H118" i="15"/>
  <c r="C85" i="15"/>
  <c r="M85" i="15"/>
  <c r="H85" i="15"/>
  <c r="C123" i="15"/>
  <c r="H123" i="15"/>
  <c r="M123" i="15"/>
  <c r="H89" i="15"/>
  <c r="M89" i="15"/>
  <c r="C89" i="15"/>
  <c r="C91" i="15"/>
  <c r="H91" i="15"/>
  <c r="M91" i="15"/>
  <c r="H113" i="15"/>
  <c r="M113" i="15"/>
  <c r="C113" i="15"/>
  <c r="M102" i="15"/>
  <c r="H102" i="15"/>
  <c r="C102" i="15"/>
  <c r="M106" i="15"/>
  <c r="C106" i="15"/>
  <c r="H106" i="15"/>
  <c r="C110" i="15"/>
  <c r="H110" i="15"/>
  <c r="M110" i="15"/>
  <c r="M114" i="15"/>
  <c r="H114" i="15"/>
  <c r="C114" i="15"/>
  <c r="C122" i="15"/>
  <c r="H122" i="15"/>
  <c r="M122" i="15"/>
  <c r="H107" i="15"/>
  <c r="M107" i="15"/>
  <c r="C107" i="15"/>
  <c r="C87" i="15"/>
  <c r="H87" i="15"/>
  <c r="M87" i="15"/>
  <c r="C105" i="15"/>
  <c r="H105" i="15"/>
  <c r="M105" i="15"/>
  <c r="M119" i="15"/>
  <c r="H119" i="15"/>
  <c r="C119" i="15"/>
  <c r="C92" i="15"/>
  <c r="H92" i="15"/>
  <c r="M92" i="15"/>
  <c r="H125" i="15"/>
  <c r="M125" i="15"/>
  <c r="C125" i="15"/>
  <c r="H95" i="15"/>
  <c r="C95" i="15"/>
  <c r="M95" i="15"/>
  <c r="C86" i="15"/>
  <c r="H86" i="15"/>
  <c r="M86" i="15"/>
  <c r="C94" i="15"/>
  <c r="H94" i="15"/>
  <c r="M94" i="15"/>
  <c r="C117" i="15"/>
  <c r="H117" i="15"/>
  <c r="M117" i="15"/>
  <c r="C93" i="15"/>
  <c r="H93" i="15"/>
  <c r="M93" i="15"/>
  <c r="M96" i="15"/>
  <c r="H96" i="15"/>
  <c r="C96" i="15"/>
  <c r="H112" i="15"/>
  <c r="C112" i="15"/>
  <c r="M112" i="15"/>
  <c r="H120" i="15"/>
  <c r="M120" i="15"/>
  <c r="C120" i="15"/>
  <c r="M115" i="15"/>
  <c r="C115" i="15"/>
  <c r="H115" i="15"/>
  <c r="C124" i="15"/>
  <c r="H124" i="15"/>
  <c r="M124" i="15"/>
  <c r="H109" i="15"/>
  <c r="M109" i="15"/>
  <c r="C109" i="15"/>
  <c r="C98" i="15"/>
  <c r="H98" i="15"/>
  <c r="M98" i="15"/>
  <c r="H88" i="15"/>
  <c r="C88" i="15"/>
  <c r="M88" i="15"/>
  <c r="M97" i="15"/>
  <c r="C97" i="15"/>
  <c r="H97" i="15"/>
  <c r="H121" i="15"/>
  <c r="M121" i="15"/>
  <c r="C121" i="15"/>
  <c r="G19" i="15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s="1"/>
  <c r="C79" i="15" l="1"/>
  <c r="G25" i="2"/>
  <c r="H47" i="2" s="1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M78" i="15" s="1"/>
  <c r="G26" i="15"/>
  <c r="M77" i="15" s="1"/>
  <c r="G25" i="15"/>
  <c r="M76" i="15" s="1"/>
  <c r="G24" i="15"/>
  <c r="M75" i="15" s="1"/>
  <c r="G23" i="15"/>
  <c r="G22" i="15"/>
  <c r="M73" i="15" s="1"/>
  <c r="G21" i="15"/>
  <c r="M72" i="15" s="1"/>
  <c r="G20" i="15"/>
  <c r="M71" i="15" s="1"/>
  <c r="M70" i="15"/>
  <c r="G18" i="15"/>
  <c r="M69" i="15" s="1"/>
  <c r="M68" i="15"/>
  <c r="C73" i="15" l="1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H30" i="15" s="1"/>
  <c r="T25" i="15" l="1"/>
  <c r="Q19" i="15"/>
  <c r="T28" i="15"/>
  <c r="T23" i="15"/>
  <c r="T26" i="15"/>
  <c r="N17" i="15"/>
  <c r="T22" i="15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01" i="15"/>
  <c r="D121" i="15"/>
  <c r="I121" i="15"/>
  <c r="N121" i="15"/>
  <c r="N73" i="15"/>
  <c r="I73" i="15"/>
  <c r="D86" i="15"/>
  <c r="I86" i="15"/>
  <c r="N86" i="15"/>
  <c r="N70" i="15"/>
  <c r="I70" i="15"/>
  <c r="I117" i="15"/>
  <c r="N117" i="15"/>
  <c r="D117" i="15"/>
  <c r="N68" i="15"/>
  <c r="I68" i="15"/>
  <c r="N69" i="15"/>
  <c r="I69" i="15"/>
  <c r="N71" i="15"/>
  <c r="I71" i="15"/>
  <c r="I125" i="15"/>
  <c r="N125" i="15"/>
  <c r="D125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09" i="15"/>
  <c r="I109" i="15"/>
  <c r="N109" i="15"/>
  <c r="N78" i="15"/>
  <c r="I78" i="15"/>
  <c r="N105" i="15"/>
  <c r="D105" i="15"/>
  <c r="I105" i="15"/>
  <c r="N72" i="15"/>
  <c r="I72" i="15"/>
  <c r="N79" i="15"/>
  <c r="I79" i="15"/>
  <c r="I113" i="15"/>
  <c r="N113" i="15"/>
  <c r="D113" i="15"/>
  <c r="C128" i="15"/>
  <c r="B130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0" i="15" l="1"/>
  <c r="N110" i="15"/>
  <c r="D110" i="15"/>
  <c r="N87" i="15"/>
  <c r="I87" i="15"/>
  <c r="D87" i="15"/>
  <c r="N118" i="15"/>
  <c r="D118" i="15"/>
  <c r="I118" i="15"/>
  <c r="D124" i="15"/>
  <c r="I124" i="15"/>
  <c r="N124" i="15"/>
  <c r="N123" i="15"/>
  <c r="I123" i="15"/>
  <c r="D123" i="15"/>
  <c r="D108" i="15"/>
  <c r="I108" i="15"/>
  <c r="N108" i="15"/>
  <c r="D92" i="15"/>
  <c r="N92" i="15"/>
  <c r="I92" i="15"/>
  <c r="I115" i="15"/>
  <c r="D115" i="15"/>
  <c r="N115" i="15"/>
  <c r="N93" i="15"/>
  <c r="D93" i="15"/>
  <c r="I93" i="15"/>
  <c r="N107" i="15"/>
  <c r="I107" i="15"/>
  <c r="D107" i="15"/>
  <c r="I104" i="15"/>
  <c r="D104" i="15"/>
  <c r="N104" i="15"/>
  <c r="I103" i="15"/>
  <c r="D103" i="15"/>
  <c r="N103" i="15"/>
  <c r="D120" i="15"/>
  <c r="I120" i="15"/>
  <c r="N120" i="15"/>
  <c r="I95" i="15"/>
  <c r="D95" i="15"/>
  <c r="N95" i="15"/>
  <c r="I114" i="15"/>
  <c r="N114" i="15"/>
  <c r="D114" i="15"/>
  <c r="N89" i="15"/>
  <c r="I89" i="15"/>
  <c r="D89" i="15"/>
  <c r="N119" i="15"/>
  <c r="D119" i="15"/>
  <c r="I119" i="15"/>
  <c r="N90" i="15"/>
  <c r="I90" i="15"/>
  <c r="D90" i="15"/>
  <c r="I102" i="15"/>
  <c r="N102" i="15"/>
  <c r="D102" i="15"/>
  <c r="D116" i="15"/>
  <c r="I116" i="15"/>
  <c r="N116" i="15"/>
  <c r="D85" i="15"/>
  <c r="N85" i="15"/>
  <c r="I85" i="15"/>
  <c r="I122" i="15"/>
  <c r="N122" i="15"/>
  <c r="D122" i="15"/>
  <c r="N96" i="15"/>
  <c r="D96" i="15"/>
  <c r="I96" i="15"/>
  <c r="N106" i="15"/>
  <c r="D106" i="15"/>
  <c r="I106" i="15"/>
  <c r="I111" i="15"/>
  <c r="D111" i="15"/>
  <c r="N111" i="15"/>
  <c r="I99" i="15"/>
  <c r="D99" i="15"/>
  <c r="N99" i="15"/>
  <c r="N98" i="15"/>
  <c r="D98" i="15"/>
  <c r="I98" i="15"/>
  <c r="D100" i="15"/>
  <c r="N100" i="15"/>
  <c r="I100" i="15"/>
  <c r="D112" i="15"/>
  <c r="I112" i="15"/>
  <c r="N112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8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charset val="1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charset val="1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charset val="1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charset val="1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charset val="1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charset val="1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charset val="1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charset val="1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charset val="1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charset val="1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<sst xmlns="http://schemas.openxmlformats.org/spreadsheetml/2006/main" count="1022" uniqueCount="495">
  <si>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</si>
  <si>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</si>
  <si>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</si>
  <si>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</si>
  <si>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</si>
  <si>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</si>
  <si>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</si>
  <si>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</si>
  <si>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</si>
  <si>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</si>
  <si>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</si>
  <si>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</si>
  <si>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</si>
  <si>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</si>
  <si>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</si>
  <si>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</si>
  <si>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</si>
  <si>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</si>
  <si>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</si>
  <si>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</si>
  <si>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</si>
  <si>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</si>
  <si>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</si>
  <si>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</si>
  <si>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</si>
  <si>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</si>
  <si>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</si>
  <si>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</si>
  <si>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</si>
  <si>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</si>
  <si>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</si>
  <si>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</si>
  <si>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</si>
  <si>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</si>
  <si>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</si>
  <si>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</si>
  <si>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</si>
  <si>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</si>
  <si>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</si>
  <si>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</si>
  <si>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</si>
  <si>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</si>
  <si>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</si>
  <si>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</si>
  <si>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</si>
  <si>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</si>
  <si>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</si>
  <si>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</si>
  <si>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</si>
  <si>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</si>
  <si>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</si>
  <si>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</si>
  <si>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</si>
  <si>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</si>
  <si>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</si>
  <si>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</si>
  <si>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</si>
  <si>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</si>
  <si>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</si>
  <si>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</si>
  <si>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</si>
  <si>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</si>
  <si>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</si>
  <si>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</si>
  <si>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</si>
  <si>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</si>
  <si>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</si>
  <si>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</si>
  <si>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</si>
  <si>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</si>
  <si>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</si>
  <si>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</si>
  <si>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</si>
  <si>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</si>
  <si>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</si>
  <si>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</si>
  <si>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</si>
  <si>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</si>
  <si>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</si>
  <si>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</si>
  <si>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</si>
  <si>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</si>
  <si>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</si>
  <si>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</si>
  <si>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</si>
  <si>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</si>
  <si>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</si>
  <si>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</si>
  <si>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</si>
  <si>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</si>
  <si>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</si>
  <si>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</si>
  <si>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</si>
  <si>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</si>
  <si>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</si>
  <si>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</si>
  <si>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</si>
  <si>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</si>
  <si>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</si>
  <si>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</si>
  <si>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</si>
  <si>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</si>
  <si>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</si>
  <si>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</si>
  <si>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</si>
  <si>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</si>
  <si>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</si>
  <si>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</si>
  <si>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</si>
  <si>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</si>
  <si>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</si>
  <si>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</si>
  <si>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</si>
  <si>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</si>
  <si>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</si>
  <si>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</si>
  <si>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</si>
  <si>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</si>
  <si>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</si>
  <si>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</si>
  <si>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</si>
  <si>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</si>
  <si>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</si>
  <si>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</si>
  <si>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</si>
  <si>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</si>
  <si>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</si>
  <si>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</si>
  <si>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</si>
  <si>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</si>
  <si>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</si>
  <si>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</si>
  <si>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</si>
  <si>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</si>
  <si>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</si>
  <si>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</si>
  <si>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</si>
  <si>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</si>
  <si>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</si>
  <si>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</si>
  <si>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</si>
  <si>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</si>
  <si>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</si>
  <si>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</si>
  <si>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</si>
  <si>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</si>
  <si>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</si>
  <si>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</si>
  <si>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</si>
  <si>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</si>
  <si>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</si>
  <si>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</si>
  <si>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</si>
  <si>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</si>
  <si>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</si>
  <si>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</si>
  <si>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</si>
  <si>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</si>
  <si>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</si>
  <si>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</si>
  <si>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</si>
  <si>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</si>
  <si>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</si>
  <si>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</si>
  <si>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</si>
  <si>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</si>
  <si>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</si>
  <si>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</si>
  <si>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</si>
  <si>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</si>
  <si>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</si>
  <si>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</si>
  <si>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</si>
  <si>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</si>
  <si>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</si>
  <si>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</si>
  <si>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</si>
  <si>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</si>
  <si>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</si>
  <si>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</si>
  <si>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</si>
  <si>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</si>
  <si>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</si>
  <si>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</si>
  <si>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</si>
  <si>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</si>
  <si>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</si>
  <si>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</si>
  <si>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</si>
  <si>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</si>
  <si>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</si>
  <si>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</si>
  <si>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</si>
  <si>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</si>
  <si>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</si>
  <si>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</si>
  <si>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</si>
  <si>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</si>
  <si>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</si>
  <si>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</si>
  <si>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</si>
  <si>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</si>
  <si>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</si>
  <si>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</si>
  <si>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</si>
  <si>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</si>
  <si>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</si>
  <si>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</si>
  <si>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</si>
  <si>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</si>
  <si>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</si>
  <si>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</si>
  <si>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</si>
  <si>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</si>
  <si>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</si>
  <si>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</si>
  <si>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</si>
  <si>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</si>
  <si>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</si>
  <si>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</si>
  <si>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</si>
  <si>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</si>
  <si>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</si>
  <si>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</si>
  <si>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</si>
  <si>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</si>
  <si>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</si>
  <si>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</si>
  <si>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</si>
  <si>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</si>
  <si>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</si>
  <si>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</si>
  <si>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</si>
  <si>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</si>
  <si>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</si>
  <si>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</si>
  <si>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</si>
  <si>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</si>
  <si>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</si>
  <si>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</si>
  <si>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</si>
  <si>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</si>
  <si>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</si>
  <si>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</si>
  <si>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</si>
  <si>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</si>
  <si>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</si>
  <si>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</si>
  <si>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</si>
  <si>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</si>
  <si>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</si>
  <si>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</si>
  <si>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</si>
  <si>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</si>
  <si>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</si>
  <si>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</si>
  <si>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</si>
  <si>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</si>
  <si>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</si>
  <si>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</si>
  <si>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</si>
  <si>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</si>
  <si>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</si>
  <si>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</si>
  <si>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</si>
  <si>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</si>
  <si>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</si>
  <si>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</si>
  <si>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</si>
  <si>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</si>
  <si>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</si>
  <si>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</si>
  <si>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</si>
  <si>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</si>
  <si>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</si>
  <si>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</si>
  <si>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</si>
  <si>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</si>
  <si>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</si>
  <si>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</si>
  <si>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</si>
  <si>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</si>
  <si>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</si>
  <si>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</si>
  <si>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</si>
  <si>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</si>
  <si>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</si>
  <si>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</si>
  <si>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</si>
  <si>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</si>
  <si>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</si>
  <si>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</si>
  <si>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</si>
  <si>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</si>
  <si>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</si>
  <si>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</si>
  <si>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</si>
  <si>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</si>
  <si>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</si>
  <si>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</si>
  <si>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</si>
  <si>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</si>
  <si>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</si>
  <si>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</si>
  <si>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</si>
  <si>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</si>
  <si>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</si>
  <si>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</si>
  <si>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</si>
  <si>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</si>
  <si>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</si>
  <si>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</si>
  <si>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</si>
  <si>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</si>
  <si>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</si>
  <si>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</si>
  <si>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</si>
  <si>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</si>
  <si>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</si>
  <si>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</si>
  <si>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</si>
  <si>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</si>
  <si>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</si>
  <si>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</si>
  <si>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</si>
  <si>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</si>
  <si>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</si>
  <si>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</si>
  <si>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</si>
  <si>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</si>
  <si>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</si>
  <si>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</si>
  <si>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</si>
  <si>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</si>
  <si>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</si>
  <si>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</si>
  <si>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</si>
  <si>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</si>
  <si>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</si>
  <si>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</si>
  <si>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</si>
  <si>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</si>
  <si>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</si>
  <si>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</si>
  <si>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</si>
  <si>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</si>
  <si>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</si>
  <si>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</si>
  <si>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</si>
  <si>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</si>
  <si>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</si>
  <si>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</si>
  <si>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</si>
  <si>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</si>
  <si>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</si>
  <si>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</si>
  <si>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</si>
  <si>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</si>
  <si>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</si>
  <si>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</si>
  <si>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</si>
  <si>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</si>
  <si>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</si>
  <si>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</si>
  <si>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</si>
  <si>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</si>
  <si>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</si>
  <si>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</si>
  <si>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</si>
  <si>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</si>
  <si>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</si>
  <si>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</si>
  <si>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</si>
  <si>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</si>
  <si>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</si>
  <si>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</si>
  <si>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</si>
  <si>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</si>
  <si>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</si>
  <si>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</si>
  <si>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</si>
  <si>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</si>
  <si>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</si>
  <si>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</si>
  <si>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</si>
  <si>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</si>
  <si>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</si>
  <si>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</si>
  <si>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</si>
  <si>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</si>
  <si>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</si>
  <si>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</si>
  <si>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</si>
  <si>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</si>
  <si>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</si>
  <si>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</si>
  <si>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</si>
  <si>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</si>
  <si>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</si>
  <si>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</si>
  <si>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</si>
  <si>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</si>
  <si>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</si>
  <si>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</si>
  <si>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</si>
  <si>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</si>
  <si>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</si>
  <si>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</si>
  <si>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</si>
  <si>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</si>
  <si>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</si>
  <si>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</si>
  <si>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</si>
  <si>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</si>
  <si>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</si>
  <si>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</si>
  <si>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</si>
  <si>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</si>
  <si>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</si>
  <si>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</si>
  <si>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</si>
  <si>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</si>
  <si>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</si>
  <si>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</si>
  <si>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</si>
  <si>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</si>
  <si>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</si>
  <si>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</si>
  <si>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</si>
  <si>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</si>
  <si>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</si>
  <si>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</si>
  <si>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</si>
  <si>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</si>
  <si>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</si>
  <si>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</si>
  <si>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</si>
  <si>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</si>
  <si>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</si>
  <si>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</si>
  <si>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</si>
  <si>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</si>
  <si>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</si>
  <si>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</si>
  <si>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</si>
  <si>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</si>
  <si>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</si>
  <si>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</si>
  <si>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</si>
  <si>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</si>
  <si>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</si>
  <si>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</si>
  <si>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</si>
  <si>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</si>
  <si>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</si>
  <si>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</si>
  <si>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</si>
  <si>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</si>
  <si>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</si>
  <si>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</si>
  <si>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</si>
  <si>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</si>
  <si>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</si>
  <si>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</si>
  <si>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</si>
  <si>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</si>
  <si>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</si>
  <si>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</si>
  <si>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</si>
  <si>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</si>
  <si>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</si>
  <si>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</si>
  <si>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</si>
  <si>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</si>
  <si>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</si>
  <si>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</si>
  <si>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</si>
  <si>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</si>
  <si>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</si>
  <si>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</si>
  <si>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</si>
  <si>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</si>
  <si>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</si>
  <si>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gf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</si>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</sst>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scheme val="minor"/>
    </font>
    <font>
      <b/>
      <sz val="8"/>
      <color indexed="81"/>
      <name val="Tahoma"/>
      <family val="2"/>
    </font>
    <font>
      <b/>
      <sz val="8"/>
      <color indexed="81"/>
      <name val="Tahoma"/>
      <charset val="1"/>
    </font>
    <font>
      <sz val="11"/>
      <color theme="0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8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6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6" fillId="37" borderId="56" xfId="0" applyFont="1" applyFill="1" applyBorder="1"/>
    <xf numFmtId="0" fontId="16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0" fillId="28" borderId="69" xfId="0" applyFont="1" applyFill="1" applyBorder="1" applyAlignment="1"/>
    <xf numFmtId="0" fontId="0" fillId="28" borderId="61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0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6757</c:v>
                </c:pt>
                <c:pt idx="1">
                  <c:v>15223</c:v>
                </c:pt>
                <c:pt idx="2">
                  <c:v>28302</c:v>
                </c:pt>
                <c:pt idx="3">
                  <c:v>42850</c:v>
                </c:pt>
                <c:pt idx="4">
                  <c:v>61189</c:v>
                </c:pt>
                <c:pt idx="5">
                  <c:v>81431</c:v>
                </c:pt>
                <c:pt idx="6">
                  <c:v>108405</c:v>
                </c:pt>
                <c:pt idx="7">
                  <c:v>130900</c:v>
                </c:pt>
                <c:pt idx="8">
                  <c:v>149203</c:v>
                </c:pt>
                <c:pt idx="9">
                  <c:v>157229</c:v>
                </c:pt>
                <c:pt idx="10">
                  <c:v>181835</c:v>
                </c:pt>
                <c:pt idx="11">
                  <c:v>187433</c:v>
                </c:pt>
                <c:pt idx="12">
                  <c:v>204633</c:v>
                </c:pt>
                <c:pt idx="13">
                  <c:v>188030</c:v>
                </c:pt>
                <c:pt idx="14">
                  <c:v>188030</c:v>
                </c:pt>
                <c:pt idx="15">
                  <c:v>188030</c:v>
                </c:pt>
                <c:pt idx="16">
                  <c:v>188030</c:v>
                </c:pt>
                <c:pt idx="17">
                  <c:v>188030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6048</c:v>
                </c:pt>
                <c:pt idx="1">
                  <c:v>13624</c:v>
                </c:pt>
                <c:pt idx="2">
                  <c:v>26409</c:v>
                </c:pt>
                <c:pt idx="3">
                  <c:v>40114</c:v>
                </c:pt>
                <c:pt idx="4">
                  <c:v>57953</c:v>
                </c:pt>
                <c:pt idx="5">
                  <c:v>76523</c:v>
                </c:pt>
                <c:pt idx="6">
                  <c:v>101724</c:v>
                </c:pt>
                <c:pt idx="7">
                  <c:v>121846</c:v>
                </c:pt>
                <c:pt idx="8">
                  <c:v>139492</c:v>
                </c:pt>
                <c:pt idx="9">
                  <c:v>147517</c:v>
                </c:pt>
                <c:pt idx="10">
                  <c:v>170113</c:v>
                </c:pt>
                <c:pt idx="11">
                  <c:v>175710</c:v>
                </c:pt>
                <c:pt idx="12">
                  <c:v>192910</c:v>
                </c:pt>
                <c:pt idx="13">
                  <c:v>176307</c:v>
                </c:pt>
                <c:pt idx="14">
                  <c:v>176307</c:v>
                </c:pt>
                <c:pt idx="15">
                  <c:v>176307</c:v>
                </c:pt>
                <c:pt idx="16">
                  <c:v>176307</c:v>
                </c:pt>
                <c:pt idx="17">
                  <c:v>176307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129</xdr:row>
          <xdr:rowOff>76200</xdr:rowOff>
        </xdr:from>
        <xdr:to>
          <xdr:col>3</xdr:col>
          <xdr:colOff>647700</xdr:colOff>
          <xdr:row>131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129</xdr:row>
          <xdr:rowOff>76200</xdr:rowOff>
        </xdr:from>
        <xdr:to>
          <xdr:col>6</xdr:col>
          <xdr:colOff>1390650</xdr:colOff>
          <xdr:row>131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201" dataDxfId="200">
  <autoFilter ref="A6:C19"/>
  <tableColumns count="3">
    <tableColumn id="1" name="Dragon ID / Level" dataDxfId="199"/>
    <tableColumn id="2" name="Max level" dataDxfId="198"/>
    <tableColumn id="24" name="Expected AVG time (mn)" dataDxfId="1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196" dataDxfId="195">
  <autoFilter ref="A3:U16"/>
  <tableColumns count="21">
    <tableColumn id="1" name="Dragon ID / Level" dataDxfId="194"/>
    <tableColumn id="2" name="1" dataDxfId="193"/>
    <tableColumn id="3" name="2" dataDxfId="192"/>
    <tableColumn id="4" name="3" dataDxfId="191"/>
    <tableColumn id="5" name="4" dataDxfId="190"/>
    <tableColumn id="6" name="5" dataDxfId="189"/>
    <tableColumn id="7" name="6" dataDxfId="188"/>
    <tableColumn id="8" name="7" dataDxfId="187"/>
    <tableColumn id="9" name="8" dataDxfId="186"/>
    <tableColumn id="10" name="9" dataDxfId="185"/>
    <tableColumn id="11" name="10" dataDxfId="184"/>
    <tableColumn id="12" name="11" dataDxfId="183"/>
    <tableColumn id="13" name="12" dataDxfId="182"/>
    <tableColumn id="14" name="13" dataDxfId="181"/>
    <tableColumn id="15" name="14" dataDxfId="180"/>
    <tableColumn id="16" name="15" dataDxfId="179"/>
    <tableColumn id="17" name="16" dataDxfId="178"/>
    <tableColumn id="18" name="17" dataDxfId="177"/>
    <tableColumn id="19" name="18" dataDxfId="176"/>
    <tableColumn id="20" name="19" dataDxfId="175"/>
    <tableColumn id="21" name="20" dataDxfId="1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73" dataDxfId="172">
  <autoFilter ref="B8:E12"/>
  <tableColumns count="4">
    <tableColumn id="1" name="Equivalence (min)" dataDxfId="171"/>
    <tableColumn id="2" name="HC" dataDxfId="170">
      <calculatedColumnFormula>IF(ROUND(HCtoSkipTimers[[#This Row],[Equivalence (min)]]*$F$3+$G$3,0)=0,1,ROUND(HCtoSkipTimers[[#This Row],[Equivalence (min)]]*$F$3+$G$3,0))</calculatedColumnFormula>
    </tableColumn>
    <tableColumn id="3" name="$ min" dataDxfId="169" dataCellStyle="Currency">
      <calculatedColumnFormula>C9/'Offer Simulator'!$B$3</calculatedColumnFormula>
    </tableColumn>
    <tableColumn id="4" name="$ max" dataDxfId="1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167" dataDxfId="166">
  <autoFilter ref="A58:T71"/>
  <tableColumns count="20">
    <tableColumn id="1" name="Dragon ID / Step XP per Level" dataDxfId="165"/>
    <tableColumn id="2" name="1" dataDxfId="164">
      <calculatedColumnFormula>IF(OFFSET(F30,$A59,0)="","",ROUND(SUM(OFFSET($F30:F30,$A59,0)),0))</calculatedColumnFormula>
    </tableColumn>
    <tableColumn id="3" name="2" dataDxfId="163">
      <calculatedColumnFormula>IF(OFFSET(G30,$A59,0)="","",ROUND(SUM(OFFSET($F30:G30,$A59,0)),0))</calculatedColumnFormula>
    </tableColumn>
    <tableColumn id="4" name="3" dataDxfId="162">
      <calculatedColumnFormula>IF(OFFSET(H30,$A59,0)="","",ROUND(SUM(OFFSET($F30:H30,$A59,0)),0))</calculatedColumnFormula>
    </tableColumn>
    <tableColumn id="5" name="4" dataDxfId="161">
      <calculatedColumnFormula>IF(OFFSET(I30,$A59,0)="","",ROUND(SUM(OFFSET($F30:I30,$A59,0)),0))</calculatedColumnFormula>
    </tableColumn>
    <tableColumn id="6" name="5" dataDxfId="160">
      <calculatedColumnFormula>IF(OFFSET(J30,$A59,0)="","",ROUND(SUM(OFFSET($F30:J30,$A59,0)),0))</calculatedColumnFormula>
    </tableColumn>
    <tableColumn id="7" name="6" dataDxfId="159">
      <calculatedColumnFormula>IF(OFFSET(K30,$A59,0)="","",ROUND(SUM(OFFSET($F30:K30,$A59,0)),0))</calculatedColumnFormula>
    </tableColumn>
    <tableColumn id="8" name="7" dataDxfId="158">
      <calculatedColumnFormula>IF(OFFSET(L30,$A59,0)="","",ROUND(SUM(OFFSET($F30:L30,$A59,0)),0))</calculatedColumnFormula>
    </tableColumn>
    <tableColumn id="9" name="8" dataDxfId="157">
      <calculatedColumnFormula>IF(OFFSET(M30,$A59,0)="","",ROUND(SUM(OFFSET($F30:M30,$A59,0)),0))</calculatedColumnFormula>
    </tableColumn>
    <tableColumn id="10" name="9" dataDxfId="156">
      <calculatedColumnFormula>IF(OFFSET(N30,$A59,0)="","",ROUND(SUM(OFFSET($F30:N30,$A59,0)),0))</calculatedColumnFormula>
    </tableColumn>
    <tableColumn id="11" name="10" dataDxfId="155">
      <calculatedColumnFormula>IF(OFFSET(O30,$A59,0)="","",ROUND(SUM(OFFSET($F30:O30,$A59,0)),0))</calculatedColumnFormula>
    </tableColumn>
    <tableColumn id="12" name="11" dataDxfId="154">
      <calculatedColumnFormula>IF(OFFSET(P30,$A59,0)="","",ROUND(SUM(OFFSET($F30:P30,$A59,0)),0))</calculatedColumnFormula>
    </tableColumn>
    <tableColumn id="13" name="12" dataDxfId="153">
      <calculatedColumnFormula>IF(OFFSET(Q30,$A59,0)="","",ROUND(SUM(OFFSET($F30:Q30,$A59,0)),0))</calculatedColumnFormula>
    </tableColumn>
    <tableColumn id="14" name="13" dataDxfId="152">
      <calculatedColumnFormula>IF(OFFSET(R30,$A59,0)="","",ROUND(SUM(OFFSET($F30:R30,$A59,0)),0))</calculatedColumnFormula>
    </tableColumn>
    <tableColumn id="15" name="14" dataDxfId="151">
      <calculatedColumnFormula>IF(OFFSET(S30,$A59,0)="","",ROUND(SUM(OFFSET($F30:S30,$A59,0)),0))</calculatedColumnFormula>
    </tableColumn>
    <tableColumn id="16" name="15" dataDxfId="150">
      <calculatedColumnFormula>IF(OFFSET(T30,$A59,0)="","",ROUND(SUM(OFFSET($F30:T30,$A59,0)),0))</calculatedColumnFormula>
    </tableColumn>
    <tableColumn id="17" name="16" dataDxfId="149">
      <calculatedColumnFormula>IF(OFFSET(U30,$A59,0)="","",ROUND(SUM(OFFSET($F30:U30,$A59,0)),0))</calculatedColumnFormula>
    </tableColumn>
    <tableColumn id="18" name="17" dataDxfId="148">
      <calculatedColumnFormula>IF(OFFSET(V30,$A59,0)="","",ROUND(SUM(OFFSET($F30:V30,$A59,0)),0))</calculatedColumnFormula>
    </tableColumn>
    <tableColumn id="19" name="18" dataDxfId="147">
      <calculatedColumnFormula>IF(OFFSET(W30,$A59,0)="","",ROUND(SUM(OFFSET($F30:W30,$A59,0)),0))</calculatedColumnFormula>
    </tableColumn>
    <tableColumn id="20" name="19" dataDxfId="146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45" dataDxfId="144">
  <autoFilter ref="A74:C87"/>
  <tableColumns count="3">
    <tableColumn id="1" name="Dragon ID" dataDxfId="143"/>
    <tableColumn id="2" name="AVG_XP/min" dataDxfId="142">
      <calculatedColumnFormula>ROUND(AVERAGE(D11:D11),0)</calculatedColumnFormula>
    </tableColumn>
    <tableColumn id="3" name="AVG_TIME_TO_MAX_LEVEL" dataDxfId="141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40" dataDxfId="139">
  <autoFilter ref="E12:J30"/>
  <tableColumns count="6">
    <tableColumn id="1" name="Dragon" dataDxfId="138"/>
    <tableColumn id="2" name="Reward Multiplier" dataDxfId="137"/>
    <tableColumn id="6" name="Easy Mission Reward" dataDxfId="136">
      <calculatedColumnFormula>missionsDragonRelativeMetrics[[#This Row],[Reward Multiplier]]*$C$5</calculatedColumnFormula>
    </tableColumn>
    <tableColumn id="7" name="Medium Mission Reward" dataDxfId="135">
      <calculatedColumnFormula>missionsDragonRelativeMetrics[[#This Row],[Reward Multiplier]]*$C$6</calculatedColumnFormula>
    </tableColumn>
    <tableColumn id="3" name="Hard Mission Reward" dataDxfId="134">
      <calculatedColumnFormula>missionsDragonRelativeMetrics[[#This Row],[Reward Multiplier]]*$C$7</calculatedColumnFormula>
    </tableColumn>
    <tableColumn id="4" name="Max. Nb. Missions" dataDxfId="133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2" dataDxfId="131">
  <autoFilter ref="A4:C7"/>
  <tableColumns count="3">
    <tableColumn id="6" name="Difficulty" dataDxfId="130"/>
    <tableColumn id="1" name="Mission Level" dataDxfId="129" totalsRowDxfId="128"/>
    <tableColumn id="2" name="Max Reward" dataDxfId="127" totalsRowDxfId="12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B30" totalsRowShown="0" headerRowDxfId="125" dataDxfId="124" tableBorderDxfId="123">
  <autoFilter ref="A12:B30"/>
  <tableColumns count="2">
    <tableColumn id="1" name="Dragon" dataDxfId="122"/>
    <tableColumn id="2" name="QuantityModifier" dataDxfId="121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L73" totalsRowShown="0" headerRowDxfId="120" headerRowBorderDxfId="119" tableBorderDxfId="118">
  <autoFilter ref="B44:L73"/>
  <tableColumns count="11">
    <tableColumn id="1" name="MISSION TYPE"/>
    <tableColumn id="2" name="PARAM"/>
    <tableColumn id="3" name="HAS SINGLE RUN"/>
    <tableColumn id="4" name="OBJ. BASE. QU. MIN" dataDxfId="117"/>
    <tableColumn id="5" name="OBJ. BASE. QU. MAX" dataDxfId="116"/>
    <tableColumn id="6" name="OBJ. QU. RANGE" dataDxfId="115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14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13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2" headerRowBorderDxfId="111" tableBorderDxfId="110">
  <autoFilter ref="B13:E18"/>
  <tableColumns count="4">
    <tableColumn id="1" name="CHESTS" dataDxfId="109"/>
    <tableColumn id="2" name="TYPE" dataDxfId="108"/>
    <tableColumn id="3" name="AMOUNT" dataDxfId="107"/>
    <tableColumn id="4" name="AMOUNT NEW" dataDxfId="10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105" headerRowBorderDxfId="104" tableBorderDxfId="103">
  <autoFilter ref="G13:AL31"/>
  <tableColumns count="32">
    <tableColumn id="1" name="DRAGON" dataDxfId="102"/>
    <tableColumn id="35" name="COINS" dataDxfId="101">
      <calculatedColumnFormula>Table6[[#This Row],[TOTAL COINS]] +Table6[[#This Row],[COINS IN RUNS PER DAY]]</calculatedColumnFormula>
    </tableColumn>
    <tableColumn id="34" name="COINS NEW" dataDxfId="100">
      <calculatedColumnFormula>Table6[[#This Row],[TOTAL COINS NEW]] + Table6[[#This Row],[COINS IN RUNS PER DAY]]</calculatedColumnFormula>
    </tableColumn>
    <tableColumn id="17" name="TOTAL COINS" dataDxfId="99">
      <calculatedColumnFormula>Table6[[#This Row],[CHESTS COINS]] + Table6[[#This Row],[DAILY COINS]]+Table6[[#This Row],[LEAGUES COINS]]+Table6[[#This Row],[MISSIONS COINS]]</calculatedColumnFormula>
    </tableColumn>
    <tableColumn id="16" name="TOTAL GEMS" dataDxfId="98">
      <calculatedColumnFormula>Table6[[#This Row],[CHESTS GEMS]]+Table6[[#This Row],[DAILY GEMS]]+Table6[[#This Row],[LEAGUES GEMS]]</calculatedColumnFormula>
    </tableColumn>
    <tableColumn id="28" name="TOTAL COINS NEW" dataDxfId="97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6">
      <calculatedColumnFormula>Table6[[#This Row],[CHESTS GEMS NEW]] +Table6[[#This Row],[DAILY GEMS NEW]] +Table6[[#This Row],[LEAGUES GEMS NEW]]</calculatedColumnFormula>
    </tableColumn>
    <tableColumn id="31" name="COINS IN RUNS PER DAY" dataDxfId="95">
      <calculatedColumnFormula>Table6[[#This Row],[COINS PER RUN]] *Table6[[#This Row],[RUNS PER DAY]]</calculatedColumnFormula>
    </tableColumn>
    <tableColumn id="2" name="CHEST REW. MOD." dataDxfId="94"/>
    <tableColumn id="3" name="DAILY REW. MOD." dataDxfId="93"/>
    <tableColumn id="19" name="CHEST REW. MOD. NEW" dataDxfId="92"/>
    <tableColumn id="18" name="DAILY REW. MOD. NEW" dataDxfId="91"/>
    <tableColumn id="4" name="LEAGUE" dataDxfId="90"/>
    <tableColumn id="5" name="NUM. EASY" dataDxfId="89"/>
    <tableColumn id="6" name="NUM. MED." dataDxfId="88"/>
    <tableColumn id="7" name="NUM. HARD" dataDxfId="87"/>
    <tableColumn id="8" name="CHESTS COINS" dataDxfId="86">
      <calculatedColumnFormula>Table6[[#This Row],[CHEST REW. MOD.]]*($D$14+$D$15+$D$16)</calculatedColumnFormula>
    </tableColumn>
    <tableColumn id="9" name="CHESTS GEMS" dataDxfId="85">
      <calculatedColumnFormula>$D$17+$D$18</calculatedColumnFormula>
    </tableColumn>
    <tableColumn id="10" name="DAILY COINS" dataDxfId="84">
      <calculatedColumnFormula>ROUND((Table6[[#This Row],[DAILY REW. MOD.]]*($D$24+$D$26+$D$28))/7,0)</calculatedColumnFormula>
    </tableColumn>
    <tableColumn id="11" name="DAILY GEMS" dataDxfId="83">
      <calculatedColumnFormula>ROUND(($D$25+$D$27+$D$29)/7,1)</calculatedColumnFormula>
    </tableColumn>
    <tableColumn id="12" name="LEAGUES COINS" dataDxfId="82">
      <calculatedColumnFormula>ROUND((INDEX(Table12[AVG COINS],MATCH(Table6[[#This Row],[LEAGUE]],Table12[LEAGUE],0))) /$C$35,0)</calculatedColumnFormula>
    </tableColumn>
    <tableColumn id="13" name="LEAGUES GEMS" dataDxfId="81">
      <calculatedColumnFormula>ROUND((INDEX(Table12[AVG GEMS],MATCH(Table6[[#This Row],[LEAGUE]],Table12[LEAGUE],0))) /$C$35,2)</calculatedColumnFormula>
    </tableColumn>
    <tableColumn id="14" name="MISSIONS COINS" dataDxfId="80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79">
      <calculatedColumnFormula>Table6[[#This Row],[CHEST REW. MOD. NEW]]*($D$14+$D$15+$D$16)</calculatedColumnFormula>
    </tableColumn>
    <tableColumn id="21" name="CHESTS GEMS NEW" dataDxfId="78">
      <calculatedColumnFormula>$E$17+$E$18</calculatedColumnFormula>
    </tableColumn>
    <tableColumn id="22" name="DAILY COINS NEW" dataDxfId="77">
      <calculatedColumnFormula>ROUND((Table6[[#This Row],[DAILY REW. MOD. NEW]]*($D$24+$D$26+$D$28))/7,0)</calculatedColumnFormula>
    </tableColumn>
    <tableColumn id="23" name="DAILY GEMS NEW" dataDxfId="76">
      <calculatedColumnFormula>ROUND(($E$25+$E$27+$E$29)/7,1)</calculatedColumnFormula>
    </tableColumn>
    <tableColumn id="24" name="LEAGUES COINS NEW" dataDxfId="75">
      <calculatedColumnFormula>ROUND((INDEX(Table12[AVG COINS NEW],MATCH(Table6[[#This Row],[LEAGUE]],Table12[LEAGUE],0))) /$C$36,0)</calculatedColumnFormula>
    </tableColumn>
    <tableColumn id="25" name="LEAGUES GEMS NEW" dataDxfId="74">
      <calculatedColumnFormula>ROUND((INDEX(Table12[AVG GEMS NEW],MATCH(Table6[[#This Row],[LEAGUE]],Table12[LEAGUE],0))) / $C$36,2)</calculatedColumnFormula>
    </tableColumn>
    <tableColumn id="26" name="MISSIONS COINS NEW" dataDxfId="73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72"/>
    <tableColumn id="30" name="RUNS PER DAY" dataDxfId="71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70" dataDxfId="68" headerRowBorderDxfId="69" tableBorderDxfId="67">
  <autoFilter ref="B23:E31"/>
  <tableColumns count="4">
    <tableColumn id="1" name="DAY" dataDxfId="66"/>
    <tableColumn id="2" name="TYPE" dataDxfId="65"/>
    <tableColumn id="3" name="AMOUNT" dataDxfId="64"/>
    <tableColumn id="4" name="AMOUNT NEW" dataDxfId="63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62" headerRowBorderDxfId="61" tableBorderDxfId="60">
  <autoFilter ref="B38:F48"/>
  <tableColumns count="5">
    <tableColumn id="1" name="LEAGUE" dataDxfId="59"/>
    <tableColumn id="2" name="AVG COINS" dataDxfId="58">
      <calculatedColumnFormula>SUM(F60:F64)/100</calculatedColumnFormula>
    </tableColumn>
    <tableColumn id="3" name="AVG GEMS" dataDxfId="57"/>
    <tableColumn id="4" name="AVG COINS NEW" dataDxfId="56"/>
    <tableColumn id="5" name="AVG GEMS NEW" dataDxfId="55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54" dataDxfId="52" headerRowBorderDxfId="53" tableBorderDxfId="51">
  <autoFilter ref="B59:J109"/>
  <tableColumns count="9">
    <tableColumn id="1" name="LEAGUE" dataDxfId="50"/>
    <tableColumn id="2" name="TYPE" dataDxfId="49"/>
    <tableColumn id="3" name="AMOUNT" dataDxfId="48"/>
    <tableColumn id="4" name="TARGET" dataDxfId="47"/>
    <tableColumn id="5" name="AUX 1" dataDxfId="46">
      <calculatedColumnFormula>Table13[[#This Row],[AMOUNT]]*(Table13[[#This Row],[TARGET]]/100)</calculatedColumnFormula>
    </tableColumn>
    <tableColumn id="10" name="TYPE NEW" dataDxfId="45"/>
    <tableColumn id="6" name="AMOUNT NEW" dataDxfId="44"/>
    <tableColumn id="7" name="TARGET NEW" dataDxfId="43"/>
    <tableColumn id="8" name="AUX 1 NEW" dataDxfId="42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41" dataDxfId="40">
  <autoFilter ref="B112:E115"/>
  <tableColumns count="4">
    <tableColumn id="6" name="DIFFICULTY" dataDxfId="39"/>
    <tableColumn id="1" name="MISSION LV." dataDxfId="38" totalsRowDxfId="37"/>
    <tableColumn id="2" name="MAX. REW." dataDxfId="36" totalsRowDxfId="35"/>
    <tableColumn id="3" name="MAX REW. NEW" dataDxfId="34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33" dataDxfId="32" tableBorderDxfId="31">
  <autoFilter ref="A6:C13"/>
  <tableColumns count="3">
    <tableColumn id="1" name="Price" dataDxfId="30"/>
    <tableColumn id="2" name="HC earned" dataDxfId="29">
      <calculatedColumnFormula>ROUND(Table47[[#This Row],[Price]]*$B$3+Table47[[#This Row],[Price]]*$B$3*Table47[[#This Row],[Discount]],0)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27" dataDxfId="26" tableBorderDxfId="25">
  <autoFilter ref="A20:C26"/>
  <tableColumns count="3">
    <tableColumn id="1" name="Price HC" dataDxfId="24"/>
    <tableColumn id="2" name="SC earned" dataDxfId="23">
      <calculatedColumnFormula>ROUND((($B$17/$B$3)*Table479[[#This Row],[Price HC]])+((($B$17/$B$3)*Table479[[#This Row],[Price HC]])*Table479[[#This Row],[Discount]]),0)</calculatedColumnFormula>
    </tableColumn>
    <tableColumn id="3" name="Discount" dataDxfId="22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T33" totalsRowShown="0" headerRowDxfId="21" tableBorderDxfId="20">
  <autoFilter ref="E16:T33"/>
  <tableColumns count="16">
    <tableColumn id="1" name="Dragon" dataDxfId="19"/>
    <tableColumn id="2" name="pricing (HC)" dataDxfId="18"/>
    <tableColumn id="3" name="Equivalence Base" dataDxfId="17">
      <calculatedColumnFormula>F17/$B$3</calculatedColumnFormula>
    </tableColumn>
    <tableColumn id="4" name="Equivalence better" dataDxfId="16">
      <calculatedColumnFormula>ROUND(F17/$B$4,2)</calculatedColumnFormula>
    </tableColumn>
    <tableColumn id="5" name="Dis. 1 price (SC or HC)" dataDxfId="15"/>
    <tableColumn id="6" name="Dis. 1 Eq. Base" dataDxfId="14">
      <calculatedColumnFormula>(Table9[[#This Row],[Dis. 1 price (SC or HC)]]/($B$17/$B$3))/$B$3</calculatedColumnFormula>
    </tableColumn>
    <tableColumn id="7" name="Dis 1 Eq. better" dataDxfId="13">
      <calculatedColumnFormula>Table9[[#This Row],[Dis. 1 price (SC or HC)]]/$B$18</calculatedColumnFormula>
    </tableColumn>
    <tableColumn id="8" name="Dis. 2 price (SC or HC)" dataDxfId="12"/>
    <tableColumn id="9" name="Dis. 2 Eq. Base" dataDxfId="11"/>
    <tableColumn id="10" name="Dis 2 Eq. better" dataDxfId="10"/>
    <tableColumn id="11" name="Dis. 3 price (SC or HC)" dataDxfId="9"/>
    <tableColumn id="12" name="Dis. 3 Eq. Base" dataDxfId="8"/>
    <tableColumn id="13" name="Dis 3 Eq. better" dataDxfId="7"/>
    <tableColumn id="14" name="Dis. 4 price (SC or HC)" dataDxfId="6"/>
    <tableColumn id="15" name="Dis. 4 Eq. Base" dataDxfId="5"/>
    <tableColumn id="16" name="Dis 4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3" tableBorderDxfId="2">
  <autoFilter ref="A30:B31"/>
  <tableColumns count="2">
    <tableColumn id="1" name="price HC" dataDxfId="1"/>
    <tableColumn id="2" name="Price $" dataDxfId="0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0">
        <f>C10/'Offer Simulator'!$B$4</f>
        <v>1.3333333333333333</v>
      </c>
      <c r="D12" s="100">
        <f>D10/'Offer Simulator'!$B$4</f>
        <v>2.3333333333333335</v>
      </c>
      <c r="E12" s="100">
        <f>E10/'Offer Simulator'!$B$4</f>
        <v>2.6666666666666665</v>
      </c>
      <c r="F12" s="100">
        <f>F10/'Offer Simulator'!$B$4</f>
        <v>3.3333333333333335</v>
      </c>
      <c r="G12" s="100">
        <f>G10/'Offer Simulator'!$B$4</f>
        <v>5.333333333333333</v>
      </c>
      <c r="H12" s="100">
        <f>H10/'Offer Simulator'!$B$4</f>
        <v>6.666666666666667</v>
      </c>
      <c r="I12" s="100">
        <f>I10/'Offer Simulator'!$B$4</f>
        <v>9.3333333333333339</v>
      </c>
      <c r="J12" s="100">
        <f>J10/'Offer Simulator'!$B$4</f>
        <v>11.666666666666666</v>
      </c>
      <c r="K12" s="100">
        <f>K10/'Offer Simulator'!$B$4</f>
        <v>23.333333333333332</v>
      </c>
      <c r="L12" s="100">
        <f>L10/'Offer Simulator'!$B$4</f>
        <v>26.666666666666668</v>
      </c>
      <c r="M12" s="100">
        <f>M10/'Offer Simulator'!$B$4</f>
        <v>30</v>
      </c>
      <c r="N12" s="100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20">
        <v>13</v>
      </c>
      <c r="B19" s="121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1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22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9">
        <v>1</v>
      </c>
      <c r="J3" s="109">
        <v>10</v>
      </c>
      <c r="L3" s="40">
        <f t="array" ref="L3:M3">LINEST(I4:J4,I3:J3,TRUE,FALSE)</f>
        <v>86.111111111111114</v>
      </c>
      <c r="M3" s="40">
        <v>1513.8888888888889</v>
      </c>
      <c r="O3" s="110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9">
        <v>1600</v>
      </c>
      <c r="J4" s="10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65" t="s">
        <v>222</v>
      </c>
      <c r="I9" s="365"/>
      <c r="J9" s="365"/>
      <c r="L9" s="365" t="s">
        <v>225</v>
      </c>
      <c r="M9" s="365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11">
        <v>1100</v>
      </c>
      <c r="E11" s="75">
        <f>IF(ISNUMBER(D11),D11*'Run - Duration'!C7,C11*'Run - Duration'!C7)</f>
        <v>3300.0000000000005</v>
      </c>
      <c r="H11" s="124">
        <v>6</v>
      </c>
      <c r="I11" s="126">
        <f ca="1">H59</f>
        <v>14192</v>
      </c>
      <c r="J11" s="125">
        <f ca="1">ROUND(I11/H11,0)</f>
        <v>2365</v>
      </c>
      <c r="L11" s="118">
        <v>4</v>
      </c>
      <c r="M11" s="125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11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11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11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11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11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11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11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11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11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11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11">
        <v>10000</v>
      </c>
      <c r="E22" s="75">
        <f>IF(ISNUMBER(D22),D22*'Run - Duration'!C18,C22*'Run - Duration'!C18)</f>
        <v>90000</v>
      </c>
    </row>
    <row r="23" spans="1:25" x14ac:dyDescent="0.25">
      <c r="A23" s="120">
        <v>13</v>
      </c>
      <c r="B23" s="121">
        <v>20</v>
      </c>
      <c r="C23" s="75">
        <f t="shared" si="1"/>
        <v>2633.3333333333335</v>
      </c>
      <c r="D23" s="111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22">
        <v>13</v>
      </c>
      <c r="B54" s="122">
        <v>0</v>
      </c>
      <c r="C54" s="122">
        <f>ROUND(IF(B54=0,0,$C$27*POWER(A54,$C$28)),0)</f>
        <v>0</v>
      </c>
      <c r="D54" s="122"/>
      <c r="E54" s="122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22">
        <v>13</v>
      </c>
      <c r="B55" s="122">
        <v>19</v>
      </c>
      <c r="C55" s="122">
        <f>ROUND(IF(B55=0,0,$C$27*POWER(A55,$C$28)),0)</f>
        <v>86854</v>
      </c>
      <c r="D55" s="122">
        <f t="array" ref="D55:E55">LINEST(C54:C55,B54:B55,TRUE,FALSE)</f>
        <v>4571.2631578947367</v>
      </c>
      <c r="E55" s="122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L73"/>
  <sheetViews>
    <sheetView workbookViewId="0">
      <selection activeCell="B31" sqref="B31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G2" s="302" t="s">
        <v>446</v>
      </c>
    </row>
    <row r="3" spans="1:10" x14ac:dyDescent="0.25">
      <c r="G3" s="107" t="s">
        <v>447</v>
      </c>
    </row>
    <row r="4" spans="1:10" x14ac:dyDescent="0.25">
      <c r="A4" s="294" t="s">
        <v>74</v>
      </c>
      <c r="B4" s="294" t="s">
        <v>3</v>
      </c>
      <c r="C4" s="294" t="s">
        <v>45</v>
      </c>
      <c r="G4" s="309" t="s">
        <v>448</v>
      </c>
    </row>
    <row r="5" spans="1:10" x14ac:dyDescent="0.25">
      <c r="A5" s="1" t="s">
        <v>67</v>
      </c>
      <c r="B5" s="1">
        <v>1</v>
      </c>
      <c r="C5" s="302">
        <v>200</v>
      </c>
    </row>
    <row r="6" spans="1:10" x14ac:dyDescent="0.25">
      <c r="A6" s="1" t="s">
        <v>68</v>
      </c>
      <c r="B6" s="1">
        <v>2</v>
      </c>
      <c r="C6" s="302">
        <v>300</v>
      </c>
    </row>
    <row r="7" spans="1:10" x14ac:dyDescent="0.25">
      <c r="A7" s="1" t="s">
        <v>69</v>
      </c>
      <c r="B7" s="1">
        <v>3</v>
      </c>
      <c r="C7" s="302">
        <v>600</v>
      </c>
    </row>
    <row r="10" spans="1:10" x14ac:dyDescent="0.25">
      <c r="E10" s="101" t="s">
        <v>129</v>
      </c>
    </row>
    <row r="12" spans="1:10" x14ac:dyDescent="0.25">
      <c r="A12" s="294" t="s">
        <v>4</v>
      </c>
      <c r="B12" s="294" t="s">
        <v>139</v>
      </c>
      <c r="E12" s="294" t="s">
        <v>4</v>
      </c>
      <c r="F12" s="294" t="s">
        <v>118</v>
      </c>
      <c r="G12" s="294" t="s">
        <v>70</v>
      </c>
      <c r="H12" s="294" t="s">
        <v>71</v>
      </c>
      <c r="I12" s="294" t="s">
        <v>72</v>
      </c>
      <c r="J12" s="294" t="s">
        <v>66</v>
      </c>
    </row>
    <row r="13" spans="1:10" x14ac:dyDescent="0.25">
      <c r="A13" s="105" t="s">
        <v>92</v>
      </c>
      <c r="B13" s="314">
        <v>0.1</v>
      </c>
      <c r="E13" s="105" t="s">
        <v>92</v>
      </c>
      <c r="F13" s="314">
        <v>2</v>
      </c>
      <c r="G13" s="313">
        <f>missionsDragonRelativeMetrics[[#This Row],[Reward Multiplier]]*$C$5</f>
        <v>400</v>
      </c>
      <c r="H13" s="313">
        <f>missionsDragonRelativeMetrics[[#This Row],[Reward Multiplier]]*$C$6</f>
        <v>600</v>
      </c>
      <c r="I13" s="313">
        <f>missionsDragonRelativeMetrics[[#This Row],[Reward Multiplier]]*$C$7</f>
        <v>1200</v>
      </c>
      <c r="J13" s="103">
        <v>3</v>
      </c>
    </row>
    <row r="14" spans="1:10" x14ac:dyDescent="0.25">
      <c r="A14" s="105" t="s">
        <v>93</v>
      </c>
      <c r="B14" s="314">
        <v>0.7</v>
      </c>
      <c r="E14" s="105" t="s">
        <v>93</v>
      </c>
      <c r="F14" s="314">
        <v>6</v>
      </c>
      <c r="G14" s="313">
        <f>missionsDragonRelativeMetrics[[#This Row],[Reward Multiplier]]*$C$5</f>
        <v>1200</v>
      </c>
      <c r="H14" s="313">
        <f>missionsDragonRelativeMetrics[[#This Row],[Reward Multiplier]]*$C$6</f>
        <v>1800</v>
      </c>
      <c r="I14" s="313">
        <f>missionsDragonRelativeMetrics[[#This Row],[Reward Multiplier]]*$C$7</f>
        <v>3600</v>
      </c>
      <c r="J14" s="103">
        <v>3</v>
      </c>
    </row>
    <row r="15" spans="1:10" x14ac:dyDescent="0.25">
      <c r="A15" s="105" t="s">
        <v>94</v>
      </c>
      <c r="B15" s="314">
        <v>1</v>
      </c>
      <c r="E15" s="105" t="s">
        <v>94</v>
      </c>
      <c r="F15" s="314">
        <v>12</v>
      </c>
      <c r="G15" s="313">
        <f>missionsDragonRelativeMetrics[[#This Row],[Reward Multiplier]]*$C$5</f>
        <v>2400</v>
      </c>
      <c r="H15" s="313">
        <f>missionsDragonRelativeMetrics[[#This Row],[Reward Multiplier]]*$C$6</f>
        <v>3600</v>
      </c>
      <c r="I15" s="313">
        <f>missionsDragonRelativeMetrics[[#This Row],[Reward Multiplier]]*$C$7</f>
        <v>7200</v>
      </c>
      <c r="J15" s="103">
        <v>3</v>
      </c>
    </row>
    <row r="16" spans="1:10" x14ac:dyDescent="0.25">
      <c r="A16" s="105" t="s">
        <v>95</v>
      </c>
      <c r="B16" s="314">
        <v>1.5</v>
      </c>
      <c r="E16" s="105" t="s">
        <v>95</v>
      </c>
      <c r="F16" s="314">
        <v>18</v>
      </c>
      <c r="G16" s="313">
        <f>missionsDragonRelativeMetrics[[#This Row],[Reward Multiplier]]*$C$5</f>
        <v>3600</v>
      </c>
      <c r="H16" s="313">
        <f>missionsDragonRelativeMetrics[[#This Row],[Reward Multiplier]]*$C$6</f>
        <v>5400</v>
      </c>
      <c r="I16" s="313">
        <f>missionsDragonRelativeMetrics[[#This Row],[Reward Multiplier]]*$C$7</f>
        <v>10800</v>
      </c>
      <c r="J16" s="103">
        <v>3</v>
      </c>
    </row>
    <row r="17" spans="1:10" x14ac:dyDescent="0.25">
      <c r="A17" s="105" t="s">
        <v>96</v>
      </c>
      <c r="B17" s="314">
        <v>2</v>
      </c>
      <c r="E17" s="105" t="s">
        <v>96</v>
      </c>
      <c r="F17" s="314">
        <v>26</v>
      </c>
      <c r="G17" s="313">
        <f>missionsDragonRelativeMetrics[[#This Row],[Reward Multiplier]]*$C$5</f>
        <v>5200</v>
      </c>
      <c r="H17" s="313">
        <f>missionsDragonRelativeMetrics[[#This Row],[Reward Multiplier]]*$C$6</f>
        <v>7800</v>
      </c>
      <c r="I17" s="313">
        <f>missionsDragonRelativeMetrics[[#This Row],[Reward Multiplier]]*$C$7</f>
        <v>15600</v>
      </c>
      <c r="J17" s="103">
        <v>3</v>
      </c>
    </row>
    <row r="18" spans="1:10" x14ac:dyDescent="0.25">
      <c r="A18" s="105" t="s">
        <v>97</v>
      </c>
      <c r="B18" s="314">
        <v>2.5</v>
      </c>
      <c r="E18" s="105" t="s">
        <v>97</v>
      </c>
      <c r="F18" s="314">
        <v>35</v>
      </c>
      <c r="G18" s="313">
        <f>missionsDragonRelativeMetrics[[#This Row],[Reward Multiplier]]*$C$5</f>
        <v>7000</v>
      </c>
      <c r="H18" s="313">
        <f>missionsDragonRelativeMetrics[[#This Row],[Reward Multiplier]]*$C$6</f>
        <v>10500</v>
      </c>
      <c r="I18" s="313">
        <f>missionsDragonRelativeMetrics[[#This Row],[Reward Multiplier]]*$C$7</f>
        <v>21000</v>
      </c>
      <c r="J18" s="103">
        <v>3</v>
      </c>
    </row>
    <row r="19" spans="1:10" x14ac:dyDescent="0.25">
      <c r="A19" s="105" t="s">
        <v>98</v>
      </c>
      <c r="B19" s="314">
        <v>3</v>
      </c>
      <c r="E19" s="105" t="s">
        <v>98</v>
      </c>
      <c r="F19" s="314">
        <v>45</v>
      </c>
      <c r="G19" s="313">
        <f>missionsDragonRelativeMetrics[[#This Row],[Reward Multiplier]]*$C$5</f>
        <v>9000</v>
      </c>
      <c r="H19" s="313">
        <f>missionsDragonRelativeMetrics[[#This Row],[Reward Multiplier]]*$C$6</f>
        <v>13500</v>
      </c>
      <c r="I19" s="313">
        <f>missionsDragonRelativeMetrics[[#This Row],[Reward Multiplier]]*$C$7</f>
        <v>27000</v>
      </c>
      <c r="J19" s="103">
        <v>3</v>
      </c>
    </row>
    <row r="20" spans="1:10" x14ac:dyDescent="0.25">
      <c r="A20" s="281" t="s">
        <v>99</v>
      </c>
      <c r="B20" s="314">
        <v>4</v>
      </c>
      <c r="E20" s="105" t="s">
        <v>99</v>
      </c>
      <c r="F20" s="314">
        <v>56</v>
      </c>
      <c r="G20" s="313">
        <f>missionsDragonRelativeMetrics[[#This Row],[Reward Multiplier]]*$C$5</f>
        <v>11200</v>
      </c>
      <c r="H20" s="313">
        <f>missionsDragonRelativeMetrics[[#This Row],[Reward Multiplier]]*$C$6</f>
        <v>16800</v>
      </c>
      <c r="I20" s="313">
        <f>missionsDragonRelativeMetrics[[#This Row],[Reward Multiplier]]*$C$7</f>
        <v>33600</v>
      </c>
      <c r="J20" s="103">
        <v>3</v>
      </c>
    </row>
    <row r="21" spans="1:10" x14ac:dyDescent="0.25">
      <c r="A21" s="281" t="s">
        <v>144</v>
      </c>
      <c r="B21" s="314">
        <v>4.5</v>
      </c>
      <c r="E21" s="105" t="s">
        <v>144</v>
      </c>
      <c r="F21" s="314">
        <v>62</v>
      </c>
      <c r="G21" s="313">
        <f>missionsDragonRelativeMetrics[[#This Row],[Reward Multiplier]]*$C$5</f>
        <v>12400</v>
      </c>
      <c r="H21" s="313">
        <f>missionsDragonRelativeMetrics[[#This Row],[Reward Multiplier]]*$C$6</f>
        <v>18600</v>
      </c>
      <c r="I21" s="313">
        <f>missionsDragonRelativeMetrics[[#This Row],[Reward Multiplier]]*$C$7</f>
        <v>37200</v>
      </c>
      <c r="J21" s="103">
        <v>3</v>
      </c>
    </row>
    <row r="22" spans="1:10" x14ac:dyDescent="0.25">
      <c r="A22" s="281" t="s">
        <v>100</v>
      </c>
      <c r="B22" s="314">
        <v>5</v>
      </c>
      <c r="E22" s="105" t="s">
        <v>100</v>
      </c>
      <c r="F22" s="314">
        <v>67</v>
      </c>
      <c r="G22" s="313">
        <f>missionsDragonRelativeMetrics[[#This Row],[Reward Multiplier]]*$C$5</f>
        <v>13400</v>
      </c>
      <c r="H22" s="313">
        <f>missionsDragonRelativeMetrics[[#This Row],[Reward Multiplier]]*$C$6</f>
        <v>20100</v>
      </c>
      <c r="I22" s="313">
        <f>missionsDragonRelativeMetrics[[#This Row],[Reward Multiplier]]*$C$7</f>
        <v>40200</v>
      </c>
      <c r="J22" s="103">
        <v>3</v>
      </c>
    </row>
    <row r="23" spans="1:10" x14ac:dyDescent="0.25">
      <c r="A23" s="281" t="s">
        <v>101</v>
      </c>
      <c r="B23" s="314">
        <v>7</v>
      </c>
      <c r="E23" s="105" t="s">
        <v>101</v>
      </c>
      <c r="F23" s="314">
        <v>80</v>
      </c>
      <c r="G23" s="313">
        <f>missionsDragonRelativeMetrics[[#This Row],[Reward Multiplier]]*$C$5</f>
        <v>16000</v>
      </c>
      <c r="H23" s="313">
        <f>missionsDragonRelativeMetrics[[#This Row],[Reward Multiplier]]*$C$6</f>
        <v>24000</v>
      </c>
      <c r="I23" s="313">
        <f>missionsDragonRelativeMetrics[[#This Row],[Reward Multiplier]]*$C$7</f>
        <v>48000</v>
      </c>
      <c r="J23" s="103">
        <v>3</v>
      </c>
    </row>
    <row r="24" spans="1:10" x14ac:dyDescent="0.25">
      <c r="A24" s="281" t="s">
        <v>145</v>
      </c>
      <c r="B24" s="314">
        <v>7.5</v>
      </c>
      <c r="E24" s="105" t="s">
        <v>145</v>
      </c>
      <c r="F24" s="314">
        <v>85</v>
      </c>
      <c r="G24" s="313">
        <f>missionsDragonRelativeMetrics[[#This Row],[Reward Multiplier]]*$C$5</f>
        <v>17000</v>
      </c>
      <c r="H24" s="313">
        <f>missionsDragonRelativeMetrics[[#This Row],[Reward Multiplier]]*$C$6</f>
        <v>25500</v>
      </c>
      <c r="I24" s="313">
        <f>missionsDragonRelativeMetrics[[#This Row],[Reward Multiplier]]*$C$7</f>
        <v>51000</v>
      </c>
      <c r="J24" s="103">
        <v>3</v>
      </c>
    </row>
    <row r="25" spans="1:10" x14ac:dyDescent="0.25">
      <c r="A25" s="280" t="s">
        <v>218</v>
      </c>
      <c r="B25" s="314">
        <v>8</v>
      </c>
      <c r="E25" s="123" t="s">
        <v>218</v>
      </c>
      <c r="F25" s="314">
        <v>90</v>
      </c>
      <c r="G25" s="313">
        <f>missionsDragonRelativeMetrics[[#This Row],[Reward Multiplier]]*$C$5</f>
        <v>18000</v>
      </c>
      <c r="H25" s="313">
        <f>missionsDragonRelativeMetrics[[#This Row],[Reward Multiplier]]*$C$6</f>
        <v>27000</v>
      </c>
      <c r="I25" s="313">
        <f>missionsDragonRelativeMetrics[[#This Row],[Reward Multiplier]]*$C$7</f>
        <v>54000</v>
      </c>
      <c r="J25" s="103">
        <v>3</v>
      </c>
    </row>
    <row r="26" spans="1:10" x14ac:dyDescent="0.25">
      <c r="A26" s="280" t="s">
        <v>408</v>
      </c>
      <c r="B26" s="314">
        <v>8.5</v>
      </c>
      <c r="E26" s="280" t="s">
        <v>408</v>
      </c>
      <c r="F26" s="314">
        <v>90</v>
      </c>
      <c r="G26" s="313">
        <f>missionsDragonRelativeMetrics[[#This Row],[Reward Multiplier]]*$C$5</f>
        <v>18000</v>
      </c>
      <c r="H26" s="313">
        <f>missionsDragonRelativeMetrics[[#This Row],[Reward Multiplier]]*$C$6</f>
        <v>27000</v>
      </c>
      <c r="I26" s="313">
        <f>missionsDragonRelativeMetrics[[#This Row],[Reward Multiplier]]*$C$7</f>
        <v>54000</v>
      </c>
      <c r="J26" s="103">
        <v>3</v>
      </c>
    </row>
    <row r="27" spans="1:10" x14ac:dyDescent="0.25">
      <c r="A27" s="280" t="s">
        <v>409</v>
      </c>
      <c r="B27" s="314">
        <v>8.5</v>
      </c>
      <c r="E27" s="280" t="s">
        <v>409</v>
      </c>
      <c r="F27" s="314">
        <v>90</v>
      </c>
      <c r="G27" s="313">
        <f>missionsDragonRelativeMetrics[[#This Row],[Reward Multiplier]]*$C$5</f>
        <v>18000</v>
      </c>
      <c r="H27" s="313">
        <f>missionsDragonRelativeMetrics[[#This Row],[Reward Multiplier]]*$C$6</f>
        <v>27000</v>
      </c>
      <c r="I27" s="313">
        <f>missionsDragonRelativeMetrics[[#This Row],[Reward Multiplier]]*$C$7</f>
        <v>54000</v>
      </c>
      <c r="J27" s="103">
        <v>3</v>
      </c>
    </row>
    <row r="28" spans="1:10" x14ac:dyDescent="0.25">
      <c r="A28" s="280" t="s">
        <v>410</v>
      </c>
      <c r="B28" s="314">
        <v>8.5</v>
      </c>
      <c r="E28" s="280" t="s">
        <v>410</v>
      </c>
      <c r="F28" s="314">
        <v>90</v>
      </c>
      <c r="G28" s="313">
        <f>missionsDragonRelativeMetrics[[#This Row],[Reward Multiplier]]*$C$5</f>
        <v>18000</v>
      </c>
      <c r="H28" s="313">
        <f>missionsDragonRelativeMetrics[[#This Row],[Reward Multiplier]]*$C$6</f>
        <v>27000</v>
      </c>
      <c r="I28" s="313">
        <f>missionsDragonRelativeMetrics[[#This Row],[Reward Multiplier]]*$C$7</f>
        <v>54000</v>
      </c>
      <c r="J28" s="103">
        <v>3</v>
      </c>
    </row>
    <row r="29" spans="1:10" x14ac:dyDescent="0.25">
      <c r="A29" s="280" t="s">
        <v>411</v>
      </c>
      <c r="B29" s="314">
        <v>8.5</v>
      </c>
      <c r="E29" s="280" t="s">
        <v>411</v>
      </c>
      <c r="F29" s="314">
        <v>90</v>
      </c>
      <c r="G29" s="313">
        <f>missionsDragonRelativeMetrics[[#This Row],[Reward Multiplier]]*$C$5</f>
        <v>18000</v>
      </c>
      <c r="H29" s="313">
        <f>missionsDragonRelativeMetrics[[#This Row],[Reward Multiplier]]*$C$6</f>
        <v>27000</v>
      </c>
      <c r="I29" s="313">
        <f>missionsDragonRelativeMetrics[[#This Row],[Reward Multiplier]]*$C$7</f>
        <v>54000</v>
      </c>
      <c r="J29" s="103">
        <v>3</v>
      </c>
    </row>
    <row r="30" spans="1:10" x14ac:dyDescent="0.25">
      <c r="A30" s="280" t="s">
        <v>412</v>
      </c>
      <c r="B30" s="314">
        <v>8.5</v>
      </c>
      <c r="E30" s="281" t="s">
        <v>412</v>
      </c>
      <c r="F30" s="314">
        <v>90</v>
      </c>
      <c r="G30" s="313">
        <f>missionsDragonRelativeMetrics[[#This Row],[Reward Multiplier]]*$C$5</f>
        <v>18000</v>
      </c>
      <c r="H30" s="313">
        <f>missionsDragonRelativeMetrics[[#This Row],[Reward Multiplier]]*$C$6</f>
        <v>27000</v>
      </c>
      <c r="I30" s="313">
        <f>missionsDragonRelativeMetrics[[#This Row],[Reward Multiplier]]*$C$7</f>
        <v>54000</v>
      </c>
      <c r="J30" s="103">
        <v>3</v>
      </c>
    </row>
    <row r="31" spans="1:10" x14ac:dyDescent="0.25">
      <c r="C31" s="1"/>
    </row>
    <row r="32" spans="1:10" x14ac:dyDescent="0.25">
      <c r="C32" s="1"/>
      <c r="D32" s="1"/>
      <c r="E32" s="101" t="s">
        <v>128</v>
      </c>
    </row>
    <row r="33" spans="1:12" x14ac:dyDescent="0.25">
      <c r="D33" s="1"/>
    </row>
    <row r="34" spans="1:12" x14ac:dyDescent="0.25">
      <c r="A34" s="294" t="s">
        <v>140</v>
      </c>
      <c r="B34" s="294" t="s">
        <v>139</v>
      </c>
      <c r="E34" s="294" t="s">
        <v>102</v>
      </c>
      <c r="F34" s="294" t="s">
        <v>91</v>
      </c>
      <c r="G34" s="294" t="s">
        <v>91</v>
      </c>
      <c r="H34" s="294" t="s">
        <v>91</v>
      </c>
      <c r="I34" s="294" t="s">
        <v>103</v>
      </c>
    </row>
    <row r="35" spans="1:12" x14ac:dyDescent="0.25">
      <c r="A35" s="106" t="b">
        <v>1</v>
      </c>
      <c r="B35" s="314">
        <v>0.7</v>
      </c>
      <c r="E35" s="102" t="s">
        <v>101</v>
      </c>
      <c r="F35" s="99" t="s">
        <v>115</v>
      </c>
      <c r="G35" s="99" t="s">
        <v>116</v>
      </c>
      <c r="H35" s="99" t="s">
        <v>117</v>
      </c>
      <c r="I35" s="103" t="b">
        <v>0</v>
      </c>
    </row>
    <row r="36" spans="1:12" x14ac:dyDescent="0.25">
      <c r="E36" s="294" t="s">
        <v>104</v>
      </c>
      <c r="F36" s="294" t="s">
        <v>105</v>
      </c>
      <c r="G36" s="294" t="s">
        <v>105</v>
      </c>
      <c r="H36" s="294" t="s">
        <v>105</v>
      </c>
      <c r="I36" s="294" t="s">
        <v>106</v>
      </c>
    </row>
    <row r="37" spans="1:12" x14ac:dyDescent="0.25">
      <c r="E37" s="313">
        <f>INDEX(Table1[QuantityModifier],MATCH(E35,Table1[Dragon],0))</f>
        <v>7</v>
      </c>
      <c r="F37" s="314">
        <v>0.05</v>
      </c>
      <c r="G37" s="314">
        <v>0.1</v>
      </c>
      <c r="H37" s="314">
        <v>0.2</v>
      </c>
      <c r="I37" s="313">
        <f>IF(I35,B35,0)</f>
        <v>0</v>
      </c>
    </row>
    <row r="40" spans="1:12" x14ac:dyDescent="0.25">
      <c r="E40" s="294" t="s">
        <v>107</v>
      </c>
      <c r="F40" s="313">
        <f>$E$37+F37</f>
        <v>7.05</v>
      </c>
      <c r="G40" s="313">
        <f>$E$37+G37</f>
        <v>7.1</v>
      </c>
      <c r="H40" s="313">
        <f>$E$37+H37</f>
        <v>7.2</v>
      </c>
      <c r="I40" t="s">
        <v>413</v>
      </c>
    </row>
    <row r="43" spans="1:12" x14ac:dyDescent="0.25">
      <c r="G43" s="366" t="s">
        <v>136</v>
      </c>
      <c r="H43" s="366"/>
      <c r="I43" s="367" t="s">
        <v>137</v>
      </c>
      <c r="J43" s="368"/>
      <c r="K43" s="369" t="s">
        <v>138</v>
      </c>
      <c r="L43" s="370"/>
    </row>
    <row r="44" spans="1:12" x14ac:dyDescent="0.25">
      <c r="B44" s="115" t="s">
        <v>130</v>
      </c>
      <c r="C44" s="115" t="s">
        <v>131</v>
      </c>
      <c r="D44" s="115" t="s">
        <v>141</v>
      </c>
      <c r="E44" s="115" t="s">
        <v>134</v>
      </c>
      <c r="F44" s="115" t="s">
        <v>135</v>
      </c>
      <c r="G44" s="116" t="s">
        <v>142</v>
      </c>
      <c r="H44" s="117" t="s">
        <v>143</v>
      </c>
      <c r="I44" s="116" t="s">
        <v>174</v>
      </c>
      <c r="J44" s="117" t="s">
        <v>178</v>
      </c>
      <c r="K44" s="116" t="s">
        <v>179</v>
      </c>
      <c r="L44" s="117" t="s">
        <v>175</v>
      </c>
    </row>
    <row r="45" spans="1:12" x14ac:dyDescent="0.25">
      <c r="B45" t="s">
        <v>0</v>
      </c>
      <c r="C45" t="s">
        <v>132</v>
      </c>
      <c r="D45" t="s">
        <v>133</v>
      </c>
      <c r="E45" s="104">
        <v>700</v>
      </c>
      <c r="F45" s="104">
        <v>750</v>
      </c>
      <c r="G45" t="str">
        <f t="shared" ref="G45:G73" si="0">CONCATENATE(ROUND((E45*$F$40)*(1-$I$37),0), " to ",ROUND((F45*$F$40)*(1-$I$37),0))</f>
        <v>4935 to 5288</v>
      </c>
      <c r="H45" t="str">
        <f>CONCATENATE(INDEX(missionsDragonRelativeMetrics[Easy Mission Reward],MATCH($E$35,missionsDragonRelativeMetrics[Dragon],0)), " coins")</f>
        <v>16000 coins</v>
      </c>
      <c r="I45" t="str">
        <f t="shared" ref="I45:I73" si="1">CONCATENATE(ROUND((E45*$G$40)*(1-$I$37),0), " to ",ROUND((F45*$G$40)*(1-$I$37),0))</f>
        <v>4970 to 5325</v>
      </c>
      <c r="J45" t="str">
        <f>CONCATENATE(INDEX(missionsDragonRelativeMetrics[Medium Mission Reward],MATCH($E$35,missionsDragonRelativeMetrics[Dragon],0)), " coins")</f>
        <v>24000 coins</v>
      </c>
      <c r="K45" t="str">
        <f t="shared" ref="K45:K73" si="2">CONCATENATE(ROUND((E45*$H$40)*(1-$I$37),0), " to ",ROUND((F45*$H$40)*(1-$I$37),0))</f>
        <v>5040 to 5400</v>
      </c>
      <c r="L45" t="str">
        <f>CONCATENATE(INDEX(missionsDragonRelativeMetrics[Hard Mission Reward],MATCH($E$35,missionsDragonRelativeMetrics[Dragon],0)), " coins")</f>
        <v>48000 coins</v>
      </c>
    </row>
    <row r="46" spans="1:12" x14ac:dyDescent="0.25">
      <c r="B46" t="s">
        <v>0</v>
      </c>
      <c r="C46" t="s">
        <v>147</v>
      </c>
      <c r="D46" t="s">
        <v>133</v>
      </c>
      <c r="E46" s="104">
        <v>25</v>
      </c>
      <c r="F46" s="104">
        <v>30</v>
      </c>
      <c r="G46" t="str">
        <f t="shared" si="0"/>
        <v>176 to 212</v>
      </c>
      <c r="H46" t="str">
        <f>CONCATENATE(INDEX(missionsDragonRelativeMetrics[Easy Mission Reward],MATCH($E$35,missionsDragonRelativeMetrics[Dragon],0)), " coins")</f>
        <v>16000 coins</v>
      </c>
      <c r="I46" t="str">
        <f t="shared" si="1"/>
        <v>178 to 213</v>
      </c>
      <c r="J46" t="str">
        <f>CONCATENATE(INDEX(missionsDragonRelativeMetrics[Medium Mission Reward],MATCH($E$35,missionsDragonRelativeMetrics[Dragon],0)), " coins")</f>
        <v>24000 coins</v>
      </c>
      <c r="K46" t="str">
        <f t="shared" si="2"/>
        <v>180 to 216</v>
      </c>
      <c r="L46" t="str">
        <f>CONCATENATE(INDEX(missionsDragonRelativeMetrics[Hard Mission Reward],MATCH($E$35,missionsDragonRelativeMetrics[Dragon],0)), " coins")</f>
        <v>48000 coins</v>
      </c>
    </row>
    <row r="47" spans="1:12" x14ac:dyDescent="0.25">
      <c r="B47" t="s">
        <v>148</v>
      </c>
      <c r="C47" t="s">
        <v>149</v>
      </c>
      <c r="D47" t="s">
        <v>150</v>
      </c>
      <c r="E47" s="104">
        <v>1000</v>
      </c>
      <c r="F47" s="104">
        <v>1200</v>
      </c>
      <c r="G47" t="str">
        <f t="shared" si="0"/>
        <v>7050 to 8460</v>
      </c>
      <c r="H47" t="str">
        <f>CONCATENATE(INDEX(missionsDragonRelativeMetrics[Easy Mission Reward],MATCH($E$35,missionsDragonRelativeMetrics[Dragon],0)), " coins")</f>
        <v>16000 coins</v>
      </c>
      <c r="I47" t="str">
        <f t="shared" si="1"/>
        <v>7100 to 8520</v>
      </c>
      <c r="J47" t="str">
        <f>CONCATENATE(INDEX(missionsDragonRelativeMetrics[Medium Mission Reward],MATCH($E$35,missionsDragonRelativeMetrics[Dragon],0)), " coins")</f>
        <v>24000 coins</v>
      </c>
      <c r="K47" t="str">
        <f t="shared" si="2"/>
        <v>7200 to 8640</v>
      </c>
      <c r="L47" t="str">
        <f>CONCATENATE(INDEX(missionsDragonRelativeMetrics[Hard Mission Reward],MATCH($E$35,missionsDragonRelativeMetrics[Dragon],0)), " coins")</f>
        <v>48000 coins</v>
      </c>
    </row>
    <row r="48" spans="1:12" x14ac:dyDescent="0.25">
      <c r="B48" t="s">
        <v>0</v>
      </c>
      <c r="C48" t="s">
        <v>5</v>
      </c>
      <c r="D48" t="s">
        <v>133</v>
      </c>
      <c r="E48" s="112">
        <v>10</v>
      </c>
      <c r="F48" s="112">
        <v>11</v>
      </c>
      <c r="G48" t="str">
        <f t="shared" si="0"/>
        <v>71 to 78</v>
      </c>
      <c r="H48" t="str">
        <f>CONCATENATE(INDEX(missionsDragonRelativeMetrics[Easy Mission Reward],MATCH($E$35,missionsDragonRelativeMetrics[Dragon],0)), " coins")</f>
        <v>16000 coins</v>
      </c>
      <c r="I48" t="str">
        <f t="shared" si="1"/>
        <v>71 to 78</v>
      </c>
      <c r="J48" t="str">
        <f>CONCATENATE(INDEX(missionsDragonRelativeMetrics[Medium Mission Reward],MATCH($E$35,missionsDragonRelativeMetrics[Dragon],0)), " coins")</f>
        <v>24000 coins</v>
      </c>
      <c r="K48" t="str">
        <f t="shared" si="2"/>
        <v>72 to 79</v>
      </c>
      <c r="L48" t="str">
        <f>CONCATENATE(INDEX(missionsDragonRelativeMetrics[Hard Mission Reward],MATCH($E$35,missionsDragonRelativeMetrics[Dragon],0)), " coins")</f>
        <v>48000 coins</v>
      </c>
    </row>
    <row r="49" spans="2:12" x14ac:dyDescent="0.25">
      <c r="B49" t="s">
        <v>151</v>
      </c>
      <c r="C49" s="113" t="s">
        <v>152</v>
      </c>
      <c r="D49" t="s">
        <v>133</v>
      </c>
      <c r="E49" s="112">
        <v>5</v>
      </c>
      <c r="F49" s="112">
        <v>6</v>
      </c>
      <c r="G49" s="114" t="str">
        <f t="shared" si="0"/>
        <v>35 to 42</v>
      </c>
      <c r="H49" t="str">
        <f>CONCATENATE(INDEX(missionsDragonRelativeMetrics[Easy Mission Reward],MATCH($E$35,missionsDragonRelativeMetrics[Dragon],0)), " coins")</f>
        <v>16000 coins</v>
      </c>
      <c r="I49" s="114" t="str">
        <f t="shared" si="1"/>
        <v>36 to 43</v>
      </c>
      <c r="J49" t="str">
        <f>CONCATENATE(INDEX(missionsDragonRelativeMetrics[Medium Mission Reward],MATCH($E$35,missionsDragonRelativeMetrics[Dragon],0)), " coins")</f>
        <v>24000 coins</v>
      </c>
      <c r="K49" s="114" t="str">
        <f t="shared" si="2"/>
        <v>36 to 43</v>
      </c>
      <c r="L49" t="str">
        <f>CONCATENATE(INDEX(missionsDragonRelativeMetrics[Hard Mission Reward],MATCH($E$35,missionsDragonRelativeMetrics[Dragon],0)), " coins")</f>
        <v>48000 coins</v>
      </c>
    </row>
    <row r="50" spans="2:12" x14ac:dyDescent="0.25">
      <c r="B50" t="s">
        <v>153</v>
      </c>
      <c r="C50" s="113" t="s">
        <v>152</v>
      </c>
      <c r="D50" t="s">
        <v>150</v>
      </c>
      <c r="E50" s="112">
        <v>350</v>
      </c>
      <c r="F50" s="112">
        <v>400</v>
      </c>
      <c r="G50" s="114" t="str">
        <f t="shared" si="0"/>
        <v>2468 to 2820</v>
      </c>
      <c r="H50" t="str">
        <f>CONCATENATE(INDEX(missionsDragonRelativeMetrics[Easy Mission Reward],MATCH($E$35,missionsDragonRelativeMetrics[Dragon],0)), " coins")</f>
        <v>16000 coins</v>
      </c>
      <c r="I50" s="114" t="str">
        <f t="shared" si="1"/>
        <v>2485 to 2840</v>
      </c>
      <c r="J50" t="str">
        <f>CONCATENATE(INDEX(missionsDragonRelativeMetrics[Medium Mission Reward],MATCH($E$35,missionsDragonRelativeMetrics[Dragon],0)), " coins")</f>
        <v>24000 coins</v>
      </c>
      <c r="K50" s="114" t="str">
        <f t="shared" si="2"/>
        <v>2520 to 2880</v>
      </c>
      <c r="L50" t="str">
        <f>CONCATENATE(INDEX(missionsDragonRelativeMetrics[Hard Mission Reward],MATCH($E$35,missionsDragonRelativeMetrics[Dragon],0)), " coins")</f>
        <v>48000 coins</v>
      </c>
    </row>
    <row r="51" spans="2:12" x14ac:dyDescent="0.25">
      <c r="B51" t="s">
        <v>154</v>
      </c>
      <c r="C51" s="113" t="s">
        <v>152</v>
      </c>
      <c r="D51" t="s">
        <v>150</v>
      </c>
      <c r="E51" s="112">
        <v>300</v>
      </c>
      <c r="F51" s="112">
        <v>400</v>
      </c>
      <c r="G51" s="114" t="str">
        <f t="shared" si="0"/>
        <v>2115 to 2820</v>
      </c>
      <c r="H51" t="str">
        <f>CONCATENATE(INDEX(missionsDragonRelativeMetrics[Easy Mission Reward],MATCH($E$35,missionsDragonRelativeMetrics[Dragon],0)), " coins")</f>
        <v>16000 coins</v>
      </c>
      <c r="I51" s="114" t="str">
        <f t="shared" si="1"/>
        <v>2130 to 2840</v>
      </c>
      <c r="J51" t="str">
        <f>CONCATENATE(INDEX(missionsDragonRelativeMetrics[Medium Mission Reward],MATCH($E$35,missionsDragonRelativeMetrics[Dragon],0)), " coins")</f>
        <v>24000 coins</v>
      </c>
      <c r="K51" s="114" t="str">
        <f t="shared" si="2"/>
        <v>2160 to 2880</v>
      </c>
      <c r="L51" t="str">
        <f>CONCATENATE(INDEX(missionsDragonRelativeMetrics[Hard Mission Reward],MATCH($E$35,missionsDragonRelativeMetrics[Dragon],0)), " coins")</f>
        <v>48000 coins</v>
      </c>
    </row>
    <row r="52" spans="2:12" x14ac:dyDescent="0.25">
      <c r="B52" t="s">
        <v>1</v>
      </c>
      <c r="C52" s="113" t="s">
        <v>152</v>
      </c>
      <c r="D52" t="s">
        <v>133</v>
      </c>
      <c r="E52" s="112">
        <v>400000</v>
      </c>
      <c r="F52" s="112">
        <v>500000</v>
      </c>
      <c r="G52" s="114" t="str">
        <f t="shared" si="0"/>
        <v>2820000 to 3525000</v>
      </c>
      <c r="H52" t="str">
        <f>CONCATENATE(INDEX(missionsDragonRelativeMetrics[Easy Mission Reward],MATCH($E$35,missionsDragonRelativeMetrics[Dragon],0)), " coins")</f>
        <v>16000 coins</v>
      </c>
      <c r="I52" s="114" t="str">
        <f t="shared" si="1"/>
        <v>2840000 to 3550000</v>
      </c>
      <c r="J52" t="str">
        <f>CONCATENATE(INDEX(missionsDragonRelativeMetrics[Medium Mission Reward],MATCH($E$35,missionsDragonRelativeMetrics[Dragon],0)), " coins")</f>
        <v>24000 coins</v>
      </c>
      <c r="K52" s="114" t="str">
        <f t="shared" si="2"/>
        <v>2880000 to 3600000</v>
      </c>
      <c r="L52" t="str">
        <f>CONCATENATE(INDEX(missionsDragonRelativeMetrics[Hard Mission Reward],MATCH($E$35,missionsDragonRelativeMetrics[Dragon],0)), " coins")</f>
        <v>48000 coins</v>
      </c>
    </row>
    <row r="53" spans="2:12" x14ac:dyDescent="0.25">
      <c r="B53" t="s">
        <v>0</v>
      </c>
      <c r="C53" t="s">
        <v>155</v>
      </c>
      <c r="D53" t="s">
        <v>133</v>
      </c>
      <c r="E53" s="112">
        <v>45</v>
      </c>
      <c r="F53" s="112">
        <v>55</v>
      </c>
      <c r="G53" s="114" t="str">
        <f t="shared" si="0"/>
        <v>317 to 388</v>
      </c>
      <c r="H53" t="str">
        <f>CONCATENATE(INDEX(missionsDragonRelativeMetrics[Easy Mission Reward],MATCH($E$35,missionsDragonRelativeMetrics[Dragon],0)), " coins")</f>
        <v>16000 coins</v>
      </c>
      <c r="I53" s="114" t="str">
        <f t="shared" si="1"/>
        <v>320 to 391</v>
      </c>
      <c r="J53" t="str">
        <f>CONCATENATE(INDEX(missionsDragonRelativeMetrics[Medium Mission Reward],MATCH($E$35,missionsDragonRelativeMetrics[Dragon],0)), " coins")</f>
        <v>24000 coins</v>
      </c>
      <c r="K53" s="114" t="str">
        <f t="shared" si="2"/>
        <v>324 to 396</v>
      </c>
      <c r="L53" t="str">
        <f>CONCATENATE(INDEX(missionsDragonRelativeMetrics[Hard Mission Reward],MATCH($E$35,missionsDragonRelativeMetrics[Dragon],0)), " coins")</f>
        <v>48000 coins</v>
      </c>
    </row>
    <row r="54" spans="2:12" x14ac:dyDescent="0.25">
      <c r="B54" t="s">
        <v>0</v>
      </c>
      <c r="C54" t="s">
        <v>156</v>
      </c>
      <c r="D54" t="s">
        <v>133</v>
      </c>
      <c r="E54" s="112">
        <v>40</v>
      </c>
      <c r="F54" s="112">
        <v>45</v>
      </c>
      <c r="G54" s="114" t="str">
        <f t="shared" si="0"/>
        <v>282 to 317</v>
      </c>
      <c r="H54" t="str">
        <f>CONCATENATE(INDEX(missionsDragonRelativeMetrics[Easy Mission Reward],MATCH($E$35,missionsDragonRelativeMetrics[Dragon],0)), " coins")</f>
        <v>16000 coins</v>
      </c>
      <c r="I54" s="114" t="str">
        <f t="shared" si="1"/>
        <v>284 to 320</v>
      </c>
      <c r="J54" t="str">
        <f>CONCATENATE(INDEX(missionsDragonRelativeMetrics[Medium Mission Reward],MATCH($E$35,missionsDragonRelativeMetrics[Dragon],0)), " coins")</f>
        <v>24000 coins</v>
      </c>
      <c r="K54" s="114" t="str">
        <f t="shared" si="2"/>
        <v>288 to 324</v>
      </c>
      <c r="L54" t="str">
        <f>CONCATENATE(INDEX(missionsDragonRelativeMetrics[Hard Mission Reward],MATCH($E$35,missionsDragonRelativeMetrics[Dragon],0)), " coins")</f>
        <v>48000 coins</v>
      </c>
    </row>
    <row r="55" spans="2:12" x14ac:dyDescent="0.25">
      <c r="B55" t="s">
        <v>0</v>
      </c>
      <c r="C55" t="s">
        <v>157</v>
      </c>
      <c r="D55" t="s">
        <v>133</v>
      </c>
      <c r="E55" s="112">
        <v>150</v>
      </c>
      <c r="F55" s="112">
        <v>200</v>
      </c>
      <c r="G55" s="114" t="str">
        <f t="shared" si="0"/>
        <v>1058 to 1410</v>
      </c>
      <c r="H55" t="str">
        <f>CONCATENATE(INDEX(missionsDragonRelativeMetrics[Easy Mission Reward],MATCH($E$35,missionsDragonRelativeMetrics[Dragon],0)), " coins")</f>
        <v>16000 coins</v>
      </c>
      <c r="I55" s="114" t="str">
        <f t="shared" si="1"/>
        <v>1065 to 1420</v>
      </c>
      <c r="J55" t="str">
        <f>CONCATENATE(INDEX(missionsDragonRelativeMetrics[Medium Mission Reward],MATCH($E$35,missionsDragonRelativeMetrics[Dragon],0)), " coins")</f>
        <v>24000 coins</v>
      </c>
      <c r="K55" s="114" t="str">
        <f t="shared" si="2"/>
        <v>1080 to 1440</v>
      </c>
      <c r="L55" t="str">
        <f>CONCATENATE(INDEX(missionsDragonRelativeMetrics[Hard Mission Reward],MATCH($E$35,missionsDragonRelativeMetrics[Dragon],0)), " coins")</f>
        <v>48000 coins</v>
      </c>
    </row>
    <row r="56" spans="2:12" x14ac:dyDescent="0.25">
      <c r="B56" t="s">
        <v>0</v>
      </c>
      <c r="C56" t="s">
        <v>158</v>
      </c>
      <c r="D56" t="s">
        <v>133</v>
      </c>
      <c r="E56" s="112">
        <v>5</v>
      </c>
      <c r="F56" s="112">
        <v>7</v>
      </c>
      <c r="G56" s="114" t="str">
        <f t="shared" si="0"/>
        <v>35 to 49</v>
      </c>
      <c r="H56" t="str">
        <f>CONCATENATE(INDEX(missionsDragonRelativeMetrics[Easy Mission Reward],MATCH($E$35,missionsDragonRelativeMetrics[Dragon],0)), " coins")</f>
        <v>16000 coins</v>
      </c>
      <c r="I56" s="114" t="str">
        <f t="shared" si="1"/>
        <v>36 to 50</v>
      </c>
      <c r="J56" t="str">
        <f>CONCATENATE(INDEX(missionsDragonRelativeMetrics[Medium Mission Reward],MATCH($E$35,missionsDragonRelativeMetrics[Dragon],0)), " coins")</f>
        <v>24000 coins</v>
      </c>
      <c r="K56" s="114" t="str">
        <f t="shared" si="2"/>
        <v>36 to 50</v>
      </c>
      <c r="L56" t="str">
        <f>CONCATENATE(INDEX(missionsDragonRelativeMetrics[Hard Mission Reward],MATCH($E$35,missionsDragonRelativeMetrics[Dragon],0)), " coins")</f>
        <v>48000 coins</v>
      </c>
    </row>
    <row r="57" spans="2:12" x14ac:dyDescent="0.25">
      <c r="B57" t="s">
        <v>0</v>
      </c>
      <c r="C57" t="s">
        <v>159</v>
      </c>
      <c r="D57" t="s">
        <v>133</v>
      </c>
      <c r="E57" s="112">
        <v>5</v>
      </c>
      <c r="F57" s="112">
        <v>7</v>
      </c>
      <c r="G57" s="114" t="str">
        <f t="shared" si="0"/>
        <v>35 to 49</v>
      </c>
      <c r="H57" t="str">
        <f>CONCATENATE(INDEX(missionsDragonRelativeMetrics[Easy Mission Reward],MATCH($E$35,missionsDragonRelativeMetrics[Dragon],0)), " coins")</f>
        <v>16000 coins</v>
      </c>
      <c r="I57" s="114" t="str">
        <f t="shared" si="1"/>
        <v>36 to 50</v>
      </c>
      <c r="J57" t="str">
        <f>CONCATENATE(INDEX(missionsDragonRelativeMetrics[Medium Mission Reward],MATCH($E$35,missionsDragonRelativeMetrics[Dragon],0)), " coins")</f>
        <v>24000 coins</v>
      </c>
      <c r="K57" s="114" t="str">
        <f t="shared" si="2"/>
        <v>36 to 50</v>
      </c>
      <c r="L57" t="str">
        <f>CONCATENATE(INDEX(missionsDragonRelativeMetrics[Hard Mission Reward],MATCH($E$35,missionsDragonRelativeMetrics[Dragon],0)), " coins")</f>
        <v>48000 coins</v>
      </c>
    </row>
    <row r="58" spans="2:12" x14ac:dyDescent="0.25">
      <c r="B58" t="s">
        <v>0</v>
      </c>
      <c r="C58" t="s">
        <v>160</v>
      </c>
      <c r="D58" t="s">
        <v>133</v>
      </c>
      <c r="E58" s="112">
        <v>3</v>
      </c>
      <c r="F58" s="112">
        <v>4</v>
      </c>
      <c r="G58" s="114" t="str">
        <f t="shared" si="0"/>
        <v>21 to 28</v>
      </c>
      <c r="H58" t="str">
        <f>CONCATENATE(INDEX(missionsDragonRelativeMetrics[Easy Mission Reward],MATCH($E$35,missionsDragonRelativeMetrics[Dragon],0)), " coins")</f>
        <v>16000 coins</v>
      </c>
      <c r="I58" s="114" t="str">
        <f t="shared" si="1"/>
        <v>21 to 28</v>
      </c>
      <c r="J58" t="str">
        <f>CONCATENATE(INDEX(missionsDragonRelativeMetrics[Medium Mission Reward],MATCH($E$35,missionsDragonRelativeMetrics[Dragon],0)), " coins")</f>
        <v>24000 coins</v>
      </c>
      <c r="K58" s="114" t="str">
        <f t="shared" si="2"/>
        <v>22 to 29</v>
      </c>
      <c r="L58" t="str">
        <f>CONCATENATE(INDEX(missionsDragonRelativeMetrics[Hard Mission Reward],MATCH($E$35,missionsDragonRelativeMetrics[Dragon],0)), " coins")</f>
        <v>48000 coins</v>
      </c>
    </row>
    <row r="59" spans="2:12" x14ac:dyDescent="0.25">
      <c r="B59" t="s">
        <v>0</v>
      </c>
      <c r="C59" t="s">
        <v>161</v>
      </c>
      <c r="D59" t="s">
        <v>133</v>
      </c>
      <c r="E59" s="112">
        <v>3</v>
      </c>
      <c r="F59" s="112">
        <v>3</v>
      </c>
      <c r="G59" s="114" t="str">
        <f t="shared" si="0"/>
        <v>21 to 21</v>
      </c>
      <c r="H59" t="str">
        <f>CONCATENATE(INDEX(missionsDragonRelativeMetrics[Easy Mission Reward],MATCH($E$35,missionsDragonRelativeMetrics[Dragon],0)), " coins")</f>
        <v>16000 coins</v>
      </c>
      <c r="I59" s="114" t="str">
        <f t="shared" si="1"/>
        <v>21 to 21</v>
      </c>
      <c r="J59" t="str">
        <f>CONCATENATE(INDEX(missionsDragonRelativeMetrics[Medium Mission Reward],MATCH($E$35,missionsDragonRelativeMetrics[Dragon],0)), " coins")</f>
        <v>24000 coins</v>
      </c>
      <c r="K59" s="114" t="str">
        <f t="shared" si="2"/>
        <v>22 to 22</v>
      </c>
      <c r="L59" t="str">
        <f>CONCATENATE(INDEX(missionsDragonRelativeMetrics[Hard Mission Reward],MATCH($E$35,missionsDragonRelativeMetrics[Dragon],0)), " coins")</f>
        <v>48000 coins</v>
      </c>
    </row>
    <row r="60" spans="2:12" x14ac:dyDescent="0.25">
      <c r="B60" t="s">
        <v>0</v>
      </c>
      <c r="C60" t="s">
        <v>162</v>
      </c>
      <c r="D60" t="s">
        <v>133</v>
      </c>
      <c r="E60" s="112">
        <v>8</v>
      </c>
      <c r="F60" s="112">
        <v>9</v>
      </c>
      <c r="G60" s="114" t="str">
        <f t="shared" si="0"/>
        <v>56 to 63</v>
      </c>
      <c r="H60" t="str">
        <f>CONCATENATE(INDEX(missionsDragonRelativeMetrics[Easy Mission Reward],MATCH($E$35,missionsDragonRelativeMetrics[Dragon],0)), " coins")</f>
        <v>16000 coins</v>
      </c>
      <c r="I60" s="114" t="str">
        <f t="shared" si="1"/>
        <v>57 to 64</v>
      </c>
      <c r="J60" t="str">
        <f>CONCATENATE(INDEX(missionsDragonRelativeMetrics[Medium Mission Reward],MATCH($E$35,missionsDragonRelativeMetrics[Dragon],0)), " coins")</f>
        <v>24000 coins</v>
      </c>
      <c r="K60" s="114" t="str">
        <f t="shared" si="2"/>
        <v>58 to 65</v>
      </c>
      <c r="L60" t="str">
        <f>CONCATENATE(INDEX(missionsDragonRelativeMetrics[Hard Mission Reward],MATCH($E$35,missionsDragonRelativeMetrics[Dragon],0)), " coins")</f>
        <v>48000 coins</v>
      </c>
    </row>
    <row r="61" spans="2:12" x14ac:dyDescent="0.25">
      <c r="B61" t="s">
        <v>0</v>
      </c>
      <c r="C61" t="s">
        <v>163</v>
      </c>
      <c r="D61" t="s">
        <v>133</v>
      </c>
      <c r="E61" s="112">
        <v>11</v>
      </c>
      <c r="F61" s="112">
        <v>12</v>
      </c>
      <c r="G61" s="114" t="str">
        <f t="shared" si="0"/>
        <v>78 to 85</v>
      </c>
      <c r="H61" t="str">
        <f>CONCATENATE(INDEX(missionsDragonRelativeMetrics[Easy Mission Reward],MATCH($E$35,missionsDragonRelativeMetrics[Dragon],0)), " coins")</f>
        <v>16000 coins</v>
      </c>
      <c r="I61" s="114" t="str">
        <f t="shared" si="1"/>
        <v>78 to 85</v>
      </c>
      <c r="J61" t="str">
        <f>CONCATENATE(INDEX(missionsDragonRelativeMetrics[Medium Mission Reward],MATCH($E$35,missionsDragonRelativeMetrics[Dragon],0)), " coins")</f>
        <v>24000 coins</v>
      </c>
      <c r="K61" s="114" t="str">
        <f t="shared" si="2"/>
        <v>79 to 86</v>
      </c>
      <c r="L61" t="str">
        <f>CONCATENATE(INDEX(missionsDragonRelativeMetrics[Hard Mission Reward],MATCH($E$35,missionsDragonRelativeMetrics[Dragon],0)), " coins")</f>
        <v>48000 coins</v>
      </c>
    </row>
    <row r="62" spans="2:12" x14ac:dyDescent="0.25">
      <c r="B62" t="s">
        <v>164</v>
      </c>
      <c r="C62" s="113" t="s">
        <v>152</v>
      </c>
      <c r="D62" t="s">
        <v>133</v>
      </c>
      <c r="E62" s="112">
        <v>6000</v>
      </c>
      <c r="F62" s="112">
        <v>7000</v>
      </c>
      <c r="G62" s="114" t="str">
        <f t="shared" si="0"/>
        <v>42300 to 49350</v>
      </c>
      <c r="H62" t="str">
        <f>CONCATENATE(INDEX(missionsDragonRelativeMetrics[Easy Mission Reward],MATCH($E$35,missionsDragonRelativeMetrics[Dragon],0)), " coins")</f>
        <v>16000 coins</v>
      </c>
      <c r="I62" s="114" t="str">
        <f t="shared" si="1"/>
        <v>42600 to 49700</v>
      </c>
      <c r="J62" t="str">
        <f>CONCATENATE(INDEX(missionsDragonRelativeMetrics[Medium Mission Reward],MATCH($E$35,missionsDragonRelativeMetrics[Dragon],0)), " coins")</f>
        <v>24000 coins</v>
      </c>
      <c r="K62" s="114" t="str">
        <f t="shared" si="2"/>
        <v>43200 to 50400</v>
      </c>
      <c r="L62" t="str">
        <f>CONCATENATE(INDEX(missionsDragonRelativeMetrics[Hard Mission Reward],MATCH($E$35,missionsDragonRelativeMetrics[Dragon],0)), " coins")</f>
        <v>48000 coins</v>
      </c>
    </row>
    <row r="63" spans="2:12" x14ac:dyDescent="0.25">
      <c r="B63" t="s">
        <v>165</v>
      </c>
      <c r="C63" s="113" t="s">
        <v>152</v>
      </c>
      <c r="D63" t="s">
        <v>133</v>
      </c>
      <c r="E63" s="112">
        <v>50</v>
      </c>
      <c r="F63" s="112">
        <v>55</v>
      </c>
      <c r="G63" s="114" t="str">
        <f t="shared" si="0"/>
        <v>353 to 388</v>
      </c>
      <c r="H63" t="str">
        <f>CONCATENATE(INDEX(missionsDragonRelativeMetrics[Easy Mission Reward],MATCH($E$35,missionsDragonRelativeMetrics[Dragon],0)), " coins")</f>
        <v>16000 coins</v>
      </c>
      <c r="I63" s="114" t="str">
        <f t="shared" si="1"/>
        <v>355 to 391</v>
      </c>
      <c r="J63" t="str">
        <f>CONCATENATE(INDEX(missionsDragonRelativeMetrics[Medium Mission Reward],MATCH($E$35,missionsDragonRelativeMetrics[Dragon],0)), " coins")</f>
        <v>24000 coins</v>
      </c>
      <c r="K63" s="114" t="str">
        <f t="shared" si="2"/>
        <v>360 to 396</v>
      </c>
      <c r="L63" t="str">
        <f>CONCATENATE(INDEX(missionsDragonRelativeMetrics[Hard Mission Reward],MATCH($E$35,missionsDragonRelativeMetrics[Dragon],0)), " coins")</f>
        <v>48000 coins</v>
      </c>
    </row>
    <row r="64" spans="2:12" x14ac:dyDescent="0.25">
      <c r="B64" t="s">
        <v>165</v>
      </c>
      <c r="C64" t="s">
        <v>166</v>
      </c>
      <c r="D64" t="s">
        <v>133</v>
      </c>
      <c r="E64" s="112">
        <v>4</v>
      </c>
      <c r="F64" s="112">
        <v>4</v>
      </c>
      <c r="G64" s="114" t="str">
        <f t="shared" si="0"/>
        <v>28 to 28</v>
      </c>
      <c r="H64" t="str">
        <f>CONCATENATE(INDEX(missionsDragonRelativeMetrics[Easy Mission Reward],MATCH($E$35,missionsDragonRelativeMetrics[Dragon],0)), " coins")</f>
        <v>16000 coins</v>
      </c>
      <c r="I64" s="114" t="str">
        <f t="shared" si="1"/>
        <v>28 to 28</v>
      </c>
      <c r="J64" t="str">
        <f>CONCATENATE(INDEX(missionsDragonRelativeMetrics[Medium Mission Reward],MATCH($E$35,missionsDragonRelativeMetrics[Dragon],0)), " coins")</f>
        <v>24000 coins</v>
      </c>
      <c r="K64" s="114" t="str">
        <f t="shared" si="2"/>
        <v>29 to 29</v>
      </c>
      <c r="L64" t="str">
        <f>CONCATENATE(INDEX(missionsDragonRelativeMetrics[Hard Mission Reward],MATCH($E$35,missionsDragonRelativeMetrics[Dragon],0)), " coins")</f>
        <v>48000 coins</v>
      </c>
    </row>
    <row r="65" spans="2:12" x14ac:dyDescent="0.25">
      <c r="B65" t="s">
        <v>165</v>
      </c>
      <c r="C65" t="s">
        <v>167</v>
      </c>
      <c r="D65" t="s">
        <v>133</v>
      </c>
      <c r="E65" s="112">
        <v>5</v>
      </c>
      <c r="F65" s="112">
        <v>5</v>
      </c>
      <c r="G65" s="114" t="str">
        <f t="shared" si="0"/>
        <v>35 to 35</v>
      </c>
      <c r="H65" t="str">
        <f>CONCATENATE(INDEX(missionsDragonRelativeMetrics[Easy Mission Reward],MATCH($E$35,missionsDragonRelativeMetrics[Dragon],0)), " coins")</f>
        <v>16000 coins</v>
      </c>
      <c r="I65" s="114" t="str">
        <f t="shared" si="1"/>
        <v>36 to 36</v>
      </c>
      <c r="J65" t="str">
        <f>CONCATENATE(INDEX(missionsDragonRelativeMetrics[Medium Mission Reward],MATCH($E$35,missionsDragonRelativeMetrics[Dragon],0)), " coins")</f>
        <v>24000 coins</v>
      </c>
      <c r="K65" s="114" t="str">
        <f t="shared" si="2"/>
        <v>36 to 36</v>
      </c>
      <c r="L65" t="str">
        <f>CONCATENATE(INDEX(missionsDragonRelativeMetrics[Hard Mission Reward],MATCH($E$35,missionsDragonRelativeMetrics[Dragon],0)), " coins")</f>
        <v>48000 coins</v>
      </c>
    </row>
    <row r="66" spans="2:12" x14ac:dyDescent="0.25">
      <c r="B66" t="s">
        <v>165</v>
      </c>
      <c r="C66" t="s">
        <v>156</v>
      </c>
      <c r="D66" t="s">
        <v>133</v>
      </c>
      <c r="E66" s="112">
        <v>17</v>
      </c>
      <c r="F66" s="112">
        <v>18</v>
      </c>
      <c r="G66" s="114" t="str">
        <f t="shared" si="0"/>
        <v>120 to 127</v>
      </c>
      <c r="H66" t="str">
        <f>CONCATENATE(INDEX(missionsDragonRelativeMetrics[Easy Mission Reward],MATCH($E$35,missionsDragonRelativeMetrics[Dragon],0)), " coins")</f>
        <v>16000 coins</v>
      </c>
      <c r="I66" s="114" t="str">
        <f t="shared" si="1"/>
        <v>121 to 128</v>
      </c>
      <c r="J66" t="str">
        <f>CONCATENATE(INDEX(missionsDragonRelativeMetrics[Medium Mission Reward],MATCH($E$35,missionsDragonRelativeMetrics[Dragon],0)), " coins")</f>
        <v>24000 coins</v>
      </c>
      <c r="K66" s="114" t="str">
        <f t="shared" si="2"/>
        <v>122 to 130</v>
      </c>
      <c r="L66" t="str">
        <f>CONCATENATE(INDEX(missionsDragonRelativeMetrics[Hard Mission Reward],MATCH($E$35,missionsDragonRelativeMetrics[Dragon],0)), " coins")</f>
        <v>48000 coins</v>
      </c>
    </row>
    <row r="67" spans="2:12" x14ac:dyDescent="0.25">
      <c r="B67" t="s">
        <v>2</v>
      </c>
      <c r="C67" t="s">
        <v>168</v>
      </c>
      <c r="D67" t="s">
        <v>150</v>
      </c>
      <c r="E67" s="112">
        <v>10</v>
      </c>
      <c r="F67" s="112">
        <v>12</v>
      </c>
      <c r="G67" s="114" t="str">
        <f t="shared" si="0"/>
        <v>71 to 85</v>
      </c>
      <c r="H67" t="str">
        <f>CONCATENATE(INDEX(missionsDragonRelativeMetrics[Easy Mission Reward],MATCH($E$35,missionsDragonRelativeMetrics[Dragon],0)), " coins")</f>
        <v>16000 coins</v>
      </c>
      <c r="I67" s="114" t="str">
        <f t="shared" si="1"/>
        <v>71 to 85</v>
      </c>
      <c r="J67" t="str">
        <f>CONCATENATE(INDEX(missionsDragonRelativeMetrics[Medium Mission Reward],MATCH($E$35,missionsDragonRelativeMetrics[Dragon],0)), " coins")</f>
        <v>24000 coins</v>
      </c>
      <c r="K67" s="114" t="str">
        <f t="shared" si="2"/>
        <v>72 to 86</v>
      </c>
      <c r="L67" t="str">
        <f>CONCATENATE(INDEX(missionsDragonRelativeMetrics[Hard Mission Reward],MATCH($E$35,missionsDragonRelativeMetrics[Dragon],0)), " coins")</f>
        <v>48000 coins</v>
      </c>
    </row>
    <row r="68" spans="2:12" x14ac:dyDescent="0.25">
      <c r="B68" t="s">
        <v>165</v>
      </c>
      <c r="C68" t="s">
        <v>169</v>
      </c>
      <c r="D68" t="s">
        <v>133</v>
      </c>
      <c r="E68" s="112">
        <v>3</v>
      </c>
      <c r="F68" s="112">
        <v>4</v>
      </c>
      <c r="G68" s="114" t="str">
        <f t="shared" si="0"/>
        <v>21 to 28</v>
      </c>
      <c r="H68" t="str">
        <f>CONCATENATE(INDEX(missionsDragonRelativeMetrics[Easy Mission Reward],MATCH($E$35,missionsDragonRelativeMetrics[Dragon],0)), " coins")</f>
        <v>16000 coins</v>
      </c>
      <c r="I68" s="114" t="str">
        <f t="shared" si="1"/>
        <v>21 to 28</v>
      </c>
      <c r="J68" t="str">
        <f>CONCATENATE(INDEX(missionsDragonRelativeMetrics[Medium Mission Reward],MATCH($E$35,missionsDragonRelativeMetrics[Dragon],0)), " coins")</f>
        <v>24000 coins</v>
      </c>
      <c r="K68" s="114" t="str">
        <f t="shared" si="2"/>
        <v>22 to 29</v>
      </c>
      <c r="L68" t="str">
        <f>CONCATENATE(INDEX(missionsDragonRelativeMetrics[Hard Mission Reward],MATCH($E$35,missionsDragonRelativeMetrics[Dragon],0)), " coins")</f>
        <v>48000 coins</v>
      </c>
    </row>
    <row r="69" spans="2:12" x14ac:dyDescent="0.25">
      <c r="B69" t="s">
        <v>165</v>
      </c>
      <c r="C69" t="s">
        <v>132</v>
      </c>
      <c r="D69" t="s">
        <v>133</v>
      </c>
      <c r="E69" s="112">
        <v>25</v>
      </c>
      <c r="F69" s="112">
        <v>27</v>
      </c>
      <c r="G69" s="114" t="str">
        <f t="shared" si="0"/>
        <v>176 to 190</v>
      </c>
      <c r="H69" t="str">
        <f>CONCATENATE(INDEX(missionsDragonRelativeMetrics[Easy Mission Reward],MATCH($E$35,missionsDragonRelativeMetrics[Dragon],0)), " coins")</f>
        <v>16000 coins</v>
      </c>
      <c r="I69" s="114" t="str">
        <f t="shared" si="1"/>
        <v>178 to 192</v>
      </c>
      <c r="J69" t="str">
        <f>CONCATENATE(INDEX(missionsDragonRelativeMetrics[Medium Mission Reward],MATCH($E$35,missionsDragonRelativeMetrics[Dragon],0)), " coins")</f>
        <v>24000 coins</v>
      </c>
      <c r="K69" s="114" t="str">
        <f t="shared" si="2"/>
        <v>180 to 194</v>
      </c>
      <c r="L69" t="str">
        <f>CONCATENATE(INDEX(missionsDragonRelativeMetrics[Hard Mission Reward],MATCH($E$35,missionsDragonRelativeMetrics[Dragon],0)), " coins")</f>
        <v>48000 coins</v>
      </c>
    </row>
    <row r="70" spans="2:12" x14ac:dyDescent="0.25">
      <c r="B70" t="s">
        <v>0</v>
      </c>
      <c r="C70" t="s">
        <v>170</v>
      </c>
      <c r="D70" t="s">
        <v>133</v>
      </c>
      <c r="E70" s="112">
        <v>10</v>
      </c>
      <c r="F70" s="112">
        <v>12</v>
      </c>
      <c r="G70" s="114" t="str">
        <f t="shared" si="0"/>
        <v>71 to 85</v>
      </c>
      <c r="H70" t="str">
        <f>CONCATENATE(INDEX(missionsDragonRelativeMetrics[Easy Mission Reward],MATCH($E$35,missionsDragonRelativeMetrics[Dragon],0)), " coins")</f>
        <v>16000 coins</v>
      </c>
      <c r="I70" s="114" t="str">
        <f t="shared" si="1"/>
        <v>71 to 85</v>
      </c>
      <c r="J70" t="str">
        <f>CONCATENATE(INDEX(missionsDragonRelativeMetrics[Medium Mission Reward],MATCH($E$35,missionsDragonRelativeMetrics[Dragon],0)), " coins")</f>
        <v>24000 coins</v>
      </c>
      <c r="K70" s="114" t="str">
        <f t="shared" si="2"/>
        <v>72 to 86</v>
      </c>
      <c r="L70" t="str">
        <f>CONCATENATE(INDEX(missionsDragonRelativeMetrics[Hard Mission Reward],MATCH($E$35,missionsDragonRelativeMetrics[Dragon],0)), " coins")</f>
        <v>48000 coins</v>
      </c>
    </row>
    <row r="71" spans="2:12" x14ac:dyDescent="0.25">
      <c r="B71" t="s">
        <v>165</v>
      </c>
      <c r="C71" t="s">
        <v>171</v>
      </c>
      <c r="D71" t="s">
        <v>133</v>
      </c>
      <c r="E71" s="112">
        <v>3</v>
      </c>
      <c r="F71" s="112">
        <v>3</v>
      </c>
      <c r="G71" s="114" t="str">
        <f t="shared" si="0"/>
        <v>21 to 21</v>
      </c>
      <c r="H71" t="str">
        <f>CONCATENATE(INDEX(missionsDragonRelativeMetrics[Easy Mission Reward],MATCH($E$35,missionsDragonRelativeMetrics[Dragon],0)), " coins")</f>
        <v>16000 coins</v>
      </c>
      <c r="I71" s="114" t="str">
        <f t="shared" si="1"/>
        <v>21 to 21</v>
      </c>
      <c r="J71" t="str">
        <f>CONCATENATE(INDEX(missionsDragonRelativeMetrics[Medium Mission Reward],MATCH($E$35,missionsDragonRelativeMetrics[Dragon],0)), " coins")</f>
        <v>24000 coins</v>
      </c>
      <c r="K71" s="114" t="str">
        <f t="shared" si="2"/>
        <v>22 to 22</v>
      </c>
      <c r="L71" t="str">
        <f>CONCATENATE(INDEX(missionsDragonRelativeMetrics[Hard Mission Reward],MATCH($E$35,missionsDragonRelativeMetrics[Dragon],0)), " coins")</f>
        <v>48000 coins</v>
      </c>
    </row>
    <row r="72" spans="2:12" x14ac:dyDescent="0.25">
      <c r="B72" t="s">
        <v>148</v>
      </c>
      <c r="C72" t="s">
        <v>172</v>
      </c>
      <c r="D72" t="s">
        <v>150</v>
      </c>
      <c r="E72" s="112">
        <v>1</v>
      </c>
      <c r="F72" s="112">
        <v>2</v>
      </c>
      <c r="G72" s="114" t="str">
        <f t="shared" si="0"/>
        <v>7 to 14</v>
      </c>
      <c r="H72" t="str">
        <f>CONCATENATE(INDEX(missionsDragonRelativeMetrics[Easy Mission Reward],MATCH($E$35,missionsDragonRelativeMetrics[Dragon],0)), " coins")</f>
        <v>16000 coins</v>
      </c>
      <c r="I72" s="114" t="str">
        <f t="shared" si="1"/>
        <v>7 to 14</v>
      </c>
      <c r="J72" t="str">
        <f>CONCATENATE(INDEX(missionsDragonRelativeMetrics[Medium Mission Reward],MATCH($E$35,missionsDragonRelativeMetrics[Dragon],0)), " coins")</f>
        <v>24000 coins</v>
      </c>
      <c r="K72" s="114" t="str">
        <f t="shared" si="2"/>
        <v>7 to 14</v>
      </c>
      <c r="L72" t="str">
        <f>CONCATENATE(INDEX(missionsDragonRelativeMetrics[Hard Mission Reward],MATCH($E$35,missionsDragonRelativeMetrics[Dragon],0)), " coins")</f>
        <v>48000 coins</v>
      </c>
    </row>
    <row r="73" spans="2:12" x14ac:dyDescent="0.25">
      <c r="B73" t="s">
        <v>0</v>
      </c>
      <c r="C73" t="s">
        <v>173</v>
      </c>
      <c r="D73" t="s">
        <v>133</v>
      </c>
      <c r="E73" s="112">
        <v>5</v>
      </c>
      <c r="F73" s="112">
        <v>6</v>
      </c>
      <c r="G73" s="114" t="str">
        <f t="shared" si="0"/>
        <v>35 to 42</v>
      </c>
      <c r="H73" t="str">
        <f>CONCATENATE(INDEX(missionsDragonRelativeMetrics[Easy Mission Reward],MATCH($E$35,missionsDragonRelativeMetrics[Dragon],0)), " coins")</f>
        <v>16000 coins</v>
      </c>
      <c r="I73" s="114" t="str">
        <f t="shared" si="1"/>
        <v>36 to 43</v>
      </c>
      <c r="J73" t="str">
        <f>CONCATENATE(INDEX(missionsDragonRelativeMetrics[Medium Mission Reward],MATCH($E$35,missionsDragonRelativeMetrics[Dragon],0)), " coins")</f>
        <v>24000 coins</v>
      </c>
      <c r="K73" s="114" t="str">
        <f t="shared" si="2"/>
        <v>36 to 43</v>
      </c>
      <c r="L73" t="str">
        <f>CONCATENATE(INDEX(missionsDragonRelativeMetrics[Hard Mission Reward],MATCH($E$35,missionsDragonRelativeMetrics[Dragon],0)), " coins")</f>
        <v>48000 coins</v>
      </c>
    </row>
  </sheetData>
  <mergeCells count="3">
    <mergeCell ref="G43:H43"/>
    <mergeCell ref="I43:J43"/>
    <mergeCell ref="K43:L43"/>
  </mergeCells>
  <dataValidations count="2">
    <dataValidation type="list" allowBlank="1" showInputMessage="1" showErrorMessage="1" sqref="I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39997558519241921"/>
  </sheetPr>
  <dimension ref="B1:AL115"/>
  <sheetViews>
    <sheetView tabSelected="1" topLeftCell="K7" workbookViewId="0">
      <selection activeCell="P38" sqref="P38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1.1406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8" t="s">
        <v>461</v>
      </c>
      <c r="C1" s="310"/>
      <c r="D1" s="310"/>
      <c r="E1" s="310"/>
      <c r="F1" s="310"/>
      <c r="G1" s="310"/>
      <c r="H1" s="270"/>
    </row>
    <row r="2" spans="2:38" x14ac:dyDescent="0.25">
      <c r="B2" s="268"/>
      <c r="C2" s="310"/>
      <c r="D2" s="310"/>
      <c r="E2" s="310"/>
      <c r="F2" s="310"/>
      <c r="G2" s="310"/>
      <c r="H2" s="270"/>
    </row>
    <row r="3" spans="2:38" x14ac:dyDescent="0.25">
      <c r="B3" s="268" t="s">
        <v>449</v>
      </c>
      <c r="C3" s="310"/>
      <c r="D3" s="310"/>
      <c r="E3" s="310"/>
      <c r="F3" s="310"/>
      <c r="G3" s="310"/>
      <c r="H3" s="270"/>
    </row>
    <row r="4" spans="2:38" x14ac:dyDescent="0.25">
      <c r="B4" s="268" t="s">
        <v>463</v>
      </c>
      <c r="C4" s="310"/>
      <c r="D4" s="310"/>
      <c r="E4" s="310"/>
      <c r="F4" s="310"/>
      <c r="G4" s="310"/>
      <c r="H4" s="270"/>
    </row>
    <row r="5" spans="2:38" x14ac:dyDescent="0.25">
      <c r="B5" s="271"/>
      <c r="C5" s="272"/>
      <c r="D5" s="272"/>
      <c r="E5" s="272"/>
      <c r="F5" s="272"/>
      <c r="G5" s="272"/>
      <c r="H5" s="273"/>
    </row>
    <row r="7" spans="2:38" x14ac:dyDescent="0.25">
      <c r="F7" s="302" t="s">
        <v>446</v>
      </c>
    </row>
    <row r="8" spans="2:38" x14ac:dyDescent="0.25">
      <c r="F8" s="107" t="s">
        <v>447</v>
      </c>
    </row>
    <row r="9" spans="2:38" x14ac:dyDescent="0.25">
      <c r="F9" s="309" t="s">
        <v>448</v>
      </c>
    </row>
    <row r="10" spans="2:38" x14ac:dyDescent="0.25">
      <c r="F10" s="356" t="s">
        <v>490</v>
      </c>
    </row>
    <row r="11" spans="2:38" x14ac:dyDescent="0.25">
      <c r="Z11" s="123"/>
    </row>
    <row r="12" spans="2:38" x14ac:dyDescent="0.25">
      <c r="B12" s="371" t="s">
        <v>430</v>
      </c>
      <c r="C12" s="372"/>
      <c r="D12" s="373"/>
      <c r="J12" s="376" t="s">
        <v>486</v>
      </c>
      <c r="K12" s="377"/>
      <c r="L12" s="376" t="s">
        <v>487</v>
      </c>
      <c r="M12" s="377"/>
      <c r="N12" s="285"/>
      <c r="O12" s="285" t="s">
        <v>494</v>
      </c>
      <c r="P12" s="285"/>
      <c r="Q12" s="290"/>
      <c r="T12" s="378" t="s">
        <v>444</v>
      </c>
      <c r="U12" s="379"/>
      <c r="V12" s="380"/>
      <c r="W12" s="376" t="s">
        <v>450</v>
      </c>
      <c r="X12" s="377"/>
      <c r="Y12" s="376" t="s">
        <v>452</v>
      </c>
      <c r="Z12" s="377"/>
      <c r="AA12" s="376" t="s">
        <v>455</v>
      </c>
      <c r="AB12" s="377"/>
      <c r="AD12" s="376" t="s">
        <v>450</v>
      </c>
      <c r="AE12" s="377"/>
      <c r="AF12" s="376" t="s">
        <v>452</v>
      </c>
      <c r="AG12" s="377"/>
      <c r="AH12" s="376" t="s">
        <v>455</v>
      </c>
      <c r="AI12" s="377"/>
      <c r="AK12" s="376" t="s">
        <v>493</v>
      </c>
      <c r="AL12" s="377"/>
    </row>
    <row r="13" spans="2:38" x14ac:dyDescent="0.25">
      <c r="B13" s="293" t="s">
        <v>416</v>
      </c>
      <c r="C13" s="294" t="s">
        <v>420</v>
      </c>
      <c r="D13" s="321" t="s">
        <v>421</v>
      </c>
      <c r="E13" s="324" t="s">
        <v>462</v>
      </c>
      <c r="G13" s="334" t="s">
        <v>422</v>
      </c>
      <c r="H13" s="301" t="s">
        <v>451</v>
      </c>
      <c r="I13" s="351" t="s">
        <v>492</v>
      </c>
      <c r="J13" s="301" t="s">
        <v>459</v>
      </c>
      <c r="K13" s="334" t="s">
        <v>460</v>
      </c>
      <c r="L13" s="361" t="s">
        <v>481</v>
      </c>
      <c r="M13" s="351" t="s">
        <v>482</v>
      </c>
      <c r="N13" s="343" t="s">
        <v>491</v>
      </c>
      <c r="O13" s="301" t="s">
        <v>433</v>
      </c>
      <c r="P13" s="299" t="s">
        <v>432</v>
      </c>
      <c r="Q13" s="299" t="s">
        <v>473</v>
      </c>
      <c r="R13" s="334" t="s">
        <v>472</v>
      </c>
      <c r="S13" s="343" t="s">
        <v>435</v>
      </c>
      <c r="T13" s="301" t="s">
        <v>441</v>
      </c>
      <c r="U13" s="299" t="s">
        <v>442</v>
      </c>
      <c r="V13" s="334" t="s">
        <v>443</v>
      </c>
      <c r="W13" s="301" t="s">
        <v>453</v>
      </c>
      <c r="X13" s="299" t="s">
        <v>454</v>
      </c>
      <c r="Y13" s="299" t="s">
        <v>423</v>
      </c>
      <c r="Z13" s="299" t="s">
        <v>424</v>
      </c>
      <c r="AA13" s="315" t="s">
        <v>456</v>
      </c>
      <c r="AB13" s="315" t="s">
        <v>457</v>
      </c>
      <c r="AC13" s="334" t="s">
        <v>458</v>
      </c>
      <c r="AD13" s="315" t="s">
        <v>474</v>
      </c>
      <c r="AE13" s="315" t="s">
        <v>475</v>
      </c>
      <c r="AF13" s="315" t="s">
        <v>476</v>
      </c>
      <c r="AG13" s="315" t="s">
        <v>477</v>
      </c>
      <c r="AH13" s="315" t="s">
        <v>478</v>
      </c>
      <c r="AI13" s="299" t="s">
        <v>479</v>
      </c>
      <c r="AJ13" s="319" t="s">
        <v>480</v>
      </c>
      <c r="AK13" s="299" t="s">
        <v>488</v>
      </c>
      <c r="AL13" s="299" t="s">
        <v>489</v>
      </c>
    </row>
    <row r="14" spans="2:38" x14ac:dyDescent="0.25">
      <c r="B14" s="284">
        <v>1</v>
      </c>
      <c r="C14" s="304" t="s">
        <v>418</v>
      </c>
      <c r="D14" s="322">
        <v>100</v>
      </c>
      <c r="E14" s="325">
        <v>100</v>
      </c>
      <c r="G14" s="359" t="s">
        <v>92</v>
      </c>
      <c r="H14" s="363">
        <f>Table6[[#This Row],[TOTAL COINS]] +Table6[[#This Row],[COINS IN RUNS PER DAY]]</f>
        <v>6757</v>
      </c>
      <c r="I14" s="352">
        <f>Table6[[#This Row],[TOTAL COINS NEW]] + Table6[[#This Row],[COINS IN RUNS PER DAY]]</f>
        <v>6048</v>
      </c>
      <c r="J14" s="350">
        <f>Table6[[#This Row],[CHESTS COINS]] + Table6[[#This Row],[DAILY COINS]]+Table6[[#This Row],[LEAGUES COINS]]+Table6[[#This Row],[MISSIONS COINS]]</f>
        <v>5057</v>
      </c>
      <c r="K14" s="342">
        <f>Table6[[#This Row],[CHESTS GEMS]]+Table6[[#This Row],[DAILY GEMS]]+Table6[[#This Row],[LEAGUES GEMS]]</f>
        <v>3.9</v>
      </c>
      <c r="L14" s="362">
        <f>Table6[[#This Row],[CHESTS COINS NEW]] +Table6[[#This Row],[DAILY COINS NEW]] +Table6[[#This Row],[LEAGUES COINS NEW]] +Table6[[#This Row],[MISSIONS COINS NEW]]</f>
        <v>4348</v>
      </c>
      <c r="M14" s="352">
        <f>Table6[[#This Row],[CHESTS GEMS NEW]] +Table6[[#This Row],[DAILY GEMS NEW]] +Table6[[#This Row],[LEAGUES GEMS NEW]]</f>
        <v>3.9</v>
      </c>
      <c r="N14" s="357">
        <f>Table6[[#This Row],[COINS PER RUN]] *Table6[[#This Row],[RUNS PER DAY]]</f>
        <v>1700</v>
      </c>
      <c r="O14" s="340">
        <v>2</v>
      </c>
      <c r="P14" s="340">
        <v>2</v>
      </c>
      <c r="Q14" s="291">
        <v>2</v>
      </c>
      <c r="R14" s="338">
        <v>2</v>
      </c>
      <c r="S14" s="344">
        <v>1</v>
      </c>
      <c r="T14" s="107">
        <v>1</v>
      </c>
      <c r="U14" s="107">
        <v>1</v>
      </c>
      <c r="V14" s="346">
        <v>1</v>
      </c>
      <c r="W14" s="316">
        <f>Table6[[#This Row],[CHEST REW. MOD.]]*($D$14+$D$15+$D$16)</f>
        <v>1200</v>
      </c>
      <c r="X14" s="312">
        <f t="shared" ref="X14:X31" si="0">$D$17+$D$18</f>
        <v>3</v>
      </c>
      <c r="Y14" s="312">
        <f>ROUND((Table6[[#This Row],[DAILY REW. MOD.]]*($D$24+$D$26+$D$28))/7,0)</f>
        <v>571</v>
      </c>
      <c r="Z14" s="312">
        <f t="shared" ref="Z14:Z31" si="1">ROUND(($D$25+$D$27+$D$29)/7,1)</f>
        <v>0.9</v>
      </c>
      <c r="AA14" s="317">
        <f>ROUND((INDEX(Table12[AVG COINS],MATCH(Table6[[#This Row],[LEAGUE]],Table12[LEAGUE],0))) /$C$35,0)</f>
        <v>1086</v>
      </c>
      <c r="AB14" s="317">
        <f>ROUND((INDEX(Table12[AVG GEMS],MATCH(Table6[[#This Row],[LEAGUE]],Table12[LEAGUE],0))) /$C$35,2)</f>
        <v>0</v>
      </c>
      <c r="AC14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2200</v>
      </c>
      <c r="AD14" s="318">
        <f>Table6[[#This Row],[CHEST REW. MOD. NEW]]*($D$14+$D$15+$D$16)</f>
        <v>1200</v>
      </c>
      <c r="AE14" s="318">
        <f>$E$17+$E$18</f>
        <v>3</v>
      </c>
      <c r="AF14" s="318">
        <f>ROUND((Table6[[#This Row],[DAILY REW. MOD. NEW]]*($D$24+$D$26+$D$28))/7,0)</f>
        <v>571</v>
      </c>
      <c r="AG14" s="318">
        <f>ROUND(($E$25+$E$27+$E$29)/7,1)</f>
        <v>0.9</v>
      </c>
      <c r="AH14" s="318">
        <f>ROUND((INDEX(Table12[AVG COINS NEW],MATCH(Table6[[#This Row],[LEAGUE]],Table12[LEAGUE],0))) /$C$36,0)</f>
        <v>377</v>
      </c>
      <c r="AI14" s="318">
        <f>ROUND((INDEX(Table12[AVG GEMS NEW],MATCH(Table6[[#This Row],[LEAGUE]],Table12[LEAGUE],0))) / $C$36,2)</f>
        <v>0</v>
      </c>
      <c r="AJ14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2200</v>
      </c>
      <c r="AK14" s="354">
        <v>1700</v>
      </c>
      <c r="AL14" s="355">
        <v>1</v>
      </c>
    </row>
    <row r="15" spans="2:38" x14ac:dyDescent="0.25">
      <c r="B15" s="282">
        <v>2</v>
      </c>
      <c r="C15" s="304" t="s">
        <v>418</v>
      </c>
      <c r="D15" s="323">
        <v>200</v>
      </c>
      <c r="E15" s="326">
        <v>150</v>
      </c>
      <c r="G15" s="358" t="s">
        <v>93</v>
      </c>
      <c r="H15" s="362">
        <f>Table6[[#This Row],[TOTAL COINS]] +Table6[[#This Row],[COINS IN RUNS PER DAY]]</f>
        <v>15223</v>
      </c>
      <c r="I15" s="352">
        <f>Table6[[#This Row],[TOTAL COINS NEW]] + Table6[[#This Row],[COINS IN RUNS PER DAY]]</f>
        <v>13624</v>
      </c>
      <c r="J15" s="350">
        <f>Table6[[#This Row],[CHESTS COINS]] + Table6[[#This Row],[DAILY COINS]]+Table6[[#This Row],[LEAGUES COINS]]+Table6[[#This Row],[MISSIONS COINS]]</f>
        <v>14143</v>
      </c>
      <c r="K15" s="342">
        <f>Table6[[#This Row],[CHESTS GEMS]]+Table6[[#This Row],[DAILY GEMS]]+Table6[[#This Row],[LEAGUES GEMS]]</f>
        <v>3.9</v>
      </c>
      <c r="L15" s="362">
        <f>Table6[[#This Row],[CHESTS COINS NEW]] +Table6[[#This Row],[DAILY COINS NEW]] +Table6[[#This Row],[LEAGUES COINS NEW]] +Table6[[#This Row],[MISSIONS COINS NEW]]</f>
        <v>12544</v>
      </c>
      <c r="M15" s="352">
        <f>Table6[[#This Row],[CHESTS GEMS NEW]] +Table6[[#This Row],[DAILY GEMS NEW]] +Table6[[#This Row],[LEAGUES GEMS NEW]]</f>
        <v>3.9</v>
      </c>
      <c r="N15" s="357">
        <f>Table6[[#This Row],[COINS PER RUN]] *Table6[[#This Row],[RUNS PER DAY]]</f>
        <v>1080</v>
      </c>
      <c r="O15" s="341">
        <v>6</v>
      </c>
      <c r="P15" s="341">
        <v>6</v>
      </c>
      <c r="Q15" s="292">
        <v>6</v>
      </c>
      <c r="R15" s="339">
        <v>6</v>
      </c>
      <c r="S15" s="345">
        <v>2</v>
      </c>
      <c r="T15" s="107">
        <v>1</v>
      </c>
      <c r="U15" s="107">
        <v>1</v>
      </c>
      <c r="V15" s="347">
        <v>1</v>
      </c>
      <c r="W15" s="316">
        <f>Table6[[#This Row],[CHEST REW. MOD.]]*($D$14+$D$15+$D$16)</f>
        <v>3600</v>
      </c>
      <c r="X15" s="312">
        <f t="shared" si="0"/>
        <v>3</v>
      </c>
      <c r="Y15" s="312">
        <f>ROUND((Table6[[#This Row],[DAILY REW. MOD.]]*($D$24+$D$26+$D$28))/7,0)</f>
        <v>1714</v>
      </c>
      <c r="Z15" s="312">
        <f t="shared" si="1"/>
        <v>0.9</v>
      </c>
      <c r="AA15" s="317">
        <f>ROUND((INDEX(Table12[AVG COINS],MATCH(Table6[[#This Row],[LEAGUE]],Table12[LEAGUE],0))) /$C$35,0)</f>
        <v>2229</v>
      </c>
      <c r="AB15" s="317">
        <f>ROUND((INDEX(Table12[AVG GEMS],MATCH(Table6[[#This Row],[LEAGUE]],Table12[LEAGUE],0))) /$C$35,2)</f>
        <v>0</v>
      </c>
      <c r="AC15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6600</v>
      </c>
      <c r="AD15" s="318">
        <f>Table6[[#This Row],[CHEST REW. MOD. NEW]]*($D$14+$D$15+$D$16)</f>
        <v>3600</v>
      </c>
      <c r="AE15" s="318">
        <f t="shared" ref="AE15:AE31" si="2">$E$17+$E$18</f>
        <v>3</v>
      </c>
      <c r="AF15" s="318">
        <f>ROUND((Table6[[#This Row],[DAILY REW. MOD. NEW]]*($D$24+$D$26+$D$28))/7,0)</f>
        <v>1714</v>
      </c>
      <c r="AG15" s="318">
        <f t="shared" ref="AG15:AG31" si="3">ROUND(($E$25+$E$27+$E$29)/7,1)</f>
        <v>0.9</v>
      </c>
      <c r="AH15" s="318">
        <f>ROUND((INDEX(Table12[AVG COINS NEW],MATCH(Table6[[#This Row],[LEAGUE]],Table12[LEAGUE],0))) /$C$36,0)</f>
        <v>630</v>
      </c>
      <c r="AI15" s="318">
        <f>ROUND((INDEX(Table12[AVG GEMS NEW],MATCH(Table6[[#This Row],[LEAGUE]],Table12[LEAGUE],0))) / $C$36,2)</f>
        <v>0</v>
      </c>
      <c r="AJ15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6600</v>
      </c>
      <c r="AK15" s="354">
        <v>1080</v>
      </c>
      <c r="AL15" s="355">
        <v>1</v>
      </c>
    </row>
    <row r="16" spans="2:38" x14ac:dyDescent="0.25">
      <c r="B16" s="282">
        <v>3</v>
      </c>
      <c r="C16" s="304" t="s">
        <v>418</v>
      </c>
      <c r="D16" s="323">
        <v>300</v>
      </c>
      <c r="E16" s="326">
        <v>200</v>
      </c>
      <c r="G16" s="358" t="s">
        <v>94</v>
      </c>
      <c r="H16" s="362">
        <f>Table6[[#This Row],[TOTAL COINS]] +Table6[[#This Row],[COINS IN RUNS PER DAY]]</f>
        <v>28302</v>
      </c>
      <c r="I16" s="352">
        <f>Table6[[#This Row],[TOTAL COINS NEW]] + Table6[[#This Row],[COINS IN RUNS PER DAY]]</f>
        <v>26409</v>
      </c>
      <c r="J16" s="350">
        <f>Table6[[#This Row],[CHESTS COINS]] + Table6[[#This Row],[DAILY COINS]]+Table6[[#This Row],[LEAGUES COINS]]+Table6[[#This Row],[MISSIONS COINS]]</f>
        <v>26643</v>
      </c>
      <c r="K16" s="342">
        <f>Table6[[#This Row],[CHESTS GEMS]]+Table6[[#This Row],[DAILY GEMS]]+Table6[[#This Row],[LEAGUES GEMS]]</f>
        <v>3.9</v>
      </c>
      <c r="L16" s="362">
        <f>Table6[[#This Row],[CHESTS COINS NEW]] +Table6[[#This Row],[DAILY COINS NEW]] +Table6[[#This Row],[LEAGUES COINS NEW]] +Table6[[#This Row],[MISSIONS COINS NEW]]</f>
        <v>24750</v>
      </c>
      <c r="M16" s="352">
        <f>Table6[[#This Row],[CHESTS GEMS NEW]] +Table6[[#This Row],[DAILY GEMS NEW]] +Table6[[#This Row],[LEAGUES GEMS NEW]]</f>
        <v>3.9</v>
      </c>
      <c r="N16" s="357">
        <f>Table6[[#This Row],[COINS PER RUN]] *Table6[[#This Row],[RUNS PER DAY]]</f>
        <v>1659</v>
      </c>
      <c r="O16" s="341">
        <v>12</v>
      </c>
      <c r="P16" s="341">
        <v>10</v>
      </c>
      <c r="Q16" s="292">
        <v>12</v>
      </c>
      <c r="R16" s="339">
        <v>10</v>
      </c>
      <c r="S16" s="345">
        <v>3</v>
      </c>
      <c r="T16" s="107">
        <v>1</v>
      </c>
      <c r="U16" s="107">
        <v>1</v>
      </c>
      <c r="V16" s="347">
        <v>1</v>
      </c>
      <c r="W16" s="316">
        <f>Table6[[#This Row],[CHEST REW. MOD.]]*($D$14+$D$15+$D$16)</f>
        <v>7200</v>
      </c>
      <c r="X16" s="312">
        <f t="shared" si="0"/>
        <v>3</v>
      </c>
      <c r="Y16" s="312">
        <f>ROUND((Table6[[#This Row],[DAILY REW. MOD.]]*($D$24+$D$26+$D$28))/7,0)</f>
        <v>2857</v>
      </c>
      <c r="Z16" s="312">
        <f t="shared" si="1"/>
        <v>0.9</v>
      </c>
      <c r="AA16" s="317">
        <f>ROUND((INDEX(Table12[AVG COINS],MATCH(Table6[[#This Row],[LEAGUE]],Table12[LEAGUE],0))) /$C$35,0)</f>
        <v>3386</v>
      </c>
      <c r="AB16" s="317">
        <f>ROUND((INDEX(Table12[AVG GEMS],MATCH(Table6[[#This Row],[LEAGUE]],Table12[LEAGUE],0))) /$C$35,2)</f>
        <v>0</v>
      </c>
      <c r="AC16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13200</v>
      </c>
      <c r="AD16" s="318">
        <f>Table6[[#This Row],[CHEST REW. MOD. NEW]]*($D$14+$D$15+$D$16)</f>
        <v>7200</v>
      </c>
      <c r="AE16" s="318">
        <f t="shared" si="2"/>
        <v>3</v>
      </c>
      <c r="AF16" s="318">
        <f>ROUND((Table6[[#This Row],[DAILY REW. MOD. NEW]]*($D$24+$D$26+$D$28))/7,0)</f>
        <v>2857</v>
      </c>
      <c r="AG16" s="318">
        <f t="shared" si="3"/>
        <v>0.9</v>
      </c>
      <c r="AH16" s="318">
        <f>ROUND((INDEX(Table12[AVG COINS NEW],MATCH(Table6[[#This Row],[LEAGUE]],Table12[LEAGUE],0))) /$C$36,0)</f>
        <v>1493</v>
      </c>
      <c r="AI16" s="318">
        <f>ROUND((INDEX(Table12[AVG GEMS NEW],MATCH(Table6[[#This Row],[LEAGUE]],Table12[LEAGUE],0))) / $C$36,2)</f>
        <v>0</v>
      </c>
      <c r="AJ16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13200</v>
      </c>
      <c r="AK16" s="354">
        <v>1659</v>
      </c>
      <c r="AL16" s="355">
        <v>1</v>
      </c>
    </row>
    <row r="17" spans="2:38" x14ac:dyDescent="0.25">
      <c r="B17" s="282">
        <v>4</v>
      </c>
      <c r="C17" s="304" t="s">
        <v>419</v>
      </c>
      <c r="D17" s="323">
        <v>1</v>
      </c>
      <c r="E17" s="326">
        <v>1</v>
      </c>
      <c r="G17" s="358" t="s">
        <v>95</v>
      </c>
      <c r="H17" s="362">
        <f>Table6[[#This Row],[TOTAL COINS]] +Table6[[#This Row],[COINS IN RUNS PER DAY]]</f>
        <v>42850</v>
      </c>
      <c r="I17" s="352">
        <f>Table6[[#This Row],[TOTAL COINS NEW]] + Table6[[#This Row],[COINS IN RUNS PER DAY]]</f>
        <v>40114</v>
      </c>
      <c r="J17" s="350">
        <f>Table6[[#This Row],[CHESTS COINS]] + Table6[[#This Row],[DAILY COINS]]+Table6[[#This Row],[LEAGUES COINS]]+Table6[[#This Row],[MISSIONS COINS]]</f>
        <v>39857</v>
      </c>
      <c r="K17" s="342">
        <f>Table6[[#This Row],[CHESTS GEMS]]+Table6[[#This Row],[DAILY GEMS]]+Table6[[#This Row],[LEAGUES GEMS]]</f>
        <v>3.9</v>
      </c>
      <c r="L17" s="362">
        <f>Table6[[#This Row],[CHESTS COINS NEW]] +Table6[[#This Row],[DAILY COINS NEW]] +Table6[[#This Row],[LEAGUES COINS NEW]] +Table6[[#This Row],[MISSIONS COINS NEW]]</f>
        <v>37121</v>
      </c>
      <c r="M17" s="352">
        <f>Table6[[#This Row],[CHESTS GEMS NEW]] +Table6[[#This Row],[DAILY GEMS NEW]] +Table6[[#This Row],[LEAGUES GEMS NEW]]</f>
        <v>3.9</v>
      </c>
      <c r="N17" s="357">
        <f>Table6[[#This Row],[COINS PER RUN]] *Table6[[#This Row],[RUNS PER DAY]]</f>
        <v>2993</v>
      </c>
      <c r="O17" s="341">
        <v>18</v>
      </c>
      <c r="P17" s="341">
        <v>15</v>
      </c>
      <c r="Q17" s="292">
        <v>18</v>
      </c>
      <c r="R17" s="339">
        <v>15</v>
      </c>
      <c r="S17" s="345">
        <v>4</v>
      </c>
      <c r="T17" s="107">
        <v>1</v>
      </c>
      <c r="U17" s="107">
        <v>1</v>
      </c>
      <c r="V17" s="347">
        <v>1</v>
      </c>
      <c r="W17" s="316">
        <f>Table6[[#This Row],[CHEST REW. MOD.]]*($D$14+$D$15+$D$16)</f>
        <v>10800</v>
      </c>
      <c r="X17" s="312">
        <f t="shared" si="0"/>
        <v>3</v>
      </c>
      <c r="Y17" s="312">
        <f>ROUND((Table6[[#This Row],[DAILY REW. MOD.]]*($D$24+$D$26+$D$28))/7,0)</f>
        <v>4286</v>
      </c>
      <c r="Z17" s="312">
        <f t="shared" si="1"/>
        <v>0.9</v>
      </c>
      <c r="AA17" s="317">
        <f>ROUND((INDEX(Table12[AVG COINS],MATCH(Table6[[#This Row],[LEAGUE]],Table12[LEAGUE],0))) /$C$35,0)</f>
        <v>4971</v>
      </c>
      <c r="AB17" s="317">
        <f>ROUND((INDEX(Table12[AVG GEMS],MATCH(Table6[[#This Row],[LEAGUE]],Table12[LEAGUE],0))) /$C$35,2)</f>
        <v>0</v>
      </c>
      <c r="AC17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19800</v>
      </c>
      <c r="AD17" s="318">
        <f>Table6[[#This Row],[CHEST REW. MOD. NEW]]*($D$14+$D$15+$D$16)</f>
        <v>10800</v>
      </c>
      <c r="AE17" s="318">
        <f t="shared" si="2"/>
        <v>3</v>
      </c>
      <c r="AF17" s="318">
        <f>ROUND((Table6[[#This Row],[DAILY REW. MOD. NEW]]*($D$24+$D$26+$D$28))/7,0)</f>
        <v>4286</v>
      </c>
      <c r="AG17" s="318">
        <f t="shared" si="3"/>
        <v>0.9</v>
      </c>
      <c r="AH17" s="318">
        <f>ROUND((INDEX(Table12[AVG COINS NEW],MATCH(Table6[[#This Row],[LEAGUE]],Table12[LEAGUE],0))) /$C$36,0)</f>
        <v>2235</v>
      </c>
      <c r="AI17" s="318">
        <f>ROUND((INDEX(Table12[AVG GEMS NEW],MATCH(Table6[[#This Row],[LEAGUE]],Table12[LEAGUE],0))) / $C$36,2)</f>
        <v>0</v>
      </c>
      <c r="AJ17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19800</v>
      </c>
      <c r="AK17" s="354">
        <v>2993</v>
      </c>
      <c r="AL17" s="355">
        <v>1</v>
      </c>
    </row>
    <row r="18" spans="2:38" x14ac:dyDescent="0.25">
      <c r="B18" s="282">
        <v>5</v>
      </c>
      <c r="C18" s="304" t="s">
        <v>419</v>
      </c>
      <c r="D18" s="323">
        <v>2</v>
      </c>
      <c r="E18" s="326">
        <v>2</v>
      </c>
      <c r="G18" s="358" t="s">
        <v>96</v>
      </c>
      <c r="H18" s="362">
        <f>Table6[[#This Row],[TOTAL COINS]] +Table6[[#This Row],[COINS IN RUNS PER DAY]]</f>
        <v>61189</v>
      </c>
      <c r="I18" s="352">
        <f>Table6[[#This Row],[TOTAL COINS NEW]] + Table6[[#This Row],[COINS IN RUNS PER DAY]]</f>
        <v>57953</v>
      </c>
      <c r="J18" s="350">
        <f>Table6[[#This Row],[CHESTS COINS]] + Table6[[#This Row],[DAILY COINS]]+Table6[[#This Row],[LEAGUES COINS]]+Table6[[#This Row],[MISSIONS COINS]]</f>
        <v>56128</v>
      </c>
      <c r="K18" s="342">
        <f>Table6[[#This Row],[CHESTS GEMS]]+Table6[[#This Row],[DAILY GEMS]]+Table6[[#This Row],[LEAGUES GEMS]]</f>
        <v>3.9</v>
      </c>
      <c r="L18" s="362">
        <f>Table6[[#This Row],[CHESTS COINS NEW]] +Table6[[#This Row],[DAILY COINS NEW]] +Table6[[#This Row],[LEAGUES COINS NEW]] +Table6[[#This Row],[MISSIONS COINS NEW]]</f>
        <v>52892</v>
      </c>
      <c r="M18" s="352">
        <f>Table6[[#This Row],[CHESTS GEMS NEW]] +Table6[[#This Row],[DAILY GEMS NEW]] +Table6[[#This Row],[LEAGUES GEMS NEW]]</f>
        <v>3.9</v>
      </c>
      <c r="N18" s="357">
        <f>Table6[[#This Row],[COINS PER RUN]] *Table6[[#This Row],[RUNS PER DAY]]</f>
        <v>5061</v>
      </c>
      <c r="O18" s="341">
        <v>26</v>
      </c>
      <c r="P18" s="341">
        <v>20</v>
      </c>
      <c r="Q18" s="292">
        <v>26</v>
      </c>
      <c r="R18" s="339">
        <v>20</v>
      </c>
      <c r="S18" s="345">
        <v>5</v>
      </c>
      <c r="T18" s="107">
        <v>1</v>
      </c>
      <c r="U18" s="107">
        <v>1</v>
      </c>
      <c r="V18" s="347">
        <v>1</v>
      </c>
      <c r="W18" s="316">
        <f>Table6[[#This Row],[CHEST REW. MOD.]]*($D$14+$D$15+$D$16)</f>
        <v>15600</v>
      </c>
      <c r="X18" s="312">
        <f t="shared" si="0"/>
        <v>3</v>
      </c>
      <c r="Y18" s="312">
        <f>ROUND((Table6[[#This Row],[DAILY REW. MOD.]]*($D$24+$D$26+$D$28))/7,0)</f>
        <v>5714</v>
      </c>
      <c r="Z18" s="312">
        <f t="shared" si="1"/>
        <v>0.9</v>
      </c>
      <c r="AA18" s="317">
        <f>ROUND((INDEX(Table12[AVG COINS],MATCH(Table6[[#This Row],[LEAGUE]],Table12[LEAGUE],0))) /$C$35,0)</f>
        <v>6214</v>
      </c>
      <c r="AB18" s="317">
        <f>ROUND((INDEX(Table12[AVG GEMS],MATCH(Table6[[#This Row],[LEAGUE]],Table12[LEAGUE],0))) /$C$35,2)</f>
        <v>0</v>
      </c>
      <c r="AC18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28600</v>
      </c>
      <c r="AD18" s="318">
        <f>Table6[[#This Row],[CHEST REW. MOD. NEW]]*($D$14+$D$15+$D$16)</f>
        <v>15600</v>
      </c>
      <c r="AE18" s="318">
        <f t="shared" si="2"/>
        <v>3</v>
      </c>
      <c r="AF18" s="318">
        <f>ROUND((Table6[[#This Row],[DAILY REW. MOD. NEW]]*($D$24+$D$26+$D$28))/7,0)</f>
        <v>5714</v>
      </c>
      <c r="AG18" s="318">
        <f t="shared" si="3"/>
        <v>0.9</v>
      </c>
      <c r="AH18" s="318">
        <f>ROUND((INDEX(Table12[AVG COINS NEW],MATCH(Table6[[#This Row],[LEAGUE]],Table12[LEAGUE],0))) /$C$36,0)</f>
        <v>2978</v>
      </c>
      <c r="AI18" s="318">
        <f>ROUND((INDEX(Table12[AVG GEMS NEW],MATCH(Table6[[#This Row],[LEAGUE]],Table12[LEAGUE],0))) / $C$36,2)</f>
        <v>0</v>
      </c>
      <c r="AJ18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28600</v>
      </c>
      <c r="AK18" s="354">
        <v>5061</v>
      </c>
      <c r="AL18" s="355">
        <v>1</v>
      </c>
    </row>
    <row r="19" spans="2:38" x14ac:dyDescent="0.25">
      <c r="G19" s="358" t="s">
        <v>97</v>
      </c>
      <c r="H19" s="362">
        <f>Table6[[#This Row],[TOTAL COINS]] +Table6[[#This Row],[COINS IN RUNS PER DAY]]</f>
        <v>81431</v>
      </c>
      <c r="I19" s="352">
        <f>Table6[[#This Row],[TOTAL COINS NEW]] + Table6[[#This Row],[COINS IN RUNS PER DAY]]</f>
        <v>76523</v>
      </c>
      <c r="J19" s="350">
        <f>Table6[[#This Row],[CHESTS COINS]] + Table6[[#This Row],[DAILY COINS]]+Table6[[#This Row],[LEAGUES COINS]]+Table6[[#This Row],[MISSIONS COINS]]</f>
        <v>75271</v>
      </c>
      <c r="K19" s="342">
        <f>Table6[[#This Row],[CHESTS GEMS]]+Table6[[#This Row],[DAILY GEMS]]+Table6[[#This Row],[LEAGUES GEMS]]</f>
        <v>3.9</v>
      </c>
      <c r="L19" s="362">
        <f>Table6[[#This Row],[CHESTS COINS NEW]] +Table6[[#This Row],[DAILY COINS NEW]] +Table6[[#This Row],[LEAGUES COINS NEW]] +Table6[[#This Row],[MISSIONS COINS NEW]]</f>
        <v>70363</v>
      </c>
      <c r="M19" s="352">
        <f>Table6[[#This Row],[CHESTS GEMS NEW]] +Table6[[#This Row],[DAILY GEMS NEW]] +Table6[[#This Row],[LEAGUES GEMS NEW]]</f>
        <v>3.9</v>
      </c>
      <c r="N19" s="357">
        <f>Table6[[#This Row],[COINS PER RUN]] *Table6[[#This Row],[RUNS PER DAY]]</f>
        <v>6160</v>
      </c>
      <c r="O19" s="341">
        <v>35</v>
      </c>
      <c r="P19" s="341">
        <v>30</v>
      </c>
      <c r="Q19" s="292">
        <v>35</v>
      </c>
      <c r="R19" s="339">
        <v>25</v>
      </c>
      <c r="S19" s="345">
        <v>6</v>
      </c>
      <c r="T19" s="107">
        <v>1</v>
      </c>
      <c r="U19" s="107">
        <v>1</v>
      </c>
      <c r="V19" s="347">
        <v>1</v>
      </c>
      <c r="W19" s="316">
        <f>Table6[[#This Row],[CHEST REW. MOD.]]*($D$14+$D$15+$D$16)</f>
        <v>21000</v>
      </c>
      <c r="X19" s="312">
        <f t="shared" si="0"/>
        <v>3</v>
      </c>
      <c r="Y19" s="312">
        <f>ROUND((Table6[[#This Row],[DAILY REW. MOD.]]*($D$24+$D$26+$D$28))/7,0)</f>
        <v>8571</v>
      </c>
      <c r="Z19" s="312">
        <f t="shared" si="1"/>
        <v>0.9</v>
      </c>
      <c r="AA19" s="317">
        <f>ROUND((INDEX(Table12[AVG COINS],MATCH(Table6[[#This Row],[LEAGUE]],Table12[LEAGUE],0))) /$C$35,0)</f>
        <v>7200</v>
      </c>
      <c r="AB19" s="317">
        <f>ROUND((INDEX(Table12[AVG GEMS],MATCH(Table6[[#This Row],[LEAGUE]],Table12[LEAGUE],0))) /$C$35,2)</f>
        <v>0</v>
      </c>
      <c r="AC19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38500</v>
      </c>
      <c r="AD19" s="318">
        <f>Table6[[#This Row],[CHEST REW. MOD. NEW]]*($D$14+$D$15+$D$16)</f>
        <v>21000</v>
      </c>
      <c r="AE19" s="318">
        <f t="shared" si="2"/>
        <v>3</v>
      </c>
      <c r="AF19" s="318">
        <f>ROUND((Table6[[#This Row],[DAILY REW. MOD. NEW]]*($D$24+$D$26+$D$28))/7,0)</f>
        <v>7143</v>
      </c>
      <c r="AG19" s="318">
        <f t="shared" si="3"/>
        <v>0.9</v>
      </c>
      <c r="AH19" s="318">
        <f>ROUND((INDEX(Table12[AVG COINS NEW],MATCH(Table6[[#This Row],[LEAGUE]],Table12[LEAGUE],0))) /$C$36,0)</f>
        <v>3720</v>
      </c>
      <c r="AI19" s="318">
        <f>ROUND((INDEX(Table12[AVG GEMS NEW],MATCH(Table6[[#This Row],[LEAGUE]],Table12[LEAGUE],0))) / $C$36,2)</f>
        <v>0</v>
      </c>
      <c r="AJ19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38500</v>
      </c>
      <c r="AK19" s="354">
        <v>6160</v>
      </c>
      <c r="AL19" s="355">
        <v>1</v>
      </c>
    </row>
    <row r="20" spans="2:38" x14ac:dyDescent="0.25">
      <c r="G20" s="358" t="s">
        <v>98</v>
      </c>
      <c r="H20" s="362">
        <f>Table6[[#This Row],[TOTAL COINS]] +Table6[[#This Row],[COINS IN RUNS PER DAY]]</f>
        <v>108405</v>
      </c>
      <c r="I20" s="352">
        <f>Table6[[#This Row],[TOTAL COINS NEW]] + Table6[[#This Row],[COINS IN RUNS PER DAY]]</f>
        <v>101724</v>
      </c>
      <c r="J20" s="350">
        <f>Table6[[#This Row],[CHESTS COINS]] + Table6[[#This Row],[DAILY COINS]]+Table6[[#This Row],[LEAGUES COINS]]+Table6[[#This Row],[MISSIONS COINS]]</f>
        <v>96215</v>
      </c>
      <c r="K20" s="342">
        <f>Table6[[#This Row],[CHESTS GEMS]]+Table6[[#This Row],[DAILY GEMS]]+Table6[[#This Row],[LEAGUES GEMS]]</f>
        <v>3.9</v>
      </c>
      <c r="L20" s="362">
        <f>Table6[[#This Row],[CHESTS COINS NEW]] +Table6[[#This Row],[DAILY COINS NEW]] +Table6[[#This Row],[LEAGUES COINS NEW]] +Table6[[#This Row],[MISSIONS COINS NEW]]</f>
        <v>89534</v>
      </c>
      <c r="M20" s="352">
        <f>Table6[[#This Row],[CHESTS GEMS NEW]] +Table6[[#This Row],[DAILY GEMS NEW]] +Table6[[#This Row],[LEAGUES GEMS NEW]]</f>
        <v>3.9</v>
      </c>
      <c r="N20" s="357">
        <f>Table6[[#This Row],[COINS PER RUN]] *Table6[[#This Row],[RUNS PER DAY]]</f>
        <v>12190</v>
      </c>
      <c r="O20" s="341">
        <v>45</v>
      </c>
      <c r="P20" s="341">
        <v>40</v>
      </c>
      <c r="Q20" s="292">
        <v>45</v>
      </c>
      <c r="R20" s="339">
        <v>30</v>
      </c>
      <c r="S20" s="345">
        <v>7</v>
      </c>
      <c r="T20" s="107">
        <v>1</v>
      </c>
      <c r="U20" s="107">
        <v>1</v>
      </c>
      <c r="V20" s="347">
        <v>1</v>
      </c>
      <c r="W20" s="316">
        <f>Table6[[#This Row],[CHEST REW. MOD.]]*($D$14+$D$15+$D$16)</f>
        <v>27000</v>
      </c>
      <c r="X20" s="312">
        <f t="shared" si="0"/>
        <v>3</v>
      </c>
      <c r="Y20" s="312">
        <f>ROUND((Table6[[#This Row],[DAILY REW. MOD.]]*($D$24+$D$26+$D$28))/7,0)</f>
        <v>11429</v>
      </c>
      <c r="Z20" s="312">
        <f t="shared" si="1"/>
        <v>0.9</v>
      </c>
      <c r="AA20" s="317">
        <f>ROUND((INDEX(Table12[AVG COINS],MATCH(Table6[[#This Row],[LEAGUE]],Table12[LEAGUE],0))) /$C$35,0)</f>
        <v>8286</v>
      </c>
      <c r="AB20" s="317">
        <f>ROUND((INDEX(Table12[AVG GEMS],MATCH(Table6[[#This Row],[LEAGUE]],Table12[LEAGUE],0))) /$C$35,2)</f>
        <v>0</v>
      </c>
      <c r="AC20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49500</v>
      </c>
      <c r="AD20" s="318">
        <f>Table6[[#This Row],[CHEST REW. MOD. NEW]]*($D$14+$D$15+$D$16)</f>
        <v>27000</v>
      </c>
      <c r="AE20" s="318">
        <f t="shared" si="2"/>
        <v>3</v>
      </c>
      <c r="AF20" s="318">
        <f>ROUND((Table6[[#This Row],[DAILY REW. MOD. NEW]]*($D$24+$D$26+$D$28))/7,0)</f>
        <v>8571</v>
      </c>
      <c r="AG20" s="318">
        <f t="shared" si="3"/>
        <v>0.9</v>
      </c>
      <c r="AH20" s="318">
        <f>ROUND((INDEX(Table12[AVG COINS NEW],MATCH(Table6[[#This Row],[LEAGUE]],Table12[LEAGUE],0))) /$C$36,0)</f>
        <v>4463</v>
      </c>
      <c r="AI20" s="318">
        <f>ROUND((INDEX(Table12[AVG GEMS NEW],MATCH(Table6[[#This Row],[LEAGUE]],Table12[LEAGUE],0))) / $C$36,2)</f>
        <v>0</v>
      </c>
      <c r="AJ20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49500</v>
      </c>
      <c r="AK20" s="354">
        <v>12190</v>
      </c>
      <c r="AL20" s="355">
        <v>1</v>
      </c>
    </row>
    <row r="21" spans="2:38" x14ac:dyDescent="0.25">
      <c r="G21" s="358" t="s">
        <v>99</v>
      </c>
      <c r="H21" s="362">
        <f>Table6[[#This Row],[TOTAL COINS]] +Table6[[#This Row],[COINS IN RUNS PER DAY]]</f>
        <v>130900</v>
      </c>
      <c r="I21" s="352">
        <f>Table6[[#This Row],[TOTAL COINS NEW]] + Table6[[#This Row],[COINS IN RUNS PER DAY]]</f>
        <v>121846</v>
      </c>
      <c r="J21" s="350">
        <f>Table6[[#This Row],[CHESTS COINS]] + Table6[[#This Row],[DAILY COINS]]+Table6[[#This Row],[LEAGUES COINS]]+Table6[[#This Row],[MISSIONS COINS]]</f>
        <v>119229</v>
      </c>
      <c r="K21" s="342">
        <f>Table6[[#This Row],[CHESTS GEMS]]+Table6[[#This Row],[DAILY GEMS]]+Table6[[#This Row],[LEAGUES GEMS]]</f>
        <v>3.9</v>
      </c>
      <c r="L21" s="362">
        <f>Table6[[#This Row],[CHESTS COINS NEW]] +Table6[[#This Row],[DAILY COINS NEW]] +Table6[[#This Row],[LEAGUES COINS NEW]] +Table6[[#This Row],[MISSIONS COINS NEW]]</f>
        <v>110175</v>
      </c>
      <c r="M21" s="352">
        <f>Table6[[#This Row],[CHESTS GEMS NEW]] +Table6[[#This Row],[DAILY GEMS NEW]] +Table6[[#This Row],[LEAGUES GEMS NEW]]</f>
        <v>4</v>
      </c>
      <c r="N21" s="357">
        <f>Table6[[#This Row],[COINS PER RUN]] *Table6[[#This Row],[RUNS PER DAY]]</f>
        <v>11671</v>
      </c>
      <c r="O21" s="341">
        <v>56</v>
      </c>
      <c r="P21" s="341">
        <v>50</v>
      </c>
      <c r="Q21" s="292">
        <v>56</v>
      </c>
      <c r="R21" s="339">
        <v>35</v>
      </c>
      <c r="S21" s="345">
        <v>8</v>
      </c>
      <c r="T21" s="107">
        <v>1</v>
      </c>
      <c r="U21" s="107">
        <v>1</v>
      </c>
      <c r="V21" s="347">
        <v>1</v>
      </c>
      <c r="W21" s="316">
        <f>Table6[[#This Row],[CHEST REW. MOD.]]*($D$14+$D$15+$D$16)</f>
        <v>33600</v>
      </c>
      <c r="X21" s="312">
        <f t="shared" si="0"/>
        <v>3</v>
      </c>
      <c r="Y21" s="312">
        <f>ROUND((Table6[[#This Row],[DAILY REW. MOD.]]*($D$24+$D$26+$D$28))/7,0)</f>
        <v>14286</v>
      </c>
      <c r="Z21" s="312">
        <f t="shared" si="1"/>
        <v>0.9</v>
      </c>
      <c r="AA21" s="317">
        <f>ROUND((INDEX(Table12[AVG COINS],MATCH(Table6[[#This Row],[LEAGUE]],Table12[LEAGUE],0))) /$C$35,0)</f>
        <v>9743</v>
      </c>
      <c r="AB21" s="317">
        <f>ROUND((INDEX(Table12[AVG GEMS],MATCH(Table6[[#This Row],[LEAGUE]],Table12[LEAGUE],0))) /$C$35,2)</f>
        <v>0</v>
      </c>
      <c r="AC21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61600</v>
      </c>
      <c r="AD21" s="318">
        <f>Table6[[#This Row],[CHEST REW. MOD. NEW]]*($D$14+$D$15+$D$16)</f>
        <v>33600</v>
      </c>
      <c r="AE21" s="318">
        <f t="shared" si="2"/>
        <v>3</v>
      </c>
      <c r="AF21" s="318">
        <f>ROUND((Table6[[#This Row],[DAILY REW. MOD. NEW]]*($D$24+$D$26+$D$28))/7,0)</f>
        <v>10000</v>
      </c>
      <c r="AG21" s="318">
        <f t="shared" si="3"/>
        <v>0.9</v>
      </c>
      <c r="AH21" s="318">
        <f>ROUND((INDEX(Table12[AVG COINS NEW],MATCH(Table6[[#This Row],[LEAGUE]],Table12[LEAGUE],0))) /$C$36,0)</f>
        <v>4975</v>
      </c>
      <c r="AI21" s="318">
        <f>ROUND((INDEX(Table12[AVG GEMS NEW],MATCH(Table6[[#This Row],[LEAGUE]],Table12[LEAGUE],0))) / $C$36,2)</f>
        <v>0.1</v>
      </c>
      <c r="AJ21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61600</v>
      </c>
      <c r="AK21" s="354">
        <v>11671</v>
      </c>
      <c r="AL21" s="355">
        <v>1</v>
      </c>
    </row>
    <row r="22" spans="2:38" x14ac:dyDescent="0.25">
      <c r="B22" s="374" t="s">
        <v>431</v>
      </c>
      <c r="C22" s="374"/>
      <c r="D22" s="374"/>
      <c r="G22" s="358" t="s">
        <v>144</v>
      </c>
      <c r="H22" s="362">
        <f>Table6[[#This Row],[TOTAL COINS]] +Table6[[#This Row],[COINS IN RUNS PER DAY]]</f>
        <v>149203</v>
      </c>
      <c r="I22" s="352">
        <f>Table6[[#This Row],[TOTAL COINS NEW]] + Table6[[#This Row],[COINS IN RUNS PER DAY]]</f>
        <v>139492</v>
      </c>
      <c r="J22" s="350">
        <f>Table6[[#This Row],[CHESTS COINS]] + Table6[[#This Row],[DAILY COINS]]+Table6[[#This Row],[LEAGUES COINS]]+Table6[[#This Row],[MISSIONS COINS]]</f>
        <v>132228</v>
      </c>
      <c r="K22" s="342">
        <f>Table6[[#This Row],[CHESTS GEMS]]+Table6[[#This Row],[DAILY GEMS]]+Table6[[#This Row],[LEAGUES GEMS]]</f>
        <v>3.9</v>
      </c>
      <c r="L22" s="362">
        <f>Table6[[#This Row],[CHESTS COINS NEW]] +Table6[[#This Row],[DAILY COINS NEW]] +Table6[[#This Row],[LEAGUES COINS NEW]] +Table6[[#This Row],[MISSIONS COINS NEW]]</f>
        <v>122517</v>
      </c>
      <c r="M22" s="352">
        <f>Table6[[#This Row],[CHESTS GEMS NEW]] +Table6[[#This Row],[DAILY GEMS NEW]] +Table6[[#This Row],[LEAGUES GEMS NEW]]</f>
        <v>4</v>
      </c>
      <c r="N22" s="357">
        <f>Table6[[#This Row],[COINS PER RUN]] *Table6[[#This Row],[RUNS PER DAY]]</f>
        <v>16975</v>
      </c>
      <c r="O22" s="341">
        <v>62</v>
      </c>
      <c r="P22" s="341">
        <v>55</v>
      </c>
      <c r="Q22" s="292">
        <v>62</v>
      </c>
      <c r="R22" s="339">
        <v>40</v>
      </c>
      <c r="S22" s="345">
        <v>9</v>
      </c>
      <c r="T22" s="107">
        <v>1</v>
      </c>
      <c r="U22" s="107">
        <v>1</v>
      </c>
      <c r="V22" s="347">
        <v>1</v>
      </c>
      <c r="W22" s="316">
        <f>Table6[[#This Row],[CHEST REW. MOD.]]*($D$14+$D$15+$D$16)</f>
        <v>37200</v>
      </c>
      <c r="X22" s="312">
        <f t="shared" si="0"/>
        <v>3</v>
      </c>
      <c r="Y22" s="312">
        <f>ROUND((Table6[[#This Row],[DAILY REW. MOD.]]*($D$24+$D$26+$D$28))/7,0)</f>
        <v>15714</v>
      </c>
      <c r="Z22" s="312">
        <f t="shared" si="1"/>
        <v>0.9</v>
      </c>
      <c r="AA22" s="317">
        <f>ROUND((INDEX(Table12[AVG COINS],MATCH(Table6[[#This Row],[LEAGUE]],Table12[LEAGUE],0))) /$C$35,0)</f>
        <v>11114</v>
      </c>
      <c r="AB22" s="317">
        <f>ROUND((INDEX(Table12[AVG GEMS],MATCH(Table6[[#This Row],[LEAGUE]],Table12[LEAGUE],0))) /$C$35,2)</f>
        <v>0</v>
      </c>
      <c r="AC22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68200</v>
      </c>
      <c r="AD22" s="318">
        <f>Table6[[#This Row],[CHEST REW. MOD. NEW]]*($D$14+$D$15+$D$16)</f>
        <v>37200</v>
      </c>
      <c r="AE22" s="318">
        <f t="shared" si="2"/>
        <v>3</v>
      </c>
      <c r="AF22" s="318">
        <f>ROUND((Table6[[#This Row],[DAILY REW. MOD. NEW]]*($D$24+$D$26+$D$28))/7,0)</f>
        <v>11429</v>
      </c>
      <c r="AG22" s="318">
        <f t="shared" si="3"/>
        <v>0.9</v>
      </c>
      <c r="AH22" s="318">
        <f>ROUND((INDEX(Table12[AVG COINS NEW],MATCH(Table6[[#This Row],[LEAGUE]],Table12[LEAGUE],0))) /$C$36,0)</f>
        <v>5688</v>
      </c>
      <c r="AI22" s="318">
        <f>ROUND((INDEX(Table12[AVG GEMS NEW],MATCH(Table6[[#This Row],[LEAGUE]],Table12[LEAGUE],0))) / $C$36,2)</f>
        <v>0.1</v>
      </c>
      <c r="AJ22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68200</v>
      </c>
      <c r="AK22" s="354">
        <v>16975</v>
      </c>
      <c r="AL22" s="355">
        <v>1</v>
      </c>
    </row>
    <row r="23" spans="2:38" x14ac:dyDescent="0.25">
      <c r="B23" s="295" t="s">
        <v>429</v>
      </c>
      <c r="C23" s="295" t="s">
        <v>420</v>
      </c>
      <c r="D23" s="327" t="s">
        <v>421</v>
      </c>
      <c r="E23" s="329" t="s">
        <v>462</v>
      </c>
      <c r="G23" s="358" t="s">
        <v>100</v>
      </c>
      <c r="H23" s="362">
        <f>Table6[[#This Row],[TOTAL COINS]] +Table6[[#This Row],[COINS IN RUNS PER DAY]]</f>
        <v>157229</v>
      </c>
      <c r="I23" s="352">
        <f>Table6[[#This Row],[TOTAL COINS NEW]] + Table6[[#This Row],[COINS IN RUNS PER DAY]]</f>
        <v>147517</v>
      </c>
      <c r="J23" s="350">
        <f>Table6[[#This Row],[CHESTS COINS]] + Table6[[#This Row],[DAILY COINS]]+Table6[[#This Row],[LEAGUES COINS]]+Table6[[#This Row],[MISSIONS COINS]]</f>
        <v>142157</v>
      </c>
      <c r="K23" s="342">
        <f>Table6[[#This Row],[CHESTS GEMS]]+Table6[[#This Row],[DAILY GEMS]]+Table6[[#This Row],[LEAGUES GEMS]]</f>
        <v>3.9</v>
      </c>
      <c r="L23" s="362">
        <f>Table6[[#This Row],[CHESTS COINS NEW]] +Table6[[#This Row],[DAILY COINS NEW]] +Table6[[#This Row],[LEAGUES COINS NEW]] +Table6[[#This Row],[MISSIONS COINS NEW]]</f>
        <v>132445</v>
      </c>
      <c r="M23" s="352">
        <f>Table6[[#This Row],[CHESTS GEMS NEW]] +Table6[[#This Row],[DAILY GEMS NEW]] +Table6[[#This Row],[LEAGUES GEMS NEW]]</f>
        <v>4</v>
      </c>
      <c r="N23" s="357">
        <f>Table6[[#This Row],[COINS PER RUN]] *Table6[[#This Row],[RUNS PER DAY]]</f>
        <v>15072</v>
      </c>
      <c r="O23" s="341">
        <v>67</v>
      </c>
      <c r="P23" s="341">
        <v>60</v>
      </c>
      <c r="Q23" s="292">
        <v>67</v>
      </c>
      <c r="R23" s="339">
        <v>45</v>
      </c>
      <c r="S23" s="345">
        <v>9</v>
      </c>
      <c r="T23" s="107">
        <v>1</v>
      </c>
      <c r="U23" s="107">
        <v>1</v>
      </c>
      <c r="V23" s="347">
        <v>1</v>
      </c>
      <c r="W23" s="316">
        <f>Table6[[#This Row],[CHEST REW. MOD.]]*($D$14+$D$15+$D$16)</f>
        <v>40200</v>
      </c>
      <c r="X23" s="312">
        <f t="shared" si="0"/>
        <v>3</v>
      </c>
      <c r="Y23" s="312">
        <f>ROUND((Table6[[#This Row],[DAILY REW. MOD.]]*($D$24+$D$26+$D$28))/7,0)</f>
        <v>17143</v>
      </c>
      <c r="Z23" s="312">
        <f t="shared" si="1"/>
        <v>0.9</v>
      </c>
      <c r="AA23" s="317">
        <f>ROUND((INDEX(Table12[AVG COINS],MATCH(Table6[[#This Row],[LEAGUE]],Table12[LEAGUE],0))) /$C$35,0)</f>
        <v>11114</v>
      </c>
      <c r="AB23" s="317">
        <f>ROUND((INDEX(Table12[AVG GEMS],MATCH(Table6[[#This Row],[LEAGUE]],Table12[LEAGUE],0))) /$C$35,2)</f>
        <v>0</v>
      </c>
      <c r="AC23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73700</v>
      </c>
      <c r="AD23" s="318">
        <f>Table6[[#This Row],[CHEST REW. MOD. NEW]]*($D$14+$D$15+$D$16)</f>
        <v>40200</v>
      </c>
      <c r="AE23" s="318">
        <f t="shared" si="2"/>
        <v>3</v>
      </c>
      <c r="AF23" s="318">
        <f>ROUND((Table6[[#This Row],[DAILY REW. MOD. NEW]]*($D$24+$D$26+$D$28))/7,0)</f>
        <v>12857</v>
      </c>
      <c r="AG23" s="318">
        <f t="shared" si="3"/>
        <v>0.9</v>
      </c>
      <c r="AH23" s="318">
        <f>ROUND((INDEX(Table12[AVG COINS NEW],MATCH(Table6[[#This Row],[LEAGUE]],Table12[LEAGUE],0))) /$C$36,0)</f>
        <v>5688</v>
      </c>
      <c r="AI23" s="318">
        <f>ROUND((INDEX(Table12[AVG GEMS NEW],MATCH(Table6[[#This Row],[LEAGUE]],Table12[LEAGUE],0))) / $C$36,2)</f>
        <v>0.1</v>
      </c>
      <c r="AJ23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73700</v>
      </c>
      <c r="AK23" s="354">
        <v>15072</v>
      </c>
      <c r="AL23" s="355">
        <v>1</v>
      </c>
    </row>
    <row r="24" spans="2:38" x14ac:dyDescent="0.25">
      <c r="B24" s="284">
        <v>1</v>
      </c>
      <c r="C24" s="303" t="s">
        <v>425</v>
      </c>
      <c r="D24" s="323">
        <v>300</v>
      </c>
      <c r="E24" s="330">
        <v>250</v>
      </c>
      <c r="G24" s="358" t="s">
        <v>101</v>
      </c>
      <c r="H24" s="362">
        <f>Table6[[#This Row],[TOTAL COINS]] +Table6[[#This Row],[COINS IN RUNS PER DAY]]</f>
        <v>181835</v>
      </c>
      <c r="I24" s="352">
        <f>Table6[[#This Row],[TOTAL COINS NEW]] + Table6[[#This Row],[COINS IN RUNS PER DAY]]</f>
        <v>170113</v>
      </c>
      <c r="J24" s="350">
        <f>Table6[[#This Row],[CHESTS COINS]] + Table6[[#This Row],[DAILY COINS]]+Table6[[#This Row],[LEAGUES COINS]]+Table6[[#This Row],[MISSIONS COINS]]</f>
        <v>168171</v>
      </c>
      <c r="K24" s="342">
        <f>Table6[[#This Row],[CHESTS GEMS]]+Table6[[#This Row],[DAILY GEMS]]+Table6[[#This Row],[LEAGUES GEMS]]</f>
        <v>3.9</v>
      </c>
      <c r="L24" s="362">
        <f>Table6[[#This Row],[CHESTS COINS NEW]] +Table6[[#This Row],[DAILY COINS NEW]] +Table6[[#This Row],[LEAGUES COINS NEW]] +Table6[[#This Row],[MISSIONS COINS NEW]]</f>
        <v>156449</v>
      </c>
      <c r="M24" s="352">
        <f>Table6[[#This Row],[CHESTS GEMS NEW]] +Table6[[#This Row],[DAILY GEMS NEW]] +Table6[[#This Row],[LEAGUES GEMS NEW]]</f>
        <v>4.0999999999999996</v>
      </c>
      <c r="N24" s="357">
        <f>Table6[[#This Row],[COINS PER RUN]] *Table6[[#This Row],[RUNS PER DAY]]</f>
        <v>13664</v>
      </c>
      <c r="O24" s="341">
        <v>80</v>
      </c>
      <c r="P24" s="341">
        <v>65</v>
      </c>
      <c r="Q24" s="292">
        <v>80</v>
      </c>
      <c r="R24" s="339">
        <v>50</v>
      </c>
      <c r="S24" s="345">
        <v>10</v>
      </c>
      <c r="T24" s="107">
        <v>1</v>
      </c>
      <c r="U24" s="107">
        <v>1</v>
      </c>
      <c r="V24" s="347">
        <v>1</v>
      </c>
      <c r="W24" s="316">
        <f>Table6[[#This Row],[CHEST REW. MOD.]]*($D$14+$D$15+$D$16)</f>
        <v>48000</v>
      </c>
      <c r="X24" s="312">
        <f t="shared" si="0"/>
        <v>3</v>
      </c>
      <c r="Y24" s="312">
        <f>ROUND((Table6[[#This Row],[DAILY REW. MOD.]]*($D$24+$D$26+$D$28))/7,0)</f>
        <v>18571</v>
      </c>
      <c r="Z24" s="312">
        <f t="shared" si="1"/>
        <v>0.9</v>
      </c>
      <c r="AA24" s="317">
        <f>ROUND((INDEX(Table12[AVG COINS],MATCH(Table6[[#This Row],[LEAGUE]],Table12[LEAGUE],0))) /$C$35,0)</f>
        <v>13600</v>
      </c>
      <c r="AB24" s="317">
        <f>ROUND((INDEX(Table12[AVG GEMS],MATCH(Table6[[#This Row],[LEAGUE]],Table12[LEAGUE],0))) /$C$35,2)</f>
        <v>0</v>
      </c>
      <c r="AC24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88000</v>
      </c>
      <c r="AD24" s="318">
        <f>Table6[[#This Row],[CHEST REW. MOD. NEW]]*($D$14+$D$15+$D$16)</f>
        <v>48000</v>
      </c>
      <c r="AE24" s="318">
        <f t="shared" si="2"/>
        <v>3</v>
      </c>
      <c r="AF24" s="318">
        <f>ROUND((Table6[[#This Row],[DAILY REW. MOD. NEW]]*($D$24+$D$26+$D$28))/7,0)</f>
        <v>14286</v>
      </c>
      <c r="AG24" s="318">
        <f t="shared" si="3"/>
        <v>0.9</v>
      </c>
      <c r="AH24" s="318">
        <f>ROUND((INDEX(Table12[AVG COINS NEW],MATCH(Table6[[#This Row],[LEAGUE]],Table12[LEAGUE],0))) /$C$36,0)</f>
        <v>6163</v>
      </c>
      <c r="AI24" s="318">
        <f>ROUND((INDEX(Table12[AVG GEMS NEW],MATCH(Table6[[#This Row],[LEAGUE]],Table12[LEAGUE],0))) / $C$36,2)</f>
        <v>0.2</v>
      </c>
      <c r="AJ24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88000</v>
      </c>
      <c r="AK24" s="354">
        <v>13664</v>
      </c>
      <c r="AL24" s="355">
        <v>1</v>
      </c>
    </row>
    <row r="25" spans="2:38" x14ac:dyDescent="0.25">
      <c r="B25" s="282">
        <v>2</v>
      </c>
      <c r="C25" s="303" t="s">
        <v>426</v>
      </c>
      <c r="D25" s="323">
        <v>1</v>
      </c>
      <c r="E25" s="331">
        <v>1</v>
      </c>
      <c r="G25" s="358" t="s">
        <v>145</v>
      </c>
      <c r="H25" s="362">
        <f>Table6[[#This Row],[TOTAL COINS]] +Table6[[#This Row],[COINS IN RUNS PER DAY]]</f>
        <v>187433</v>
      </c>
      <c r="I25" s="352">
        <f>Table6[[#This Row],[TOTAL COINS NEW]] + Table6[[#This Row],[COINS IN RUNS PER DAY]]</f>
        <v>175710</v>
      </c>
      <c r="J25" s="350">
        <f>Table6[[#This Row],[CHESTS COINS]] + Table6[[#This Row],[DAILY COINS]]+Table6[[#This Row],[LEAGUES COINS]]+Table6[[#This Row],[MISSIONS COINS]]</f>
        <v>178100</v>
      </c>
      <c r="K25" s="342">
        <f>Table6[[#This Row],[CHESTS GEMS]]+Table6[[#This Row],[DAILY GEMS]]+Table6[[#This Row],[LEAGUES GEMS]]</f>
        <v>3.9</v>
      </c>
      <c r="L25" s="362">
        <f>Table6[[#This Row],[CHESTS COINS NEW]] +Table6[[#This Row],[DAILY COINS NEW]] +Table6[[#This Row],[LEAGUES COINS NEW]] +Table6[[#This Row],[MISSIONS COINS NEW]]</f>
        <v>166377</v>
      </c>
      <c r="M25" s="352">
        <f>Table6[[#This Row],[CHESTS GEMS NEW]] +Table6[[#This Row],[DAILY GEMS NEW]] +Table6[[#This Row],[LEAGUES GEMS NEW]]</f>
        <v>4.0999999999999996</v>
      </c>
      <c r="N25" s="357">
        <f>Table6[[#This Row],[COINS PER RUN]] *Table6[[#This Row],[RUNS PER DAY]]</f>
        <v>9333</v>
      </c>
      <c r="O25" s="341">
        <v>85</v>
      </c>
      <c r="P25" s="341">
        <v>70</v>
      </c>
      <c r="Q25" s="292">
        <v>85</v>
      </c>
      <c r="R25" s="339">
        <v>55</v>
      </c>
      <c r="S25" s="345">
        <v>10</v>
      </c>
      <c r="T25" s="107">
        <v>1</v>
      </c>
      <c r="U25" s="107">
        <v>1</v>
      </c>
      <c r="V25" s="347">
        <v>1</v>
      </c>
      <c r="W25" s="316">
        <f>Table6[[#This Row],[CHEST REW. MOD.]]*($D$14+$D$15+$D$16)</f>
        <v>51000</v>
      </c>
      <c r="X25" s="312">
        <f t="shared" si="0"/>
        <v>3</v>
      </c>
      <c r="Y25" s="312">
        <f>ROUND((Table6[[#This Row],[DAILY REW. MOD.]]*($D$24+$D$26+$D$28))/7,0)</f>
        <v>20000</v>
      </c>
      <c r="Z25" s="312">
        <f t="shared" si="1"/>
        <v>0.9</v>
      </c>
      <c r="AA25" s="317">
        <f>ROUND((INDEX(Table12[AVG COINS],MATCH(Table6[[#This Row],[LEAGUE]],Table12[LEAGUE],0))) /$C$35,0)</f>
        <v>13600</v>
      </c>
      <c r="AB25" s="317">
        <f>ROUND((INDEX(Table12[AVG GEMS],MATCH(Table6[[#This Row],[LEAGUE]],Table12[LEAGUE],0))) /$C$35,2)</f>
        <v>0</v>
      </c>
      <c r="AC25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93500</v>
      </c>
      <c r="AD25" s="318">
        <f>Table6[[#This Row],[CHEST REW. MOD. NEW]]*($D$14+$D$15+$D$16)</f>
        <v>51000</v>
      </c>
      <c r="AE25" s="318">
        <f t="shared" si="2"/>
        <v>3</v>
      </c>
      <c r="AF25" s="318">
        <f>ROUND((Table6[[#This Row],[DAILY REW. MOD. NEW]]*($D$24+$D$26+$D$28))/7,0)</f>
        <v>15714</v>
      </c>
      <c r="AG25" s="318">
        <f t="shared" si="3"/>
        <v>0.9</v>
      </c>
      <c r="AH25" s="318">
        <f>ROUND((INDEX(Table12[AVG COINS NEW],MATCH(Table6[[#This Row],[LEAGUE]],Table12[LEAGUE],0))) /$C$36,0)</f>
        <v>6163</v>
      </c>
      <c r="AI25" s="318">
        <f>ROUND((INDEX(Table12[AVG GEMS NEW],MATCH(Table6[[#This Row],[LEAGUE]],Table12[LEAGUE],0))) / $C$36,2)</f>
        <v>0.2</v>
      </c>
      <c r="AJ25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93500</v>
      </c>
      <c r="AK25" s="354">
        <v>9333</v>
      </c>
      <c r="AL25" s="355">
        <v>1</v>
      </c>
    </row>
    <row r="26" spans="2:38" x14ac:dyDescent="0.25">
      <c r="B26" s="282">
        <v>3</v>
      </c>
      <c r="C26" s="303" t="s">
        <v>425</v>
      </c>
      <c r="D26" s="323">
        <v>700</v>
      </c>
      <c r="E26" s="331">
        <v>500</v>
      </c>
      <c r="G26" s="360" t="s">
        <v>218</v>
      </c>
      <c r="H26" s="362">
        <f>Table6[[#This Row],[TOTAL COINS]] +Table6[[#This Row],[COINS IN RUNS PER DAY]]</f>
        <v>204633</v>
      </c>
      <c r="I26" s="352">
        <f>Table6[[#This Row],[TOTAL COINS NEW]] + Table6[[#This Row],[COINS IN RUNS PER DAY]]</f>
        <v>192910</v>
      </c>
      <c r="J26" s="350">
        <f>Table6[[#This Row],[CHESTS COINS]] + Table6[[#This Row],[DAILY COINS]]+Table6[[#This Row],[LEAGUES COINS]]+Table6[[#This Row],[MISSIONS COINS]]</f>
        <v>188029</v>
      </c>
      <c r="K26" s="342">
        <f>Table6[[#This Row],[CHESTS GEMS]]+Table6[[#This Row],[DAILY GEMS]]+Table6[[#This Row],[LEAGUES GEMS]]</f>
        <v>3.9</v>
      </c>
      <c r="L26" s="362">
        <f>Table6[[#This Row],[CHESTS COINS NEW]] +Table6[[#This Row],[DAILY COINS NEW]] +Table6[[#This Row],[LEAGUES COINS NEW]] +Table6[[#This Row],[MISSIONS COINS NEW]]</f>
        <v>176306</v>
      </c>
      <c r="M26" s="352">
        <f>Table6[[#This Row],[CHESTS GEMS NEW]] +Table6[[#This Row],[DAILY GEMS NEW]] +Table6[[#This Row],[LEAGUES GEMS NEW]]</f>
        <v>4.0999999999999996</v>
      </c>
      <c r="N26" s="357">
        <f>Table6[[#This Row],[COINS PER RUN]] *Table6[[#This Row],[RUNS PER DAY]]</f>
        <v>16604</v>
      </c>
      <c r="O26" s="341">
        <v>90</v>
      </c>
      <c r="P26" s="341">
        <v>75</v>
      </c>
      <c r="Q26" s="292">
        <v>90</v>
      </c>
      <c r="R26" s="339">
        <v>60</v>
      </c>
      <c r="S26" s="345">
        <v>10</v>
      </c>
      <c r="T26" s="107">
        <v>1</v>
      </c>
      <c r="U26" s="107">
        <v>1</v>
      </c>
      <c r="V26" s="347">
        <v>1</v>
      </c>
      <c r="W26" s="316">
        <f>Table6[[#This Row],[CHEST REW. MOD.]]*($D$14+$D$15+$D$16)</f>
        <v>54000</v>
      </c>
      <c r="X26" s="312">
        <f t="shared" si="0"/>
        <v>3</v>
      </c>
      <c r="Y26" s="312">
        <f>ROUND((Table6[[#This Row],[DAILY REW. MOD.]]*($D$24+$D$26+$D$28))/7,0)</f>
        <v>21429</v>
      </c>
      <c r="Z26" s="312">
        <f t="shared" si="1"/>
        <v>0.9</v>
      </c>
      <c r="AA26" s="317">
        <f>ROUND((INDEX(Table12[AVG COINS],MATCH(Table6[[#This Row],[LEAGUE]],Table12[LEAGUE],0))) /$C$35,0)</f>
        <v>13600</v>
      </c>
      <c r="AB26" s="317">
        <f>ROUND((INDEX(Table12[AVG GEMS],MATCH(Table6[[#This Row],[LEAGUE]],Table12[LEAGUE],0))) /$C$35,2)</f>
        <v>0</v>
      </c>
      <c r="AC26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6" s="318">
        <f>Table6[[#This Row],[CHEST REW. MOD. NEW]]*($D$14+$D$15+$D$16)</f>
        <v>54000</v>
      </c>
      <c r="AE26" s="318">
        <f t="shared" si="2"/>
        <v>3</v>
      </c>
      <c r="AF26" s="318">
        <f>ROUND((Table6[[#This Row],[DAILY REW. MOD. NEW]]*($D$24+$D$26+$D$28))/7,0)</f>
        <v>17143</v>
      </c>
      <c r="AG26" s="318">
        <f t="shared" si="3"/>
        <v>0.9</v>
      </c>
      <c r="AH26" s="318">
        <f>ROUND((INDEX(Table12[AVG COINS NEW],MATCH(Table6[[#This Row],[LEAGUE]],Table12[LEAGUE],0))) /$C$36,0)</f>
        <v>6163</v>
      </c>
      <c r="AI26" s="318">
        <f>ROUND((INDEX(Table12[AVG GEMS NEW],MATCH(Table6[[#This Row],[LEAGUE]],Table12[LEAGUE],0))) / $C$36,2)</f>
        <v>0.2</v>
      </c>
      <c r="AJ26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6" s="354">
        <v>16604</v>
      </c>
      <c r="AL26" s="355">
        <v>1</v>
      </c>
    </row>
    <row r="27" spans="2:38" x14ac:dyDescent="0.25">
      <c r="B27" s="282">
        <v>4</v>
      </c>
      <c r="C27" s="303" t="s">
        <v>426</v>
      </c>
      <c r="D27" s="323">
        <v>2</v>
      </c>
      <c r="E27" s="331">
        <v>2</v>
      </c>
      <c r="G27" s="358" t="s">
        <v>408</v>
      </c>
      <c r="H27" s="362">
        <f>Table6[[#This Row],[TOTAL COINS]] +Table6[[#This Row],[COINS IN RUNS PER DAY]]</f>
        <v>188030</v>
      </c>
      <c r="I27" s="352">
        <f>Table6[[#This Row],[TOTAL COINS NEW]] + Table6[[#This Row],[COINS IN RUNS PER DAY]]</f>
        <v>176307</v>
      </c>
      <c r="J27" s="350">
        <f>Table6[[#This Row],[CHESTS COINS]] + Table6[[#This Row],[DAILY COINS]]+Table6[[#This Row],[LEAGUES COINS]]+Table6[[#This Row],[MISSIONS COINS]]</f>
        <v>188029</v>
      </c>
      <c r="K27" s="342">
        <f>Table6[[#This Row],[CHESTS GEMS]]+Table6[[#This Row],[DAILY GEMS]]+Table6[[#This Row],[LEAGUES GEMS]]</f>
        <v>3.9</v>
      </c>
      <c r="L27" s="362">
        <f>Table6[[#This Row],[CHESTS COINS NEW]] +Table6[[#This Row],[DAILY COINS NEW]] +Table6[[#This Row],[LEAGUES COINS NEW]] +Table6[[#This Row],[MISSIONS COINS NEW]]</f>
        <v>176306</v>
      </c>
      <c r="M27" s="352">
        <f>Table6[[#This Row],[CHESTS GEMS NEW]] +Table6[[#This Row],[DAILY GEMS NEW]] +Table6[[#This Row],[LEAGUES GEMS NEW]]</f>
        <v>4.0999999999999996</v>
      </c>
      <c r="N27" s="357">
        <f>Table6[[#This Row],[COINS PER RUN]] *Table6[[#This Row],[RUNS PER DAY]]</f>
        <v>1</v>
      </c>
      <c r="O27" s="341">
        <v>90</v>
      </c>
      <c r="P27" s="341">
        <v>75</v>
      </c>
      <c r="Q27" s="292">
        <v>90</v>
      </c>
      <c r="R27" s="339">
        <v>60</v>
      </c>
      <c r="S27" s="345">
        <v>10</v>
      </c>
      <c r="T27" s="107">
        <v>1</v>
      </c>
      <c r="U27" s="107">
        <v>1</v>
      </c>
      <c r="V27" s="347">
        <v>1</v>
      </c>
      <c r="W27" s="316">
        <f>Table6[[#This Row],[CHEST REW. MOD.]]*($D$14+$D$15+$D$16)</f>
        <v>54000</v>
      </c>
      <c r="X27" s="312">
        <f t="shared" si="0"/>
        <v>3</v>
      </c>
      <c r="Y27" s="312">
        <f>ROUND((Table6[[#This Row],[DAILY REW. MOD.]]*($D$24+$D$26+$D$28))/7,0)</f>
        <v>21429</v>
      </c>
      <c r="Z27" s="312">
        <f t="shared" si="1"/>
        <v>0.9</v>
      </c>
      <c r="AA27" s="317">
        <f>ROUND((INDEX(Table12[AVG COINS],MATCH(Table6[[#This Row],[LEAGUE]],Table12[LEAGUE],0))) /$C$35,0)</f>
        <v>13600</v>
      </c>
      <c r="AB27" s="317">
        <f>ROUND((INDEX(Table12[AVG GEMS],MATCH(Table6[[#This Row],[LEAGUE]],Table12[LEAGUE],0))) /$C$35,2)</f>
        <v>0</v>
      </c>
      <c r="AC27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7" s="318">
        <f>Table6[[#This Row],[CHEST REW. MOD. NEW]]*($D$14+$D$15+$D$16)</f>
        <v>54000</v>
      </c>
      <c r="AE27" s="318">
        <f t="shared" si="2"/>
        <v>3</v>
      </c>
      <c r="AF27" s="318">
        <f>ROUND((Table6[[#This Row],[DAILY REW. MOD. NEW]]*($D$24+$D$26+$D$28))/7,0)</f>
        <v>17143</v>
      </c>
      <c r="AG27" s="318">
        <f t="shared" si="3"/>
        <v>0.9</v>
      </c>
      <c r="AH27" s="318">
        <f>ROUND((INDEX(Table12[AVG COINS NEW],MATCH(Table6[[#This Row],[LEAGUE]],Table12[LEAGUE],0))) /$C$36,0)</f>
        <v>6163</v>
      </c>
      <c r="AI27" s="318">
        <f>ROUND((INDEX(Table12[AVG GEMS NEW],MATCH(Table6[[#This Row],[LEAGUE]],Table12[LEAGUE],0))) / $C$36,2)</f>
        <v>0.2</v>
      </c>
      <c r="AJ27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7" s="354">
        <v>1</v>
      </c>
      <c r="AL27" s="355">
        <v>1</v>
      </c>
    </row>
    <row r="28" spans="2:38" x14ac:dyDescent="0.25">
      <c r="B28" s="282">
        <v>5</v>
      </c>
      <c r="C28" s="303" t="s">
        <v>425</v>
      </c>
      <c r="D28" s="323">
        <v>1000</v>
      </c>
      <c r="E28" s="331">
        <v>1000</v>
      </c>
      <c r="G28" s="358" t="s">
        <v>409</v>
      </c>
      <c r="H28" s="362">
        <f>Table6[[#This Row],[TOTAL COINS]] +Table6[[#This Row],[COINS IN RUNS PER DAY]]</f>
        <v>188030</v>
      </c>
      <c r="I28" s="352">
        <f>Table6[[#This Row],[TOTAL COINS NEW]] + Table6[[#This Row],[COINS IN RUNS PER DAY]]</f>
        <v>176307</v>
      </c>
      <c r="J28" s="350">
        <f>Table6[[#This Row],[CHESTS COINS]] + Table6[[#This Row],[DAILY COINS]]+Table6[[#This Row],[LEAGUES COINS]]+Table6[[#This Row],[MISSIONS COINS]]</f>
        <v>188029</v>
      </c>
      <c r="K28" s="342">
        <f>Table6[[#This Row],[CHESTS GEMS]]+Table6[[#This Row],[DAILY GEMS]]+Table6[[#This Row],[LEAGUES GEMS]]</f>
        <v>3.9</v>
      </c>
      <c r="L28" s="362">
        <f>Table6[[#This Row],[CHESTS COINS NEW]] +Table6[[#This Row],[DAILY COINS NEW]] +Table6[[#This Row],[LEAGUES COINS NEW]] +Table6[[#This Row],[MISSIONS COINS NEW]]</f>
        <v>176306</v>
      </c>
      <c r="M28" s="352">
        <f>Table6[[#This Row],[CHESTS GEMS NEW]] +Table6[[#This Row],[DAILY GEMS NEW]] +Table6[[#This Row],[LEAGUES GEMS NEW]]</f>
        <v>4.0999999999999996</v>
      </c>
      <c r="N28" s="357">
        <f>Table6[[#This Row],[COINS PER RUN]] *Table6[[#This Row],[RUNS PER DAY]]</f>
        <v>1</v>
      </c>
      <c r="O28" s="341">
        <v>90</v>
      </c>
      <c r="P28" s="341">
        <v>75</v>
      </c>
      <c r="Q28" s="292">
        <v>90</v>
      </c>
      <c r="R28" s="339">
        <v>60</v>
      </c>
      <c r="S28" s="345">
        <v>10</v>
      </c>
      <c r="T28" s="107">
        <v>1</v>
      </c>
      <c r="U28" s="107">
        <v>1</v>
      </c>
      <c r="V28" s="347">
        <v>1</v>
      </c>
      <c r="W28" s="316">
        <f>Table6[[#This Row],[CHEST REW. MOD.]]*($D$14+$D$15+$D$16)</f>
        <v>54000</v>
      </c>
      <c r="X28" s="312">
        <f t="shared" si="0"/>
        <v>3</v>
      </c>
      <c r="Y28" s="312">
        <f>ROUND((Table6[[#This Row],[DAILY REW. MOD.]]*($D$24+$D$26+$D$28))/7,0)</f>
        <v>21429</v>
      </c>
      <c r="Z28" s="312">
        <f t="shared" si="1"/>
        <v>0.9</v>
      </c>
      <c r="AA28" s="317">
        <f>ROUND((INDEX(Table12[AVG COINS],MATCH(Table6[[#This Row],[LEAGUE]],Table12[LEAGUE],0))) /$C$35,0)</f>
        <v>13600</v>
      </c>
      <c r="AB28" s="317">
        <f>ROUND((INDEX(Table12[AVG GEMS],MATCH(Table6[[#This Row],[LEAGUE]],Table12[LEAGUE],0))) /$C$35,2)</f>
        <v>0</v>
      </c>
      <c r="AC28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8" s="318">
        <f>Table6[[#This Row],[CHEST REW. MOD. NEW]]*($D$14+$D$15+$D$16)</f>
        <v>54000</v>
      </c>
      <c r="AE28" s="318">
        <f t="shared" si="2"/>
        <v>3</v>
      </c>
      <c r="AF28" s="318">
        <f>ROUND((Table6[[#This Row],[DAILY REW. MOD. NEW]]*($D$24+$D$26+$D$28))/7,0)</f>
        <v>17143</v>
      </c>
      <c r="AG28" s="318">
        <f t="shared" si="3"/>
        <v>0.9</v>
      </c>
      <c r="AH28" s="318">
        <f>ROUND((INDEX(Table12[AVG COINS NEW],MATCH(Table6[[#This Row],[LEAGUE]],Table12[LEAGUE],0))) /$C$36,0)</f>
        <v>6163</v>
      </c>
      <c r="AI28" s="318">
        <f>ROUND((INDEX(Table12[AVG GEMS NEW],MATCH(Table6[[#This Row],[LEAGUE]],Table12[LEAGUE],0))) / $C$36,2)</f>
        <v>0.2</v>
      </c>
      <c r="AJ28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8" s="354">
        <v>1</v>
      </c>
      <c r="AL28" s="355">
        <v>1</v>
      </c>
    </row>
    <row r="29" spans="2:38" x14ac:dyDescent="0.25">
      <c r="B29" s="282">
        <v>6</v>
      </c>
      <c r="C29" s="303" t="s">
        <v>426</v>
      </c>
      <c r="D29" s="323">
        <v>3</v>
      </c>
      <c r="E29" s="331">
        <v>3</v>
      </c>
      <c r="G29" s="358" t="s">
        <v>410</v>
      </c>
      <c r="H29" s="362">
        <f>Table6[[#This Row],[TOTAL COINS]] +Table6[[#This Row],[COINS IN RUNS PER DAY]]</f>
        <v>188030</v>
      </c>
      <c r="I29" s="352">
        <f>Table6[[#This Row],[TOTAL COINS NEW]] + Table6[[#This Row],[COINS IN RUNS PER DAY]]</f>
        <v>176307</v>
      </c>
      <c r="J29" s="350">
        <f>Table6[[#This Row],[CHESTS COINS]] + Table6[[#This Row],[DAILY COINS]]+Table6[[#This Row],[LEAGUES COINS]]+Table6[[#This Row],[MISSIONS COINS]]</f>
        <v>188029</v>
      </c>
      <c r="K29" s="342">
        <f>Table6[[#This Row],[CHESTS GEMS]]+Table6[[#This Row],[DAILY GEMS]]+Table6[[#This Row],[LEAGUES GEMS]]</f>
        <v>3.9</v>
      </c>
      <c r="L29" s="362">
        <f>Table6[[#This Row],[CHESTS COINS NEW]] +Table6[[#This Row],[DAILY COINS NEW]] +Table6[[#This Row],[LEAGUES COINS NEW]] +Table6[[#This Row],[MISSIONS COINS NEW]]</f>
        <v>176306</v>
      </c>
      <c r="M29" s="352">
        <f>Table6[[#This Row],[CHESTS GEMS NEW]] +Table6[[#This Row],[DAILY GEMS NEW]] +Table6[[#This Row],[LEAGUES GEMS NEW]]</f>
        <v>4.0999999999999996</v>
      </c>
      <c r="N29" s="357">
        <f>Table6[[#This Row],[COINS PER RUN]] *Table6[[#This Row],[RUNS PER DAY]]</f>
        <v>1</v>
      </c>
      <c r="O29" s="341">
        <v>90</v>
      </c>
      <c r="P29" s="341">
        <v>75</v>
      </c>
      <c r="Q29" s="292">
        <v>90</v>
      </c>
      <c r="R29" s="339">
        <v>60</v>
      </c>
      <c r="S29" s="345">
        <v>10</v>
      </c>
      <c r="T29" s="107">
        <v>1</v>
      </c>
      <c r="U29" s="107">
        <v>1</v>
      </c>
      <c r="V29" s="347">
        <v>1</v>
      </c>
      <c r="W29" s="316">
        <f>Table6[[#This Row],[CHEST REW. MOD.]]*($D$14+$D$15+$D$16)</f>
        <v>54000</v>
      </c>
      <c r="X29" s="312">
        <f t="shared" si="0"/>
        <v>3</v>
      </c>
      <c r="Y29" s="312">
        <f>ROUND((Table6[[#This Row],[DAILY REW. MOD.]]*($D$24+$D$26+$D$28))/7,0)</f>
        <v>21429</v>
      </c>
      <c r="Z29" s="312">
        <f t="shared" si="1"/>
        <v>0.9</v>
      </c>
      <c r="AA29" s="317">
        <f>ROUND((INDEX(Table12[AVG COINS],MATCH(Table6[[#This Row],[LEAGUE]],Table12[LEAGUE],0))) /$C$35,0)</f>
        <v>13600</v>
      </c>
      <c r="AB29" s="317">
        <f>ROUND((INDEX(Table12[AVG GEMS],MATCH(Table6[[#This Row],[LEAGUE]],Table12[LEAGUE],0))) /$C$35,2)</f>
        <v>0</v>
      </c>
      <c r="AC29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9" s="318">
        <f>Table6[[#This Row],[CHEST REW. MOD. NEW]]*($D$14+$D$15+$D$16)</f>
        <v>54000</v>
      </c>
      <c r="AE29" s="318">
        <f t="shared" si="2"/>
        <v>3</v>
      </c>
      <c r="AF29" s="318">
        <f>ROUND((Table6[[#This Row],[DAILY REW. MOD. NEW]]*($D$24+$D$26+$D$28))/7,0)</f>
        <v>17143</v>
      </c>
      <c r="AG29" s="318">
        <f t="shared" si="3"/>
        <v>0.9</v>
      </c>
      <c r="AH29" s="318">
        <f>ROUND((INDEX(Table12[AVG COINS NEW],MATCH(Table6[[#This Row],[LEAGUE]],Table12[LEAGUE],0))) /$C$36,0)</f>
        <v>6163</v>
      </c>
      <c r="AI29" s="318">
        <f>ROUND((INDEX(Table12[AVG GEMS NEW],MATCH(Table6[[#This Row],[LEAGUE]],Table12[LEAGUE],0))) / $C$36,2)</f>
        <v>0.2</v>
      </c>
      <c r="AJ29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9" s="354">
        <v>1</v>
      </c>
      <c r="AL29" s="355">
        <v>1</v>
      </c>
    </row>
    <row r="30" spans="2:38" x14ac:dyDescent="0.25">
      <c r="B30" s="282">
        <v>7</v>
      </c>
      <c r="C30" s="303" t="s">
        <v>427</v>
      </c>
      <c r="D30" s="323">
        <v>1</v>
      </c>
      <c r="E30" s="331">
        <v>1</v>
      </c>
      <c r="G30" s="358" t="s">
        <v>411</v>
      </c>
      <c r="H30" s="362">
        <f>Table6[[#This Row],[TOTAL COINS]] +Table6[[#This Row],[COINS IN RUNS PER DAY]]</f>
        <v>188030</v>
      </c>
      <c r="I30" s="352">
        <f>Table6[[#This Row],[TOTAL COINS NEW]] + Table6[[#This Row],[COINS IN RUNS PER DAY]]</f>
        <v>176307</v>
      </c>
      <c r="J30" s="350">
        <f>Table6[[#This Row],[CHESTS COINS]] + Table6[[#This Row],[DAILY COINS]]+Table6[[#This Row],[LEAGUES COINS]]+Table6[[#This Row],[MISSIONS COINS]]</f>
        <v>188029</v>
      </c>
      <c r="K30" s="342">
        <f>Table6[[#This Row],[CHESTS GEMS]]+Table6[[#This Row],[DAILY GEMS]]+Table6[[#This Row],[LEAGUES GEMS]]</f>
        <v>3.9</v>
      </c>
      <c r="L30" s="362">
        <f>Table6[[#This Row],[CHESTS COINS NEW]] +Table6[[#This Row],[DAILY COINS NEW]] +Table6[[#This Row],[LEAGUES COINS NEW]] +Table6[[#This Row],[MISSIONS COINS NEW]]</f>
        <v>176306</v>
      </c>
      <c r="M30" s="352">
        <f>Table6[[#This Row],[CHESTS GEMS NEW]] +Table6[[#This Row],[DAILY GEMS NEW]] +Table6[[#This Row],[LEAGUES GEMS NEW]]</f>
        <v>4.0999999999999996</v>
      </c>
      <c r="N30" s="357">
        <f>Table6[[#This Row],[COINS PER RUN]] *Table6[[#This Row],[RUNS PER DAY]]</f>
        <v>1</v>
      </c>
      <c r="O30" s="341">
        <v>90</v>
      </c>
      <c r="P30" s="341">
        <v>75</v>
      </c>
      <c r="Q30" s="292">
        <v>90</v>
      </c>
      <c r="R30" s="339">
        <v>60</v>
      </c>
      <c r="S30" s="345">
        <v>10</v>
      </c>
      <c r="T30" s="107">
        <v>1</v>
      </c>
      <c r="U30" s="107">
        <v>1</v>
      </c>
      <c r="V30" s="347">
        <v>1</v>
      </c>
      <c r="W30" s="316">
        <f>Table6[[#This Row],[CHEST REW. MOD.]]*($D$14+$D$15+$D$16)</f>
        <v>54000</v>
      </c>
      <c r="X30" s="312">
        <f t="shared" si="0"/>
        <v>3</v>
      </c>
      <c r="Y30" s="312">
        <f>ROUND((Table6[[#This Row],[DAILY REW. MOD.]]*($D$24+$D$26+$D$28))/7,0)</f>
        <v>21429</v>
      </c>
      <c r="Z30" s="312">
        <f t="shared" si="1"/>
        <v>0.9</v>
      </c>
      <c r="AA30" s="317">
        <f>ROUND((INDEX(Table12[AVG COINS],MATCH(Table6[[#This Row],[LEAGUE]],Table12[LEAGUE],0))) /$C$35,0)</f>
        <v>13600</v>
      </c>
      <c r="AB30" s="317">
        <f>ROUND((INDEX(Table12[AVG GEMS],MATCH(Table6[[#This Row],[LEAGUE]],Table12[LEAGUE],0))) /$C$35,2)</f>
        <v>0</v>
      </c>
      <c r="AC30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30" s="318">
        <f>Table6[[#This Row],[CHEST REW. MOD. NEW]]*($D$14+$D$15+$D$16)</f>
        <v>54000</v>
      </c>
      <c r="AE30" s="318">
        <f t="shared" si="2"/>
        <v>3</v>
      </c>
      <c r="AF30" s="318">
        <f>ROUND((Table6[[#This Row],[DAILY REW. MOD. NEW]]*($D$24+$D$26+$D$28))/7,0)</f>
        <v>17143</v>
      </c>
      <c r="AG30" s="318">
        <f t="shared" si="3"/>
        <v>0.9</v>
      </c>
      <c r="AH30" s="318">
        <f>ROUND((INDEX(Table12[AVG COINS NEW],MATCH(Table6[[#This Row],[LEAGUE]],Table12[LEAGUE],0))) /$C$36,0)</f>
        <v>6163</v>
      </c>
      <c r="AI30" s="318">
        <f>ROUND((INDEX(Table12[AVG GEMS NEW],MATCH(Table6[[#This Row],[LEAGUE]],Table12[LEAGUE],0))) / $C$36,2)</f>
        <v>0.2</v>
      </c>
      <c r="AJ30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30" s="354">
        <v>1</v>
      </c>
      <c r="AL30" s="355">
        <v>1</v>
      </c>
    </row>
    <row r="31" spans="2:38" x14ac:dyDescent="0.25">
      <c r="B31" s="282">
        <v>14</v>
      </c>
      <c r="C31" s="305" t="s">
        <v>428</v>
      </c>
      <c r="D31" s="328">
        <v>1</v>
      </c>
      <c r="E31" s="331">
        <v>1</v>
      </c>
      <c r="G31" s="358" t="s">
        <v>412</v>
      </c>
      <c r="H31" s="362">
        <f>Table6[[#This Row],[TOTAL COINS]] +Table6[[#This Row],[COINS IN RUNS PER DAY]]</f>
        <v>188030</v>
      </c>
      <c r="I31" s="352">
        <f>Table6[[#This Row],[TOTAL COINS NEW]] + Table6[[#This Row],[COINS IN RUNS PER DAY]]</f>
        <v>176307</v>
      </c>
      <c r="J31" s="350">
        <f>Table6[[#This Row],[CHESTS COINS]] + Table6[[#This Row],[DAILY COINS]]+Table6[[#This Row],[LEAGUES COINS]]+Table6[[#This Row],[MISSIONS COINS]]</f>
        <v>188029</v>
      </c>
      <c r="K31" s="342">
        <f>Table6[[#This Row],[CHESTS GEMS]]+Table6[[#This Row],[DAILY GEMS]]+Table6[[#This Row],[LEAGUES GEMS]]</f>
        <v>3.9</v>
      </c>
      <c r="L31" s="362">
        <f>Table6[[#This Row],[CHESTS COINS NEW]] +Table6[[#This Row],[DAILY COINS NEW]] +Table6[[#This Row],[LEAGUES COINS NEW]] +Table6[[#This Row],[MISSIONS COINS NEW]]</f>
        <v>176306</v>
      </c>
      <c r="M31" s="352">
        <f>Table6[[#This Row],[CHESTS GEMS NEW]] +Table6[[#This Row],[DAILY GEMS NEW]] +Table6[[#This Row],[LEAGUES GEMS NEW]]</f>
        <v>4.0999999999999996</v>
      </c>
      <c r="N31" s="357">
        <f>Table6[[#This Row],[COINS PER RUN]] *Table6[[#This Row],[RUNS PER DAY]]</f>
        <v>1</v>
      </c>
      <c r="O31" s="341">
        <v>90</v>
      </c>
      <c r="P31" s="341">
        <v>75</v>
      </c>
      <c r="Q31" s="292">
        <v>90</v>
      </c>
      <c r="R31" s="339">
        <v>60</v>
      </c>
      <c r="S31" s="345">
        <v>10</v>
      </c>
      <c r="T31" s="107">
        <v>1</v>
      </c>
      <c r="U31" s="107">
        <v>1</v>
      </c>
      <c r="V31" s="347">
        <v>1</v>
      </c>
      <c r="W31" s="316">
        <f>Table6[[#This Row],[CHEST REW. MOD.]]*($D$14+$D$15+$D$16)</f>
        <v>54000</v>
      </c>
      <c r="X31" s="312">
        <f t="shared" si="0"/>
        <v>3</v>
      </c>
      <c r="Y31" s="312">
        <f>ROUND((Table6[[#This Row],[DAILY REW. MOD.]]*($D$24+$D$26+$D$28))/7,0)</f>
        <v>21429</v>
      </c>
      <c r="Z31" s="312">
        <f t="shared" si="1"/>
        <v>0.9</v>
      </c>
      <c r="AA31" s="317">
        <f>ROUND((INDEX(Table12[AVG COINS],MATCH(Table6[[#This Row],[LEAGUE]],Table12[LEAGUE],0))) /$C$35,0)</f>
        <v>13600</v>
      </c>
      <c r="AB31" s="317">
        <f>ROUND((INDEX(Table12[AVG GEMS],MATCH(Table6[[#This Row],[LEAGUE]],Table12[LEAGUE],0))) /$C$35,2)</f>
        <v>0</v>
      </c>
      <c r="AC31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31" s="318">
        <f>Table6[[#This Row],[CHEST REW. MOD. NEW]]*($D$14+$D$15+$D$16)</f>
        <v>54000</v>
      </c>
      <c r="AE31" s="318">
        <f t="shared" si="2"/>
        <v>3</v>
      </c>
      <c r="AF31" s="318">
        <f>ROUND((Table6[[#This Row],[DAILY REW. MOD. NEW]]*($D$24+$D$26+$D$28))/7,0)</f>
        <v>17143</v>
      </c>
      <c r="AG31" s="318">
        <f t="shared" si="3"/>
        <v>0.9</v>
      </c>
      <c r="AH31" s="318">
        <f>ROUND((INDEX(Table12[AVG COINS NEW],MATCH(Table6[[#This Row],[LEAGUE]],Table12[LEAGUE],0))) /$C$36,0)</f>
        <v>6163</v>
      </c>
      <c r="AI31" s="318">
        <f>ROUND((INDEX(Table12[AVG GEMS NEW],MATCH(Table6[[#This Row],[LEAGUE]],Table12[LEAGUE],0))) / $C$36,2)</f>
        <v>0.2</v>
      </c>
      <c r="AJ31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31" s="354">
        <v>1</v>
      </c>
      <c r="AL31" s="355">
        <v>1</v>
      </c>
    </row>
    <row r="33" spans="2:8" x14ac:dyDescent="0.25">
      <c r="H33" t="s">
        <v>413</v>
      </c>
    </row>
    <row r="34" spans="2:8" x14ac:dyDescent="0.25">
      <c r="B34" s="150" t="s">
        <v>440</v>
      </c>
    </row>
    <row r="35" spans="2:8" x14ac:dyDescent="0.25">
      <c r="B35" s="295" t="s">
        <v>417</v>
      </c>
      <c r="C35" s="283">
        <v>7</v>
      </c>
      <c r="D35" t="s">
        <v>434</v>
      </c>
    </row>
    <row r="36" spans="2:8" x14ac:dyDescent="0.25">
      <c r="B36" s="353" t="s">
        <v>485</v>
      </c>
      <c r="C36" s="283">
        <v>2</v>
      </c>
      <c r="D36" t="s">
        <v>434</v>
      </c>
    </row>
    <row r="38" spans="2:8" x14ac:dyDescent="0.25">
      <c r="B38" s="296" t="s">
        <v>435</v>
      </c>
      <c r="C38" s="297" t="s">
        <v>436</v>
      </c>
      <c r="D38" s="298" t="s">
        <v>437</v>
      </c>
      <c r="E38" s="333" t="s">
        <v>464</v>
      </c>
      <c r="F38" s="332" t="s">
        <v>465</v>
      </c>
    </row>
    <row r="39" spans="2:8" x14ac:dyDescent="0.25">
      <c r="B39" s="286">
        <v>1</v>
      </c>
      <c r="C39" s="311">
        <f>ROUND(SUM(F60:F64)/100,0)</f>
        <v>7600</v>
      </c>
      <c r="D39" s="312">
        <v>0</v>
      </c>
      <c r="E39" s="311">
        <f>ROUND(SUM(J60:J64)/100,0)</f>
        <v>753</v>
      </c>
      <c r="F39" s="309">
        <v>0</v>
      </c>
    </row>
    <row r="40" spans="2:8" x14ac:dyDescent="0.25">
      <c r="B40" s="287">
        <v>2</v>
      </c>
      <c r="C40" s="311">
        <f>ROUND(SUM(F65:F69)/100,0)</f>
        <v>15600</v>
      </c>
      <c r="D40" s="312">
        <v>0</v>
      </c>
      <c r="E40" s="311">
        <f>ROUND(SUM(J65:J69)/100,0)</f>
        <v>1260</v>
      </c>
      <c r="F40" s="309">
        <v>0</v>
      </c>
    </row>
    <row r="41" spans="2:8" x14ac:dyDescent="0.25">
      <c r="B41" s="288">
        <v>3</v>
      </c>
      <c r="C41" s="311">
        <f>ROUND(SUM(F70:F74)/100,0)</f>
        <v>23700</v>
      </c>
      <c r="D41" s="312">
        <v>0</v>
      </c>
      <c r="E41" s="311">
        <f>ROUND(SUM(J70:J73)/100,0)</f>
        <v>2985</v>
      </c>
      <c r="F41" s="309">
        <v>0</v>
      </c>
    </row>
    <row r="42" spans="2:8" x14ac:dyDescent="0.25">
      <c r="B42" s="287">
        <v>4</v>
      </c>
      <c r="C42" s="311">
        <f>ROUND(SUM(F75:F79)/100,0)</f>
        <v>34800</v>
      </c>
      <c r="D42" s="312">
        <v>0</v>
      </c>
      <c r="E42" s="311">
        <f>ROUND(SUM(J75:J78)/100,0)</f>
        <v>4470</v>
      </c>
      <c r="F42" s="309">
        <v>0</v>
      </c>
    </row>
    <row r="43" spans="2:8" x14ac:dyDescent="0.25">
      <c r="B43" s="288">
        <v>5</v>
      </c>
      <c r="C43" s="311">
        <f>ROUND(SUM(F80:F84)/100,0)</f>
        <v>43500</v>
      </c>
      <c r="D43" s="312">
        <v>0</v>
      </c>
      <c r="E43" s="311">
        <f>ROUND(SUM(J80:J83)/100,0)</f>
        <v>5955</v>
      </c>
      <c r="F43" s="309">
        <v>0</v>
      </c>
    </row>
    <row r="44" spans="2:8" x14ac:dyDescent="0.25">
      <c r="B44" s="287">
        <v>6</v>
      </c>
      <c r="C44" s="311">
        <f>ROUND(SUM(F85:F89)/100,0)</f>
        <v>50400</v>
      </c>
      <c r="D44" s="312">
        <v>0</v>
      </c>
      <c r="E44" s="311">
        <f>ROUND(SUM(J85:J88)/100,0)</f>
        <v>7440</v>
      </c>
      <c r="F44" s="309">
        <v>0</v>
      </c>
    </row>
    <row r="45" spans="2:8" x14ac:dyDescent="0.25">
      <c r="B45" s="288">
        <v>7</v>
      </c>
      <c r="C45" s="311">
        <f>ROUND(SUM(F90:F94)/100,0)</f>
        <v>58000</v>
      </c>
      <c r="D45" s="312">
        <v>0</v>
      </c>
      <c r="E45" s="311">
        <f>ROUND(SUM(J90:J93)/100,0)</f>
        <v>8925</v>
      </c>
      <c r="F45" s="309">
        <v>0</v>
      </c>
    </row>
    <row r="46" spans="2:8" x14ac:dyDescent="0.25">
      <c r="B46" s="287">
        <v>8</v>
      </c>
      <c r="C46" s="311">
        <f>ROUND(SUM(F95:F99)/100,0)</f>
        <v>68200</v>
      </c>
      <c r="D46" s="312">
        <f>ROUND(F98/100,2)</f>
        <v>0</v>
      </c>
      <c r="E46" s="311">
        <f>ROUND(SUM(J95:J97)/100,0)</f>
        <v>9950</v>
      </c>
      <c r="F46" s="312">
        <f>ROUND(J98/100,2)</f>
        <v>0.2</v>
      </c>
    </row>
    <row r="47" spans="2:8" x14ac:dyDescent="0.25">
      <c r="B47" s="288">
        <v>9</v>
      </c>
      <c r="C47" s="311">
        <f>ROUND(SUM(F100:F104)/100,0)</f>
        <v>77800</v>
      </c>
      <c r="D47" s="312">
        <f>ROUND(F103/100,2)</f>
        <v>0</v>
      </c>
      <c r="E47" s="311">
        <f>ROUND(SUM(J100:J102)/100,0)</f>
        <v>11375</v>
      </c>
      <c r="F47" s="312">
        <f>ROUND(J103/100,2)</f>
        <v>0.2</v>
      </c>
    </row>
    <row r="48" spans="2:8" x14ac:dyDescent="0.25">
      <c r="B48" s="289">
        <v>10</v>
      </c>
      <c r="C48" s="311">
        <f>ROUND(SUM(F105:F109)/100,0)</f>
        <v>95200</v>
      </c>
      <c r="D48" s="312">
        <f>ROUND(F108/100,2)</f>
        <v>0</v>
      </c>
      <c r="E48" s="311">
        <f>ROUND(SUM(J105:J107)/100,0)</f>
        <v>12325</v>
      </c>
      <c r="F48" s="312">
        <f>ROUND(J108/100,2)</f>
        <v>0.4</v>
      </c>
    </row>
    <row r="58" spans="2:10" x14ac:dyDescent="0.25">
      <c r="B58" s="375" t="s">
        <v>445</v>
      </c>
      <c r="C58" s="375"/>
      <c r="D58" s="375"/>
      <c r="E58" s="375"/>
      <c r="F58" s="375"/>
    </row>
    <row r="59" spans="2:10" x14ac:dyDescent="0.25">
      <c r="B59" s="299" t="s">
        <v>435</v>
      </c>
      <c r="C59" s="299" t="s">
        <v>420</v>
      </c>
      <c r="D59" s="299" t="s">
        <v>421</v>
      </c>
      <c r="E59" s="299" t="s">
        <v>438</v>
      </c>
      <c r="F59" s="300" t="s">
        <v>439</v>
      </c>
      <c r="G59" s="300" t="s">
        <v>484</v>
      </c>
      <c r="H59" s="299" t="s">
        <v>462</v>
      </c>
      <c r="I59" s="299" t="s">
        <v>466</v>
      </c>
      <c r="J59" s="299" t="s">
        <v>467</v>
      </c>
    </row>
    <row r="60" spans="2:10" x14ac:dyDescent="0.25">
      <c r="B60" s="306">
        <v>1</v>
      </c>
      <c r="C60" s="306" t="s">
        <v>425</v>
      </c>
      <c r="D60" s="306">
        <v>4000</v>
      </c>
      <c r="E60" s="306">
        <v>100</v>
      </c>
      <c r="F60" s="335">
        <f>Table13[[#This Row],[AMOUNT]]*(Table13[[#This Row],[TARGET]]-E61)</f>
        <v>40000</v>
      </c>
      <c r="G60" s="306" t="s">
        <v>425</v>
      </c>
      <c r="H60" s="336">
        <v>400</v>
      </c>
      <c r="I60" s="336">
        <v>100</v>
      </c>
      <c r="J60" s="335">
        <f>Table13[[#This Row],[AMOUNT NEW]]*(Table13[[#This Row],[TARGET NEW]]-I61)</f>
        <v>12000</v>
      </c>
    </row>
    <row r="61" spans="2:10" x14ac:dyDescent="0.25">
      <c r="B61" s="307">
        <v>1</v>
      </c>
      <c r="C61" s="307" t="s">
        <v>425</v>
      </c>
      <c r="D61" s="307">
        <v>8000</v>
      </c>
      <c r="E61" s="307">
        <v>90</v>
      </c>
      <c r="F61" s="335">
        <f>Table13[[#This Row],[AMOUNT]]*(Table13[[#This Row],[TARGET]]-E62)</f>
        <v>320000</v>
      </c>
      <c r="G61" s="307" t="s">
        <v>425</v>
      </c>
      <c r="H61" s="337">
        <v>800</v>
      </c>
      <c r="I61" s="337">
        <v>70</v>
      </c>
      <c r="J61" s="335">
        <f>Table13[[#This Row],[AMOUNT NEW]]*(Table13[[#This Row],[TARGET NEW]]-I62)</f>
        <v>32000</v>
      </c>
    </row>
    <row r="62" spans="2:10" x14ac:dyDescent="0.25">
      <c r="B62" s="307">
        <v>1</v>
      </c>
      <c r="C62" s="307" t="s">
        <v>425</v>
      </c>
      <c r="D62" s="307">
        <v>10000</v>
      </c>
      <c r="E62" s="307">
        <v>50</v>
      </c>
      <c r="F62" s="335">
        <f>Table13[[#This Row],[AMOUNT]]*(Table13[[#This Row],[TARGET]]-E63)</f>
        <v>400000</v>
      </c>
      <c r="G62" s="307" t="s">
        <v>425</v>
      </c>
      <c r="H62" s="337">
        <v>1000</v>
      </c>
      <c r="I62" s="337">
        <v>30</v>
      </c>
      <c r="J62" s="335">
        <f>Table13[[#This Row],[AMOUNT NEW]]*(Table13[[#This Row],[TARGET NEW]]-I63)</f>
        <v>25000</v>
      </c>
    </row>
    <row r="63" spans="2:10" x14ac:dyDescent="0.25">
      <c r="B63" s="307">
        <v>1</v>
      </c>
      <c r="C63" s="307" t="s">
        <v>483</v>
      </c>
      <c r="D63" s="307">
        <v>20</v>
      </c>
      <c r="E63" s="307">
        <v>10</v>
      </c>
      <c r="F63" s="335">
        <v>0</v>
      </c>
      <c r="G63" s="307" t="s">
        <v>425</v>
      </c>
      <c r="H63" s="337">
        <v>1200</v>
      </c>
      <c r="I63" s="337">
        <v>5</v>
      </c>
      <c r="J63" s="335">
        <f>Table13[[#This Row],[AMOUNT NEW]]*(Table13[[#This Row],[TARGET NEW]]-I64)</f>
        <v>4800</v>
      </c>
    </row>
    <row r="64" spans="2:10" x14ac:dyDescent="0.25">
      <c r="B64" s="307">
        <v>1</v>
      </c>
      <c r="C64" s="307" t="s">
        <v>483</v>
      </c>
      <c r="D64" s="307">
        <v>80</v>
      </c>
      <c r="E64" s="307">
        <v>1</v>
      </c>
      <c r="F64" s="335">
        <v>0</v>
      </c>
      <c r="G64" s="307" t="s">
        <v>425</v>
      </c>
      <c r="H64" s="337">
        <v>1500</v>
      </c>
      <c r="I64" s="337">
        <v>1</v>
      </c>
      <c r="J64" s="335">
        <f>Table13[[#This Row],[AMOUNT NEW]]</f>
        <v>1500</v>
      </c>
    </row>
    <row r="65" spans="2:10" x14ac:dyDescent="0.25">
      <c r="B65" s="307">
        <v>2</v>
      </c>
      <c r="C65" s="307" t="s">
        <v>425</v>
      </c>
      <c r="D65" s="307">
        <v>12000</v>
      </c>
      <c r="E65" s="307">
        <v>100</v>
      </c>
      <c r="F65" s="335">
        <f>Table13[[#This Row],[AMOUNT]]*(Table13[[#This Row],[TARGET]]-E66)</f>
        <v>120000</v>
      </c>
      <c r="G65" s="307" t="s">
        <v>425</v>
      </c>
      <c r="H65" s="337">
        <v>1000</v>
      </c>
      <c r="I65" s="337">
        <v>100</v>
      </c>
      <c r="J65" s="335">
        <f>Table13[[#This Row],[AMOUNT NEW]]*(Table13[[#This Row],[TARGET NEW]]-I66)</f>
        <v>30000</v>
      </c>
    </row>
    <row r="66" spans="2:10" x14ac:dyDescent="0.25">
      <c r="B66" s="307">
        <v>2</v>
      </c>
      <c r="C66" s="307" t="s">
        <v>425</v>
      </c>
      <c r="D66" s="307">
        <v>16000</v>
      </c>
      <c r="E66" s="307">
        <v>90</v>
      </c>
      <c r="F66" s="335">
        <f>Table13[[#This Row],[AMOUNT]]*(Table13[[#This Row],[TARGET]]-E67)</f>
        <v>640000</v>
      </c>
      <c r="G66" s="307" t="s">
        <v>425</v>
      </c>
      <c r="H66" s="337">
        <v>1200</v>
      </c>
      <c r="I66" s="337">
        <v>70</v>
      </c>
      <c r="J66" s="335">
        <f>Table13[[#This Row],[AMOUNT NEW]]*(Table13[[#This Row],[TARGET NEW]]-I67)</f>
        <v>48000</v>
      </c>
    </row>
    <row r="67" spans="2:10" x14ac:dyDescent="0.25">
      <c r="B67" s="307">
        <v>2</v>
      </c>
      <c r="C67" s="307" t="s">
        <v>425</v>
      </c>
      <c r="D67" s="307">
        <v>20000</v>
      </c>
      <c r="E67" s="307">
        <v>50</v>
      </c>
      <c r="F67" s="335">
        <f>Table13[[#This Row],[AMOUNT]]*(Table13[[#This Row],[TARGET]]-E68)</f>
        <v>800000</v>
      </c>
      <c r="G67" s="307" t="s">
        <v>425</v>
      </c>
      <c r="H67" s="337">
        <v>1500</v>
      </c>
      <c r="I67" s="337">
        <v>30</v>
      </c>
      <c r="J67" s="335">
        <f>Table13[[#This Row],[AMOUNT NEW]]*(Table13[[#This Row],[TARGET NEW]]-I68)</f>
        <v>37500</v>
      </c>
    </row>
    <row r="68" spans="2:10" x14ac:dyDescent="0.25">
      <c r="B68" s="307">
        <v>2</v>
      </c>
      <c r="C68" s="307" t="s">
        <v>483</v>
      </c>
      <c r="D68" s="307">
        <v>30</v>
      </c>
      <c r="E68" s="307">
        <v>10</v>
      </c>
      <c r="F68" s="335">
        <v>0</v>
      </c>
      <c r="G68" s="307" t="s">
        <v>425</v>
      </c>
      <c r="H68" s="337">
        <v>2000</v>
      </c>
      <c r="I68" s="337">
        <v>5</v>
      </c>
      <c r="J68" s="335">
        <f>Table13[[#This Row],[AMOUNT NEW]]*(Table13[[#This Row],[TARGET NEW]]-I69)</f>
        <v>8000</v>
      </c>
    </row>
    <row r="69" spans="2:10" x14ac:dyDescent="0.25">
      <c r="B69" s="307">
        <v>2</v>
      </c>
      <c r="C69" s="307" t="s">
        <v>483</v>
      </c>
      <c r="D69" s="307">
        <v>100</v>
      </c>
      <c r="E69" s="307">
        <v>1</v>
      </c>
      <c r="F69" s="335">
        <v>0</v>
      </c>
      <c r="G69" s="307" t="s">
        <v>425</v>
      </c>
      <c r="H69" s="337">
        <v>2500</v>
      </c>
      <c r="I69" s="337">
        <v>1</v>
      </c>
      <c r="J69" s="335">
        <f>Table13[[#This Row],[AMOUNT NEW]]</f>
        <v>2500</v>
      </c>
    </row>
    <row r="70" spans="2:10" x14ac:dyDescent="0.25">
      <c r="B70" s="307">
        <v>3</v>
      </c>
      <c r="C70" s="307" t="s">
        <v>425</v>
      </c>
      <c r="D70" s="307">
        <v>21000</v>
      </c>
      <c r="E70" s="307">
        <v>100</v>
      </c>
      <c r="F70" s="335">
        <f>Table13[[#This Row],[AMOUNT]]*(Table13[[#This Row],[TARGET]]-E71)</f>
        <v>210000</v>
      </c>
      <c r="G70" s="307" t="s">
        <v>425</v>
      </c>
      <c r="H70" s="337">
        <v>2500</v>
      </c>
      <c r="I70" s="337">
        <v>100</v>
      </c>
      <c r="J70" s="335">
        <f>Table13[[#This Row],[AMOUNT NEW]]*(Table13[[#This Row],[TARGET NEW]]-I71)</f>
        <v>75000</v>
      </c>
    </row>
    <row r="71" spans="2:10" x14ac:dyDescent="0.25">
      <c r="B71" s="307">
        <v>3</v>
      </c>
      <c r="C71" s="307" t="s">
        <v>425</v>
      </c>
      <c r="D71" s="307">
        <v>24000</v>
      </c>
      <c r="E71" s="307">
        <v>90</v>
      </c>
      <c r="F71" s="335">
        <f>Table13[[#This Row],[AMOUNT]]*(Table13[[#This Row],[TARGET]]-E72)</f>
        <v>960000</v>
      </c>
      <c r="G71" s="307" t="s">
        <v>425</v>
      </c>
      <c r="H71" s="337">
        <v>3000</v>
      </c>
      <c r="I71" s="337">
        <v>70</v>
      </c>
      <c r="J71" s="335">
        <f>Table13[[#This Row],[AMOUNT NEW]]*(Table13[[#This Row],[TARGET NEW]]-I72)</f>
        <v>120000</v>
      </c>
    </row>
    <row r="72" spans="2:10" x14ac:dyDescent="0.25">
      <c r="B72" s="307">
        <v>3</v>
      </c>
      <c r="C72" s="307" t="s">
        <v>425</v>
      </c>
      <c r="D72" s="307">
        <v>30000</v>
      </c>
      <c r="E72" s="307">
        <v>50</v>
      </c>
      <c r="F72" s="335">
        <f>Table13[[#This Row],[AMOUNT]]*(Table13[[#This Row],[TARGET]]-E73)</f>
        <v>1200000</v>
      </c>
      <c r="G72" s="307" t="s">
        <v>425</v>
      </c>
      <c r="H72" s="337">
        <v>3500</v>
      </c>
      <c r="I72" s="337">
        <v>30</v>
      </c>
      <c r="J72" s="335">
        <f>Table13[[#This Row],[AMOUNT NEW]]*(Table13[[#This Row],[TARGET NEW]]-I73)</f>
        <v>87500</v>
      </c>
    </row>
    <row r="73" spans="2:10" x14ac:dyDescent="0.25">
      <c r="B73" s="307">
        <v>3</v>
      </c>
      <c r="C73" s="307" t="s">
        <v>483</v>
      </c>
      <c r="D73" s="307">
        <v>50</v>
      </c>
      <c r="E73" s="307">
        <v>10</v>
      </c>
      <c r="F73" s="335">
        <v>0</v>
      </c>
      <c r="G73" s="307" t="s">
        <v>425</v>
      </c>
      <c r="H73" s="337">
        <v>4000</v>
      </c>
      <c r="I73" s="337">
        <v>5</v>
      </c>
      <c r="J73" s="335">
        <f>Table13[[#This Row],[AMOUNT NEW]]*(Table13[[#This Row],[TARGET NEW]]-I74)</f>
        <v>16000</v>
      </c>
    </row>
    <row r="74" spans="2:10" x14ac:dyDescent="0.25">
      <c r="B74" s="307">
        <v>3</v>
      </c>
      <c r="C74" s="307" t="s">
        <v>483</v>
      </c>
      <c r="D74" s="307">
        <v>110</v>
      </c>
      <c r="E74" s="307">
        <v>1</v>
      </c>
      <c r="F74" s="335">
        <v>0</v>
      </c>
      <c r="G74" s="307" t="s">
        <v>428</v>
      </c>
      <c r="H74" s="337" t="s">
        <v>229</v>
      </c>
      <c r="I74" s="337">
        <v>1</v>
      </c>
      <c r="J74" s="335"/>
    </row>
    <row r="75" spans="2:10" x14ac:dyDescent="0.25">
      <c r="B75" s="307">
        <v>4</v>
      </c>
      <c r="C75" s="307" t="s">
        <v>425</v>
      </c>
      <c r="D75" s="307">
        <v>32000</v>
      </c>
      <c r="E75" s="307">
        <v>100</v>
      </c>
      <c r="F75" s="335">
        <f>Table13[[#This Row],[AMOUNT]]*(Table13[[#This Row],[TARGET]]-E76)</f>
        <v>320000</v>
      </c>
      <c r="G75" s="307" t="s">
        <v>425</v>
      </c>
      <c r="H75" s="337">
        <v>4000</v>
      </c>
      <c r="I75" s="337">
        <v>100</v>
      </c>
      <c r="J75" s="335">
        <f>Table13[[#This Row],[AMOUNT NEW]]*(Table13[[#This Row],[TARGET NEW]]-I76)</f>
        <v>120000</v>
      </c>
    </row>
    <row r="76" spans="2:10" x14ac:dyDescent="0.25">
      <c r="B76" s="307">
        <v>4</v>
      </c>
      <c r="C76" s="307" t="s">
        <v>425</v>
      </c>
      <c r="D76" s="307">
        <v>37000</v>
      </c>
      <c r="E76" s="307">
        <v>90</v>
      </c>
      <c r="F76" s="335">
        <f>Table13[[#This Row],[AMOUNT]]*(Table13[[#This Row],[TARGET]]-E77)</f>
        <v>1480000</v>
      </c>
      <c r="G76" s="307" t="s">
        <v>425</v>
      </c>
      <c r="H76" s="337">
        <v>4500</v>
      </c>
      <c r="I76" s="337">
        <v>70</v>
      </c>
      <c r="J76" s="335">
        <f>Table13[[#This Row],[AMOUNT NEW]]*(Table13[[#This Row],[TARGET NEW]]-I77)</f>
        <v>180000</v>
      </c>
    </row>
    <row r="77" spans="2:10" x14ac:dyDescent="0.25">
      <c r="B77" s="307">
        <v>4</v>
      </c>
      <c r="C77" s="307" t="s">
        <v>425</v>
      </c>
      <c r="D77" s="307">
        <v>42000</v>
      </c>
      <c r="E77" s="307">
        <v>50</v>
      </c>
      <c r="F77" s="335">
        <f>Table13[[#This Row],[AMOUNT]]*(Table13[[#This Row],[TARGET]]-E78)</f>
        <v>1680000</v>
      </c>
      <c r="G77" s="307" t="s">
        <v>425</v>
      </c>
      <c r="H77" s="337">
        <v>5000</v>
      </c>
      <c r="I77" s="337">
        <v>30</v>
      </c>
      <c r="J77" s="335">
        <f>Table13[[#This Row],[AMOUNT NEW]]*(Table13[[#This Row],[TARGET NEW]]-I78)</f>
        <v>125000</v>
      </c>
    </row>
    <row r="78" spans="2:10" x14ac:dyDescent="0.25">
      <c r="B78" s="307">
        <v>4</v>
      </c>
      <c r="C78" s="307" t="s">
        <v>483</v>
      </c>
      <c r="D78" s="307">
        <v>60</v>
      </c>
      <c r="E78" s="307">
        <v>10</v>
      </c>
      <c r="F78" s="335">
        <v>0</v>
      </c>
      <c r="G78" s="307" t="s">
        <v>425</v>
      </c>
      <c r="H78" s="337">
        <v>5500</v>
      </c>
      <c r="I78" s="337">
        <v>5</v>
      </c>
      <c r="J78" s="335">
        <f>Table13[[#This Row],[AMOUNT NEW]]*(Table13[[#This Row],[TARGET NEW]]-I79)</f>
        <v>22000</v>
      </c>
    </row>
    <row r="79" spans="2:10" x14ac:dyDescent="0.25">
      <c r="B79" s="307">
        <v>4</v>
      </c>
      <c r="C79" s="307" t="s">
        <v>483</v>
      </c>
      <c r="D79" s="307">
        <v>120</v>
      </c>
      <c r="E79" s="307">
        <v>1</v>
      </c>
      <c r="F79" s="335">
        <v>0</v>
      </c>
      <c r="G79" s="307" t="s">
        <v>428</v>
      </c>
      <c r="H79" s="337" t="s">
        <v>229</v>
      </c>
      <c r="I79" s="337">
        <v>1</v>
      </c>
      <c r="J79" s="335"/>
    </row>
    <row r="80" spans="2:10" x14ac:dyDescent="0.25">
      <c r="B80" s="307">
        <v>5</v>
      </c>
      <c r="C80" s="307" t="s">
        <v>425</v>
      </c>
      <c r="D80" s="307">
        <v>43000</v>
      </c>
      <c r="E80" s="307">
        <v>100</v>
      </c>
      <c r="F80" s="335">
        <f>Table13[[#This Row],[AMOUNT]]*(Table13[[#This Row],[TARGET]]-E81)</f>
        <v>430000</v>
      </c>
      <c r="G80" s="307" t="s">
        <v>425</v>
      </c>
      <c r="H80" s="337">
        <v>5500</v>
      </c>
      <c r="I80" s="337">
        <v>100</v>
      </c>
      <c r="J80" s="335">
        <f>Table13[[#This Row],[AMOUNT NEW]]*(Table13[[#This Row],[TARGET NEW]]-I81)</f>
        <v>165000</v>
      </c>
    </row>
    <row r="81" spans="2:10" x14ac:dyDescent="0.25">
      <c r="B81" s="307">
        <v>5</v>
      </c>
      <c r="C81" s="307" t="s">
        <v>425</v>
      </c>
      <c r="D81" s="307">
        <v>48000</v>
      </c>
      <c r="E81" s="307">
        <v>90</v>
      </c>
      <c r="F81" s="335">
        <f>Table13[[#This Row],[AMOUNT]]*(Table13[[#This Row],[TARGET]]-E82)</f>
        <v>1920000</v>
      </c>
      <c r="G81" s="307" t="s">
        <v>425</v>
      </c>
      <c r="H81" s="337">
        <v>6000</v>
      </c>
      <c r="I81" s="337">
        <v>70</v>
      </c>
      <c r="J81" s="335">
        <f>Table13[[#This Row],[AMOUNT NEW]]*(Table13[[#This Row],[TARGET NEW]]-I82)</f>
        <v>240000</v>
      </c>
    </row>
    <row r="82" spans="2:10" x14ac:dyDescent="0.25">
      <c r="B82" s="307">
        <v>5</v>
      </c>
      <c r="C82" s="307" t="s">
        <v>425</v>
      </c>
      <c r="D82" s="307">
        <v>50000</v>
      </c>
      <c r="E82" s="307">
        <v>50</v>
      </c>
      <c r="F82" s="335">
        <f>Table13[[#This Row],[AMOUNT]]*(Table13[[#This Row],[TARGET]]-E83)</f>
        <v>2000000</v>
      </c>
      <c r="G82" s="307" t="s">
        <v>425</v>
      </c>
      <c r="H82" s="337">
        <v>6500</v>
      </c>
      <c r="I82" s="337">
        <v>30</v>
      </c>
      <c r="J82" s="335">
        <f>Table13[[#This Row],[AMOUNT NEW]]*(Table13[[#This Row],[TARGET NEW]]-I83)</f>
        <v>162500</v>
      </c>
    </row>
    <row r="83" spans="2:10" x14ac:dyDescent="0.25">
      <c r="B83" s="307">
        <v>5</v>
      </c>
      <c r="C83" s="307" t="s">
        <v>483</v>
      </c>
      <c r="D83" s="307">
        <v>70</v>
      </c>
      <c r="E83" s="307">
        <v>10</v>
      </c>
      <c r="F83" s="335">
        <v>0</v>
      </c>
      <c r="G83" s="307" t="s">
        <v>425</v>
      </c>
      <c r="H83" s="337">
        <v>7000</v>
      </c>
      <c r="I83" s="337">
        <v>5</v>
      </c>
      <c r="J83" s="335">
        <f>Table13[[#This Row],[AMOUNT NEW]]*(Table13[[#This Row],[TARGET NEW]]-I84)</f>
        <v>28000</v>
      </c>
    </row>
    <row r="84" spans="2:10" x14ac:dyDescent="0.25">
      <c r="B84" s="307">
        <v>5</v>
      </c>
      <c r="C84" s="307" t="s">
        <v>483</v>
      </c>
      <c r="D84" s="307">
        <v>130</v>
      </c>
      <c r="E84" s="307">
        <v>1</v>
      </c>
      <c r="F84" s="335">
        <v>0</v>
      </c>
      <c r="G84" s="307" t="s">
        <v>428</v>
      </c>
      <c r="H84" s="337" t="s">
        <v>229</v>
      </c>
      <c r="I84" s="337">
        <v>1</v>
      </c>
      <c r="J84" s="335"/>
    </row>
    <row r="85" spans="2:10" x14ac:dyDescent="0.25">
      <c r="B85" s="307">
        <v>6</v>
      </c>
      <c r="C85" s="307" t="s">
        <v>425</v>
      </c>
      <c r="D85" s="307">
        <v>52000</v>
      </c>
      <c r="E85" s="307">
        <v>100</v>
      </c>
      <c r="F85" s="335">
        <f>Table13[[#This Row],[AMOUNT]]*(Table13[[#This Row],[TARGET]]-E86)</f>
        <v>520000</v>
      </c>
      <c r="G85" s="307" t="s">
        <v>425</v>
      </c>
      <c r="H85" s="337">
        <v>7000</v>
      </c>
      <c r="I85" s="337">
        <v>100</v>
      </c>
      <c r="J85" s="335">
        <f>Table13[[#This Row],[AMOUNT NEW]]*(Table13[[#This Row],[TARGET NEW]]-I86)</f>
        <v>210000</v>
      </c>
    </row>
    <row r="86" spans="2:10" x14ac:dyDescent="0.25">
      <c r="B86" s="307">
        <v>6</v>
      </c>
      <c r="C86" s="307" t="s">
        <v>425</v>
      </c>
      <c r="D86" s="307">
        <v>55000</v>
      </c>
      <c r="E86" s="307">
        <v>90</v>
      </c>
      <c r="F86" s="335">
        <f>Table13[[#This Row],[AMOUNT]]*(Table13[[#This Row],[TARGET]]-E87)</f>
        <v>2200000</v>
      </c>
      <c r="G86" s="307" t="s">
        <v>425</v>
      </c>
      <c r="H86" s="337">
        <v>7500</v>
      </c>
      <c r="I86" s="337">
        <v>70</v>
      </c>
      <c r="J86" s="335">
        <f>Table13[[#This Row],[AMOUNT NEW]]*(Table13[[#This Row],[TARGET NEW]]-I87)</f>
        <v>300000</v>
      </c>
    </row>
    <row r="87" spans="2:10" x14ac:dyDescent="0.25">
      <c r="B87" s="307">
        <v>6</v>
      </c>
      <c r="C87" s="307" t="s">
        <v>425</v>
      </c>
      <c r="D87" s="307">
        <v>58000</v>
      </c>
      <c r="E87" s="307">
        <v>50</v>
      </c>
      <c r="F87" s="335">
        <f>Table13[[#This Row],[AMOUNT]]*(Table13[[#This Row],[TARGET]]-E88)</f>
        <v>2320000</v>
      </c>
      <c r="G87" s="307" t="s">
        <v>425</v>
      </c>
      <c r="H87" s="337">
        <v>8000</v>
      </c>
      <c r="I87" s="337">
        <v>30</v>
      </c>
      <c r="J87" s="335">
        <f>Table13[[#This Row],[AMOUNT NEW]]*(Table13[[#This Row],[TARGET NEW]]-I88)</f>
        <v>200000</v>
      </c>
    </row>
    <row r="88" spans="2:10" x14ac:dyDescent="0.25">
      <c r="B88" s="307">
        <v>6</v>
      </c>
      <c r="C88" s="307" t="s">
        <v>483</v>
      </c>
      <c r="D88" s="307">
        <v>80</v>
      </c>
      <c r="E88" s="307">
        <v>10</v>
      </c>
      <c r="F88" s="335">
        <v>0</v>
      </c>
      <c r="G88" s="307" t="s">
        <v>425</v>
      </c>
      <c r="H88" s="337">
        <v>8500</v>
      </c>
      <c r="I88" s="337">
        <v>5</v>
      </c>
      <c r="J88" s="335">
        <f>Table13[[#This Row],[AMOUNT NEW]]*(Table13[[#This Row],[TARGET NEW]]-I89)</f>
        <v>34000</v>
      </c>
    </row>
    <row r="89" spans="2:10" x14ac:dyDescent="0.25">
      <c r="B89" s="307">
        <v>6</v>
      </c>
      <c r="C89" s="307" t="s">
        <v>483</v>
      </c>
      <c r="D89" s="307">
        <v>140</v>
      </c>
      <c r="E89" s="307">
        <v>1</v>
      </c>
      <c r="F89" s="335">
        <v>0</v>
      </c>
      <c r="G89" s="307" t="s">
        <v>428</v>
      </c>
      <c r="H89" s="337" t="s">
        <v>229</v>
      </c>
      <c r="I89" s="337">
        <v>1</v>
      </c>
      <c r="J89" s="335"/>
    </row>
    <row r="90" spans="2:10" x14ac:dyDescent="0.25">
      <c r="B90" s="307">
        <v>7</v>
      </c>
      <c r="C90" s="307" t="s">
        <v>425</v>
      </c>
      <c r="D90" s="307">
        <v>60000</v>
      </c>
      <c r="E90" s="307">
        <v>100</v>
      </c>
      <c r="F90" s="335">
        <f>Table13[[#This Row],[AMOUNT]]*(Table13[[#This Row],[TARGET]]-E91)</f>
        <v>600000</v>
      </c>
      <c r="G90" s="307" t="s">
        <v>425</v>
      </c>
      <c r="H90" s="337">
        <v>8500</v>
      </c>
      <c r="I90" s="337">
        <v>100</v>
      </c>
      <c r="J90" s="335">
        <f>Table13[[#This Row],[AMOUNT NEW]]*(Table13[[#This Row],[TARGET NEW]]-I91)</f>
        <v>255000</v>
      </c>
    </row>
    <row r="91" spans="2:10" x14ac:dyDescent="0.25">
      <c r="B91" s="307">
        <v>7</v>
      </c>
      <c r="C91" s="307" t="s">
        <v>425</v>
      </c>
      <c r="D91" s="307">
        <v>63000</v>
      </c>
      <c r="E91" s="307">
        <v>90</v>
      </c>
      <c r="F91" s="335">
        <f>Table13[[#This Row],[AMOUNT]]*(Table13[[#This Row],[TARGET]]-E92)</f>
        <v>2520000</v>
      </c>
      <c r="G91" s="307" t="s">
        <v>425</v>
      </c>
      <c r="H91" s="337">
        <v>9000</v>
      </c>
      <c r="I91" s="337">
        <v>70</v>
      </c>
      <c r="J91" s="335">
        <f>Table13[[#This Row],[AMOUNT NEW]]*(Table13[[#This Row],[TARGET NEW]]-I92)</f>
        <v>360000</v>
      </c>
    </row>
    <row r="92" spans="2:10" x14ac:dyDescent="0.25">
      <c r="B92" s="307">
        <v>7</v>
      </c>
      <c r="C92" s="307" t="s">
        <v>425</v>
      </c>
      <c r="D92" s="307">
        <v>67000</v>
      </c>
      <c r="E92" s="307">
        <v>50</v>
      </c>
      <c r="F92" s="335">
        <f>Table13[[#This Row],[AMOUNT]]*(Table13[[#This Row],[TARGET]]-E93)</f>
        <v>2680000</v>
      </c>
      <c r="G92" s="307" t="s">
        <v>425</v>
      </c>
      <c r="H92" s="337">
        <v>9500</v>
      </c>
      <c r="I92" s="337">
        <v>30</v>
      </c>
      <c r="J92" s="335">
        <f>Table13[[#This Row],[AMOUNT NEW]]*(Table13[[#This Row],[TARGET NEW]]-I93)</f>
        <v>237500</v>
      </c>
    </row>
    <row r="93" spans="2:10" x14ac:dyDescent="0.25">
      <c r="B93" s="307">
        <v>7</v>
      </c>
      <c r="C93" s="307" t="s">
        <v>483</v>
      </c>
      <c r="D93" s="307">
        <v>90</v>
      </c>
      <c r="E93" s="307">
        <v>10</v>
      </c>
      <c r="F93" s="335">
        <v>0</v>
      </c>
      <c r="G93" s="307" t="s">
        <v>425</v>
      </c>
      <c r="H93" s="337">
        <v>10000</v>
      </c>
      <c r="I93" s="337">
        <v>5</v>
      </c>
      <c r="J93" s="335">
        <f>Table13[[#This Row],[AMOUNT NEW]]*(Table13[[#This Row],[TARGET NEW]]-I94)</f>
        <v>40000</v>
      </c>
    </row>
    <row r="94" spans="2:10" x14ac:dyDescent="0.25">
      <c r="B94" s="307">
        <v>7</v>
      </c>
      <c r="C94" s="307" t="s">
        <v>483</v>
      </c>
      <c r="D94" s="307">
        <v>150</v>
      </c>
      <c r="E94" s="307">
        <v>1</v>
      </c>
      <c r="F94" s="335">
        <v>0</v>
      </c>
      <c r="G94" s="307" t="s">
        <v>428</v>
      </c>
      <c r="H94" s="337" t="s">
        <v>229</v>
      </c>
      <c r="I94" s="337">
        <v>1</v>
      </c>
      <c r="J94" s="335"/>
    </row>
    <row r="95" spans="2:10" x14ac:dyDescent="0.25">
      <c r="B95" s="307">
        <v>8</v>
      </c>
      <c r="C95" s="307" t="s">
        <v>425</v>
      </c>
      <c r="D95" s="307">
        <v>70000</v>
      </c>
      <c r="E95" s="307">
        <v>100</v>
      </c>
      <c r="F95" s="335">
        <f>Table13[[#This Row],[AMOUNT]]*(Table13[[#This Row],[TARGET]]-E96)</f>
        <v>700000</v>
      </c>
      <c r="G95" s="307" t="s">
        <v>425</v>
      </c>
      <c r="H95" s="337">
        <v>10000</v>
      </c>
      <c r="I95" s="337">
        <v>100</v>
      </c>
      <c r="J95" s="335">
        <f>Table13[[#This Row],[AMOUNT NEW]]*(Table13[[#This Row],[TARGET NEW]]-I96)</f>
        <v>300000</v>
      </c>
    </row>
    <row r="96" spans="2:10" x14ac:dyDescent="0.25">
      <c r="B96" s="307">
        <v>8</v>
      </c>
      <c r="C96" s="307" t="s">
        <v>425</v>
      </c>
      <c r="D96" s="307">
        <v>73000</v>
      </c>
      <c r="E96" s="307">
        <v>90</v>
      </c>
      <c r="F96" s="335">
        <f>Table13[[#This Row],[AMOUNT]]*(Table13[[#This Row],[TARGET]]-E97)</f>
        <v>2920000</v>
      </c>
      <c r="G96" s="307" t="s">
        <v>425</v>
      </c>
      <c r="H96" s="337">
        <v>10500</v>
      </c>
      <c r="I96" s="337">
        <v>70</v>
      </c>
      <c r="J96" s="335">
        <f>Table13[[#This Row],[AMOUNT NEW]]*(Table13[[#This Row],[TARGET NEW]]-I97)</f>
        <v>420000</v>
      </c>
    </row>
    <row r="97" spans="2:10" x14ac:dyDescent="0.25">
      <c r="B97" s="307">
        <v>8</v>
      </c>
      <c r="C97" s="307" t="s">
        <v>425</v>
      </c>
      <c r="D97" s="307">
        <v>80000</v>
      </c>
      <c r="E97" s="307">
        <v>50</v>
      </c>
      <c r="F97" s="335">
        <f>Table13[[#This Row],[AMOUNT]]*(Table13[[#This Row],[TARGET]]-E98)</f>
        <v>3200000</v>
      </c>
      <c r="G97" s="307" t="s">
        <v>425</v>
      </c>
      <c r="H97" s="337">
        <v>11000</v>
      </c>
      <c r="I97" s="337">
        <v>30</v>
      </c>
      <c r="J97" s="335">
        <f>Table13[[#This Row],[AMOUNT NEW]]*(Table13[[#This Row],[TARGET NEW]]-I98)</f>
        <v>275000</v>
      </c>
    </row>
    <row r="98" spans="2:10" x14ac:dyDescent="0.25">
      <c r="B98" s="307">
        <v>8</v>
      </c>
      <c r="C98" s="307" t="s">
        <v>483</v>
      </c>
      <c r="D98" s="307">
        <v>100</v>
      </c>
      <c r="E98" s="307">
        <v>10</v>
      </c>
      <c r="F98" s="335">
        <v>0</v>
      </c>
      <c r="G98" s="307" t="s">
        <v>419</v>
      </c>
      <c r="H98" s="337">
        <v>5</v>
      </c>
      <c r="I98" s="337">
        <v>5</v>
      </c>
      <c r="J98" s="335">
        <f>Table13[[#This Row],[AMOUNT NEW]]*(Table13[[#This Row],[TARGET NEW]]-I99)</f>
        <v>20</v>
      </c>
    </row>
    <row r="99" spans="2:10" x14ac:dyDescent="0.25">
      <c r="B99" s="307">
        <v>8</v>
      </c>
      <c r="C99" s="307" t="s">
        <v>483</v>
      </c>
      <c r="D99" s="307">
        <v>160</v>
      </c>
      <c r="E99" s="307">
        <v>1</v>
      </c>
      <c r="F99" s="335">
        <v>0</v>
      </c>
      <c r="G99" s="307" t="s">
        <v>428</v>
      </c>
      <c r="H99" s="337" t="s">
        <v>229</v>
      </c>
      <c r="I99" s="337">
        <v>1</v>
      </c>
      <c r="J99" s="335"/>
    </row>
    <row r="100" spans="2:10" x14ac:dyDescent="0.25">
      <c r="B100" s="307">
        <v>9</v>
      </c>
      <c r="C100" s="307" t="s">
        <v>425</v>
      </c>
      <c r="D100" s="307">
        <v>82000</v>
      </c>
      <c r="E100" s="307">
        <v>100</v>
      </c>
      <c r="F100" s="335">
        <f>Table13[[#This Row],[AMOUNT]]*(Table13[[#This Row],[TARGET]]-E101)</f>
        <v>820000</v>
      </c>
      <c r="G100" s="307" t="s">
        <v>425</v>
      </c>
      <c r="H100" s="337">
        <v>11500</v>
      </c>
      <c r="I100" s="337">
        <v>100</v>
      </c>
      <c r="J100" s="335">
        <f>Table13[[#This Row],[AMOUNT NEW]]*(Table13[[#This Row],[TARGET NEW]]-I101)</f>
        <v>345000</v>
      </c>
    </row>
    <row r="101" spans="2:10" x14ac:dyDescent="0.25">
      <c r="B101" s="307">
        <v>9</v>
      </c>
      <c r="C101" s="307" t="s">
        <v>425</v>
      </c>
      <c r="D101" s="307">
        <v>85000</v>
      </c>
      <c r="E101" s="307">
        <v>90</v>
      </c>
      <c r="F101" s="335">
        <f>Table13[[#This Row],[AMOUNT]]*(Table13[[#This Row],[TARGET]]-E102)</f>
        <v>3400000</v>
      </c>
      <c r="G101" s="307" t="s">
        <v>425</v>
      </c>
      <c r="H101" s="337">
        <v>12000</v>
      </c>
      <c r="I101" s="337">
        <v>70</v>
      </c>
      <c r="J101" s="335">
        <f>Table13[[#This Row],[AMOUNT NEW]]*(Table13[[#This Row],[TARGET NEW]]-I102)</f>
        <v>480000</v>
      </c>
    </row>
    <row r="102" spans="2:10" x14ac:dyDescent="0.25">
      <c r="B102" s="307">
        <v>9</v>
      </c>
      <c r="C102" s="307" t="s">
        <v>425</v>
      </c>
      <c r="D102" s="307">
        <v>89000</v>
      </c>
      <c r="E102" s="307">
        <v>50</v>
      </c>
      <c r="F102" s="335">
        <f>Table13[[#This Row],[AMOUNT]]*(Table13[[#This Row],[TARGET]]-E103)</f>
        <v>3560000</v>
      </c>
      <c r="G102" s="307" t="s">
        <v>425</v>
      </c>
      <c r="H102" s="337">
        <v>12500</v>
      </c>
      <c r="I102" s="337">
        <v>30</v>
      </c>
      <c r="J102" s="335">
        <f>Table13[[#This Row],[AMOUNT NEW]]*(Table13[[#This Row],[TARGET NEW]]-I103)</f>
        <v>312500</v>
      </c>
    </row>
    <row r="103" spans="2:10" x14ac:dyDescent="0.25">
      <c r="B103" s="307">
        <v>9</v>
      </c>
      <c r="C103" s="307" t="s">
        <v>483</v>
      </c>
      <c r="D103" s="307">
        <v>110</v>
      </c>
      <c r="E103" s="307">
        <v>10</v>
      </c>
      <c r="F103" s="335">
        <v>0</v>
      </c>
      <c r="G103" s="307" t="s">
        <v>419</v>
      </c>
      <c r="H103" s="337">
        <v>5</v>
      </c>
      <c r="I103" s="337">
        <v>5</v>
      </c>
      <c r="J103" s="335">
        <f>Table13[[#This Row],[AMOUNT NEW]]*(Table13[[#This Row],[TARGET NEW]]-I104)</f>
        <v>20</v>
      </c>
    </row>
    <row r="104" spans="2:10" x14ac:dyDescent="0.25">
      <c r="B104" s="307">
        <v>9</v>
      </c>
      <c r="C104" s="307" t="s">
        <v>483</v>
      </c>
      <c r="D104" s="307">
        <v>170</v>
      </c>
      <c r="E104" s="307">
        <v>1</v>
      </c>
      <c r="F104" s="335">
        <v>0</v>
      </c>
      <c r="G104" s="307" t="s">
        <v>428</v>
      </c>
      <c r="H104" s="337" t="s">
        <v>229</v>
      </c>
      <c r="I104" s="337">
        <v>1</v>
      </c>
      <c r="J104" s="335"/>
    </row>
    <row r="105" spans="2:10" x14ac:dyDescent="0.25">
      <c r="B105" s="307">
        <v>10</v>
      </c>
      <c r="C105" s="307" t="s">
        <v>425</v>
      </c>
      <c r="D105" s="307">
        <v>92000</v>
      </c>
      <c r="E105" s="307">
        <v>100</v>
      </c>
      <c r="F105" s="335">
        <f>Table13[[#This Row],[AMOUNT]]*(Table13[[#This Row],[TARGET]]-E106)</f>
        <v>920000</v>
      </c>
      <c r="G105" s="307" t="s">
        <v>425</v>
      </c>
      <c r="H105" s="337">
        <v>12500</v>
      </c>
      <c r="I105" s="337">
        <v>100</v>
      </c>
      <c r="J105" s="335">
        <f>Table13[[#This Row],[AMOUNT NEW]]*(Table13[[#This Row],[TARGET NEW]]-I106)</f>
        <v>375000</v>
      </c>
    </row>
    <row r="106" spans="2:10" x14ac:dyDescent="0.25">
      <c r="B106" s="307">
        <v>10</v>
      </c>
      <c r="C106" s="307" t="s">
        <v>425</v>
      </c>
      <c r="D106" s="307">
        <v>95000</v>
      </c>
      <c r="E106" s="307">
        <v>90</v>
      </c>
      <c r="F106" s="335">
        <f>Table13[[#This Row],[AMOUNT]]*(Table13[[#This Row],[TARGET]]-E107)</f>
        <v>3800000</v>
      </c>
      <c r="G106" s="307" t="s">
        <v>425</v>
      </c>
      <c r="H106" s="337">
        <v>13000</v>
      </c>
      <c r="I106" s="337">
        <v>70</v>
      </c>
      <c r="J106" s="335">
        <f>Table13[[#This Row],[AMOUNT NEW]]*(Table13[[#This Row],[TARGET NEW]]-I107)</f>
        <v>520000</v>
      </c>
    </row>
    <row r="107" spans="2:10" x14ac:dyDescent="0.25">
      <c r="B107" s="307">
        <v>10</v>
      </c>
      <c r="C107" s="307" t="s">
        <v>425</v>
      </c>
      <c r="D107" s="307">
        <v>120000</v>
      </c>
      <c r="E107" s="307">
        <v>50</v>
      </c>
      <c r="F107" s="335">
        <f>Table13[[#This Row],[AMOUNT]]*(Table13[[#This Row],[TARGET]]-E108)</f>
        <v>4800000</v>
      </c>
      <c r="G107" s="307" t="s">
        <v>425</v>
      </c>
      <c r="H107" s="337">
        <v>13500</v>
      </c>
      <c r="I107" s="337">
        <v>30</v>
      </c>
      <c r="J107" s="335">
        <f>Table13[[#This Row],[AMOUNT NEW]]*(Table13[[#This Row],[TARGET NEW]]-I108)</f>
        <v>337500</v>
      </c>
    </row>
    <row r="108" spans="2:10" x14ac:dyDescent="0.25">
      <c r="B108" s="307">
        <v>10</v>
      </c>
      <c r="C108" s="307" t="s">
        <v>483</v>
      </c>
      <c r="D108" s="307">
        <v>120</v>
      </c>
      <c r="E108" s="307">
        <v>10</v>
      </c>
      <c r="F108" s="335">
        <v>0</v>
      </c>
      <c r="G108" s="307" t="s">
        <v>419</v>
      </c>
      <c r="H108" s="337">
        <v>10</v>
      </c>
      <c r="I108" s="337">
        <v>5</v>
      </c>
      <c r="J108" s="335">
        <f>Table13[[#This Row],[AMOUNT NEW]]*(Table13[[#This Row],[TARGET NEW]]-I109)</f>
        <v>40</v>
      </c>
    </row>
    <row r="109" spans="2:10" x14ac:dyDescent="0.25">
      <c r="B109" s="308">
        <v>10</v>
      </c>
      <c r="C109" s="308" t="s">
        <v>483</v>
      </c>
      <c r="D109" s="308">
        <v>180</v>
      </c>
      <c r="E109" s="308">
        <v>1</v>
      </c>
      <c r="F109" s="335">
        <v>0</v>
      </c>
      <c r="G109" s="308" t="s">
        <v>428</v>
      </c>
      <c r="H109" s="320" t="s">
        <v>230</v>
      </c>
      <c r="I109" s="320">
        <v>1</v>
      </c>
      <c r="J109" s="335"/>
    </row>
    <row r="112" spans="2:10" x14ac:dyDescent="0.25">
      <c r="B112" s="294" t="s">
        <v>471</v>
      </c>
      <c r="C112" s="294" t="s">
        <v>470</v>
      </c>
      <c r="D112" s="294" t="s">
        <v>469</v>
      </c>
      <c r="E112" s="294" t="s">
        <v>468</v>
      </c>
    </row>
    <row r="113" spans="2:5" x14ac:dyDescent="0.25">
      <c r="B113" s="1" t="s">
        <v>67</v>
      </c>
      <c r="C113" s="1">
        <v>1</v>
      </c>
      <c r="D113" s="302">
        <v>200</v>
      </c>
      <c r="E113" s="103">
        <v>200</v>
      </c>
    </row>
    <row r="114" spans="2:5" x14ac:dyDescent="0.25">
      <c r="B114" s="1" t="s">
        <v>68</v>
      </c>
      <c r="C114" s="1">
        <v>2</v>
      </c>
      <c r="D114" s="302">
        <v>300</v>
      </c>
      <c r="E114" s="103">
        <v>300</v>
      </c>
    </row>
    <row r="115" spans="2:5" x14ac:dyDescent="0.25">
      <c r="B115" s="1" t="s">
        <v>69</v>
      </c>
      <c r="C115" s="1">
        <v>3</v>
      </c>
      <c r="D115" s="302">
        <v>600</v>
      </c>
      <c r="E115" s="103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disablePrompts="1"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T133"/>
  <sheetViews>
    <sheetView workbookViewId="0">
      <selection activeCell="J56" sqref="J5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9.5" thickBot="1" x14ac:dyDescent="0.35">
      <c r="A1" s="30" t="s">
        <v>180</v>
      </c>
      <c r="B1" s="36"/>
      <c r="C1" s="36"/>
      <c r="K1" s="195" t="s">
        <v>266</v>
      </c>
    </row>
    <row r="2" spans="1:20" ht="15.75" thickBot="1" x14ac:dyDescent="0.3">
      <c r="E2" s="180" t="s">
        <v>265</v>
      </c>
      <c r="F2" s="174" t="s">
        <v>182</v>
      </c>
      <c r="G2" s="174" t="s">
        <v>52</v>
      </c>
      <c r="H2" s="174" t="s">
        <v>53</v>
      </c>
      <c r="I2" s="153" t="s">
        <v>264</v>
      </c>
      <c r="K2" s="196" t="s">
        <v>327</v>
      </c>
    </row>
    <row r="3" spans="1:20" x14ac:dyDescent="0.25">
      <c r="A3" s="154" t="s">
        <v>52</v>
      </c>
      <c r="B3" s="155">
        <v>10</v>
      </c>
      <c r="C3" s="156" t="s">
        <v>54</v>
      </c>
      <c r="E3" s="181" t="s">
        <v>229</v>
      </c>
      <c r="F3" s="170">
        <f>Table11[price HC]*I3</f>
        <v>10</v>
      </c>
      <c r="G3" s="175">
        <f>ROUND(F3/$B$3,2)</f>
        <v>1</v>
      </c>
      <c r="H3" s="175">
        <f>ROUND(F3/$B$4,2)</f>
        <v>0.67</v>
      </c>
      <c r="I3" s="192">
        <v>1</v>
      </c>
    </row>
    <row r="4" spans="1:20" ht="15.75" thickBot="1" x14ac:dyDescent="0.3">
      <c r="A4" s="157" t="s">
        <v>53</v>
      </c>
      <c r="B4" s="158">
        <f>ROUND(B13/A13,0)</f>
        <v>15</v>
      </c>
      <c r="C4" s="159" t="s">
        <v>54</v>
      </c>
      <c r="D4" s="150"/>
      <c r="E4" s="182" t="s">
        <v>230</v>
      </c>
      <c r="F4" s="179">
        <f>Table11[price HC]*I4</f>
        <v>20</v>
      </c>
      <c r="G4" s="176">
        <f>ROUND(F4/$B$3,2)</f>
        <v>2</v>
      </c>
      <c r="H4" s="176">
        <f>ROUND(F4/$B$4,2)</f>
        <v>1.33</v>
      </c>
      <c r="I4" s="193">
        <v>2</v>
      </c>
    </row>
    <row r="5" spans="1:20" ht="15.75" thickBot="1" x14ac:dyDescent="0.3">
      <c r="A5" t="s">
        <v>259</v>
      </c>
    </row>
    <row r="6" spans="1:20" x14ac:dyDescent="0.25">
      <c r="A6" s="108" t="s">
        <v>46</v>
      </c>
      <c r="B6" s="169" t="s">
        <v>48</v>
      </c>
      <c r="C6" s="108" t="s">
        <v>47</v>
      </c>
      <c r="E6" s="152" t="s">
        <v>183</v>
      </c>
      <c r="F6" s="174" t="s">
        <v>187</v>
      </c>
      <c r="G6" s="174" t="s">
        <v>52</v>
      </c>
      <c r="H6" s="174" t="s">
        <v>53</v>
      </c>
      <c r="I6" s="153" t="s">
        <v>264</v>
      </c>
    </row>
    <row r="7" spans="1:20" x14ac:dyDescent="0.25">
      <c r="A7" s="160">
        <v>0.99</v>
      </c>
      <c r="B7" s="169">
        <f>ROUND(Table47[[#This Row],[Price]]*$B$3+Table47[[#This Row],[Price]]*$B$3*Table47[[#This Row],[Discount]],0)</f>
        <v>10</v>
      </c>
      <c r="C7" s="161">
        <v>0</v>
      </c>
      <c r="E7" s="172" t="s">
        <v>184</v>
      </c>
      <c r="F7" s="170">
        <f>Table11[price HC]*I7</f>
        <v>20</v>
      </c>
      <c r="G7" s="175">
        <f>ROUND(F7/$B$3,2)</f>
        <v>2</v>
      </c>
      <c r="H7" s="175">
        <f>ROUND(F7/$B$4,2)</f>
        <v>1.33</v>
      </c>
      <c r="I7" s="192">
        <v>2</v>
      </c>
    </row>
    <row r="8" spans="1:20" x14ac:dyDescent="0.25">
      <c r="A8" s="162">
        <v>4.99</v>
      </c>
      <c r="B8" s="169">
        <f>ROUND(Table47[[#This Row],[Price]]*$B$3+Table47[[#This Row],[Price]]*$B$3*Table47[[#This Row],[Discount]],0)</f>
        <v>52</v>
      </c>
      <c r="C8" s="163">
        <v>0.05</v>
      </c>
      <c r="E8" s="177" t="s">
        <v>185</v>
      </c>
      <c r="F8" s="171">
        <f>Table11[price HC]*I8</f>
        <v>50</v>
      </c>
      <c r="G8" s="183">
        <f>ROUND(F8/$B$3,2)</f>
        <v>5</v>
      </c>
      <c r="H8" s="183">
        <f t="shared" ref="H8:H9" si="0">ROUND(F8/$B$4,2)</f>
        <v>3.33</v>
      </c>
      <c r="I8" s="192">
        <v>5</v>
      </c>
    </row>
    <row r="9" spans="1:20" ht="15.75" thickBot="1" x14ac:dyDescent="0.3">
      <c r="A9" s="160">
        <v>9.99</v>
      </c>
      <c r="B9" s="169">
        <f>ROUND(Table47[[#This Row],[Price]]*$B$3+Table47[[#This Row],[Price]]*$B$3*Table47[[#This Row],[Discount]],0)</f>
        <v>110</v>
      </c>
      <c r="C9" s="161">
        <v>0.1</v>
      </c>
      <c r="E9" s="178" t="s">
        <v>186</v>
      </c>
      <c r="F9" s="184">
        <f>Table11[price HC]*I9</f>
        <v>100</v>
      </c>
      <c r="G9" s="185">
        <f>ROUND(F9/$B$3,2)</f>
        <v>10</v>
      </c>
      <c r="H9" s="185">
        <f t="shared" si="0"/>
        <v>6.67</v>
      </c>
      <c r="I9" s="193">
        <v>10</v>
      </c>
    </row>
    <row r="10" spans="1:20" ht="15.75" thickBot="1" x14ac:dyDescent="0.3">
      <c r="A10" s="162">
        <v>14.99</v>
      </c>
      <c r="B10" s="364">
        <f>ROUND(Table47[[#This Row],[Price]]*$B$3+Table47[[#This Row],[Price]]*$B$3*Table47[[#This Row],[Discount]],0)</f>
        <v>172</v>
      </c>
      <c r="C10" s="163">
        <v>0.15</v>
      </c>
    </row>
    <row r="11" spans="1:20" x14ac:dyDescent="0.25">
      <c r="A11" s="160">
        <v>19.989999999999998</v>
      </c>
      <c r="B11" s="169">
        <f>ROUND(Table47[[#This Row],[Price]]*$B$3+Table47[[#This Row],[Price]]*$B$3*Table47[[#This Row],[Discount]],0)</f>
        <v>250</v>
      </c>
      <c r="C11" s="161">
        <v>0.25</v>
      </c>
      <c r="E11" s="152" t="s">
        <v>265</v>
      </c>
      <c r="F11" s="174" t="s">
        <v>182</v>
      </c>
      <c r="G11" s="174" t="s">
        <v>52</v>
      </c>
      <c r="H11" s="174" t="s">
        <v>53</v>
      </c>
      <c r="I11" s="153" t="s">
        <v>264</v>
      </c>
      <c r="M11" s="101"/>
    </row>
    <row r="12" spans="1:20" x14ac:dyDescent="0.25">
      <c r="A12" s="162">
        <v>39.99</v>
      </c>
      <c r="B12" s="169">
        <f>ROUND(Table47[[#This Row],[Price]]*$B$3+Table47[[#This Row],[Price]]*$B$3*Table47[[#This Row],[Discount]],0)</f>
        <v>560</v>
      </c>
      <c r="C12" s="163">
        <v>0.4</v>
      </c>
      <c r="E12" s="172" t="s">
        <v>251</v>
      </c>
      <c r="F12" s="170">
        <f>Table11[price HC]*I12</f>
        <v>30</v>
      </c>
      <c r="G12" s="175">
        <f>ROUND(F12/$B$3,2)</f>
        <v>3</v>
      </c>
      <c r="H12" s="175">
        <f>ROUND(F12/$B$4,2)</f>
        <v>2</v>
      </c>
      <c r="I12" s="192">
        <v>3</v>
      </c>
    </row>
    <row r="13" spans="1:20" ht="15.75" thickBot="1" x14ac:dyDescent="0.3">
      <c r="A13" s="160">
        <v>79.989999999999995</v>
      </c>
      <c r="B13" s="169">
        <f>ROUND(Table47[[#This Row],[Price]]*$B$3+Table47[[#This Row],[Price]]*$B$3*Table47[[#This Row],[Discount]],0)</f>
        <v>1200</v>
      </c>
      <c r="C13" s="161">
        <v>0.5</v>
      </c>
      <c r="E13" s="173" t="s">
        <v>252</v>
      </c>
      <c r="F13" s="179">
        <f>Table11[price HC]*I13</f>
        <v>50</v>
      </c>
      <c r="G13" s="176">
        <f>ROUND(F13/$B$3,2)</f>
        <v>5</v>
      </c>
      <c r="H13" s="176">
        <f>ROUND(F13/$B$4,2)</f>
        <v>3.33</v>
      </c>
      <c r="I13" s="193">
        <v>5</v>
      </c>
    </row>
    <row r="15" spans="1:20" ht="19.5" thickBot="1" x14ac:dyDescent="0.35">
      <c r="A15" s="30" t="s">
        <v>181</v>
      </c>
      <c r="B15" s="36"/>
      <c r="C15" s="36"/>
      <c r="F15" s="381" t="s">
        <v>203</v>
      </c>
      <c r="G15" s="382"/>
      <c r="H15" s="383"/>
      <c r="I15" s="381" t="s">
        <v>270</v>
      </c>
      <c r="J15" s="382"/>
      <c r="K15" s="383"/>
      <c r="L15" s="381" t="s">
        <v>281</v>
      </c>
      <c r="M15" s="382"/>
      <c r="N15" s="383"/>
      <c r="O15" s="381" t="s">
        <v>282</v>
      </c>
      <c r="P15" s="382"/>
      <c r="Q15" s="383"/>
      <c r="R15" s="381" t="s">
        <v>283</v>
      </c>
      <c r="S15" s="382"/>
      <c r="T15" s="383"/>
    </row>
    <row r="16" spans="1:20" ht="15.75" thickBot="1" x14ac:dyDescent="0.3">
      <c r="E16" s="108" t="s">
        <v>4</v>
      </c>
      <c r="F16" s="108" t="s">
        <v>187</v>
      </c>
      <c r="G16" s="206" t="s">
        <v>52</v>
      </c>
      <c r="H16" s="205" t="s">
        <v>53</v>
      </c>
      <c r="I16" s="204" t="s">
        <v>271</v>
      </c>
      <c r="J16" s="194" t="s">
        <v>268</v>
      </c>
      <c r="K16" s="208" t="s">
        <v>269</v>
      </c>
      <c r="L16" s="209" t="s">
        <v>272</v>
      </c>
      <c r="M16" s="194" t="s">
        <v>273</v>
      </c>
      <c r="N16" s="208" t="s">
        <v>274</v>
      </c>
      <c r="O16" s="211" t="s">
        <v>275</v>
      </c>
      <c r="P16" s="212" t="s">
        <v>276</v>
      </c>
      <c r="Q16" s="214" t="s">
        <v>277</v>
      </c>
      <c r="R16" s="211" t="s">
        <v>278</v>
      </c>
      <c r="S16" s="212" t="s">
        <v>279</v>
      </c>
      <c r="T16" s="213" t="s">
        <v>280</v>
      </c>
    </row>
    <row r="17" spans="1:20" x14ac:dyDescent="0.25">
      <c r="A17" s="154" t="s">
        <v>52</v>
      </c>
      <c r="B17" s="155">
        <v>6000</v>
      </c>
      <c r="C17" s="156" t="s">
        <v>54</v>
      </c>
      <c r="E17" s="108" t="s">
        <v>191</v>
      </c>
      <c r="F17" s="164">
        <v>20</v>
      </c>
      <c r="G17" s="175">
        <f>F17/$B$3</f>
        <v>2</v>
      </c>
      <c r="H17" s="167">
        <f t="shared" ref="H17:H33" si="1">ROUND(F17/$B$4,2)</f>
        <v>1.33</v>
      </c>
      <c r="I17" s="164">
        <v>1700</v>
      </c>
      <c r="J17" s="175">
        <f>Table9[[#This Row],[Dis. 1 price (SC or HC)]]/$B$17</f>
        <v>0.28333333333333333</v>
      </c>
      <c r="K17" s="175">
        <f>Table9[[#This Row],[Dis. 1 price (SC or HC)]]/$B$18</f>
        <v>0.11111111111111112</v>
      </c>
      <c r="L17" s="210">
        <v>5</v>
      </c>
      <c r="M17" s="175">
        <f>Table9[[#This Row],[Dis. 2 price (SC or HC)]]/$B$3</f>
        <v>0.5</v>
      </c>
      <c r="N17" s="175">
        <f>Table9[[#This Row],[Dis. 2 price (SC or HC)]]/$B$4</f>
        <v>0.33333333333333331</v>
      </c>
      <c r="O17" s="217" t="s">
        <v>152</v>
      </c>
      <c r="P17" s="175" t="s">
        <v>152</v>
      </c>
      <c r="Q17" s="175" t="s">
        <v>152</v>
      </c>
      <c r="R17" s="217" t="s">
        <v>152</v>
      </c>
      <c r="S17" s="175" t="s">
        <v>152</v>
      </c>
      <c r="T17" s="175" t="s">
        <v>152</v>
      </c>
    </row>
    <row r="18" spans="1:20" ht="15.75" thickBot="1" x14ac:dyDescent="0.3">
      <c r="A18" s="157" t="s">
        <v>53</v>
      </c>
      <c r="B18" s="158">
        <f>B26/(A26/B4)</f>
        <v>15299.999999999998</v>
      </c>
      <c r="C18" s="159" t="s">
        <v>54</v>
      </c>
      <c r="E18" s="108" t="s">
        <v>194</v>
      </c>
      <c r="F18" s="164">
        <v>35</v>
      </c>
      <c r="G18" s="183">
        <f t="shared" ref="G18:G33" si="2">F18/$B$3</f>
        <v>3.5</v>
      </c>
      <c r="H18" s="168">
        <f t="shared" si="1"/>
        <v>2.33</v>
      </c>
      <c r="I18" s="164">
        <v>5300</v>
      </c>
      <c r="J18" s="183">
        <f>Table9[[#This Row],[Dis. 1 price (SC or HC)]]/$B$17</f>
        <v>0.8833333333333333</v>
      </c>
      <c r="K18" s="183">
        <f>Table9[[#This Row],[Dis. 1 price (SC or HC)]]/$B$18</f>
        <v>0.34640522875816998</v>
      </c>
      <c r="L18" s="210">
        <v>10</v>
      </c>
      <c r="M18" s="183">
        <f>Table9[[#This Row],[Dis. 2 price (SC or HC)]]/$B$3</f>
        <v>1</v>
      </c>
      <c r="N18" s="183">
        <f>Table9[[#This Row],[Dis. 2 price (SC or HC)]]/$B$4</f>
        <v>0.66666666666666663</v>
      </c>
      <c r="O18" s="216" t="s">
        <v>152</v>
      </c>
      <c r="P18" s="183" t="s">
        <v>152</v>
      </c>
      <c r="Q18" s="183" t="s">
        <v>152</v>
      </c>
      <c r="R18" s="216" t="s">
        <v>152</v>
      </c>
      <c r="S18" s="183" t="s">
        <v>152</v>
      </c>
      <c r="T18" s="183" t="s">
        <v>152</v>
      </c>
    </row>
    <row r="19" spans="1:20" x14ac:dyDescent="0.25">
      <c r="A19" t="s">
        <v>259</v>
      </c>
      <c r="E19" s="108" t="s">
        <v>192</v>
      </c>
      <c r="F19" s="164">
        <v>40</v>
      </c>
      <c r="G19" s="175">
        <f>F19/$B$3</f>
        <v>4</v>
      </c>
      <c r="H19" s="167">
        <f t="shared" si="1"/>
        <v>2.67</v>
      </c>
      <c r="I19" s="164">
        <v>10000</v>
      </c>
      <c r="J19" s="175">
        <f>Table9[[#This Row],[Dis. 1 price (SC or HC)]]/$B$17</f>
        <v>1.6666666666666667</v>
      </c>
      <c r="K19" s="175">
        <f>Table9[[#This Row],[Dis. 1 price (SC or HC)]]/$B$18</f>
        <v>0.65359477124183019</v>
      </c>
      <c r="L19" s="210">
        <v>10000</v>
      </c>
      <c r="M19" s="175">
        <f>Table9[[#This Row],[Dis. 2 price (SC or HC)]]/$B$17</f>
        <v>1.6666666666666667</v>
      </c>
      <c r="N19" s="175">
        <f>Table9[[#This Row],[Dis. 2 price (SC or HC)]]/$B$18</f>
        <v>0.65359477124183019</v>
      </c>
      <c r="O19" s="210">
        <v>15</v>
      </c>
      <c r="P19" s="175">
        <f>Table9[[#This Row],[Dis. 3 price (SC or HC)]]/$B$3</f>
        <v>1.5</v>
      </c>
      <c r="Q19" s="175">
        <f>Table9[[#This Row],[Dis. 3 price (SC or HC)]]/$B$4</f>
        <v>1</v>
      </c>
      <c r="R19" s="216" t="s">
        <v>152</v>
      </c>
      <c r="S19" s="175" t="s">
        <v>152</v>
      </c>
      <c r="T19" s="175" t="s">
        <v>152</v>
      </c>
    </row>
    <row r="20" spans="1:20" x14ac:dyDescent="0.25">
      <c r="A20" s="108" t="s">
        <v>260</v>
      </c>
      <c r="B20" s="169" t="s">
        <v>50</v>
      </c>
      <c r="C20" s="108" t="s">
        <v>47</v>
      </c>
      <c r="E20" s="108" t="s">
        <v>193</v>
      </c>
      <c r="F20" s="164">
        <v>50</v>
      </c>
      <c r="G20" s="183">
        <f t="shared" si="2"/>
        <v>5</v>
      </c>
      <c r="H20" s="168">
        <f>ROUND(F20/$B$4,2)</f>
        <v>3.33</v>
      </c>
      <c r="I20" s="164">
        <v>30000</v>
      </c>
      <c r="J20" s="183">
        <f>Table9[[#This Row],[Dis. 1 price (SC or HC)]]/$B$17</f>
        <v>5</v>
      </c>
      <c r="K20" s="183">
        <f>Table9[[#This Row],[Dis. 1 price (SC or HC)]]/$B$18</f>
        <v>1.9607843137254903</v>
      </c>
      <c r="L20" s="210">
        <v>30000</v>
      </c>
      <c r="M20" s="183">
        <f>Table9[[#This Row],[Dis. 2 price (SC or HC)]]/$B$17</f>
        <v>5</v>
      </c>
      <c r="N20" s="183">
        <f>Table9[[#This Row],[Dis. 2 price (SC or HC)]]/$B$18</f>
        <v>1.9607843137254903</v>
      </c>
      <c r="O20" s="210">
        <v>15</v>
      </c>
      <c r="P20" s="183">
        <f>Table9[[#This Row],[Dis. 3 price (SC or HC)]]/$B$3</f>
        <v>1.5</v>
      </c>
      <c r="Q20" s="183">
        <f>Table9[[#This Row],[Dis. 3 price (SC or HC)]]/$B$4</f>
        <v>1</v>
      </c>
      <c r="R20" s="216" t="s">
        <v>152</v>
      </c>
      <c r="S20" s="183" t="s">
        <v>152</v>
      </c>
      <c r="T20" s="183" t="s">
        <v>152</v>
      </c>
    </row>
    <row r="21" spans="1:20" x14ac:dyDescent="0.25">
      <c r="A21" s="108">
        <v>5</v>
      </c>
      <c r="B21" s="169">
        <f>ROUND((($B$17/$B$3)*Table479[[#This Row],[Price HC]])+((($B$17/$B$3)*Table479[[#This Row],[Price HC]])*Table479[[#This Row],[Discount]]),0)</f>
        <v>3000</v>
      </c>
      <c r="C21" s="161">
        <v>0</v>
      </c>
      <c r="E21" s="108" t="s">
        <v>195</v>
      </c>
      <c r="F21" s="164">
        <v>80</v>
      </c>
      <c r="G21" s="175">
        <f t="shared" si="2"/>
        <v>8</v>
      </c>
      <c r="H21" s="167">
        <f t="shared" si="1"/>
        <v>5.33</v>
      </c>
      <c r="I21" s="164">
        <v>58000</v>
      </c>
      <c r="J21" s="175">
        <f>Table9[[#This Row],[Dis. 1 price (SC or HC)]]/$B$17</f>
        <v>9.6666666666666661</v>
      </c>
      <c r="K21" s="175">
        <f>Table9[[#This Row],[Dis. 1 price (SC or HC)]]/$B$18</f>
        <v>3.7908496732026147</v>
      </c>
      <c r="L21" s="210">
        <v>58000</v>
      </c>
      <c r="M21" s="175">
        <f>Table9[[#This Row],[Dis. 2 price (SC or HC)]]/$B$17</f>
        <v>9.6666666666666661</v>
      </c>
      <c r="N21" s="175">
        <f>Table9[[#This Row],[Dis. 2 price (SC or HC)]]/$B$18</f>
        <v>3.7908496732026147</v>
      </c>
      <c r="O21" s="210">
        <v>15</v>
      </c>
      <c r="P21" s="175">
        <f>Table9[[#This Row],[Dis. 3 price (SC or HC)]]/$B$3</f>
        <v>1.5</v>
      </c>
      <c r="Q21" s="175">
        <f>Table9[[#This Row],[Dis. 3 price (SC or HC)]]/$B$4</f>
        <v>1</v>
      </c>
      <c r="R21" s="216" t="s">
        <v>152</v>
      </c>
      <c r="S21" s="175" t="s">
        <v>152</v>
      </c>
      <c r="T21" s="175" t="s">
        <v>152</v>
      </c>
    </row>
    <row r="22" spans="1:20" x14ac:dyDescent="0.25">
      <c r="A22" s="108">
        <v>20</v>
      </c>
      <c r="B22" s="169">
        <f>ROUND((($B$17/$B$3)*Table479[[#This Row],[Price HC]])+((($B$17/$B$3)*Table479[[#This Row],[Price HC]])*Table479[[#This Row],[Discount]]),0)</f>
        <v>13200</v>
      </c>
      <c r="C22" s="163">
        <v>0.1</v>
      </c>
      <c r="E22" s="108" t="s">
        <v>196</v>
      </c>
      <c r="F22" s="164">
        <v>100</v>
      </c>
      <c r="G22" s="183">
        <f t="shared" si="2"/>
        <v>10</v>
      </c>
      <c r="H22" s="168">
        <f t="shared" si="1"/>
        <v>6.67</v>
      </c>
      <c r="I22" s="164">
        <v>75000</v>
      </c>
      <c r="J22" s="183">
        <f>Table9[[#This Row],[Dis. 1 price (SC or HC)]]/$B$17</f>
        <v>12.5</v>
      </c>
      <c r="K22" s="183">
        <f>Table9[[#This Row],[Dis. 1 price (SC or HC)]]/$B$18</f>
        <v>4.9019607843137258</v>
      </c>
      <c r="L22" s="210">
        <v>75000</v>
      </c>
      <c r="M22" s="183">
        <f>Table9[[#This Row],[Dis. 2 price (SC or HC)]]/$B$17</f>
        <v>12.5</v>
      </c>
      <c r="N22" s="183">
        <f>Table9[[#This Row],[Dis. 2 price (SC or HC)]]/$B$18</f>
        <v>4.9019607843137258</v>
      </c>
      <c r="O22" s="210">
        <v>75000</v>
      </c>
      <c r="P22" s="183">
        <f>Table9[[#This Row],[Dis. 3 price (SC or HC)]]/$B$17</f>
        <v>12.5</v>
      </c>
      <c r="Q22" s="183">
        <f>Table9[[#This Row],[Dis. 3 price (SC or HC)]]/$B$18</f>
        <v>4.9019607843137258</v>
      </c>
      <c r="R22" s="210">
        <v>45</v>
      </c>
      <c r="S22" s="183">
        <f>Table9[[#This Row],[Dis. 4 price (SC or HC)]]/$B$3</f>
        <v>4.5</v>
      </c>
      <c r="T22" s="183">
        <f>Table9[[#This Row],[Dis. 4 price (SC or HC)]]/$B$4</f>
        <v>3</v>
      </c>
    </row>
    <row r="23" spans="1:20" x14ac:dyDescent="0.25">
      <c r="A23" s="108">
        <v>50</v>
      </c>
      <c r="B23" s="169">
        <f>ROUND((($B$17/$B$3)*Table479[[#This Row],[Price HC]])+((($B$17/$B$3)*Table479[[#This Row],[Price HC]])*Table479[[#This Row],[Discount]]),0)</f>
        <v>36000</v>
      </c>
      <c r="C23" s="161">
        <v>0.2</v>
      </c>
      <c r="E23" s="108" t="s">
        <v>197</v>
      </c>
      <c r="F23" s="164">
        <v>140</v>
      </c>
      <c r="G23" s="175">
        <f t="shared" si="2"/>
        <v>14</v>
      </c>
      <c r="H23" s="167">
        <f t="shared" si="1"/>
        <v>9.33</v>
      </c>
      <c r="I23" s="164">
        <v>80000</v>
      </c>
      <c r="J23" s="175">
        <f>Table9[[#This Row],[Dis. 1 price (SC or HC)]]/$B$17</f>
        <v>13.333333333333334</v>
      </c>
      <c r="K23" s="175">
        <f>Table9[[#This Row],[Dis. 1 price (SC or HC)]]/$B$18</f>
        <v>5.2287581699346415</v>
      </c>
      <c r="L23" s="210">
        <v>80000</v>
      </c>
      <c r="M23" s="175">
        <f>Table9[[#This Row],[Dis. 2 price (SC or HC)]]/$B$17</f>
        <v>13.333333333333334</v>
      </c>
      <c r="N23" s="175">
        <f>Table9[[#This Row],[Dis. 2 price (SC or HC)]]/$B$18</f>
        <v>5.2287581699346415</v>
      </c>
      <c r="O23" s="210">
        <v>80000</v>
      </c>
      <c r="P23" s="175">
        <f>Table9[[#This Row],[Dis. 3 price (SC or HC)]]/$B$17</f>
        <v>13.333333333333334</v>
      </c>
      <c r="Q23" s="175">
        <f>Table9[[#This Row],[Dis. 3 price (SC or HC)]]/$B$18</f>
        <v>5.2287581699346415</v>
      </c>
      <c r="R23" s="210">
        <v>45</v>
      </c>
      <c r="S23" s="175">
        <f>Table9[[#This Row],[Dis. 4 price (SC or HC)]]/$B$3</f>
        <v>4.5</v>
      </c>
      <c r="T23" s="175">
        <f>Table9[[#This Row],[Dis. 4 price (SC or HC)]]/$B$4</f>
        <v>3</v>
      </c>
    </row>
    <row r="24" spans="1:20" x14ac:dyDescent="0.25">
      <c r="A24" s="108">
        <v>350</v>
      </c>
      <c r="B24" s="169">
        <f>ROUND((($B$17/$B$3)*Table479[[#This Row],[Price HC]])+((($B$17/$B$3)*Table479[[#This Row],[Price HC]])*Table479[[#This Row],[Discount]]),0)</f>
        <v>294000</v>
      </c>
      <c r="C24" s="163">
        <v>0.4</v>
      </c>
      <c r="E24" s="108" t="s">
        <v>198</v>
      </c>
      <c r="F24" s="164">
        <v>175</v>
      </c>
      <c r="G24" s="183">
        <f t="shared" si="2"/>
        <v>17.5</v>
      </c>
      <c r="H24" s="168">
        <f t="shared" si="1"/>
        <v>11.67</v>
      </c>
      <c r="I24" s="164">
        <v>85000</v>
      </c>
      <c r="J24" s="183">
        <f>Table9[[#This Row],[Dis. 1 price (SC or HC)]]/$B$17</f>
        <v>14.166666666666666</v>
      </c>
      <c r="K24" s="183">
        <f>Table9[[#This Row],[Dis. 1 price (SC or HC)]]/$B$18</f>
        <v>5.5555555555555562</v>
      </c>
      <c r="L24" s="210">
        <v>85000</v>
      </c>
      <c r="M24" s="183">
        <f>Table9[[#This Row],[Dis. 2 price (SC or HC)]]/$B$17</f>
        <v>14.166666666666666</v>
      </c>
      <c r="N24" s="183">
        <f>Table9[[#This Row],[Dis. 2 price (SC or HC)]]/$B$18</f>
        <v>5.5555555555555562</v>
      </c>
      <c r="O24" s="210">
        <v>85000</v>
      </c>
      <c r="P24" s="183">
        <f>Table9[[#This Row],[Dis. 3 price (SC or HC)]]/$B$17</f>
        <v>14.166666666666666</v>
      </c>
      <c r="Q24" s="183">
        <f>Table9[[#This Row],[Dis. 3 price (SC or HC)]]/$B$18</f>
        <v>5.5555555555555562</v>
      </c>
      <c r="R24" s="210">
        <v>45</v>
      </c>
      <c r="S24" s="183">
        <f>Table9[[#This Row],[Dis. 4 price (SC or HC)]]/$B$3</f>
        <v>4.5</v>
      </c>
      <c r="T24" s="183">
        <f>Table9[[#This Row],[Dis. 4 price (SC or HC)]]/$B$4</f>
        <v>3</v>
      </c>
    </row>
    <row r="25" spans="1:20" x14ac:dyDescent="0.25">
      <c r="A25" s="108">
        <v>400</v>
      </c>
      <c r="B25" s="169">
        <f>ROUND((($B$17/$B$3)*Table479[[#This Row],[Price HC]])+((($B$17/$B$3)*Table479[[#This Row],[Price HC]])*Table479[[#This Row],[Discount]]),0)</f>
        <v>360000</v>
      </c>
      <c r="C25" s="161">
        <v>0.5</v>
      </c>
      <c r="E25" s="108" t="s">
        <v>199</v>
      </c>
      <c r="F25" s="164">
        <v>350</v>
      </c>
      <c r="G25" s="175">
        <f t="shared" si="2"/>
        <v>35</v>
      </c>
      <c r="H25" s="167">
        <f t="shared" si="1"/>
        <v>23.33</v>
      </c>
      <c r="I25" s="164">
        <v>95000</v>
      </c>
      <c r="J25" s="175">
        <f>Table9[[#This Row],[Dis. 1 price (SC or HC)]]/$B$17</f>
        <v>15.833333333333334</v>
      </c>
      <c r="K25" s="175">
        <f>Table9[[#This Row],[Dis. 1 price (SC or HC)]]/$B$18</f>
        <v>6.2091503267973867</v>
      </c>
      <c r="L25" s="210">
        <v>95000</v>
      </c>
      <c r="M25" s="175">
        <f>Table9[[#This Row],[Dis. 2 price (SC or HC)]]/$B$17</f>
        <v>15.833333333333334</v>
      </c>
      <c r="N25" s="175">
        <f>Table9[[#This Row],[Dis. 2 price (SC or HC)]]/$B$18</f>
        <v>6.2091503267973867</v>
      </c>
      <c r="O25" s="210">
        <v>95000</v>
      </c>
      <c r="P25" s="175">
        <f>Table9[[#This Row],[Dis. 3 price (SC or HC)]]/$B$17</f>
        <v>15.833333333333334</v>
      </c>
      <c r="Q25" s="175">
        <f>Table9[[#This Row],[Dis. 3 price (SC or HC)]]/$B$18</f>
        <v>6.2091503267973867</v>
      </c>
      <c r="R25" s="210">
        <v>45</v>
      </c>
      <c r="S25" s="175">
        <f>Table9[[#This Row],[Dis. 4 price (SC or HC)]]/$B$3</f>
        <v>4.5</v>
      </c>
      <c r="T25" s="175">
        <f>Table9[[#This Row],[Dis. 4 price (SC or HC)]]/$B$4</f>
        <v>3</v>
      </c>
    </row>
    <row r="26" spans="1:20" x14ac:dyDescent="0.25">
      <c r="A26" s="108">
        <v>1000</v>
      </c>
      <c r="B26" s="169">
        <f>ROUND((($B$17/$B$3)*Table479[[#This Row],[Price HC]])+((($B$17/$B$3)*Table479[[#This Row],[Price HC]])*Table479[[#This Row],[Discount]]),0)</f>
        <v>1020000</v>
      </c>
      <c r="C26" s="163">
        <v>0.7</v>
      </c>
      <c r="E26" s="108" t="s">
        <v>200</v>
      </c>
      <c r="F26" s="164">
        <v>400</v>
      </c>
      <c r="G26" s="183">
        <f t="shared" si="2"/>
        <v>40</v>
      </c>
      <c r="H26" s="168">
        <f t="shared" si="1"/>
        <v>26.67</v>
      </c>
      <c r="I26" s="164">
        <v>135000</v>
      </c>
      <c r="J26" s="183">
        <f>Table9[[#This Row],[Dis. 1 price (SC or HC)]]/$B$17</f>
        <v>22.5</v>
      </c>
      <c r="K26" s="183">
        <f>Table9[[#This Row],[Dis. 1 price (SC or HC)]]/$B$18</f>
        <v>8.8235294117647065</v>
      </c>
      <c r="L26" s="210">
        <v>135000</v>
      </c>
      <c r="M26" s="183">
        <f>Table9[[#This Row],[Dis. 2 price (SC or HC)]]/$B$17</f>
        <v>22.5</v>
      </c>
      <c r="N26" s="183">
        <f>Table9[[#This Row],[Dis. 2 price (SC or HC)]]/$B$18</f>
        <v>8.8235294117647065</v>
      </c>
      <c r="O26" s="210">
        <v>135000</v>
      </c>
      <c r="P26" s="183">
        <f>Table9[[#This Row],[Dis. 3 price (SC or HC)]]/$B$17</f>
        <v>22.5</v>
      </c>
      <c r="Q26" s="183">
        <f>Table9[[#This Row],[Dis. 3 price (SC or HC)]]/$B$18</f>
        <v>8.8235294117647065</v>
      </c>
      <c r="R26" s="210">
        <v>45</v>
      </c>
      <c r="S26" s="183">
        <f>Table9[[#This Row],[Dis. 4 price (SC or HC)]]/$B$3</f>
        <v>4.5</v>
      </c>
      <c r="T26" s="183">
        <f>Table9[[#This Row],[Dis. 4 price (SC or HC)]]/$B$4</f>
        <v>3</v>
      </c>
    </row>
    <row r="27" spans="1:20" x14ac:dyDescent="0.25">
      <c r="A27" s="108"/>
      <c r="B27" s="108"/>
      <c r="C27" s="108"/>
      <c r="E27" s="108" t="s">
        <v>201</v>
      </c>
      <c r="F27" s="164">
        <v>450</v>
      </c>
      <c r="G27" s="175">
        <f t="shared" si="2"/>
        <v>45</v>
      </c>
      <c r="H27" s="167">
        <f t="shared" si="1"/>
        <v>30</v>
      </c>
      <c r="I27" s="164">
        <v>155000</v>
      </c>
      <c r="J27" s="175">
        <f>Table9[[#This Row],[Dis. 1 price (SC or HC)]]/$B$17</f>
        <v>25.833333333333332</v>
      </c>
      <c r="K27" s="175">
        <f>Table9[[#This Row],[Dis. 1 price (SC or HC)]]/$B$18</f>
        <v>10.130718954248367</v>
      </c>
      <c r="L27" s="210">
        <v>155000</v>
      </c>
      <c r="M27" s="175">
        <f>Table9[[#This Row],[Dis. 2 price (SC or HC)]]/$B$17</f>
        <v>25.833333333333332</v>
      </c>
      <c r="N27" s="175">
        <f>Table9[[#This Row],[Dis. 2 price (SC or HC)]]/$B$18</f>
        <v>10.130718954248367</v>
      </c>
      <c r="O27" s="210">
        <v>155000</v>
      </c>
      <c r="P27" s="175">
        <f>Table9[[#This Row],[Dis. 3 price (SC or HC)]]/$B$17</f>
        <v>25.833333333333332</v>
      </c>
      <c r="Q27" s="175">
        <f>Table9[[#This Row],[Dis. 3 price (SC or HC)]]/$B$18</f>
        <v>10.130718954248367</v>
      </c>
      <c r="R27" s="210">
        <v>45</v>
      </c>
      <c r="S27" s="175">
        <f>Table9[[#This Row],[Dis. 4 price (SC or HC)]]/$B$3</f>
        <v>4.5</v>
      </c>
      <c r="T27" s="175">
        <f>Table9[[#This Row],[Dis. 4 price (SC or HC)]]/$B$4</f>
        <v>3</v>
      </c>
    </row>
    <row r="28" spans="1:20" ht="18.75" x14ac:dyDescent="0.3">
      <c r="A28" s="30" t="s">
        <v>261</v>
      </c>
      <c r="B28" s="36"/>
      <c r="C28" s="36"/>
      <c r="E28" s="108" t="s">
        <v>219</v>
      </c>
      <c r="F28" s="164">
        <v>550</v>
      </c>
      <c r="G28" s="183">
        <f t="shared" si="2"/>
        <v>55</v>
      </c>
      <c r="H28" s="168">
        <f t="shared" si="1"/>
        <v>36.67</v>
      </c>
      <c r="I28" s="164">
        <v>300000</v>
      </c>
      <c r="J28" s="183">
        <f>Table9[[#This Row],[Dis. 1 price (SC or HC)]]/$B$17</f>
        <v>50</v>
      </c>
      <c r="K28" s="183">
        <f>Table9[[#This Row],[Dis. 1 price (SC or HC)]]/$B$18</f>
        <v>19.607843137254903</v>
      </c>
      <c r="L28" s="210">
        <v>300000</v>
      </c>
      <c r="M28" s="183">
        <f>Table9[[#This Row],[Dis. 2 price (SC or HC)]]/$B$17</f>
        <v>50</v>
      </c>
      <c r="N28" s="183">
        <f>Table9[[#This Row],[Dis. 2 price (SC or HC)]]/$B$18</f>
        <v>19.607843137254903</v>
      </c>
      <c r="O28" s="210">
        <v>300000</v>
      </c>
      <c r="P28" s="183">
        <f>Table9[[#This Row],[Dis. 3 price (SC or HC)]]/$B$17</f>
        <v>50</v>
      </c>
      <c r="Q28" s="183">
        <f>Table9[[#This Row],[Dis. 3 price (SC or HC)]]/$B$18</f>
        <v>19.607843137254903</v>
      </c>
      <c r="R28" s="210">
        <v>45</v>
      </c>
      <c r="S28" s="183">
        <f>Table9[[#This Row],[Dis. 4 price (SC or HC)]]/$B$3</f>
        <v>4.5</v>
      </c>
      <c r="T28" s="183">
        <f>Table9[[#This Row],[Dis. 4 price (SC or HC)]]/$B$4</f>
        <v>3</v>
      </c>
    </row>
    <row r="29" spans="1:20" x14ac:dyDescent="0.25">
      <c r="A29" s="108"/>
      <c r="B29" s="108"/>
      <c r="C29" s="108"/>
      <c r="E29" s="108" t="s">
        <v>236</v>
      </c>
      <c r="F29" s="164">
        <v>600</v>
      </c>
      <c r="G29" s="175">
        <f>F29/$B$3</f>
        <v>60</v>
      </c>
      <c r="H29" s="167">
        <f t="shared" si="1"/>
        <v>40</v>
      </c>
      <c r="I29" s="215" t="s">
        <v>152</v>
      </c>
      <c r="J29" s="219" t="s">
        <v>152</v>
      </c>
      <c r="K29" s="219" t="s">
        <v>152</v>
      </c>
      <c r="L29" s="216" t="s">
        <v>152</v>
      </c>
      <c r="M29" s="219" t="s">
        <v>152</v>
      </c>
      <c r="N29" s="219" t="s">
        <v>152</v>
      </c>
      <c r="O29" s="216" t="s">
        <v>152</v>
      </c>
      <c r="P29" s="219" t="s">
        <v>152</v>
      </c>
      <c r="Q29" s="219" t="s">
        <v>152</v>
      </c>
      <c r="R29" s="216" t="s">
        <v>152</v>
      </c>
      <c r="S29" s="219" t="s">
        <v>152</v>
      </c>
      <c r="T29" s="219" t="s">
        <v>152</v>
      </c>
    </row>
    <row r="30" spans="1:20" x14ac:dyDescent="0.25">
      <c r="A30" s="151" t="s">
        <v>262</v>
      </c>
      <c r="B30" s="151" t="s">
        <v>263</v>
      </c>
      <c r="C30" s="108"/>
      <c r="E30" s="108" t="s">
        <v>237</v>
      </c>
      <c r="F30" s="164">
        <v>650</v>
      </c>
      <c r="G30" s="183">
        <f>F30/$B$3</f>
        <v>65</v>
      </c>
      <c r="H30" s="168">
        <f>ROUND(F30/$B$4,2)</f>
        <v>43.33</v>
      </c>
      <c r="I30" s="215" t="s">
        <v>152</v>
      </c>
      <c r="J30" s="218" t="s">
        <v>152</v>
      </c>
      <c r="K30" s="218" t="s">
        <v>152</v>
      </c>
      <c r="L30" s="216" t="s">
        <v>152</v>
      </c>
      <c r="M30" s="218" t="s">
        <v>152</v>
      </c>
      <c r="N30" s="218" t="s">
        <v>152</v>
      </c>
      <c r="O30" s="216" t="s">
        <v>152</v>
      </c>
      <c r="P30" s="218" t="s">
        <v>152</v>
      </c>
      <c r="Q30" s="218" t="s">
        <v>152</v>
      </c>
      <c r="R30" s="216" t="s">
        <v>152</v>
      </c>
      <c r="S30" s="218" t="s">
        <v>152</v>
      </c>
      <c r="T30" s="218" t="s">
        <v>152</v>
      </c>
    </row>
    <row r="31" spans="1:20" x14ac:dyDescent="0.25">
      <c r="A31" s="165">
        <v>10</v>
      </c>
      <c r="B31" s="160">
        <f>A31/B3</f>
        <v>1</v>
      </c>
      <c r="C31" s="108"/>
      <c r="E31" s="108" t="s">
        <v>238</v>
      </c>
      <c r="F31" s="164">
        <v>700</v>
      </c>
      <c r="G31" s="175">
        <f t="shared" si="2"/>
        <v>70</v>
      </c>
      <c r="H31" s="167">
        <f t="shared" si="1"/>
        <v>46.67</v>
      </c>
      <c r="I31" s="215" t="s">
        <v>152</v>
      </c>
      <c r="J31" s="219" t="s">
        <v>152</v>
      </c>
      <c r="K31" s="219" t="s">
        <v>152</v>
      </c>
      <c r="L31" s="216" t="s">
        <v>152</v>
      </c>
      <c r="M31" s="219" t="s">
        <v>152</v>
      </c>
      <c r="N31" s="219" t="s">
        <v>152</v>
      </c>
      <c r="O31" s="216" t="s">
        <v>152</v>
      </c>
      <c r="P31" s="219" t="s">
        <v>152</v>
      </c>
      <c r="Q31" s="219" t="s">
        <v>152</v>
      </c>
      <c r="R31" s="216" t="s">
        <v>152</v>
      </c>
      <c r="S31" s="219" t="s">
        <v>152</v>
      </c>
      <c r="T31" s="219" t="s">
        <v>152</v>
      </c>
    </row>
    <row r="32" spans="1:20" x14ac:dyDescent="0.25">
      <c r="E32" s="108" t="s">
        <v>239</v>
      </c>
      <c r="F32" s="164">
        <v>750</v>
      </c>
      <c r="G32" s="183">
        <f t="shared" si="2"/>
        <v>75</v>
      </c>
      <c r="H32" s="168">
        <f t="shared" si="1"/>
        <v>50</v>
      </c>
      <c r="I32" s="215" t="s">
        <v>152</v>
      </c>
      <c r="J32" s="218" t="s">
        <v>152</v>
      </c>
      <c r="K32" s="218" t="s">
        <v>152</v>
      </c>
      <c r="L32" s="216" t="s">
        <v>152</v>
      </c>
      <c r="M32" s="218" t="s">
        <v>152</v>
      </c>
      <c r="N32" s="218" t="s">
        <v>152</v>
      </c>
      <c r="O32" s="216" t="s">
        <v>152</v>
      </c>
      <c r="P32" s="218" t="s">
        <v>152</v>
      </c>
      <c r="Q32" s="218" t="s">
        <v>152</v>
      </c>
      <c r="R32" s="216" t="s">
        <v>152</v>
      </c>
      <c r="S32" s="218" t="s">
        <v>152</v>
      </c>
      <c r="T32" s="218" t="s">
        <v>152</v>
      </c>
    </row>
    <row r="33" spans="1:20" ht="19.5" thickBot="1" x14ac:dyDescent="0.35">
      <c r="A33" s="30" t="s">
        <v>232</v>
      </c>
      <c r="B33" s="36"/>
      <c r="C33" s="36"/>
      <c r="E33" s="108" t="s">
        <v>240</v>
      </c>
      <c r="F33" s="164">
        <v>800</v>
      </c>
      <c r="G33" s="207">
        <f t="shared" si="2"/>
        <v>80</v>
      </c>
      <c r="H33" s="166">
        <f t="shared" si="1"/>
        <v>53.33</v>
      </c>
      <c r="I33" s="215" t="s">
        <v>152</v>
      </c>
      <c r="J33" s="220" t="s">
        <v>152</v>
      </c>
      <c r="K33" s="220" t="s">
        <v>152</v>
      </c>
      <c r="L33" s="216" t="s">
        <v>152</v>
      </c>
      <c r="M33" s="220" t="s">
        <v>152</v>
      </c>
      <c r="N33" s="220" t="s">
        <v>152</v>
      </c>
      <c r="O33" s="216" t="s">
        <v>152</v>
      </c>
      <c r="P33" s="220" t="s">
        <v>152</v>
      </c>
      <c r="Q33" s="220" t="s">
        <v>152</v>
      </c>
      <c r="R33" s="216" t="s">
        <v>152</v>
      </c>
      <c r="S33" s="220" t="s">
        <v>152</v>
      </c>
      <c r="T33" s="220" t="s">
        <v>152</v>
      </c>
    </row>
    <row r="34" spans="1:20" ht="15.75" thickBot="1" x14ac:dyDescent="0.3"/>
    <row r="35" spans="1:20" x14ac:dyDescent="0.25">
      <c r="A35" s="4" t="s">
        <v>52</v>
      </c>
      <c r="B35" s="3">
        <f>B3/F3</f>
        <v>1</v>
      </c>
      <c r="C35" s="4" t="s">
        <v>54</v>
      </c>
      <c r="E35" s="186">
        <f>B17/B3</f>
        <v>600</v>
      </c>
      <c r="F35" s="187" t="s">
        <v>49</v>
      </c>
      <c r="G35" s="188" t="s">
        <v>52</v>
      </c>
      <c r="M35" s="203"/>
    </row>
    <row r="36" spans="1:20" ht="15.75" thickBot="1" x14ac:dyDescent="0.3">
      <c r="A36" s="4" t="s">
        <v>53</v>
      </c>
      <c r="B36" s="5">
        <f>ROUND(B4/F3,1)</f>
        <v>1.5</v>
      </c>
      <c r="C36" s="4" t="s">
        <v>54</v>
      </c>
      <c r="E36" s="189">
        <f>B18/B4</f>
        <v>1019.9999999999999</v>
      </c>
      <c r="F36" s="190" t="s">
        <v>49</v>
      </c>
      <c r="G36" s="191" t="s">
        <v>53</v>
      </c>
      <c r="M36" s="101"/>
    </row>
    <row r="38" spans="1:20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0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0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0" ht="18.75" x14ac:dyDescent="0.3">
      <c r="A43" s="30" t="s">
        <v>189</v>
      </c>
      <c r="B43" s="36"/>
      <c r="C43" s="36"/>
    </row>
    <row r="45" spans="1:20" x14ac:dyDescent="0.25">
      <c r="A45" s="4" t="s">
        <v>52</v>
      </c>
      <c r="B45" s="3">
        <f>B3/F8</f>
        <v>0.2</v>
      </c>
      <c r="C45" s="4" t="s">
        <v>54</v>
      </c>
    </row>
    <row r="46" spans="1:20" x14ac:dyDescent="0.25">
      <c r="A46" s="4" t="s">
        <v>53</v>
      </c>
      <c r="B46" s="5">
        <f>ROUND(B4/F8,1)</f>
        <v>0.3</v>
      </c>
      <c r="C46" s="4" t="s">
        <v>54</v>
      </c>
    </row>
    <row r="48" spans="1:20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4" t="s">
        <v>267</v>
      </c>
      <c r="B53" s="384"/>
      <c r="C53" s="384"/>
      <c r="D53" s="384"/>
      <c r="E53" s="384"/>
      <c r="F53" s="384"/>
      <c r="G53" s="384"/>
      <c r="H53" s="384"/>
      <c r="I53" s="384"/>
      <c r="J53" s="384"/>
      <c r="K53" s="384"/>
      <c r="L53" s="384"/>
      <c r="M53" s="384"/>
      <c r="N53" s="384"/>
      <c r="O53" s="384"/>
    </row>
    <row r="54" spans="1:15" ht="15" customHeight="1" x14ac:dyDescent="0.25">
      <c r="A54" s="384"/>
      <c r="B54" s="384"/>
      <c r="C54" s="384"/>
      <c r="D54" s="384"/>
      <c r="E54" s="384"/>
      <c r="F54" s="384"/>
      <c r="G54" s="384"/>
      <c r="H54" s="384"/>
      <c r="I54" s="384"/>
      <c r="J54" s="384"/>
      <c r="K54" s="384"/>
      <c r="L54" s="384"/>
      <c r="M54" s="384"/>
      <c r="N54" s="384"/>
      <c r="O54" s="384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9" t="s">
        <v>121</v>
      </c>
      <c r="B58" s="139" t="s">
        <v>122</v>
      </c>
      <c r="C58" s="139" t="s">
        <v>205</v>
      </c>
      <c r="D58" s="140" t="s">
        <v>206</v>
      </c>
      <c r="F58" s="140" t="s">
        <v>202</v>
      </c>
      <c r="G58" s="129" t="s">
        <v>249</v>
      </c>
      <c r="H58" s="130" t="s">
        <v>245</v>
      </c>
      <c r="I58" s="131" t="s">
        <v>246</v>
      </c>
      <c r="K58" s="140" t="s">
        <v>122</v>
      </c>
      <c r="L58" s="129" t="s">
        <v>249</v>
      </c>
      <c r="M58" s="130" t="s">
        <v>247</v>
      </c>
      <c r="N58" s="131" t="s">
        <v>248</v>
      </c>
    </row>
    <row r="59" spans="1:15" x14ac:dyDescent="0.25">
      <c r="A59" s="132" t="s">
        <v>44</v>
      </c>
      <c r="B59" s="141">
        <v>0</v>
      </c>
      <c r="C59" s="142">
        <f>B59/$B$3</f>
        <v>0</v>
      </c>
      <c r="D59" s="143">
        <f>B59/$B$4</f>
        <v>0</v>
      </c>
      <c r="F59" s="223">
        <v>1</v>
      </c>
      <c r="G59" s="132" t="s">
        <v>44</v>
      </c>
      <c r="H59" s="127">
        <f>B3*F59</f>
        <v>10</v>
      </c>
      <c r="I59" s="133">
        <f>B4*F59</f>
        <v>15</v>
      </c>
      <c r="K59" s="222">
        <v>1</v>
      </c>
      <c r="L59" s="132" t="s">
        <v>44</v>
      </c>
      <c r="M59" s="198">
        <f>ROUND((1/B3)*K59,3)</f>
        <v>0.1</v>
      </c>
      <c r="N59" s="199">
        <f>ROUND((1/B4)*K59,3)</f>
        <v>6.7000000000000004E-2</v>
      </c>
    </row>
    <row r="60" spans="1:15" ht="15.75" thickBot="1" x14ac:dyDescent="0.3">
      <c r="A60" s="224" t="s">
        <v>77</v>
      </c>
      <c r="B60" s="225">
        <v>0</v>
      </c>
      <c r="C60" s="226">
        <f>(B60/B17)</f>
        <v>0</v>
      </c>
      <c r="D60" s="227">
        <f>(B60/B18)</f>
        <v>0</v>
      </c>
      <c r="F60" s="240">
        <v>1</v>
      </c>
      <c r="G60" s="224" t="s">
        <v>77</v>
      </c>
      <c r="H60" s="238">
        <f>B17*F60</f>
        <v>6000</v>
      </c>
      <c r="I60" s="239">
        <f>B18*F60</f>
        <v>15299.999999999998</v>
      </c>
      <c r="K60" s="250">
        <v>1</v>
      </c>
      <c r="L60" s="224" t="s">
        <v>77</v>
      </c>
      <c r="M60" s="251">
        <f>ROUND((1/B17)*K60,10)</f>
        <v>1.6666669999999999E-4</v>
      </c>
      <c r="N60" s="252">
        <f>ROUND((1/B18)*K60,5)</f>
        <v>6.9999999999999994E-5</v>
      </c>
    </row>
    <row r="61" spans="1:15" x14ac:dyDescent="0.25">
      <c r="A61" s="132" t="s">
        <v>231</v>
      </c>
      <c r="B61" s="141">
        <v>0</v>
      </c>
      <c r="C61" s="142">
        <f>B61/B35</f>
        <v>0</v>
      </c>
      <c r="D61" s="143">
        <f>B61/B36</f>
        <v>0</v>
      </c>
      <c r="F61" s="223">
        <v>1</v>
      </c>
      <c r="G61" s="132" t="s">
        <v>231</v>
      </c>
      <c r="H61" s="127">
        <f>ROUND((B3/F3)*F61,1)</f>
        <v>1</v>
      </c>
      <c r="I61" s="133">
        <f>(B4/F3)*F61</f>
        <v>1.5</v>
      </c>
      <c r="K61" s="222">
        <v>1</v>
      </c>
      <c r="L61" s="132" t="s">
        <v>231</v>
      </c>
      <c r="M61" s="198">
        <f>G3*K61</f>
        <v>1</v>
      </c>
      <c r="N61" s="199">
        <f>H3*K61</f>
        <v>0.67</v>
      </c>
    </row>
    <row r="62" spans="1:15" x14ac:dyDescent="0.25">
      <c r="A62" s="134" t="s">
        <v>234</v>
      </c>
      <c r="B62" s="144">
        <v>0</v>
      </c>
      <c r="C62" s="145">
        <f>B62/F40</f>
        <v>0</v>
      </c>
      <c r="D62" s="146">
        <f>B62/F41</f>
        <v>0</v>
      </c>
      <c r="F62" s="223">
        <v>1</v>
      </c>
      <c r="G62" s="134" t="s">
        <v>234</v>
      </c>
      <c r="H62" s="128">
        <f>ROUND((B3/F4)*F62,1)</f>
        <v>0.5</v>
      </c>
      <c r="I62" s="135">
        <f>(B4/F4)*F62</f>
        <v>0.75</v>
      </c>
      <c r="K62" s="222">
        <v>1</v>
      </c>
      <c r="L62" s="134" t="s">
        <v>234</v>
      </c>
      <c r="M62" s="197">
        <f>G4*K62</f>
        <v>2</v>
      </c>
      <c r="N62" s="200">
        <f>H4*K62</f>
        <v>1.33</v>
      </c>
    </row>
    <row r="63" spans="1:15" x14ac:dyDescent="0.25">
      <c r="A63" s="132" t="s">
        <v>256</v>
      </c>
      <c r="B63" s="141">
        <v>0</v>
      </c>
      <c r="C63" s="142">
        <f>B63/J40</f>
        <v>0</v>
      </c>
      <c r="D63" s="143">
        <f>B63/J41</f>
        <v>0</v>
      </c>
      <c r="F63" s="223">
        <v>1</v>
      </c>
      <c r="G63" s="132" t="s">
        <v>256</v>
      </c>
      <c r="H63" s="127">
        <f>ROUND((B3/F12)*F63,2)</f>
        <v>0.33</v>
      </c>
      <c r="I63" s="133">
        <f>(B4/F12)*F63</f>
        <v>0.5</v>
      </c>
      <c r="K63" s="222">
        <v>1</v>
      </c>
      <c r="L63" s="132" t="s">
        <v>256</v>
      </c>
      <c r="M63" s="198">
        <f>G12*K63</f>
        <v>3</v>
      </c>
      <c r="N63" s="199">
        <f>H12*K63</f>
        <v>2</v>
      </c>
    </row>
    <row r="64" spans="1:15" ht="15.75" thickBot="1" x14ac:dyDescent="0.3">
      <c r="A64" s="224" t="s">
        <v>257</v>
      </c>
      <c r="B64" s="225">
        <v>0</v>
      </c>
      <c r="C64" s="226">
        <f>B64/N40</f>
        <v>0</v>
      </c>
      <c r="D64" s="227">
        <f>B64/N41</f>
        <v>0</v>
      </c>
      <c r="F64" s="240">
        <v>1</v>
      </c>
      <c r="G64" s="224" t="s">
        <v>257</v>
      </c>
      <c r="H64" s="238">
        <f>ROUND((B3/F13)*F64,2)</f>
        <v>0.2</v>
      </c>
      <c r="I64" s="239">
        <f>(B4/F13)*F64</f>
        <v>0.3</v>
      </c>
      <c r="K64" s="250">
        <v>1</v>
      </c>
      <c r="L64" s="224" t="s">
        <v>257</v>
      </c>
      <c r="M64" s="251">
        <f>G13*K64</f>
        <v>5</v>
      </c>
      <c r="N64" s="252">
        <f>H13*K64</f>
        <v>3.33</v>
      </c>
    </row>
    <row r="65" spans="1:14" x14ac:dyDescent="0.25">
      <c r="A65" s="132" t="s">
        <v>255</v>
      </c>
      <c r="B65" s="141">
        <v>0</v>
      </c>
      <c r="C65" s="142">
        <f>B65/B40</f>
        <v>0</v>
      </c>
      <c r="D65" s="143">
        <f>B65/B41</f>
        <v>0</v>
      </c>
      <c r="F65" s="223">
        <v>1</v>
      </c>
      <c r="G65" s="132" t="s">
        <v>123</v>
      </c>
      <c r="H65" s="127">
        <f>ROUND((B3/F7)*F65,1)</f>
        <v>0.5</v>
      </c>
      <c r="I65" s="133">
        <f>(B4/F7)*F65</f>
        <v>0.75</v>
      </c>
      <c r="K65" s="222">
        <v>1</v>
      </c>
      <c r="L65" s="132" t="s">
        <v>123</v>
      </c>
      <c r="M65" s="198">
        <f>G7*K65</f>
        <v>2</v>
      </c>
      <c r="N65" s="199">
        <f>H7*K65</f>
        <v>1.33</v>
      </c>
    </row>
    <row r="66" spans="1:14" x14ac:dyDescent="0.25">
      <c r="A66" s="134" t="s">
        <v>124</v>
      </c>
      <c r="B66" s="144">
        <v>0</v>
      </c>
      <c r="C66" s="145">
        <f>B66/B45</f>
        <v>0</v>
      </c>
      <c r="D66" s="146">
        <f>B66/B46</f>
        <v>0</v>
      </c>
      <c r="F66" s="223">
        <v>1</v>
      </c>
      <c r="G66" s="134" t="s">
        <v>124</v>
      </c>
      <c r="H66" s="128">
        <f>ROUND((B3/F8)*F66,1)</f>
        <v>0.2</v>
      </c>
      <c r="I66" s="135">
        <f>(B4/F8)*F66</f>
        <v>0.3</v>
      </c>
      <c r="K66" s="222">
        <v>1</v>
      </c>
      <c r="L66" s="134" t="s">
        <v>124</v>
      </c>
      <c r="M66" s="197">
        <f>G8*K66</f>
        <v>5</v>
      </c>
      <c r="N66" s="200">
        <f>H8*K66</f>
        <v>3.33</v>
      </c>
    </row>
    <row r="67" spans="1:14" ht="15.75" thickBot="1" x14ac:dyDescent="0.3">
      <c r="A67" s="228" t="s">
        <v>125</v>
      </c>
      <c r="B67" s="229">
        <v>0</v>
      </c>
      <c r="C67" s="230">
        <f>B67/B50</f>
        <v>0</v>
      </c>
      <c r="D67" s="231">
        <f>B67/B51</f>
        <v>0</v>
      </c>
      <c r="F67" s="240">
        <v>1</v>
      </c>
      <c r="G67" s="228" t="s">
        <v>125</v>
      </c>
      <c r="H67" s="241">
        <f>ROUND((B3/F9)*F67,1)</f>
        <v>0.1</v>
      </c>
      <c r="I67" s="242">
        <f>(B4/F9)*F67</f>
        <v>0.15</v>
      </c>
      <c r="K67" s="250">
        <v>1</v>
      </c>
      <c r="L67" s="228" t="s">
        <v>125</v>
      </c>
      <c r="M67" s="253">
        <f>G9*K67</f>
        <v>10</v>
      </c>
      <c r="N67" s="254">
        <f>H9*K67</f>
        <v>6.67</v>
      </c>
    </row>
    <row r="68" spans="1:14" x14ac:dyDescent="0.25">
      <c r="A68" s="134" t="s">
        <v>204</v>
      </c>
      <c r="B68" s="144">
        <v>0</v>
      </c>
      <c r="C68" s="145">
        <f t="shared" ref="C68:C84" si="3">G17*B68</f>
        <v>0</v>
      </c>
      <c r="D68" s="146">
        <f t="shared" ref="D68:D84" si="4">H17*B68</f>
        <v>0</v>
      </c>
      <c r="F68" s="223">
        <v>1</v>
      </c>
      <c r="G68" s="134" t="s">
        <v>204</v>
      </c>
      <c r="H68" s="128">
        <f>ROUND(F68/G17,3)</f>
        <v>0.5</v>
      </c>
      <c r="I68" s="135">
        <f>ROUND(F68/H17,3)</f>
        <v>0.752</v>
      </c>
      <c r="K68" s="222">
        <v>1</v>
      </c>
      <c r="L68" s="134" t="s">
        <v>204</v>
      </c>
      <c r="M68" s="197">
        <f t="shared" ref="M68:M84" si="5">G17*K68</f>
        <v>2</v>
      </c>
      <c r="N68" s="200">
        <f t="shared" ref="N68:N84" si="6">H17*K68</f>
        <v>1.33</v>
      </c>
    </row>
    <row r="69" spans="1:14" x14ac:dyDescent="0.25">
      <c r="A69" s="232" t="s">
        <v>207</v>
      </c>
      <c r="B69" s="147">
        <v>0</v>
      </c>
      <c r="C69" s="234">
        <f t="shared" si="3"/>
        <v>0</v>
      </c>
      <c r="D69" s="235">
        <f t="shared" si="4"/>
        <v>0</v>
      </c>
      <c r="F69" s="243">
        <v>1</v>
      </c>
      <c r="G69" s="232" t="s">
        <v>207</v>
      </c>
      <c r="H69" s="244">
        <f>ROUND(F69/G18,3)</f>
        <v>0.28599999999999998</v>
      </c>
      <c r="I69" s="245">
        <f>ROUND(F69/H18,3)</f>
        <v>0.42899999999999999</v>
      </c>
      <c r="K69" s="255">
        <v>1</v>
      </c>
      <c r="L69" s="232" t="s">
        <v>207</v>
      </c>
      <c r="M69" s="256">
        <f t="shared" si="5"/>
        <v>3.5</v>
      </c>
      <c r="N69" s="257">
        <f t="shared" si="6"/>
        <v>2.33</v>
      </c>
    </row>
    <row r="70" spans="1:14" x14ac:dyDescent="0.25">
      <c r="A70" s="134" t="s">
        <v>208</v>
      </c>
      <c r="B70" s="144">
        <v>0</v>
      </c>
      <c r="C70" s="145">
        <f t="shared" si="3"/>
        <v>0</v>
      </c>
      <c r="D70" s="146">
        <f t="shared" si="4"/>
        <v>0</v>
      </c>
      <c r="F70" s="223">
        <v>1</v>
      </c>
      <c r="G70" s="134" t="s">
        <v>208</v>
      </c>
      <c r="H70" s="128">
        <f t="shared" ref="H70:H84" si="7">ROUND(F70/G19,3)</f>
        <v>0.25</v>
      </c>
      <c r="I70" s="135">
        <f t="shared" ref="I70:I84" si="8">ROUND(F70/H19,3)</f>
        <v>0.375</v>
      </c>
      <c r="K70" s="222">
        <v>1</v>
      </c>
      <c r="L70" s="134" t="s">
        <v>208</v>
      </c>
      <c r="M70" s="197">
        <f t="shared" si="5"/>
        <v>4</v>
      </c>
      <c r="N70" s="200">
        <f t="shared" si="6"/>
        <v>2.67</v>
      </c>
    </row>
    <row r="71" spans="1:14" x14ac:dyDescent="0.25">
      <c r="A71" s="132" t="s">
        <v>209</v>
      </c>
      <c r="B71" s="141">
        <v>0</v>
      </c>
      <c r="C71" s="142">
        <f t="shared" si="3"/>
        <v>0</v>
      </c>
      <c r="D71" s="143">
        <f t="shared" si="4"/>
        <v>0</v>
      </c>
      <c r="F71" s="223">
        <v>1</v>
      </c>
      <c r="G71" s="132" t="s">
        <v>209</v>
      </c>
      <c r="H71" s="127">
        <f t="shared" si="7"/>
        <v>0.2</v>
      </c>
      <c r="I71" s="133">
        <f t="shared" si="8"/>
        <v>0.3</v>
      </c>
      <c r="K71" s="222">
        <v>1</v>
      </c>
      <c r="L71" s="132" t="s">
        <v>209</v>
      </c>
      <c r="M71" s="198">
        <f t="shared" si="5"/>
        <v>5</v>
      </c>
      <c r="N71" s="199">
        <f t="shared" si="6"/>
        <v>3.33</v>
      </c>
    </row>
    <row r="72" spans="1:14" x14ac:dyDescent="0.25">
      <c r="A72" s="136" t="s">
        <v>210</v>
      </c>
      <c r="B72" s="233">
        <v>0</v>
      </c>
      <c r="C72" s="148">
        <f t="shared" si="3"/>
        <v>0</v>
      </c>
      <c r="D72" s="149">
        <f t="shared" si="4"/>
        <v>0</v>
      </c>
      <c r="F72" s="243">
        <v>1</v>
      </c>
      <c r="G72" s="136" t="s">
        <v>210</v>
      </c>
      <c r="H72" s="137">
        <f t="shared" si="7"/>
        <v>0.125</v>
      </c>
      <c r="I72" s="138">
        <f t="shared" si="8"/>
        <v>0.188</v>
      </c>
      <c r="K72" s="255">
        <v>1</v>
      </c>
      <c r="L72" s="136" t="s">
        <v>210</v>
      </c>
      <c r="M72" s="201">
        <f t="shared" si="5"/>
        <v>8</v>
      </c>
      <c r="N72" s="202">
        <f t="shared" si="6"/>
        <v>5.33</v>
      </c>
    </row>
    <row r="73" spans="1:14" x14ac:dyDescent="0.25">
      <c r="A73" s="132" t="s">
        <v>211</v>
      </c>
      <c r="B73" s="141">
        <v>0</v>
      </c>
      <c r="C73" s="142">
        <f t="shared" si="3"/>
        <v>0</v>
      </c>
      <c r="D73" s="143">
        <f t="shared" si="4"/>
        <v>0</v>
      </c>
      <c r="F73" s="223">
        <v>1</v>
      </c>
      <c r="G73" s="132" t="s">
        <v>211</v>
      </c>
      <c r="H73" s="127">
        <f t="shared" si="7"/>
        <v>0.1</v>
      </c>
      <c r="I73" s="133">
        <f t="shared" si="8"/>
        <v>0.15</v>
      </c>
      <c r="K73" s="222">
        <v>1</v>
      </c>
      <c r="L73" s="132" t="s">
        <v>211</v>
      </c>
      <c r="M73" s="198">
        <f t="shared" si="5"/>
        <v>10</v>
      </c>
      <c r="N73" s="199">
        <f t="shared" si="6"/>
        <v>6.67</v>
      </c>
    </row>
    <row r="74" spans="1:14" x14ac:dyDescent="0.25">
      <c r="A74" s="134" t="s">
        <v>212</v>
      </c>
      <c r="B74" s="144">
        <v>0</v>
      </c>
      <c r="C74" s="145">
        <f t="shared" si="3"/>
        <v>0</v>
      </c>
      <c r="D74" s="146">
        <f t="shared" si="4"/>
        <v>0</v>
      </c>
      <c r="F74" s="223">
        <v>1</v>
      </c>
      <c r="G74" s="134" t="s">
        <v>212</v>
      </c>
      <c r="H74" s="128">
        <f t="shared" si="7"/>
        <v>7.0999999999999994E-2</v>
      </c>
      <c r="I74" s="135">
        <f t="shared" si="8"/>
        <v>0.107</v>
      </c>
      <c r="K74" s="222">
        <v>1</v>
      </c>
      <c r="L74" s="134" t="s">
        <v>212</v>
      </c>
      <c r="M74" s="197">
        <f>G23*K74</f>
        <v>14</v>
      </c>
      <c r="N74" s="200">
        <f t="shared" si="6"/>
        <v>9.33</v>
      </c>
    </row>
    <row r="75" spans="1:14" x14ac:dyDescent="0.25">
      <c r="A75" s="232" t="s">
        <v>213</v>
      </c>
      <c r="B75" s="147">
        <v>0</v>
      </c>
      <c r="C75" s="234">
        <f t="shared" si="3"/>
        <v>0</v>
      </c>
      <c r="D75" s="235">
        <f t="shared" si="4"/>
        <v>0</v>
      </c>
      <c r="F75" s="243">
        <v>1</v>
      </c>
      <c r="G75" s="232" t="s">
        <v>213</v>
      </c>
      <c r="H75" s="244">
        <f t="shared" si="7"/>
        <v>5.7000000000000002E-2</v>
      </c>
      <c r="I75" s="245">
        <f t="shared" si="8"/>
        <v>8.5999999999999993E-2</v>
      </c>
      <c r="K75" s="255">
        <v>1</v>
      </c>
      <c r="L75" s="232" t="s">
        <v>213</v>
      </c>
      <c r="M75" s="256">
        <f t="shared" si="5"/>
        <v>17.5</v>
      </c>
      <c r="N75" s="257">
        <f t="shared" si="6"/>
        <v>11.67</v>
      </c>
    </row>
    <row r="76" spans="1:14" x14ac:dyDescent="0.25">
      <c r="A76" s="134" t="s">
        <v>214</v>
      </c>
      <c r="B76" s="144">
        <v>0</v>
      </c>
      <c r="C76" s="145">
        <f t="shared" si="3"/>
        <v>0</v>
      </c>
      <c r="D76" s="146">
        <f t="shared" si="4"/>
        <v>0</v>
      </c>
      <c r="F76" s="223">
        <v>1</v>
      </c>
      <c r="G76" s="134" t="s">
        <v>214</v>
      </c>
      <c r="H76" s="128">
        <f t="shared" si="7"/>
        <v>2.9000000000000001E-2</v>
      </c>
      <c r="I76" s="135">
        <f t="shared" si="8"/>
        <v>4.2999999999999997E-2</v>
      </c>
      <c r="K76" s="222">
        <v>1</v>
      </c>
      <c r="L76" s="134" t="s">
        <v>214</v>
      </c>
      <c r="M76" s="197">
        <f t="shared" si="5"/>
        <v>35</v>
      </c>
      <c r="N76" s="200">
        <f t="shared" si="6"/>
        <v>23.33</v>
      </c>
    </row>
    <row r="77" spans="1:14" x14ac:dyDescent="0.25">
      <c r="A77" s="132" t="s">
        <v>215</v>
      </c>
      <c r="B77" s="141">
        <v>0</v>
      </c>
      <c r="C77" s="142">
        <f t="shared" si="3"/>
        <v>0</v>
      </c>
      <c r="D77" s="143">
        <f t="shared" si="4"/>
        <v>0</v>
      </c>
      <c r="F77" s="223">
        <v>1</v>
      </c>
      <c r="G77" s="132" t="s">
        <v>215</v>
      </c>
      <c r="H77" s="127">
        <f t="shared" si="7"/>
        <v>2.5000000000000001E-2</v>
      </c>
      <c r="I77" s="133">
        <f t="shared" si="8"/>
        <v>3.6999999999999998E-2</v>
      </c>
      <c r="K77" s="222">
        <v>1</v>
      </c>
      <c r="L77" s="132" t="s">
        <v>215</v>
      </c>
      <c r="M77" s="198">
        <f t="shared" si="5"/>
        <v>40</v>
      </c>
      <c r="N77" s="199">
        <f t="shared" si="6"/>
        <v>26.67</v>
      </c>
    </row>
    <row r="78" spans="1:14" x14ac:dyDescent="0.25">
      <c r="A78" s="136" t="s">
        <v>216</v>
      </c>
      <c r="B78" s="147">
        <v>0</v>
      </c>
      <c r="C78" s="148">
        <f t="shared" si="3"/>
        <v>0</v>
      </c>
      <c r="D78" s="149">
        <f t="shared" si="4"/>
        <v>0</v>
      </c>
      <c r="F78" s="243">
        <v>1</v>
      </c>
      <c r="G78" s="136" t="s">
        <v>216</v>
      </c>
      <c r="H78" s="137">
        <f t="shared" si="7"/>
        <v>2.1999999999999999E-2</v>
      </c>
      <c r="I78" s="138">
        <f t="shared" si="8"/>
        <v>3.3000000000000002E-2</v>
      </c>
      <c r="K78" s="255">
        <v>1</v>
      </c>
      <c r="L78" s="136" t="s">
        <v>216</v>
      </c>
      <c r="M78" s="201">
        <f t="shared" si="5"/>
        <v>45</v>
      </c>
      <c r="N78" s="202">
        <f t="shared" si="6"/>
        <v>30</v>
      </c>
    </row>
    <row r="79" spans="1:14" x14ac:dyDescent="0.25">
      <c r="A79" s="232" t="s">
        <v>220</v>
      </c>
      <c r="B79" s="233">
        <v>0</v>
      </c>
      <c r="C79" s="234">
        <f t="shared" si="3"/>
        <v>0</v>
      </c>
      <c r="D79" s="235">
        <f t="shared" si="4"/>
        <v>0</v>
      </c>
      <c r="F79" s="246">
        <v>1</v>
      </c>
      <c r="G79" s="247" t="s">
        <v>220</v>
      </c>
      <c r="H79" s="248">
        <f t="shared" si="7"/>
        <v>1.7999999999999999E-2</v>
      </c>
      <c r="I79" s="249">
        <f t="shared" si="8"/>
        <v>2.7E-2</v>
      </c>
      <c r="K79" s="258">
        <v>1</v>
      </c>
      <c r="L79" s="247" t="s">
        <v>220</v>
      </c>
      <c r="M79" s="259">
        <f t="shared" si="5"/>
        <v>55</v>
      </c>
      <c r="N79" s="260">
        <f t="shared" si="6"/>
        <v>36.67</v>
      </c>
    </row>
    <row r="80" spans="1:14" x14ac:dyDescent="0.25">
      <c r="A80" s="134" t="s">
        <v>241</v>
      </c>
      <c r="B80" s="141">
        <v>0</v>
      </c>
      <c r="C80" s="145">
        <f t="shared" si="3"/>
        <v>0</v>
      </c>
      <c r="D80" s="146">
        <f t="shared" si="4"/>
        <v>0</v>
      </c>
      <c r="F80" s="223">
        <v>1</v>
      </c>
      <c r="G80" s="134" t="s">
        <v>414</v>
      </c>
      <c r="H80" s="128">
        <f t="shared" si="7"/>
        <v>1.7000000000000001E-2</v>
      </c>
      <c r="I80" s="135">
        <f t="shared" si="8"/>
        <v>2.5000000000000001E-2</v>
      </c>
      <c r="K80" s="222">
        <v>1</v>
      </c>
      <c r="L80" s="134" t="s">
        <v>241</v>
      </c>
      <c r="M80" s="197">
        <f t="shared" si="5"/>
        <v>60</v>
      </c>
      <c r="N80" s="200">
        <f t="shared" si="6"/>
        <v>40</v>
      </c>
    </row>
    <row r="81" spans="1:14" x14ac:dyDescent="0.25">
      <c r="A81" s="132" t="s">
        <v>242</v>
      </c>
      <c r="B81" s="144">
        <v>0</v>
      </c>
      <c r="C81" s="142">
        <f t="shared" si="3"/>
        <v>0</v>
      </c>
      <c r="D81" s="143">
        <f t="shared" si="4"/>
        <v>0</v>
      </c>
      <c r="F81" s="223">
        <v>1</v>
      </c>
      <c r="G81" s="132" t="s">
        <v>415</v>
      </c>
      <c r="H81" s="127">
        <f t="shared" si="7"/>
        <v>1.4999999999999999E-2</v>
      </c>
      <c r="I81" s="133">
        <f t="shared" si="8"/>
        <v>2.3E-2</v>
      </c>
      <c r="K81" s="222">
        <v>1</v>
      </c>
      <c r="L81" s="132" t="s">
        <v>242</v>
      </c>
      <c r="M81" s="198">
        <f t="shared" si="5"/>
        <v>65</v>
      </c>
      <c r="N81" s="199">
        <f t="shared" si="6"/>
        <v>43.33</v>
      </c>
    </row>
    <row r="82" spans="1:14" x14ac:dyDescent="0.25">
      <c r="A82" s="134" t="s">
        <v>243</v>
      </c>
      <c r="B82" s="141">
        <v>0</v>
      </c>
      <c r="C82" s="145">
        <f t="shared" si="3"/>
        <v>0</v>
      </c>
      <c r="D82" s="146">
        <f t="shared" si="4"/>
        <v>0</v>
      </c>
      <c r="F82" s="223">
        <v>1</v>
      </c>
      <c r="G82" s="134" t="s">
        <v>243</v>
      </c>
      <c r="H82" s="128">
        <f t="shared" si="7"/>
        <v>1.4E-2</v>
      </c>
      <c r="I82" s="135">
        <f t="shared" si="8"/>
        <v>2.1000000000000001E-2</v>
      </c>
      <c r="K82" s="222">
        <v>1</v>
      </c>
      <c r="L82" s="134" t="s">
        <v>243</v>
      </c>
      <c r="M82" s="197">
        <f t="shared" si="5"/>
        <v>70</v>
      </c>
      <c r="N82" s="200">
        <f t="shared" si="6"/>
        <v>46.67</v>
      </c>
    </row>
    <row r="83" spans="1:14" x14ac:dyDescent="0.25">
      <c r="A83" s="132" t="s">
        <v>244</v>
      </c>
      <c r="B83" s="144">
        <v>0</v>
      </c>
      <c r="C83" s="142">
        <f t="shared" si="3"/>
        <v>0</v>
      </c>
      <c r="D83" s="143">
        <f t="shared" si="4"/>
        <v>0</v>
      </c>
      <c r="F83" s="223">
        <v>1</v>
      </c>
      <c r="G83" s="132" t="s">
        <v>244</v>
      </c>
      <c r="H83" s="127">
        <f t="shared" si="7"/>
        <v>1.2999999999999999E-2</v>
      </c>
      <c r="I83" s="133">
        <f t="shared" si="8"/>
        <v>0.02</v>
      </c>
      <c r="K83" s="222">
        <v>1</v>
      </c>
      <c r="L83" s="132" t="s">
        <v>244</v>
      </c>
      <c r="M83" s="198">
        <f t="shared" si="5"/>
        <v>75</v>
      </c>
      <c r="N83" s="199">
        <f t="shared" si="6"/>
        <v>50</v>
      </c>
    </row>
    <row r="84" spans="1:14" ht="15.75" thickBot="1" x14ac:dyDescent="0.3">
      <c r="A84" s="224" t="s">
        <v>250</v>
      </c>
      <c r="B84" s="225">
        <v>0</v>
      </c>
      <c r="C84" s="226">
        <f t="shared" si="3"/>
        <v>0</v>
      </c>
      <c r="D84" s="227">
        <f t="shared" si="4"/>
        <v>0</v>
      </c>
      <c r="F84" s="240">
        <v>1</v>
      </c>
      <c r="G84" s="224" t="s">
        <v>250</v>
      </c>
      <c r="H84" s="238">
        <f t="shared" si="7"/>
        <v>1.2999999999999999E-2</v>
      </c>
      <c r="I84" s="239">
        <f t="shared" si="8"/>
        <v>1.9E-2</v>
      </c>
      <c r="K84" s="250">
        <v>1</v>
      </c>
      <c r="L84" s="224" t="s">
        <v>250</v>
      </c>
      <c r="M84" s="251">
        <f t="shared" si="5"/>
        <v>80</v>
      </c>
      <c r="N84" s="252">
        <f t="shared" si="6"/>
        <v>53.33</v>
      </c>
    </row>
    <row r="85" spans="1:14" x14ac:dyDescent="0.25">
      <c r="A85" s="132" t="s">
        <v>284</v>
      </c>
      <c r="B85" s="103">
        <v>0</v>
      </c>
      <c r="C85" s="142">
        <f>B85*J17</f>
        <v>0</v>
      </c>
      <c r="D85" s="143">
        <f>B85*K17</f>
        <v>0</v>
      </c>
      <c r="F85" s="223">
        <v>1</v>
      </c>
      <c r="G85" s="132" t="s">
        <v>284</v>
      </c>
      <c r="H85" s="127">
        <f>ROUND(F85/J17,2)</f>
        <v>3.53</v>
      </c>
      <c r="I85" s="133">
        <f>ROUND(F85/K17,2)</f>
        <v>9</v>
      </c>
      <c r="K85" s="222">
        <v>1</v>
      </c>
      <c r="L85" s="132" t="s">
        <v>284</v>
      </c>
      <c r="M85" s="198">
        <f>K85*J17</f>
        <v>0.28333333333333333</v>
      </c>
      <c r="N85" s="199">
        <f>K85*K17</f>
        <v>0.11111111111111112</v>
      </c>
    </row>
    <row r="86" spans="1:14" x14ac:dyDescent="0.25">
      <c r="A86" s="136" t="s">
        <v>285</v>
      </c>
      <c r="B86" s="236">
        <v>0</v>
      </c>
      <c r="C86" s="148">
        <f>B86*M17</f>
        <v>0</v>
      </c>
      <c r="D86" s="149">
        <f>B86*N17</f>
        <v>0</v>
      </c>
      <c r="F86" s="243">
        <v>1</v>
      </c>
      <c r="G86" s="136" t="s">
        <v>285</v>
      </c>
      <c r="H86" s="137">
        <f>ROUND(F86/M17,2)</f>
        <v>2</v>
      </c>
      <c r="I86" s="138">
        <f>ROUND(F86/N17,2)</f>
        <v>3</v>
      </c>
      <c r="K86" s="255">
        <v>1</v>
      </c>
      <c r="L86" s="136" t="s">
        <v>285</v>
      </c>
      <c r="M86" s="201">
        <f>K86*M17</f>
        <v>0.5</v>
      </c>
      <c r="N86" s="202">
        <f>K86*N17</f>
        <v>0.33333333333333331</v>
      </c>
    </row>
    <row r="87" spans="1:14" x14ac:dyDescent="0.25">
      <c r="A87" s="132" t="s">
        <v>286</v>
      </c>
      <c r="B87" s="103">
        <v>0</v>
      </c>
      <c r="C87" s="142">
        <f>B87*J18</f>
        <v>0</v>
      </c>
      <c r="D87" s="143">
        <f>B87*K18</f>
        <v>0</v>
      </c>
      <c r="F87" s="223">
        <v>1</v>
      </c>
      <c r="G87" s="132" t="s">
        <v>286</v>
      </c>
      <c r="H87" s="127">
        <f>ROUND(F87/J18,2)</f>
        <v>1.1299999999999999</v>
      </c>
      <c r="I87" s="133">
        <f>ROUND(F87/K18,2)</f>
        <v>2.89</v>
      </c>
      <c r="K87" s="222">
        <v>1</v>
      </c>
      <c r="L87" s="132" t="s">
        <v>286</v>
      </c>
      <c r="M87" s="198">
        <f>K87*J18</f>
        <v>0.8833333333333333</v>
      </c>
      <c r="N87" s="199">
        <f>K87*K18</f>
        <v>0.34640522875816998</v>
      </c>
    </row>
    <row r="88" spans="1:14" x14ac:dyDescent="0.25">
      <c r="A88" s="136" t="s">
        <v>287</v>
      </c>
      <c r="B88" s="236">
        <v>0</v>
      </c>
      <c r="C88" s="148">
        <f>B88*M18</f>
        <v>0</v>
      </c>
      <c r="D88" s="149">
        <f>B88*N18</f>
        <v>0</v>
      </c>
      <c r="F88" s="243">
        <v>1</v>
      </c>
      <c r="G88" s="136" t="s">
        <v>287</v>
      </c>
      <c r="H88" s="137">
        <f>ROUND(F88/M18,2)</f>
        <v>1</v>
      </c>
      <c r="I88" s="138">
        <f>ROUND(F88/N18,2)</f>
        <v>1.5</v>
      </c>
      <c r="K88" s="255">
        <v>1</v>
      </c>
      <c r="L88" s="136" t="s">
        <v>287</v>
      </c>
      <c r="M88" s="201">
        <f>K88*M18</f>
        <v>1</v>
      </c>
      <c r="N88" s="202">
        <f>K88*N18</f>
        <v>0.66666666666666663</v>
      </c>
    </row>
    <row r="89" spans="1:14" x14ac:dyDescent="0.25">
      <c r="A89" s="132" t="s">
        <v>288</v>
      </c>
      <c r="B89" s="103">
        <v>0</v>
      </c>
      <c r="C89" s="142">
        <f>B89*J19</f>
        <v>0</v>
      </c>
      <c r="D89" s="143">
        <f>B89*K19</f>
        <v>0</v>
      </c>
      <c r="F89" s="223">
        <v>1</v>
      </c>
      <c r="G89" s="132" t="s">
        <v>288</v>
      </c>
      <c r="H89" s="127">
        <f>ROUND(F89/J19,2)</f>
        <v>0.6</v>
      </c>
      <c r="I89" s="133">
        <f>ROUND(F89/K19,2)</f>
        <v>1.53</v>
      </c>
      <c r="K89" s="222">
        <v>1</v>
      </c>
      <c r="L89" s="132" t="s">
        <v>288</v>
      </c>
      <c r="M89" s="198">
        <f>K89*J19</f>
        <v>1.6666666666666667</v>
      </c>
      <c r="N89" s="199">
        <f>K89*K19</f>
        <v>0.65359477124183019</v>
      </c>
    </row>
    <row r="90" spans="1:14" x14ac:dyDescent="0.25">
      <c r="A90" s="134" t="s">
        <v>289</v>
      </c>
      <c r="B90" s="103">
        <v>0</v>
      </c>
      <c r="C90" s="145">
        <f>B90*M19</f>
        <v>0</v>
      </c>
      <c r="D90" s="146">
        <f>B90*N19</f>
        <v>0</v>
      </c>
      <c r="F90" s="223">
        <v>1</v>
      </c>
      <c r="G90" s="134" t="s">
        <v>289</v>
      </c>
      <c r="H90" s="128">
        <f>ROUND(F90/M19,2)</f>
        <v>0.6</v>
      </c>
      <c r="I90" s="135">
        <f>ROUND(F90/N19,2)</f>
        <v>1.53</v>
      </c>
      <c r="K90" s="222">
        <v>1</v>
      </c>
      <c r="L90" s="134" t="s">
        <v>289</v>
      </c>
      <c r="M90" s="197">
        <f>K90*M19</f>
        <v>1.6666666666666667</v>
      </c>
      <c r="N90" s="200">
        <f>K90*N19</f>
        <v>0.65359477124183019</v>
      </c>
    </row>
    <row r="91" spans="1:14" x14ac:dyDescent="0.25">
      <c r="A91" s="232" t="s">
        <v>290</v>
      </c>
      <c r="B91" s="236">
        <v>0</v>
      </c>
      <c r="C91" s="234">
        <f>B91*P19</f>
        <v>0</v>
      </c>
      <c r="D91" s="235">
        <f>B91*Q19</f>
        <v>0</v>
      </c>
      <c r="F91" s="243">
        <v>1</v>
      </c>
      <c r="G91" s="232" t="s">
        <v>290</v>
      </c>
      <c r="H91" s="244">
        <f>ROUND(F91/P19,2)</f>
        <v>0.67</v>
      </c>
      <c r="I91" s="245">
        <f>ROUND(F91/Q19,2)</f>
        <v>1</v>
      </c>
      <c r="K91" s="255">
        <v>1</v>
      </c>
      <c r="L91" s="232" t="s">
        <v>290</v>
      </c>
      <c r="M91" s="256">
        <f>K91*P19</f>
        <v>1.5</v>
      </c>
      <c r="N91" s="257">
        <f>K91*Q19</f>
        <v>1</v>
      </c>
    </row>
    <row r="92" spans="1:14" x14ac:dyDescent="0.25">
      <c r="A92" s="134" t="s">
        <v>291</v>
      </c>
      <c r="B92" s="103">
        <v>0</v>
      </c>
      <c r="C92" s="145">
        <f>B92*J20</f>
        <v>0</v>
      </c>
      <c r="D92" s="146">
        <f>B92*K20</f>
        <v>0</v>
      </c>
      <c r="F92" s="223">
        <v>1</v>
      </c>
      <c r="G92" s="134" t="s">
        <v>291</v>
      </c>
      <c r="H92" s="128">
        <f>ROUND(F92/J20,2)</f>
        <v>0.2</v>
      </c>
      <c r="I92" s="135">
        <f>ROUND(F92/K20,2)</f>
        <v>0.51</v>
      </c>
      <c r="K92" s="222">
        <v>1</v>
      </c>
      <c r="L92" s="134" t="s">
        <v>291</v>
      </c>
      <c r="M92" s="197">
        <f>K92*J20</f>
        <v>5</v>
      </c>
      <c r="N92" s="200">
        <f>K92*K20</f>
        <v>1.9607843137254903</v>
      </c>
    </row>
    <row r="93" spans="1:14" x14ac:dyDescent="0.25">
      <c r="A93" s="132" t="s">
        <v>292</v>
      </c>
      <c r="B93" s="103">
        <v>0</v>
      </c>
      <c r="C93" s="142">
        <f>B93*M20</f>
        <v>0</v>
      </c>
      <c r="D93" s="143">
        <f>B93*N20</f>
        <v>0</v>
      </c>
      <c r="F93" s="223">
        <v>1</v>
      </c>
      <c r="G93" s="132" t="s">
        <v>292</v>
      </c>
      <c r="H93" s="127">
        <f>ROUND(F93/M20,2)</f>
        <v>0.2</v>
      </c>
      <c r="I93" s="133">
        <f>ROUND(F93/N20,2)</f>
        <v>0.51</v>
      </c>
      <c r="K93" s="222">
        <v>1</v>
      </c>
      <c r="L93" s="132" t="s">
        <v>292</v>
      </c>
      <c r="M93" s="198">
        <f>K93*M20</f>
        <v>5</v>
      </c>
      <c r="N93" s="199">
        <f>K93*N20</f>
        <v>1.9607843137254903</v>
      </c>
    </row>
    <row r="94" spans="1:14" x14ac:dyDescent="0.25">
      <c r="A94" s="136" t="s">
        <v>293</v>
      </c>
      <c r="B94" s="236">
        <v>0</v>
      </c>
      <c r="C94" s="148">
        <f>B94*P20</f>
        <v>0</v>
      </c>
      <c r="D94" s="149">
        <f>B94*Q20</f>
        <v>0</v>
      </c>
      <c r="F94" s="243">
        <v>1</v>
      </c>
      <c r="G94" s="136" t="s">
        <v>293</v>
      </c>
      <c r="H94" s="137">
        <f>ROUND(F94/P20,2)</f>
        <v>0.67</v>
      </c>
      <c r="I94" s="138">
        <f>ROUND(F94/Q20,2)</f>
        <v>1</v>
      </c>
      <c r="J94" t="s">
        <v>326</v>
      </c>
      <c r="K94" s="255">
        <v>1</v>
      </c>
      <c r="L94" s="136" t="s">
        <v>293</v>
      </c>
      <c r="M94" s="201">
        <f>K94*P20</f>
        <v>1.5</v>
      </c>
      <c r="N94" s="202">
        <f>K94*Q20</f>
        <v>1</v>
      </c>
    </row>
    <row r="95" spans="1:14" x14ac:dyDescent="0.25">
      <c r="A95" s="132" t="s">
        <v>294</v>
      </c>
      <c r="B95" s="103">
        <v>0</v>
      </c>
      <c r="C95" s="142">
        <f>B95*J21</f>
        <v>0</v>
      </c>
      <c r="D95" s="143">
        <f>B95*K21</f>
        <v>0</v>
      </c>
      <c r="F95" s="223">
        <v>1</v>
      </c>
      <c r="G95" s="132" t="s">
        <v>294</v>
      </c>
      <c r="H95" s="127">
        <f>ROUND(F95/J21,2)</f>
        <v>0.1</v>
      </c>
      <c r="I95" s="133">
        <f>ROUND(F95/K21,2)</f>
        <v>0.26</v>
      </c>
      <c r="K95" s="222">
        <v>1</v>
      </c>
      <c r="L95" s="132" t="s">
        <v>294</v>
      </c>
      <c r="M95" s="198">
        <f>K95*J21</f>
        <v>9.6666666666666661</v>
      </c>
      <c r="N95" s="199">
        <f>K95*K21</f>
        <v>3.7908496732026147</v>
      </c>
    </row>
    <row r="96" spans="1:14" x14ac:dyDescent="0.25">
      <c r="A96" s="134" t="s">
        <v>295</v>
      </c>
      <c r="B96" s="103">
        <v>0</v>
      </c>
      <c r="C96" s="145">
        <f>B96*M21</f>
        <v>0</v>
      </c>
      <c r="D96" s="146">
        <f>B96*N21</f>
        <v>0</v>
      </c>
      <c r="F96" s="223">
        <v>1</v>
      </c>
      <c r="G96" s="134" t="s">
        <v>295</v>
      </c>
      <c r="H96" s="128">
        <f>ROUND(F96/M21,2)</f>
        <v>0.1</v>
      </c>
      <c r="I96" s="135">
        <f>ROUND(F96/N21,2)</f>
        <v>0.26</v>
      </c>
      <c r="K96" s="222">
        <v>1</v>
      </c>
      <c r="L96" s="134" t="s">
        <v>295</v>
      </c>
      <c r="M96" s="197">
        <f>K96*M21</f>
        <v>9.6666666666666661</v>
      </c>
      <c r="N96" s="200">
        <f>K96*N21</f>
        <v>3.7908496732026147</v>
      </c>
    </row>
    <row r="97" spans="1:14" x14ac:dyDescent="0.25">
      <c r="A97" s="232" t="s">
        <v>296</v>
      </c>
      <c r="B97" s="236">
        <v>0</v>
      </c>
      <c r="C97" s="234">
        <f>B97*P21</f>
        <v>0</v>
      </c>
      <c r="D97" s="235">
        <f>B97*Q21</f>
        <v>0</v>
      </c>
      <c r="F97" s="243">
        <v>1</v>
      </c>
      <c r="G97" s="232" t="s">
        <v>296</v>
      </c>
      <c r="H97" s="244">
        <f>ROUND(F97/P21,2)</f>
        <v>0.67</v>
      </c>
      <c r="I97" s="245">
        <f>ROUND(F97/Q21,2)</f>
        <v>1</v>
      </c>
      <c r="K97" s="255">
        <v>1</v>
      </c>
      <c r="L97" s="232" t="s">
        <v>296</v>
      </c>
      <c r="M97" s="256">
        <f>K97*P21</f>
        <v>1.5</v>
      </c>
      <c r="N97" s="257">
        <f>K97*Q21</f>
        <v>1</v>
      </c>
    </row>
    <row r="98" spans="1:14" x14ac:dyDescent="0.25">
      <c r="A98" s="134" t="s">
        <v>297</v>
      </c>
      <c r="B98" s="103">
        <v>0</v>
      </c>
      <c r="C98" s="145">
        <f>B98*J22</f>
        <v>0</v>
      </c>
      <c r="D98" s="146">
        <f>B98*K22</f>
        <v>0</v>
      </c>
      <c r="F98" s="223">
        <v>1</v>
      </c>
      <c r="G98" s="134" t="s">
        <v>297</v>
      </c>
      <c r="H98" s="128">
        <f>ROUND(F98/J22,4)</f>
        <v>0.08</v>
      </c>
      <c r="I98" s="135">
        <f>ROUND(F98/K22,4)</f>
        <v>0.20399999999999999</v>
      </c>
      <c r="K98" s="222">
        <v>1</v>
      </c>
      <c r="L98" s="134" t="s">
        <v>297</v>
      </c>
      <c r="M98" s="197">
        <f>K98*J22</f>
        <v>12.5</v>
      </c>
      <c r="N98" s="200">
        <f>K98*K22</f>
        <v>4.9019607843137258</v>
      </c>
    </row>
    <row r="99" spans="1:14" x14ac:dyDescent="0.25">
      <c r="A99" s="132" t="s">
        <v>298</v>
      </c>
      <c r="B99" s="103">
        <v>0</v>
      </c>
      <c r="C99" s="142">
        <f>B99*M22</f>
        <v>0</v>
      </c>
      <c r="D99" s="143">
        <f>B99*N22</f>
        <v>0</v>
      </c>
      <c r="F99" s="223">
        <v>1</v>
      </c>
      <c r="G99" s="132" t="s">
        <v>298</v>
      </c>
      <c r="H99" s="127">
        <f>ROUND(F99/M22,4)</f>
        <v>0.08</v>
      </c>
      <c r="I99" s="133">
        <f>ROUND(F99/N22,4)</f>
        <v>0.20399999999999999</v>
      </c>
      <c r="K99" s="222">
        <v>1</v>
      </c>
      <c r="L99" s="132" t="s">
        <v>298</v>
      </c>
      <c r="M99" s="198">
        <f>K99*M22</f>
        <v>12.5</v>
      </c>
      <c r="N99" s="199">
        <f>K99*N22</f>
        <v>4.9019607843137258</v>
      </c>
    </row>
    <row r="100" spans="1:14" x14ac:dyDescent="0.25">
      <c r="A100" s="134" t="s">
        <v>299</v>
      </c>
      <c r="B100" s="103">
        <v>0</v>
      </c>
      <c r="C100" s="145">
        <f>B100*P22</f>
        <v>0</v>
      </c>
      <c r="D100" s="146">
        <f>B100*Q22</f>
        <v>0</v>
      </c>
      <c r="F100" s="223">
        <v>1</v>
      </c>
      <c r="G100" s="134" t="s">
        <v>299</v>
      </c>
      <c r="H100" s="128">
        <f>ROUND(F100/P22,4)</f>
        <v>0.08</v>
      </c>
      <c r="I100" s="135">
        <f>ROUND(F100/Q22,4)</f>
        <v>0.20399999999999999</v>
      </c>
      <c r="K100" s="222">
        <v>1</v>
      </c>
      <c r="L100" s="134" t="s">
        <v>299</v>
      </c>
      <c r="M100" s="197">
        <f>K100*P22</f>
        <v>12.5</v>
      </c>
      <c r="N100" s="200">
        <f>K100*Q22</f>
        <v>4.9019607843137258</v>
      </c>
    </row>
    <row r="101" spans="1:14" x14ac:dyDescent="0.25">
      <c r="A101" s="232" t="s">
        <v>300</v>
      </c>
      <c r="B101" s="236">
        <v>0</v>
      </c>
      <c r="C101" s="234">
        <f>B101*S22</f>
        <v>0</v>
      </c>
      <c r="D101" s="235">
        <f>B101*T22</f>
        <v>0</v>
      </c>
      <c r="F101" s="243">
        <v>1</v>
      </c>
      <c r="G101" s="232" t="s">
        <v>300</v>
      </c>
      <c r="H101" s="244">
        <f>ROUND(F101/S22,4)</f>
        <v>0.22220000000000001</v>
      </c>
      <c r="I101" s="245">
        <f>ROUND(F101/T22,4)</f>
        <v>0.33329999999999999</v>
      </c>
      <c r="K101" s="255">
        <v>1</v>
      </c>
      <c r="L101" s="232" t="s">
        <v>300</v>
      </c>
      <c r="M101" s="256">
        <f>K101*S22</f>
        <v>4.5</v>
      </c>
      <c r="N101" s="257">
        <f>K101*T22</f>
        <v>3</v>
      </c>
    </row>
    <row r="102" spans="1:14" x14ac:dyDescent="0.25">
      <c r="A102" s="134" t="s">
        <v>301</v>
      </c>
      <c r="B102" s="103">
        <v>0</v>
      </c>
      <c r="C102" s="145">
        <f>B102*J23</f>
        <v>0</v>
      </c>
      <c r="D102" s="146">
        <f>B102*K23</f>
        <v>0</v>
      </c>
      <c r="F102" s="223">
        <v>1</v>
      </c>
      <c r="G102" s="134" t="s">
        <v>301</v>
      </c>
      <c r="H102" s="128">
        <f>ROUND(F102/J23,4)</f>
        <v>7.4999999999999997E-2</v>
      </c>
      <c r="I102" s="135">
        <f>ROUND(F102/K23,4)</f>
        <v>0.1913</v>
      </c>
      <c r="K102" s="222">
        <v>1</v>
      </c>
      <c r="L102" s="134" t="s">
        <v>301</v>
      </c>
      <c r="M102" s="197">
        <f>K102*J23</f>
        <v>13.333333333333334</v>
      </c>
      <c r="N102" s="200">
        <f>K102*K23</f>
        <v>5.2287581699346415</v>
      </c>
    </row>
    <row r="103" spans="1:14" x14ac:dyDescent="0.25">
      <c r="A103" s="132" t="s">
        <v>302</v>
      </c>
      <c r="B103" s="103">
        <v>0</v>
      </c>
      <c r="C103" s="142">
        <f>B103*M23</f>
        <v>0</v>
      </c>
      <c r="D103" s="143">
        <f>B103*N23</f>
        <v>0</v>
      </c>
      <c r="F103" s="223">
        <v>1</v>
      </c>
      <c r="G103" s="132" t="s">
        <v>302</v>
      </c>
      <c r="H103" s="127">
        <f>ROUND(F103/M23,4)</f>
        <v>7.4999999999999997E-2</v>
      </c>
      <c r="I103" s="133">
        <f>ROUND(F103/N23,4)</f>
        <v>0.1913</v>
      </c>
      <c r="K103" s="222">
        <v>1</v>
      </c>
      <c r="L103" s="132" t="s">
        <v>302</v>
      </c>
      <c r="M103" s="198">
        <f>K103*M23</f>
        <v>13.333333333333334</v>
      </c>
      <c r="N103" s="199">
        <f>K103*N23</f>
        <v>5.2287581699346415</v>
      </c>
    </row>
    <row r="104" spans="1:14" x14ac:dyDescent="0.25">
      <c r="A104" s="134" t="s">
        <v>303</v>
      </c>
      <c r="B104" s="103">
        <v>0</v>
      </c>
      <c r="C104" s="145">
        <f>B104*P23</f>
        <v>0</v>
      </c>
      <c r="D104" s="146">
        <f>B104*Q23</f>
        <v>0</v>
      </c>
      <c r="F104" s="223">
        <v>1</v>
      </c>
      <c r="G104" s="134" t="s">
        <v>303</v>
      </c>
      <c r="H104" s="128">
        <f>ROUND(F104/P23,4)</f>
        <v>7.4999999999999997E-2</v>
      </c>
      <c r="I104" s="135">
        <f>ROUND(F104/Q23,4)</f>
        <v>0.1913</v>
      </c>
      <c r="K104" s="222">
        <v>1</v>
      </c>
      <c r="L104" s="134" t="s">
        <v>303</v>
      </c>
      <c r="M104" s="197">
        <f>K104*P23</f>
        <v>13.333333333333334</v>
      </c>
      <c r="N104" s="200">
        <f>K104*Q23</f>
        <v>5.2287581699346415</v>
      </c>
    </row>
    <row r="105" spans="1:14" x14ac:dyDescent="0.25">
      <c r="A105" s="232" t="s">
        <v>304</v>
      </c>
      <c r="B105" s="236">
        <v>0</v>
      </c>
      <c r="C105" s="234">
        <f>B105*S23</f>
        <v>0</v>
      </c>
      <c r="D105" s="235">
        <f>B105*T23</f>
        <v>0</v>
      </c>
      <c r="F105" s="243">
        <v>1</v>
      </c>
      <c r="G105" s="232" t="s">
        <v>304</v>
      </c>
      <c r="H105" s="244">
        <f>ROUND(F105/S23,4)</f>
        <v>0.22220000000000001</v>
      </c>
      <c r="I105" s="245">
        <f>ROUND(F105/T23,4)</f>
        <v>0.33329999999999999</v>
      </c>
      <c r="K105" s="255">
        <v>1</v>
      </c>
      <c r="L105" s="232" t="s">
        <v>304</v>
      </c>
      <c r="M105" s="256">
        <f>K105*S23</f>
        <v>4.5</v>
      </c>
      <c r="N105" s="257">
        <f>K105*T23</f>
        <v>3</v>
      </c>
    </row>
    <row r="106" spans="1:14" x14ac:dyDescent="0.25">
      <c r="A106" s="134" t="s">
        <v>305</v>
      </c>
      <c r="B106" s="103">
        <v>0</v>
      </c>
      <c r="C106" s="145">
        <f>B106*J24</f>
        <v>0</v>
      </c>
      <c r="D106" s="146">
        <f>B106*K24</f>
        <v>0</v>
      </c>
      <c r="F106" s="223">
        <v>1</v>
      </c>
      <c r="G106" s="134" t="s">
        <v>305</v>
      </c>
      <c r="H106" s="128">
        <f>ROUND(F106/J24,4)</f>
        <v>7.0599999999999996E-2</v>
      </c>
      <c r="I106" s="135">
        <f>ROUND(F106/K24,4)</f>
        <v>0.18</v>
      </c>
      <c r="K106" s="222">
        <v>1</v>
      </c>
      <c r="L106" s="134" t="s">
        <v>305</v>
      </c>
      <c r="M106" s="197">
        <f>K106*J24</f>
        <v>14.166666666666666</v>
      </c>
      <c r="N106" s="200">
        <f>K106*K24</f>
        <v>5.5555555555555562</v>
      </c>
    </row>
    <row r="107" spans="1:14" x14ac:dyDescent="0.25">
      <c r="A107" s="132" t="s">
        <v>306</v>
      </c>
      <c r="B107" s="103">
        <v>0</v>
      </c>
      <c r="C107" s="142">
        <f>B107*M24</f>
        <v>0</v>
      </c>
      <c r="D107" s="143">
        <f>B107*N24</f>
        <v>0</v>
      </c>
      <c r="F107" s="223">
        <v>1</v>
      </c>
      <c r="G107" s="132" t="s">
        <v>306</v>
      </c>
      <c r="H107" s="127">
        <f>ROUND(F107/M24,4)</f>
        <v>7.0599999999999996E-2</v>
      </c>
      <c r="I107" s="133">
        <f>ROUND(F107/N24,4)</f>
        <v>0.18</v>
      </c>
      <c r="K107" s="222">
        <v>1</v>
      </c>
      <c r="L107" s="132" t="s">
        <v>306</v>
      </c>
      <c r="M107" s="198">
        <f>K107*M24</f>
        <v>14.166666666666666</v>
      </c>
      <c r="N107" s="199">
        <f>K107*N24</f>
        <v>5.5555555555555562</v>
      </c>
    </row>
    <row r="108" spans="1:14" x14ac:dyDescent="0.25">
      <c r="A108" s="134" t="s">
        <v>307</v>
      </c>
      <c r="B108" s="103">
        <v>0</v>
      </c>
      <c r="C108" s="145">
        <f>B108*P24</f>
        <v>0</v>
      </c>
      <c r="D108" s="146">
        <f>B108*Q24</f>
        <v>0</v>
      </c>
      <c r="F108" s="223">
        <v>1</v>
      </c>
      <c r="G108" s="134" t="s">
        <v>307</v>
      </c>
      <c r="H108" s="128">
        <f>ROUND(F108/P24,4)</f>
        <v>7.0599999999999996E-2</v>
      </c>
      <c r="I108" s="135">
        <f>ROUND(F108/Q24,4)</f>
        <v>0.18</v>
      </c>
      <c r="K108" s="222">
        <v>1</v>
      </c>
      <c r="L108" s="134" t="s">
        <v>307</v>
      </c>
      <c r="M108" s="197">
        <f>K108*P24</f>
        <v>14.166666666666666</v>
      </c>
      <c r="N108" s="200">
        <f>K108*Q24</f>
        <v>5.5555555555555562</v>
      </c>
    </row>
    <row r="109" spans="1:14" x14ac:dyDescent="0.25">
      <c r="A109" s="232" t="s">
        <v>308</v>
      </c>
      <c r="B109" s="236">
        <v>0</v>
      </c>
      <c r="C109" s="234">
        <f>B109*S24</f>
        <v>0</v>
      </c>
      <c r="D109" s="235">
        <f>B109*T24</f>
        <v>0</v>
      </c>
      <c r="F109" s="243">
        <v>1</v>
      </c>
      <c r="G109" s="232" t="s">
        <v>308</v>
      </c>
      <c r="H109" s="244">
        <f>ROUND(F109/S24,4)</f>
        <v>0.22220000000000001</v>
      </c>
      <c r="I109" s="245">
        <f>ROUND(F109/T24,4)</f>
        <v>0.33329999999999999</v>
      </c>
      <c r="K109" s="255">
        <v>1</v>
      </c>
      <c r="L109" s="232" t="s">
        <v>308</v>
      </c>
      <c r="M109" s="256">
        <f>K109*S24</f>
        <v>4.5</v>
      </c>
      <c r="N109" s="257">
        <f>K109*T24</f>
        <v>3</v>
      </c>
    </row>
    <row r="110" spans="1:14" x14ac:dyDescent="0.25">
      <c r="A110" s="134" t="s">
        <v>309</v>
      </c>
      <c r="B110" s="103">
        <v>0</v>
      </c>
      <c r="C110" s="145">
        <f>B110*J25</f>
        <v>0</v>
      </c>
      <c r="D110" s="146">
        <f>B110*K25</f>
        <v>0</v>
      </c>
      <c r="F110" s="223">
        <v>1</v>
      </c>
      <c r="G110" s="134" t="s">
        <v>309</v>
      </c>
      <c r="H110" s="128">
        <f>ROUND(F110/J25,4)</f>
        <v>6.3200000000000006E-2</v>
      </c>
      <c r="I110" s="135">
        <f>ROUND(F110/K25,4)</f>
        <v>0.16109999999999999</v>
      </c>
      <c r="K110" s="222">
        <v>1</v>
      </c>
      <c r="L110" s="134" t="s">
        <v>309</v>
      </c>
      <c r="M110" s="197">
        <f>K110*J25</f>
        <v>15.833333333333334</v>
      </c>
      <c r="N110" s="200">
        <f>K110*K25</f>
        <v>6.2091503267973867</v>
      </c>
    </row>
    <row r="111" spans="1:14" x14ac:dyDescent="0.25">
      <c r="A111" s="132" t="s">
        <v>310</v>
      </c>
      <c r="B111" s="103">
        <v>0</v>
      </c>
      <c r="C111" s="142">
        <f>B111*M25</f>
        <v>0</v>
      </c>
      <c r="D111" s="143">
        <f>B111*N25</f>
        <v>0</v>
      </c>
      <c r="F111" s="223">
        <v>1</v>
      </c>
      <c r="G111" s="132" t="s">
        <v>310</v>
      </c>
      <c r="H111" s="127">
        <f>ROUND(F111/M25,4)</f>
        <v>6.3200000000000006E-2</v>
      </c>
      <c r="I111" s="133">
        <f>ROUND(F111/N25,4)</f>
        <v>0.16109999999999999</v>
      </c>
      <c r="K111" s="222">
        <v>1</v>
      </c>
      <c r="L111" s="132" t="s">
        <v>310</v>
      </c>
      <c r="M111" s="198">
        <f>K111*M25</f>
        <v>15.833333333333334</v>
      </c>
      <c r="N111" s="199">
        <f>K111*N25</f>
        <v>6.2091503267973867</v>
      </c>
    </row>
    <row r="112" spans="1:14" x14ac:dyDescent="0.25">
      <c r="A112" s="134" t="s">
        <v>311</v>
      </c>
      <c r="B112" s="103">
        <v>0</v>
      </c>
      <c r="C112" s="145">
        <f>B112*P25</f>
        <v>0</v>
      </c>
      <c r="D112" s="146">
        <f>B112*Q25</f>
        <v>0</v>
      </c>
      <c r="F112" s="223">
        <v>1</v>
      </c>
      <c r="G112" s="134" t="s">
        <v>311</v>
      </c>
      <c r="H112" s="128">
        <f>ROUND(F112/P25,4)</f>
        <v>6.3200000000000006E-2</v>
      </c>
      <c r="I112" s="135">
        <f>ROUND(F112/Q25,4)</f>
        <v>0.16109999999999999</v>
      </c>
      <c r="K112" s="222">
        <v>1</v>
      </c>
      <c r="L112" s="134" t="s">
        <v>311</v>
      </c>
      <c r="M112" s="197">
        <f>K112*P25</f>
        <v>15.833333333333334</v>
      </c>
      <c r="N112" s="200">
        <f>K112*Q25</f>
        <v>6.2091503267973867</v>
      </c>
    </row>
    <row r="113" spans="1:14" x14ac:dyDescent="0.25">
      <c r="A113" s="232" t="s">
        <v>312</v>
      </c>
      <c r="B113" s="236">
        <v>0</v>
      </c>
      <c r="C113" s="234">
        <f>B113*S25</f>
        <v>0</v>
      </c>
      <c r="D113" s="235">
        <f>B113*T25</f>
        <v>0</v>
      </c>
      <c r="F113" s="243">
        <v>1</v>
      </c>
      <c r="G113" s="232" t="s">
        <v>312</v>
      </c>
      <c r="H113" s="244">
        <f>ROUND(F113/S25,4)</f>
        <v>0.22220000000000001</v>
      </c>
      <c r="I113" s="245">
        <f>ROUND(F113/T25,4)</f>
        <v>0.33329999999999999</v>
      </c>
      <c r="K113" s="255">
        <v>1</v>
      </c>
      <c r="L113" s="232" t="s">
        <v>312</v>
      </c>
      <c r="M113" s="256">
        <f>K113*S25</f>
        <v>4.5</v>
      </c>
      <c r="N113" s="257">
        <f>K113*T25</f>
        <v>3</v>
      </c>
    </row>
    <row r="114" spans="1:14" x14ac:dyDescent="0.25">
      <c r="A114" s="134" t="s">
        <v>313</v>
      </c>
      <c r="B114" s="103">
        <v>0</v>
      </c>
      <c r="C114" s="145">
        <f>B114*J26</f>
        <v>0</v>
      </c>
      <c r="D114" s="146">
        <f>B114*K26</f>
        <v>0</v>
      </c>
      <c r="F114" s="223">
        <v>1</v>
      </c>
      <c r="G114" s="134" t="s">
        <v>313</v>
      </c>
      <c r="H114" s="128">
        <f>ROUND(F114/J26,4)</f>
        <v>4.4400000000000002E-2</v>
      </c>
      <c r="I114" s="135">
        <f>ROUND(F114/K26,4)</f>
        <v>0.1133</v>
      </c>
      <c r="K114" s="222">
        <v>1</v>
      </c>
      <c r="L114" s="134" t="s">
        <v>313</v>
      </c>
      <c r="M114" s="197">
        <f>K114*J26</f>
        <v>22.5</v>
      </c>
      <c r="N114" s="200">
        <f>K114*K26</f>
        <v>8.8235294117647065</v>
      </c>
    </row>
    <row r="115" spans="1:14" x14ac:dyDescent="0.25">
      <c r="A115" s="132" t="s">
        <v>314</v>
      </c>
      <c r="B115" s="103">
        <v>0</v>
      </c>
      <c r="C115" s="142">
        <f>B115*M26</f>
        <v>0</v>
      </c>
      <c r="D115" s="143">
        <f>B115*N26</f>
        <v>0</v>
      </c>
      <c r="F115" s="223">
        <v>1</v>
      </c>
      <c r="G115" s="132" t="s">
        <v>314</v>
      </c>
      <c r="H115" s="127">
        <f>ROUND(F115/M26,4)</f>
        <v>4.4400000000000002E-2</v>
      </c>
      <c r="I115" s="133">
        <f>ROUND(F115/N26,4)</f>
        <v>0.1133</v>
      </c>
      <c r="K115" s="222">
        <v>1</v>
      </c>
      <c r="L115" s="132" t="s">
        <v>314</v>
      </c>
      <c r="M115" s="198">
        <f>K115*M26</f>
        <v>22.5</v>
      </c>
      <c r="N115" s="199">
        <f>K115*N26</f>
        <v>8.8235294117647065</v>
      </c>
    </row>
    <row r="116" spans="1:14" x14ac:dyDescent="0.25">
      <c r="A116" s="134" t="s">
        <v>315</v>
      </c>
      <c r="B116" s="103">
        <v>0</v>
      </c>
      <c r="C116" s="145">
        <f>B116*P26</f>
        <v>0</v>
      </c>
      <c r="D116" s="146">
        <f>B116*Q26</f>
        <v>0</v>
      </c>
      <c r="F116" s="223">
        <v>1</v>
      </c>
      <c r="G116" s="134" t="s">
        <v>315</v>
      </c>
      <c r="H116" s="128">
        <f>ROUND(F116/P26,4)</f>
        <v>4.4400000000000002E-2</v>
      </c>
      <c r="I116" s="135">
        <f>ROUND(F116/Q26,4)</f>
        <v>0.1133</v>
      </c>
      <c r="K116" s="222">
        <v>1</v>
      </c>
      <c r="L116" s="134" t="s">
        <v>315</v>
      </c>
      <c r="M116" s="197">
        <f>K116*P26</f>
        <v>22.5</v>
      </c>
      <c r="N116" s="200">
        <f>K116*Q26</f>
        <v>8.8235294117647065</v>
      </c>
    </row>
    <row r="117" spans="1:14" x14ac:dyDescent="0.25">
      <c r="A117" s="232" t="s">
        <v>316</v>
      </c>
      <c r="B117" s="236">
        <v>0</v>
      </c>
      <c r="C117" s="234">
        <f>B117*S26</f>
        <v>0</v>
      </c>
      <c r="D117" s="235">
        <f>B117*T26</f>
        <v>0</v>
      </c>
      <c r="F117" s="243">
        <v>1</v>
      </c>
      <c r="G117" s="232" t="s">
        <v>316</v>
      </c>
      <c r="H117" s="244">
        <f>ROUND(F117/S26,4)</f>
        <v>0.22220000000000001</v>
      </c>
      <c r="I117" s="245">
        <f>ROUND(F117/T26,4)</f>
        <v>0.33329999999999999</v>
      </c>
      <c r="K117" s="255">
        <v>1</v>
      </c>
      <c r="L117" s="232" t="s">
        <v>316</v>
      </c>
      <c r="M117" s="256">
        <f>K117*S26</f>
        <v>4.5</v>
      </c>
      <c r="N117" s="257">
        <f>K117*T26</f>
        <v>3</v>
      </c>
    </row>
    <row r="118" spans="1:14" x14ac:dyDescent="0.25">
      <c r="A118" s="134" t="s">
        <v>317</v>
      </c>
      <c r="B118" s="103">
        <v>0</v>
      </c>
      <c r="C118" s="145">
        <f>B118*J27</f>
        <v>0</v>
      </c>
      <c r="D118" s="146">
        <f>B118*K27</f>
        <v>0</v>
      </c>
      <c r="F118" s="223">
        <v>1</v>
      </c>
      <c r="G118" s="134" t="s">
        <v>317</v>
      </c>
      <c r="H118" s="128">
        <f>ROUND(F118/J27,4)</f>
        <v>3.8699999999999998E-2</v>
      </c>
      <c r="I118" s="135">
        <f>ROUND(F118/K27,4)</f>
        <v>9.8699999999999996E-2</v>
      </c>
      <c r="K118" s="222">
        <v>1</v>
      </c>
      <c r="L118" s="134" t="s">
        <v>317</v>
      </c>
      <c r="M118" s="197">
        <f>K118*J27</f>
        <v>25.833333333333332</v>
      </c>
      <c r="N118" s="200">
        <f>K118*K27</f>
        <v>10.130718954248367</v>
      </c>
    </row>
    <row r="119" spans="1:14" x14ac:dyDescent="0.25">
      <c r="A119" s="221" t="s">
        <v>318</v>
      </c>
      <c r="B119" s="103">
        <v>0</v>
      </c>
      <c r="C119" s="142">
        <f>B119*M27</f>
        <v>0</v>
      </c>
      <c r="D119" s="143">
        <f>B119*N27</f>
        <v>0</v>
      </c>
      <c r="F119" s="223">
        <v>1</v>
      </c>
      <c r="G119" s="221" t="s">
        <v>318</v>
      </c>
      <c r="H119" s="127">
        <f>ROUND(F119/M27,4)</f>
        <v>3.8699999999999998E-2</v>
      </c>
      <c r="I119" s="133">
        <f>ROUND(F119/N27,4)</f>
        <v>9.8699999999999996E-2</v>
      </c>
      <c r="K119" s="222">
        <v>1</v>
      </c>
      <c r="L119" s="221" t="s">
        <v>318</v>
      </c>
      <c r="M119" s="198">
        <f>K119*M27</f>
        <v>25.833333333333332</v>
      </c>
      <c r="N119" s="199">
        <f>K119*N27</f>
        <v>10.130718954248367</v>
      </c>
    </row>
    <row r="120" spans="1:14" x14ac:dyDescent="0.25">
      <c r="A120" s="134" t="s">
        <v>319</v>
      </c>
      <c r="B120" s="103">
        <v>0</v>
      </c>
      <c r="C120" s="145">
        <f>B120*P27</f>
        <v>0</v>
      </c>
      <c r="D120" s="146">
        <f>B120*Q27</f>
        <v>0</v>
      </c>
      <c r="F120" s="223">
        <v>1</v>
      </c>
      <c r="G120" s="134" t="s">
        <v>319</v>
      </c>
      <c r="H120" s="128">
        <f>ROUND(F120/P27,4)</f>
        <v>3.8699999999999998E-2</v>
      </c>
      <c r="I120" s="135">
        <f>ROUND(F120/Q27,4)</f>
        <v>9.8699999999999996E-2</v>
      </c>
      <c r="K120" s="222">
        <v>1</v>
      </c>
      <c r="L120" s="134" t="s">
        <v>319</v>
      </c>
      <c r="M120" s="197">
        <f>K120*P27</f>
        <v>25.833333333333332</v>
      </c>
      <c r="N120" s="200">
        <f>K120*Q27</f>
        <v>10.130718954248367</v>
      </c>
    </row>
    <row r="121" spans="1:14" x14ac:dyDescent="0.25">
      <c r="A121" s="232" t="s">
        <v>320</v>
      </c>
      <c r="B121" s="236">
        <v>0</v>
      </c>
      <c r="C121" s="234">
        <f>B121*S27</f>
        <v>0</v>
      </c>
      <c r="D121" s="235">
        <f>B121*T27</f>
        <v>0</v>
      </c>
      <c r="F121" s="243">
        <v>1</v>
      </c>
      <c r="G121" s="232" t="s">
        <v>320</v>
      </c>
      <c r="H121" s="244">
        <f>ROUND(F121/S27,4)</f>
        <v>0.22220000000000001</v>
      </c>
      <c r="I121" s="245">
        <f>ROUND(F121/T27,4)</f>
        <v>0.33329999999999999</v>
      </c>
      <c r="K121" s="255">
        <v>1</v>
      </c>
      <c r="L121" s="232" t="s">
        <v>320</v>
      </c>
      <c r="M121" s="256">
        <f>K121*S27</f>
        <v>4.5</v>
      </c>
      <c r="N121" s="257">
        <f>K121*T27</f>
        <v>3</v>
      </c>
    </row>
    <row r="122" spans="1:14" x14ac:dyDescent="0.25">
      <c r="A122" s="134" t="s">
        <v>321</v>
      </c>
      <c r="B122" s="103">
        <v>0</v>
      </c>
      <c r="C122" s="145">
        <f>B122*J28</f>
        <v>0</v>
      </c>
      <c r="D122" s="146">
        <f>B122*K28</f>
        <v>0</v>
      </c>
      <c r="F122" s="223">
        <v>1</v>
      </c>
      <c r="G122" s="134" t="s">
        <v>321</v>
      </c>
      <c r="H122" s="128">
        <f>ROUND(F122/J28,4)</f>
        <v>0.02</v>
      </c>
      <c r="I122" s="135">
        <f>ROUND(F122/K28,4)</f>
        <v>5.0999999999999997E-2</v>
      </c>
      <c r="K122" s="222">
        <v>1</v>
      </c>
      <c r="L122" s="134" t="s">
        <v>321</v>
      </c>
      <c r="M122" s="197">
        <f>K122*J28</f>
        <v>50</v>
      </c>
      <c r="N122" s="200">
        <f>K122*K28</f>
        <v>19.607843137254903</v>
      </c>
    </row>
    <row r="123" spans="1:14" x14ac:dyDescent="0.25">
      <c r="A123" s="132" t="s">
        <v>322</v>
      </c>
      <c r="B123" s="103">
        <v>0</v>
      </c>
      <c r="C123" s="142">
        <f>B123*M28</f>
        <v>0</v>
      </c>
      <c r="D123" s="143">
        <f>B123*N28</f>
        <v>0</v>
      </c>
      <c r="F123" s="223">
        <v>1</v>
      </c>
      <c r="G123" s="132" t="s">
        <v>322</v>
      </c>
      <c r="H123" s="127">
        <f>ROUND(F123/M28,4)</f>
        <v>0.02</v>
      </c>
      <c r="I123" s="133">
        <f>ROUND(F123/N28,4)</f>
        <v>5.0999999999999997E-2</v>
      </c>
      <c r="K123" s="222">
        <v>1</v>
      </c>
      <c r="L123" s="132" t="s">
        <v>322</v>
      </c>
      <c r="M123" s="198">
        <f>K123*M28</f>
        <v>50</v>
      </c>
      <c r="N123" s="199">
        <f>K123*N28</f>
        <v>19.607843137254903</v>
      </c>
    </row>
    <row r="124" spans="1:14" x14ac:dyDescent="0.25">
      <c r="A124" s="134" t="s">
        <v>323</v>
      </c>
      <c r="B124" s="103">
        <v>0</v>
      </c>
      <c r="C124" s="145">
        <f>B124*P28</f>
        <v>0</v>
      </c>
      <c r="D124" s="146">
        <f>B124*Q28</f>
        <v>0</v>
      </c>
      <c r="F124" s="223">
        <v>1</v>
      </c>
      <c r="G124" s="134" t="s">
        <v>323</v>
      </c>
      <c r="H124" s="128">
        <f>ROUND(F124/P28,4)</f>
        <v>0.02</v>
      </c>
      <c r="I124" s="135">
        <f>ROUND(F124/Q28,4)</f>
        <v>5.0999999999999997E-2</v>
      </c>
      <c r="K124" s="222">
        <v>1</v>
      </c>
      <c r="L124" s="134" t="s">
        <v>323</v>
      </c>
      <c r="M124" s="197">
        <f>K124*P28</f>
        <v>50</v>
      </c>
      <c r="N124" s="200">
        <f>K124*Q28</f>
        <v>19.607843137254903</v>
      </c>
    </row>
    <row r="125" spans="1:14" x14ac:dyDescent="0.25">
      <c r="A125" s="237" t="s">
        <v>324</v>
      </c>
      <c r="B125" s="236">
        <v>0</v>
      </c>
      <c r="C125" s="234">
        <f>B125*S28</f>
        <v>0</v>
      </c>
      <c r="D125" s="235">
        <f>B125*T28</f>
        <v>0</v>
      </c>
      <c r="F125" s="243">
        <v>1</v>
      </c>
      <c r="G125" s="237" t="s">
        <v>324</v>
      </c>
      <c r="H125" s="244">
        <f>ROUND(F125/S28,4)</f>
        <v>0.22220000000000001</v>
      </c>
      <c r="I125" s="245">
        <f>ROUND(F125/T28,4)</f>
        <v>0.33329999999999999</v>
      </c>
      <c r="K125" s="255">
        <v>1</v>
      </c>
      <c r="L125" s="237" t="s">
        <v>324</v>
      </c>
      <c r="M125" s="256">
        <f>K125*S28</f>
        <v>4.5</v>
      </c>
      <c r="N125" s="257">
        <f>K125*T28</f>
        <v>3</v>
      </c>
    </row>
    <row r="127" spans="1:14" ht="15.75" thickBot="1" x14ac:dyDescent="0.3">
      <c r="A127" s="274"/>
      <c r="B127" s="275"/>
      <c r="C127" s="275"/>
      <c r="D127" s="276"/>
      <c r="F127" s="274" t="s">
        <v>404</v>
      </c>
      <c r="G127" s="275"/>
      <c r="H127" s="276" t="s">
        <v>406</v>
      </c>
    </row>
    <row r="128" spans="1:14" ht="16.5" thickTop="1" thickBot="1" x14ac:dyDescent="0.3">
      <c r="A128" s="268"/>
      <c r="B128" s="39" t="s">
        <v>126</v>
      </c>
      <c r="C128" s="145">
        <f>ROUND(SUM(C59:C125),1)</f>
        <v>0</v>
      </c>
      <c r="D128" s="263">
        <f>ROUND(SUM(D59:D125),1)</f>
        <v>0</v>
      </c>
      <c r="F128" s="261" t="s">
        <v>403</v>
      </c>
      <c r="G128" s="269"/>
      <c r="H128" s="262" t="s">
        <v>405</v>
      </c>
    </row>
    <row r="129" spans="1:8" ht="15.75" thickTop="1" x14ac:dyDescent="0.25">
      <c r="A129" s="264" t="s">
        <v>127</v>
      </c>
      <c r="B129" s="119">
        <v>10</v>
      </c>
      <c r="C129" s="277"/>
      <c r="D129" s="278"/>
      <c r="F129" s="268"/>
      <c r="G129" s="269"/>
      <c r="H129" s="270"/>
    </row>
    <row r="130" spans="1:8" x14ac:dyDescent="0.25">
      <c r="A130" s="265" t="s">
        <v>47</v>
      </c>
      <c r="B130" s="266">
        <f>IFERROR(1-(B129/C128),0)</f>
        <v>0</v>
      </c>
      <c r="C130" s="279"/>
      <c r="D130" s="270"/>
      <c r="F130" s="268"/>
      <c r="G130" s="269"/>
      <c r="H130" s="270"/>
    </row>
    <row r="131" spans="1:8" x14ac:dyDescent="0.25">
      <c r="A131" s="268"/>
      <c r="B131" s="269"/>
      <c r="C131" s="269"/>
      <c r="D131" s="270"/>
      <c r="F131" s="268"/>
      <c r="G131" s="269"/>
      <c r="H131" s="270"/>
    </row>
    <row r="132" spans="1:8" x14ac:dyDescent="0.25">
      <c r="A132" s="271"/>
      <c r="B132" s="272"/>
      <c r="C132" s="272"/>
      <c r="D132" s="273"/>
      <c r="F132" s="271"/>
      <c r="G132" s="272"/>
      <c r="H132" s="273"/>
    </row>
    <row r="133" spans="1:8" x14ac:dyDescent="0.25">
      <c r="F133" s="267" t="s">
        <v>407</v>
      </c>
    </row>
  </sheetData>
  <mergeCells count="6"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333375</xdr:colOff>
                <xdr:row>129</xdr:row>
                <xdr:rowOff>76200</xdr:rowOff>
              </from>
              <to>
                <xdr:col>3</xdr:col>
                <xdr:colOff>647700</xdr:colOff>
                <xdr:row>131</xdr:row>
                <xdr:rowOff>95250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6" r:id="rId6" name="CommandButton2">
          <controlPr defaultSize="0" autoLine="0" r:id="rId7">
            <anchor moveWithCells="1">
              <from>
                <xdr:col>6</xdr:col>
                <xdr:colOff>19050</xdr:colOff>
                <xdr:row>129</xdr:row>
                <xdr:rowOff>76200</xdr:rowOff>
              </from>
              <to>
                <xdr:col>6</xdr:col>
                <xdr:colOff>1390650</xdr:colOff>
                <xdr:row>131</xdr:row>
                <xdr:rowOff>85725</xdr:rowOff>
              </to>
            </anchor>
          </controlPr>
        </control>
      </mc:Choice>
      <mc:Fallback>
        <control shapeId="8196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�� 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27B0BC59-0E6A-4278-957E-2A6158A5EF58}">
  <ds:schemaRefs/>
</ds:datastoreItem>
</file>

<file path=customXml/itemProps2.xml><?xml version="1.0" encoding="utf-8"?>
<ds:datastoreItem xmlns:ds="http://schemas.openxmlformats.org/officeDocument/2006/customXml" ds:itemID="{72671333-EA01-4E61-9495-0C521CFF4E42}">
  <ds:schemaRefs/>
</ds:datastoreItem>
</file>

<file path=customXml/itemProps3.xml><?xml version="1.0" encoding="utf-8"?>
<ds:datastoreItem xmlns:ds="http://schemas.openxmlformats.org/officeDocument/2006/customXml" ds:itemID="{E4A9B254-DDD8-464F-AF7A-4D112BB6FD8E}">
  <ds:schemaRefs/>
</ds:datastoreItem>
</file>

<file path=customXml/itemProps4.xml><?xml version="1.0" encoding="utf-8"?>
<ds:datastoreItem xmlns:ds="http://schemas.openxmlformats.org/officeDocument/2006/customXml" ds:itemID="{4B5313D3-99C5-44BD-BE39-5926B1C15ED3}">
  <ds:schemaRefs/>
</ds:datastoreItem>
</file>

<file path=customXml/itemProps5.xml><?xml version="1.0" encoding="utf-8"?>
<ds:datastoreItem xmlns:ds="http://schemas.openxmlformats.org/officeDocument/2006/customXml" ds:itemID="{F8AB7AAD-CCBA-4D35-9A0D-E4DC6E01A4E1}">
  <ds:schemaRefs/>
</ds:datastoreItem>
</file>

<file path=customXml/itemProps6.xml><?xml version="1.0" encoding="utf-8"?>
<ds:datastoreItem xmlns:ds="http://schemas.openxmlformats.org/officeDocument/2006/customXml" ds:itemID="{C5CBC30E-2F3A-4931-BF4A-9F61DD9D84E2}">
  <ds:schemaRefs/>
</ds:datastoreItem>
</file>

<file path=customXml/itemProps7.xml><?xml version="1.0" encoding="utf-8"?>
<ds:datastoreItem xmlns:ds="http://schemas.openxmlformats.org/officeDocument/2006/customXml" ds:itemID="{3B5C8196-2348-4D06-B408-7ECE9A09663C}">
  <ds:schemaRefs/>
</ds:datastoreItem>
</file>

<file path=customXml/itemProps8.xml><?xml version="1.0" encoding="utf-8"?>
<ds:datastoreItem xmlns:ds="http://schemas.openxmlformats.org/officeDocument/2006/customXml" ds:itemID="{CA5FF991-C66A-4AAF-AC09-3E8322DE2999}">
  <ds:schemaRefs/>
</ds:datastoreItem>
</file>

<file path=customXml/itemProps9.xml><?xml version="1.0" encoding="utf-8"?>
<ds:datastoreItem xmlns:ds="http://schemas.openxmlformats.org/officeDocument/2006/customXml" ds:itemID="{F11733BD-FDAC-45AD-A0CD-7C4B6266E0CC}">
  <ds:schemaRefs/>
</ds:datastoreItem>
</file>

<file path=customXml/itemProps10.xml><?xml version="1.0" encoding="utf-8"?>
<ds:datastoreItem xmlns:ds="http://schemas.openxmlformats.org/officeDocument/2006/customXml" ds:itemID="{498F0357-19EF-429B-ABBE-9EE0F18B7652}">
  <ds:schemaRefs/>
</ds:datastoreItem>
</file>

<file path=customXml/itemProps11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2.xml><?xml version="1.0" encoding="utf-8"?>
<ds:datastoreItem xmlns:ds="http://schemas.openxmlformats.org/officeDocument/2006/customXml" ds:itemID="{457F4C07-1709-4595-8EC4-6C0DABF04268}">
  <ds:schemaRefs/>
</ds:datastoreItem>
</file>

<file path=customXml/itemProps13.xml><?xml version="1.0" encoding="utf-8"?>
<ds:datastoreItem xmlns:ds="http://schemas.openxmlformats.org/officeDocument/2006/customXml" ds:itemID="{E68C531D-A362-4FEB-8EB6-C7E4117D7A69}">
  <ds:schemaRefs/>
</ds:datastoreItem>
</file>

<file path=customXml/itemProps1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8428E760-B837-43D3-BFB6-FA3F00E4351C}">
  <ds:schemaRefs/>
</ds:datastoreItem>
</file>

<file path=customXml/itemProps16.xml><?xml version="1.0" encoding="utf-8"?>
<ds:datastoreItem xmlns:ds="http://schemas.openxmlformats.org/officeDocument/2006/customXml" ds:itemID="{09DE11B8-3459-491D-8BA8-7D75F0234420}">
  <ds:schemaRefs/>
</ds:datastoreItem>
</file>

<file path=customXml/itemProps17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</ds:schemaRefs>
</ds:datastoreItem>
</file>

<file path=customXml/itemProps18.xml><?xml version="1.0" encoding="utf-8"?>
<ds:datastoreItem xmlns:ds="http://schemas.openxmlformats.org/officeDocument/2006/customXml" ds:itemID="{F92C5DF9-F10E-4F67-A74E-2A3531B26D44}">
  <ds:schemaRefs/>
</ds:datastoreItem>
</file>

<file path=customXml/itemProps19.xml><?xml version="1.0" encoding="utf-8"?>
<ds:datastoreItem xmlns:ds="http://schemas.openxmlformats.org/officeDocument/2006/customXml" ds:itemID="{A502F854-1DC8-4930-AC9B-4F60D9DD5EEF}">
  <ds:schemaRefs/>
</ds:datastoreItem>
</file>

<file path=customXml/itemProps20.xml><?xml version="1.0" encoding="utf-8"?>
<ds:datastoreItem xmlns:ds="http://schemas.openxmlformats.org/officeDocument/2006/customXml" ds:itemID="{5C670962-9690-435C-A5BE-6413D7595FD6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14FA3DBF-3D10-4CEC-9C13-2B643DF1E106}">
  <ds:schemaRefs/>
</ds:datastoreItem>
</file>

<file path=customXml/itemProps23.xml><?xml version="1.0" encoding="utf-8"?>
<ds:datastoreItem xmlns:ds="http://schemas.openxmlformats.org/officeDocument/2006/customXml" ds:itemID="{73EAB481-866B-4C0F-8627-26832E150B4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2019-09-09T12:03:37Z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