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6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S12" i="12" l="1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Q12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P12" i="12"/>
  <c r="AP38" i="13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DN11" i="9"/>
  <c r="DN7" i="9"/>
  <c r="DK11" i="9"/>
  <c r="DK9" i="9"/>
  <c r="DK8" i="9"/>
  <c r="DK7" i="9"/>
  <c r="DK16" i="9" s="1"/>
  <c r="DC16" i="9"/>
  <c r="DC15" i="9"/>
  <c r="DC14" i="9"/>
  <c r="DC11" i="9"/>
  <c r="DF11" i="9" s="1"/>
  <c r="DC9" i="9"/>
  <c r="DC8" i="9"/>
  <c r="DC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M13" i="9"/>
  <c r="CM14" i="9"/>
  <c r="CM15" i="9"/>
  <c r="CX11" i="9"/>
  <c r="CX7" i="9"/>
  <c r="CU16" i="9"/>
  <c r="CU15" i="9"/>
  <c r="CU13" i="9"/>
  <c r="CU8" i="9"/>
  <c r="CU11" i="9"/>
  <c r="CU9" i="9"/>
  <c r="CU7" i="9"/>
  <c r="CP11" i="9"/>
  <c r="CP7" i="9"/>
  <c r="CM16" i="9"/>
  <c r="CM11" i="9"/>
  <c r="CM9" i="9"/>
  <c r="CM7" i="9"/>
  <c r="CM8" i="9"/>
  <c r="DF24" i="9"/>
  <c r="CX25" i="9"/>
  <c r="CP23" i="9"/>
  <c r="DN22" i="9"/>
  <c r="DF23" i="9"/>
  <c r="CX22" i="9"/>
  <c r="DN25" i="9"/>
  <c r="DF22" i="9"/>
  <c r="DN24" i="9"/>
  <c r="DN23" i="9"/>
  <c r="CX23" i="9"/>
  <c r="CP24" i="9"/>
  <c r="DF25" i="9"/>
  <c r="CX24" i="9"/>
  <c r="CP22" i="9"/>
  <c r="CP25" i="9"/>
  <c r="DO23" i="9" l="1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CY25" i="9"/>
  <c r="CY24" i="9"/>
  <c r="CY23" i="9"/>
  <c r="CY22" i="9"/>
  <c r="CQ24" i="9"/>
  <c r="CQ25" i="9"/>
  <c r="CQ23" i="9"/>
  <c r="CQ22" i="9"/>
  <c r="CU14" i="9"/>
  <c r="DK6" i="9" l="1"/>
  <c r="DN6" i="9" s="1"/>
  <c r="DC6" i="9"/>
  <c r="AN12" i="13"/>
  <c r="CU6" i="9"/>
  <c r="E11" i="16" l="1"/>
  <c r="DF6" i="9"/>
  <c r="E10" i="16"/>
  <c r="CX6" i="9"/>
  <c r="E9" i="16"/>
  <c r="AN13" i="13"/>
  <c r="AN14" i="13" l="1"/>
  <c r="AN15" i="13" l="1"/>
  <c r="AN16" i="13" l="1"/>
  <c r="AN17" i="13" l="1"/>
  <c r="AN18" i="13" l="1"/>
  <c r="AN19" i="13" l="1"/>
  <c r="AN20" i="13" l="1"/>
  <c r="AN21" i="13" l="1"/>
  <c r="AN22" i="13" l="1"/>
  <c r="AN23" i="13" l="1"/>
  <c r="AN24" i="13" l="1"/>
  <c r="AN25" i="13" l="1"/>
  <c r="AN26" i="13" l="1"/>
  <c r="AN27" i="13" l="1"/>
  <c r="AN28" i="13" l="1"/>
  <c r="AN29" i="13" l="1"/>
  <c r="AN30" i="13" l="1"/>
  <c r="AN31" i="13" l="1"/>
  <c r="AN32" i="13" l="1"/>
  <c r="AN33" i="13" l="1"/>
  <c r="AN34" i="13" l="1"/>
  <c r="AN35" i="13" l="1"/>
  <c r="AN36" i="13" l="1"/>
  <c r="AN37" i="13" l="1"/>
  <c r="AN38" i="13" l="1"/>
  <c r="Q55" i="3" l="1"/>
  <c r="Q56" i="3"/>
  <c r="Q57" i="3"/>
  <c r="Q58" i="3"/>
  <c r="Q59" i="3"/>
  <c r="Q51" i="3"/>
  <c r="Q52" i="3"/>
  <c r="Q53" i="3"/>
  <c r="S53" i="3" s="1"/>
  <c r="Q54" i="3"/>
  <c r="S54" i="3" s="1"/>
  <c r="Q50" i="3"/>
  <c r="L50" i="3"/>
  <c r="S52" i="3"/>
  <c r="S59" i="3" l="1"/>
  <c r="S58" i="3"/>
  <c r="S57" i="3"/>
  <c r="S56" i="3"/>
  <c r="S55" i="3"/>
  <c r="S51" i="3"/>
  <c r="U50" i="3"/>
  <c r="N12" i="12" l="1"/>
  <c r="T12" i="12" s="1"/>
  <c r="N14" i="12"/>
  <c r="N13" i="12"/>
  <c r="N101" i="12"/>
  <c r="N33" i="12"/>
  <c r="N17" i="12"/>
  <c r="N118" i="12"/>
  <c r="N88" i="12"/>
  <c r="N66" i="12"/>
  <c r="N67" i="12"/>
  <c r="N32" i="12"/>
  <c r="N25" i="12"/>
  <c r="N102" i="12"/>
  <c r="N48" i="12"/>
  <c r="N23" i="12"/>
  <c r="N15" i="12"/>
  <c r="N16" i="12"/>
  <c r="N119" i="12"/>
  <c r="N69" i="12"/>
  <c r="N68" i="12"/>
  <c r="N90" i="12"/>
  <c r="N42" i="12"/>
  <c r="N98" i="12"/>
  <c r="N19" i="12"/>
  <c r="N18" i="12"/>
  <c r="N49" i="12"/>
  <c r="N70" i="12"/>
  <c r="N71" i="12"/>
  <c r="N87" i="12"/>
  <c r="N83" i="12"/>
  <c r="N74" i="12"/>
  <c r="N120" i="12"/>
  <c r="N124" i="12"/>
  <c r="N21" i="12"/>
  <c r="N96" i="12"/>
  <c r="N97" i="12"/>
  <c r="N135" i="12"/>
  <c r="N86" i="12"/>
  <c r="N117" i="12"/>
  <c r="N46" i="12"/>
  <c r="N50" i="12"/>
  <c r="N51" i="12"/>
  <c r="N114" i="12"/>
  <c r="N115" i="12"/>
  <c r="N116" i="12"/>
  <c r="N126" i="12"/>
  <c r="N82" i="12"/>
  <c r="N52" i="12"/>
  <c r="N94" i="12"/>
  <c r="N95" i="12"/>
  <c r="N93" i="12"/>
  <c r="N92" i="12"/>
  <c r="N22" i="12"/>
  <c r="N76" i="12"/>
  <c r="N64" i="12"/>
  <c r="N58" i="12"/>
  <c r="N104" i="12"/>
  <c r="N103" i="12"/>
  <c r="N57" i="12"/>
  <c r="N60" i="12"/>
  <c r="N59" i="12"/>
  <c r="N56" i="12"/>
  <c r="N34" i="12"/>
  <c r="N35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8" i="12"/>
  <c r="N130" i="12"/>
  <c r="N132" i="12"/>
  <c r="N133" i="12"/>
  <c r="N131" i="12"/>
  <c r="N129" i="12"/>
  <c r="N127" i="12"/>
  <c r="N29" i="12"/>
  <c r="N79" i="12"/>
  <c r="N45" i="12"/>
  <c r="N31" i="12"/>
  <c r="N30" i="12"/>
  <c r="N78" i="12"/>
  <c r="N77" i="12"/>
  <c r="N24" i="12"/>
  <c r="N75" i="12"/>
  <c r="N111" i="12"/>
  <c r="N110" i="12"/>
  <c r="N137" i="12"/>
  <c r="N139" i="12"/>
  <c r="N143" i="12"/>
  <c r="N138" i="12"/>
  <c r="N141" i="12"/>
  <c r="N142" i="12"/>
  <c r="N140" i="12"/>
  <c r="N106" i="12"/>
  <c r="N109" i="12"/>
  <c r="N107" i="12"/>
  <c r="N108" i="12"/>
  <c r="N47" i="12"/>
  <c r="N62" i="12"/>
  <c r="N63" i="12"/>
  <c r="N136" i="12"/>
  <c r="N65" i="12"/>
  <c r="N99" i="12"/>
  <c r="N41" i="12"/>
  <c r="N40" i="12"/>
  <c r="N54" i="12"/>
  <c r="N53" i="12"/>
  <c r="N72" i="12"/>
  <c r="N73" i="12"/>
  <c r="N84" i="12"/>
  <c r="N85" i="12"/>
  <c r="N43" i="12"/>
  <c r="N125" i="12"/>
  <c r="N105" i="12"/>
  <c r="N112" i="12"/>
  <c r="N81" i="12"/>
  <c r="N89" i="12"/>
  <c r="N80" i="12"/>
  <c r="N28" i="12"/>
  <c r="BJ300" i="9"/>
  <c r="BJ237" i="9"/>
  <c r="BJ218" i="9"/>
  <c r="BJ197" i="9"/>
  <c r="BJ134" i="9"/>
  <c r="BJ158" i="9"/>
  <c r="BJ198" i="9"/>
  <c r="BJ259" i="9"/>
  <c r="BJ284" i="9"/>
  <c r="CH59" i="9"/>
  <c r="CH516" i="9"/>
  <c r="CH548" i="9"/>
  <c r="CH363" i="9"/>
  <c r="CH380" i="9"/>
  <c r="CH370" i="9"/>
  <c r="CH215" i="9"/>
  <c r="CH759" i="9"/>
  <c r="CH651" i="9"/>
  <c r="CH246" i="9"/>
  <c r="CH451" i="9"/>
  <c r="CH298" i="9"/>
  <c r="BJ38" i="9"/>
  <c r="BJ71" i="9"/>
  <c r="BJ170" i="9"/>
  <c r="BJ176" i="9"/>
  <c r="BJ248" i="9"/>
  <c r="BJ286" i="9"/>
  <c r="BJ118" i="9"/>
  <c r="BJ235" i="9"/>
  <c r="BJ292" i="9"/>
  <c r="CH352" i="9"/>
  <c r="CH357" i="9"/>
  <c r="CH405" i="9"/>
  <c r="CH703" i="9"/>
  <c r="CH414" i="9"/>
  <c r="CH537" i="9"/>
  <c r="CH569" i="9"/>
  <c r="CH347" i="9"/>
  <c r="CH163" i="9"/>
  <c r="CH39" i="9"/>
  <c r="CH478" i="9"/>
  <c r="CH771" i="9"/>
  <c r="BJ78" i="9"/>
  <c r="BJ75" i="9"/>
  <c r="BJ220" i="9"/>
  <c r="BJ153" i="9"/>
  <c r="BJ240" i="9"/>
  <c r="BJ44" i="9"/>
  <c r="BJ22" i="9"/>
  <c r="BJ55" i="9"/>
  <c r="BJ123" i="9"/>
  <c r="CH621" i="9"/>
  <c r="CH647" i="9"/>
  <c r="CH675" i="9"/>
  <c r="CH45" i="9"/>
  <c r="CH732" i="9"/>
  <c r="CH747" i="9"/>
  <c r="CH834" i="9"/>
  <c r="CH184" i="9"/>
  <c r="CH435" i="9"/>
  <c r="CH36" i="9"/>
  <c r="CH425" i="9"/>
  <c r="CH302" i="9"/>
  <c r="BJ164" i="9"/>
  <c r="BJ88" i="9"/>
  <c r="BJ125" i="9"/>
  <c r="BJ30" i="9"/>
  <c r="BJ279" i="9"/>
  <c r="BJ320" i="9"/>
  <c r="BJ64" i="9"/>
  <c r="BJ149" i="9"/>
  <c r="BJ80" i="9"/>
  <c r="CH474" i="9"/>
  <c r="CH355" i="9"/>
  <c r="CH373" i="9"/>
  <c r="CH221" i="9"/>
  <c r="CH492" i="9"/>
  <c r="CH529" i="9"/>
  <c r="CH169" i="9"/>
  <c r="CH814" i="9"/>
  <c r="CH94" i="9"/>
  <c r="CH748" i="9"/>
  <c r="CH223" i="9"/>
  <c r="CH85" i="9"/>
  <c r="BJ313" i="9"/>
  <c r="BJ131" i="9"/>
  <c r="BJ178" i="9"/>
  <c r="BJ201" i="9"/>
  <c r="BJ228" i="9"/>
  <c r="BJ34" i="9"/>
  <c r="BJ241" i="9"/>
  <c r="BJ264" i="9"/>
  <c r="BJ175" i="9"/>
  <c r="BJ289" i="9"/>
  <c r="CH505" i="9"/>
  <c r="CH667" i="9"/>
  <c r="CH573" i="9"/>
  <c r="CH760" i="9"/>
  <c r="CH607" i="9"/>
  <c r="CH610" i="9"/>
  <c r="CH426" i="9"/>
  <c r="CH415" i="9"/>
  <c r="CH266" i="9"/>
  <c r="CH861" i="9"/>
  <c r="CH256" i="9"/>
  <c r="BJ124" i="9"/>
  <c r="CH375" i="9"/>
  <c r="CH605" i="9"/>
  <c r="CH206" i="9"/>
  <c r="CH570" i="9"/>
  <c r="CH398" i="9"/>
  <c r="CH164" i="9"/>
  <c r="CH565" i="9"/>
  <c r="CH455" i="9"/>
  <c r="CH849" i="9"/>
  <c r="CH320" i="9"/>
  <c r="BJ37" i="9"/>
  <c r="BJ65" i="9"/>
  <c r="BJ223" i="9"/>
  <c r="BJ144" i="9"/>
  <c r="BJ137" i="9"/>
  <c r="BJ159" i="9"/>
  <c r="BJ98" i="9"/>
  <c r="BJ332" i="9"/>
  <c r="BJ45" i="9"/>
  <c r="CH181" i="9"/>
  <c r="CH823" i="9"/>
  <c r="CH417" i="9"/>
  <c r="CH755" i="9"/>
  <c r="CH500" i="9"/>
  <c r="CH811" i="9"/>
  <c r="CH126" i="9"/>
  <c r="CH73" i="9"/>
  <c r="CH438" i="9"/>
  <c r="CH783" i="9"/>
  <c r="CH56" i="9"/>
  <c r="CH27" i="9"/>
  <c r="BJ43" i="9"/>
  <c r="BJ27" i="9"/>
  <c r="BJ56" i="9"/>
  <c r="BJ301" i="9"/>
  <c r="BJ336" i="9"/>
  <c r="BJ50" i="9"/>
  <c r="BJ317" i="9"/>
  <c r="BJ242" i="9"/>
  <c r="BJ251" i="9"/>
  <c r="CH161" i="9"/>
  <c r="CH383" i="9"/>
  <c r="CH271" i="9"/>
  <c r="CH795" i="9"/>
  <c r="CH642" i="9"/>
  <c r="CH108" i="9"/>
  <c r="CH753" i="9"/>
  <c r="CH429" i="9"/>
  <c r="CH372" i="9"/>
  <c r="CH418" i="9"/>
  <c r="CH66" i="9"/>
  <c r="CH606" i="9"/>
  <c r="BJ345" i="9"/>
  <c r="BJ249" i="9"/>
  <c r="BJ196" i="9"/>
  <c r="BJ122" i="9"/>
  <c r="BJ246" i="9"/>
  <c r="BJ219" i="9"/>
  <c r="BJ206" i="9"/>
  <c r="BJ192" i="9"/>
  <c r="BJ147" i="9"/>
  <c r="CH815" i="9"/>
  <c r="CH744" i="9"/>
  <c r="CH269" i="9"/>
  <c r="CH138" i="9"/>
  <c r="CH766" i="9"/>
  <c r="CH722" i="9"/>
  <c r="CH344" i="9"/>
  <c r="CH75" i="9"/>
  <c r="CH338" i="9"/>
  <c r="CH684" i="9"/>
  <c r="CH160" i="9"/>
  <c r="CH91" i="9"/>
  <c r="BJ121" i="9"/>
  <c r="BJ156" i="9"/>
  <c r="BJ187" i="9"/>
  <c r="BJ166" i="9"/>
  <c r="BJ173" i="9"/>
  <c r="BJ305" i="9"/>
  <c r="BJ97" i="9"/>
  <c r="BJ230" i="9"/>
  <c r="BJ145" i="9"/>
  <c r="CH757" i="9"/>
  <c r="CH196" i="9"/>
  <c r="CH267" i="9"/>
  <c r="CH791" i="9"/>
  <c r="CH82" i="9"/>
  <c r="CH460" i="9"/>
  <c r="CH687" i="9"/>
  <c r="CH761" i="9"/>
  <c r="CH98" i="9"/>
  <c r="CH724" i="9"/>
  <c r="CH473" i="9"/>
  <c r="CH770" i="9"/>
  <c r="BJ207" i="9"/>
  <c r="BJ133" i="9"/>
  <c r="BJ347" i="9"/>
  <c r="BJ107" i="9"/>
  <c r="BJ182" i="9"/>
  <c r="BJ216" i="9"/>
  <c r="BJ294" i="9"/>
  <c r="BJ258" i="9"/>
  <c r="BJ318" i="9"/>
  <c r="CH475" i="9"/>
  <c r="CH512" i="9"/>
  <c r="CH374" i="9"/>
  <c r="CH134" i="9"/>
  <c r="CH396" i="9"/>
  <c r="CH440" i="9"/>
  <c r="CH560" i="9"/>
  <c r="CH180" i="9"/>
  <c r="CH416" i="9"/>
  <c r="CH268" i="9"/>
  <c r="CH701" i="9"/>
  <c r="BJ270" i="9"/>
  <c r="BJ91" i="9"/>
  <c r="CH860" i="9"/>
  <c r="CH749" i="9"/>
  <c r="CH545" i="9"/>
  <c r="CH575" i="9"/>
  <c r="CH636" i="9"/>
  <c r="CH312" i="9"/>
  <c r="CH170" i="9"/>
  <c r="CH742" i="9"/>
  <c r="CH199" i="9"/>
  <c r="CH559" i="9"/>
  <c r="BJ277" i="9"/>
  <c r="BJ202" i="9"/>
  <c r="BJ232" i="9"/>
  <c r="BJ42" i="9"/>
  <c r="BJ66" i="9"/>
  <c r="BJ161" i="9"/>
  <c r="BJ211" i="9"/>
  <c r="BJ60" i="9"/>
  <c r="BJ47" i="9"/>
  <c r="CH245" i="9"/>
  <c r="CH776" i="9"/>
  <c r="CH750" i="9"/>
  <c r="CH229" i="9"/>
  <c r="CH25" i="9"/>
  <c r="CH779" i="9"/>
  <c r="CH340" i="9"/>
  <c r="CH495" i="9"/>
  <c r="CH358" i="9"/>
  <c r="CH738" i="9"/>
  <c r="CH453" i="9"/>
  <c r="CH773" i="9"/>
  <c r="BJ350" i="9"/>
  <c r="BJ77" i="9"/>
  <c r="BJ268" i="9"/>
  <c r="BJ257" i="9"/>
  <c r="BJ203" i="9"/>
  <c r="BJ233" i="9"/>
  <c r="BJ177" i="9"/>
  <c r="BJ157" i="9"/>
  <c r="BJ53" i="9"/>
  <c r="CH353" i="9"/>
  <c r="CH660" i="9"/>
  <c r="CH751" i="9"/>
  <c r="CH806" i="9"/>
  <c r="CH242" i="9"/>
  <c r="CH113" i="9"/>
  <c r="CH726" i="9"/>
  <c r="CH297" i="9"/>
  <c r="CH540" i="9"/>
  <c r="CH129" i="9"/>
  <c r="CH72" i="9"/>
  <c r="CH99" i="9"/>
  <c r="BJ263" i="9"/>
  <c r="BJ117" i="9"/>
  <c r="BJ333" i="9"/>
  <c r="BJ46" i="9"/>
  <c r="BJ69" i="9"/>
  <c r="BJ189" i="9"/>
  <c r="BJ99" i="9"/>
  <c r="BJ174" i="9"/>
  <c r="BJ287" i="9"/>
  <c r="CH491" i="9"/>
  <c r="CH30" i="9"/>
  <c r="CH466" i="9"/>
  <c r="CH287" i="9"/>
  <c r="CH301" i="9"/>
  <c r="CH542" i="9"/>
  <c r="CH275" i="9"/>
  <c r="CH765" i="9"/>
  <c r="CH101" i="9"/>
  <c r="CH784" i="9"/>
  <c r="CH172" i="9"/>
  <c r="CH774" i="9"/>
  <c r="BJ215" i="9"/>
  <c r="BJ199" i="9"/>
  <c r="BJ278" i="9"/>
  <c r="BJ39" i="9"/>
  <c r="BJ351" i="9"/>
  <c r="BJ127" i="9"/>
  <c r="BJ208" i="9"/>
  <c r="BJ139" i="9"/>
  <c r="BJ348" i="9"/>
  <c r="CH626" i="9"/>
  <c r="CH866" i="9"/>
  <c r="CH679" i="9"/>
  <c r="CH279" i="9"/>
  <c r="CH767" i="9"/>
  <c r="CH539" i="9"/>
  <c r="CH613" i="9"/>
  <c r="CH629" i="9"/>
  <c r="CH342" i="9"/>
  <c r="CH685" i="9"/>
  <c r="CH61" i="9"/>
  <c r="CH518" i="9"/>
  <c r="BJ167" i="9"/>
  <c r="BJ243" i="9"/>
  <c r="BJ265" i="9"/>
  <c r="BJ35" i="9"/>
  <c r="BJ273" i="9"/>
  <c r="BJ325" i="9"/>
  <c r="BJ141" i="9"/>
  <c r="BJ150" i="9"/>
  <c r="BJ41" i="9"/>
  <c r="CH483" i="9"/>
  <c r="CH520" i="9"/>
  <c r="CH676" i="9"/>
  <c r="CH137" i="9"/>
  <c r="CH632" i="9"/>
  <c r="CH534" i="9"/>
  <c r="CH125" i="9"/>
  <c r="CH70" i="9"/>
  <c r="CH437" i="9"/>
  <c r="CH681" i="9"/>
  <c r="CH23" i="9"/>
  <c r="BJ68" i="9"/>
  <c r="BJ252" i="9"/>
  <c r="CH78" i="9"/>
  <c r="CH350" i="9"/>
  <c r="CH554" i="9"/>
  <c r="CH222" i="9"/>
  <c r="CH507" i="9"/>
  <c r="CH851" i="9"/>
  <c r="CH786" i="9"/>
  <c r="CH188" i="9"/>
  <c r="CH734" i="9"/>
  <c r="CH566" i="9"/>
  <c r="CH235" i="9"/>
  <c r="CH230" i="9"/>
  <c r="CH591" i="9"/>
  <c r="CH728" i="9"/>
  <c r="CH127" i="9"/>
  <c r="CH844" i="9"/>
  <c r="BJ254" i="9"/>
  <c r="CH623" i="9"/>
  <c r="CH855" i="9"/>
  <c r="CH654" i="9"/>
  <c r="CH174" i="9"/>
  <c r="BJ180" i="9"/>
  <c r="BJ113" i="9"/>
  <c r="BJ105" i="9"/>
  <c r="BJ349" i="9"/>
  <c r="BJ116" i="9"/>
  <c r="BJ132" i="9"/>
  <c r="BJ101" i="9"/>
  <c r="BJ184" i="9"/>
  <c r="BJ224" i="9"/>
  <c r="CH397" i="9"/>
  <c r="CH202" i="9"/>
  <c r="CH323" i="9"/>
  <c r="CH620" i="9"/>
  <c r="CH515" i="9"/>
  <c r="CH403" i="9"/>
  <c r="CH578" i="9"/>
  <c r="CH381" i="9"/>
  <c r="CH205" i="9"/>
  <c r="CH690" i="9"/>
  <c r="CH490" i="9"/>
  <c r="BJ92" i="9"/>
  <c r="BJ130" i="9"/>
  <c r="BJ319" i="9"/>
  <c r="BJ312" i="9"/>
  <c r="BJ51" i="9"/>
  <c r="BJ314" i="9"/>
  <c r="BJ238" i="9"/>
  <c r="BJ82" i="9"/>
  <c r="BJ342" i="9"/>
  <c r="BJ59" i="9"/>
  <c r="CH191" i="9"/>
  <c r="CH313" i="9"/>
  <c r="CH361" i="9"/>
  <c r="CH741" i="9"/>
  <c r="CH824" i="9"/>
  <c r="CH556" i="9"/>
  <c r="CH53" i="9"/>
  <c r="CH510" i="9"/>
  <c r="CH443" i="9"/>
  <c r="CH789" i="9"/>
  <c r="CH494" i="9"/>
  <c r="CH658" i="9"/>
  <c r="BJ48" i="9"/>
  <c r="BJ33" i="9"/>
  <c r="BJ183" i="9"/>
  <c r="BJ221" i="9"/>
  <c r="BJ295" i="9"/>
  <c r="BJ234" i="9"/>
  <c r="BJ40" i="9"/>
  <c r="BJ23" i="9"/>
  <c r="BJ226" i="9"/>
  <c r="CH189" i="9"/>
  <c r="CH735" i="9"/>
  <c r="CH123" i="9"/>
  <c r="CH392" i="9"/>
  <c r="CH90" i="9"/>
  <c r="CH404" i="9"/>
  <c r="CH754" i="9"/>
  <c r="CH431" i="9"/>
  <c r="CH31" i="9"/>
  <c r="CH693" i="9"/>
  <c r="CH427" i="9"/>
  <c r="CH528" i="9"/>
  <c r="BJ179" i="9"/>
  <c r="BJ119" i="9"/>
  <c r="BJ291" i="9"/>
  <c r="BJ186" i="9"/>
  <c r="BJ106" i="9"/>
  <c r="BJ330" i="9"/>
  <c r="BJ36" i="9"/>
  <c r="BJ236" i="9"/>
  <c r="BJ302" i="9"/>
  <c r="CH74" i="9"/>
  <c r="CH243" i="9"/>
  <c r="CH120" i="9"/>
  <c r="CH251" i="9"/>
  <c r="CH769" i="9"/>
  <c r="CH265" i="9"/>
  <c r="CH839" i="9"/>
  <c r="CH257" i="9"/>
  <c r="CH249" i="9"/>
  <c r="CH40" i="9"/>
  <c r="CH489" i="9"/>
  <c r="CH826" i="9"/>
  <c r="BJ285" i="9"/>
  <c r="BJ281" i="9"/>
  <c r="BJ227" i="9"/>
  <c r="BJ276" i="9"/>
  <c r="BJ311" i="9"/>
  <c r="BJ93" i="9"/>
  <c r="BJ165" i="9"/>
  <c r="BJ90" i="9"/>
  <c r="BJ115" i="9"/>
  <c r="CH807" i="9"/>
  <c r="CH653" i="9"/>
  <c r="CH321" i="9"/>
  <c r="CH226" i="9"/>
  <c r="CH430" i="9"/>
  <c r="CH462" i="9"/>
  <c r="CH325" i="9"/>
  <c r="CH720" i="9"/>
  <c r="CH201" i="9"/>
  <c r="CH216" i="9"/>
  <c r="CH341" i="9"/>
  <c r="BJ326" i="9"/>
  <c r="BJ304" i="9"/>
  <c r="CH531" i="9"/>
  <c r="CH259" i="9"/>
  <c r="CH557" i="9"/>
  <c r="CH813" i="9"/>
  <c r="BJ140" i="9"/>
  <c r="BJ85" i="9"/>
  <c r="BJ168" i="9"/>
  <c r="BJ63" i="9"/>
  <c r="BJ49" i="9"/>
  <c r="BJ209" i="9"/>
  <c r="BJ74" i="9"/>
  <c r="BJ146" i="9"/>
  <c r="BJ28" i="9"/>
  <c r="BJ104" i="9"/>
  <c r="CH190" i="9"/>
  <c r="CH829" i="9"/>
  <c r="CH378" i="9"/>
  <c r="CH452" i="9"/>
  <c r="CH306" i="9"/>
  <c r="CH609" i="9"/>
  <c r="CH719" i="9"/>
  <c r="CH508" i="9"/>
  <c r="CH109" i="9"/>
  <c r="CH132" i="9"/>
  <c r="CH493" i="9"/>
  <c r="BJ341" i="9"/>
  <c r="BJ151" i="9"/>
  <c r="BJ193" i="9"/>
  <c r="BJ260" i="9"/>
  <c r="BJ57" i="9"/>
  <c r="BJ271" i="9"/>
  <c r="BJ61" i="9"/>
  <c r="BJ306" i="9"/>
  <c r="BJ114" i="9"/>
  <c r="CH286" i="9"/>
  <c r="CH743" i="9"/>
  <c r="CH805" i="9"/>
  <c r="CH857" i="9"/>
  <c r="CH71" i="9"/>
  <c r="CH400" i="9"/>
  <c r="CH782" i="9"/>
  <c r="CH290" i="9"/>
  <c r="CH648" i="9"/>
  <c r="CH211" i="9"/>
  <c r="CH176" i="9"/>
  <c r="CH296" i="9"/>
  <c r="BJ112" i="9"/>
  <c r="BJ52" i="9"/>
  <c r="BJ190" i="9"/>
  <c r="BJ162" i="9"/>
  <c r="BJ94" i="9"/>
  <c r="BJ143" i="9"/>
  <c r="BJ239" i="9"/>
  <c r="BJ109" i="9"/>
  <c r="BJ343" i="9"/>
  <c r="BJ266" i="9"/>
  <c r="CH637" i="9"/>
  <c r="CH665" i="9"/>
  <c r="CH691" i="9"/>
  <c r="CH487" i="9"/>
  <c r="CH524" i="9"/>
  <c r="CH35" i="9"/>
  <c r="CH155" i="9"/>
  <c r="CH457" i="9"/>
  <c r="CH208" i="9"/>
  <c r="CH42" i="9"/>
  <c r="CH496" i="9"/>
  <c r="CH533" i="9"/>
  <c r="BJ222" i="9"/>
  <c r="BJ212" i="9"/>
  <c r="BJ299" i="9"/>
  <c r="BJ128" i="9"/>
  <c r="BJ256" i="9"/>
  <c r="BJ58" i="9"/>
  <c r="BJ262" i="9"/>
  <c r="BJ337" i="9"/>
  <c r="BJ86" i="9"/>
  <c r="CH499" i="9"/>
  <c r="CH808" i="9"/>
  <c r="CH469" i="9"/>
  <c r="CH60" i="9"/>
  <c r="CH433" i="9"/>
  <c r="CH339" i="9"/>
  <c r="CH136" i="9"/>
  <c r="CH639" i="9"/>
  <c r="CH778" i="9"/>
  <c r="CH130" i="9"/>
  <c r="CH291" i="9"/>
  <c r="CH530" i="9"/>
  <c r="BJ110" i="9"/>
  <c r="BJ282" i="9"/>
  <c r="BJ89" i="9"/>
  <c r="BJ296" i="9"/>
  <c r="BJ76" i="9"/>
  <c r="BJ225" i="9"/>
  <c r="BJ275" i="9"/>
  <c r="BJ135" i="9"/>
  <c r="BJ329" i="9"/>
  <c r="CH77" i="9"/>
  <c r="CH308" i="9"/>
  <c r="CH467" i="9"/>
  <c r="CH54" i="9"/>
  <c r="CH511" i="9"/>
  <c r="CH544" i="9"/>
  <c r="CH41" i="9"/>
  <c r="CH635" i="9"/>
  <c r="CH536" i="9"/>
  <c r="CH568" i="9"/>
  <c r="CH185" i="9"/>
  <c r="BJ250" i="9"/>
  <c r="CH476" i="9"/>
  <c r="CH322" i="9"/>
  <c r="CH652" i="9"/>
  <c r="CH725" i="9"/>
  <c r="CH486" i="9"/>
  <c r="CH307" i="9"/>
  <c r="BJ231" i="9"/>
  <c r="BJ155" i="9"/>
  <c r="CH253" i="9"/>
  <c r="CH159" i="9"/>
  <c r="BJ298" i="9"/>
  <c r="CH772" i="9"/>
  <c r="CH488" i="9"/>
  <c r="BJ272" i="9"/>
  <c r="BJ129" i="9"/>
  <c r="CH731" i="9"/>
  <c r="CH364" i="9"/>
  <c r="BJ54" i="9"/>
  <c r="CH86" i="9"/>
  <c r="CH729" i="9"/>
  <c r="BJ327" i="9"/>
  <c r="BJ323" i="9"/>
  <c r="CH62" i="9"/>
  <c r="CH752" i="9"/>
  <c r="CH175" i="9"/>
  <c r="CH737" i="9"/>
  <c r="CH92" i="9"/>
  <c r="CH345" i="9"/>
  <c r="CH601" i="9"/>
  <c r="CH602" i="9"/>
  <c r="CH371" i="9"/>
  <c r="CH84" i="9"/>
  <c r="BJ213" i="9"/>
  <c r="BJ293" i="9"/>
  <c r="CH661" i="9"/>
  <c r="CH103" i="9"/>
  <c r="CH694" i="9"/>
  <c r="CH819" i="9"/>
  <c r="CH165" i="9"/>
  <c r="CH468" i="9"/>
  <c r="CH394" i="9"/>
  <c r="CH525" i="9"/>
  <c r="CH270" i="9"/>
  <c r="CH224" i="9"/>
  <c r="CH865" i="9"/>
  <c r="CH236" i="9"/>
  <c r="CH351" i="9"/>
  <c r="BJ290" i="9"/>
  <c r="CH837" i="9"/>
  <c r="CH118" i="9"/>
  <c r="BJ102" i="9"/>
  <c r="BJ210" i="9"/>
  <c r="CH228" i="9"/>
  <c r="CH564" i="9"/>
  <c r="CH318" i="9"/>
  <c r="CH362" i="9"/>
  <c r="CH192" i="9"/>
  <c r="CH666" i="9"/>
  <c r="CH274" i="9"/>
  <c r="CH76" i="9"/>
  <c r="CH459" i="9"/>
  <c r="CH121" i="9"/>
  <c r="CH798" i="9"/>
  <c r="CH862" i="9"/>
  <c r="CH379" i="9"/>
  <c r="CH412" i="9"/>
  <c r="CH715" i="9"/>
  <c r="CH334" i="9"/>
  <c r="CH464" i="9"/>
  <c r="CH135" i="9"/>
  <c r="CH150" i="9"/>
  <c r="BJ83" i="9"/>
  <c r="CH79" i="9"/>
  <c r="CH614" i="9"/>
  <c r="CH746" i="9"/>
  <c r="CH407" i="9"/>
  <c r="CH627" i="9"/>
  <c r="CH608" i="9"/>
  <c r="CH387" i="9"/>
  <c r="CH24" i="9"/>
  <c r="CH604" i="9"/>
  <c r="CH210" i="9"/>
  <c r="CH859" i="9"/>
  <c r="CH346" i="9"/>
  <c r="CH794" i="9"/>
  <c r="CH131" i="9"/>
  <c r="CH57" i="9"/>
  <c r="CH33" i="9"/>
  <c r="CH599" i="9"/>
  <c r="BJ195" i="9"/>
  <c r="CH218" i="9"/>
  <c r="CH207" i="9"/>
  <c r="CH110" i="9"/>
  <c r="CH787" i="9"/>
  <c r="CH258" i="9"/>
  <c r="CH104" i="9"/>
  <c r="CH448" i="9"/>
  <c r="CH456" i="9"/>
  <c r="CH850" i="9"/>
  <c r="CH831" i="9"/>
  <c r="CH587" i="9"/>
  <c r="CH583" i="9"/>
  <c r="BJ171" i="9"/>
  <c r="CH848" i="9"/>
  <c r="CH168" i="9"/>
  <c r="CH327" i="9"/>
  <c r="CH698" i="9"/>
  <c r="CH241" i="9"/>
  <c r="CH763" i="9"/>
  <c r="CH447" i="9"/>
  <c r="BJ79" i="9"/>
  <c r="CH278" i="9"/>
  <c r="CH385" i="9"/>
  <c r="BJ204" i="9"/>
  <c r="CH856" i="9"/>
  <c r="CH38" i="9"/>
  <c r="CH434" i="9"/>
  <c r="CH670" i="9"/>
  <c r="CH497" i="9"/>
  <c r="CH717" i="9"/>
  <c r="CH145" i="9"/>
  <c r="CH710" i="9"/>
  <c r="CH239" i="9"/>
  <c r="CH822" i="9"/>
  <c r="CH615" i="9"/>
  <c r="CH193" i="9"/>
  <c r="BJ346" i="9"/>
  <c r="BJ316" i="9"/>
  <c r="CH197" i="9"/>
  <c r="CH295" i="9"/>
  <c r="BJ255" i="9"/>
  <c r="CH445" i="9"/>
  <c r="CH775" i="9"/>
  <c r="BJ324" i="9"/>
  <c r="BJ283" i="9"/>
  <c r="CH745" i="9"/>
  <c r="CH502" i="9"/>
  <c r="BJ138" i="9"/>
  <c r="CH541" i="9"/>
  <c r="CH195" i="9"/>
  <c r="BJ303" i="9"/>
  <c r="BJ340" i="9"/>
  <c r="CH399" i="9"/>
  <c r="CH818" i="9"/>
  <c r="CH395" i="9"/>
  <c r="CH171" i="9"/>
  <c r="CH664" i="9"/>
  <c r="CH450" i="9"/>
  <c r="CH333" i="9"/>
  <c r="CH234" i="9"/>
  <c r="CH852" i="9"/>
  <c r="CH305" i="9"/>
  <c r="BJ335" i="9"/>
  <c r="BJ108" i="9"/>
  <c r="CH762" i="9"/>
  <c r="CH316" i="9"/>
  <c r="CH577" i="9"/>
  <c r="CH503" i="9"/>
  <c r="CH663" i="9"/>
  <c r="CH273" i="9"/>
  <c r="CH292" i="9"/>
  <c r="CH458" i="9"/>
  <c r="CH214" i="9"/>
  <c r="CH708" i="9"/>
  <c r="CH280" i="9"/>
  <c r="CH409" i="9"/>
  <c r="CH799" i="9"/>
  <c r="BJ315" i="9"/>
  <c r="CH80" i="9"/>
  <c r="CH697" i="9"/>
  <c r="BJ25" i="9"/>
  <c r="BJ253" i="9"/>
  <c r="CH638" i="9"/>
  <c r="CH179" i="9"/>
  <c r="CH376" i="9"/>
  <c r="CH756" i="9"/>
  <c r="CH26" i="9"/>
  <c r="CH32" i="9"/>
  <c r="CH858" i="9"/>
  <c r="CH633" i="9"/>
  <c r="CH535" i="9"/>
  <c r="CH853" i="9"/>
  <c r="CH49" i="9"/>
  <c r="CH864" i="9"/>
  <c r="CH144" i="9"/>
  <c r="CH617" i="9"/>
  <c r="CH140" i="9"/>
  <c r="BJ154" i="9"/>
  <c r="CH419" i="9"/>
  <c r="CH368" i="9"/>
  <c r="CH792" i="9"/>
  <c r="BJ24" i="9"/>
  <c r="CH532" i="9"/>
  <c r="CH501" i="9"/>
  <c r="CH441" i="9"/>
  <c r="CH689" i="9"/>
  <c r="CH428" i="9"/>
  <c r="CH200" i="9"/>
  <c r="CH561" i="9"/>
  <c r="CH485" i="9"/>
  <c r="CH721" i="9"/>
  <c r="CH555" i="9"/>
  <c r="CH46" i="9"/>
  <c r="CH597" i="9"/>
  <c r="CH51" i="9"/>
  <c r="CH262" i="9"/>
  <c r="CH454" i="9"/>
  <c r="CH272" i="9"/>
  <c r="BJ188" i="9"/>
  <c r="BJ191" i="9"/>
  <c r="CH64" i="9"/>
  <c r="CH551" i="9"/>
  <c r="CH668" i="9"/>
  <c r="CH219" i="9"/>
  <c r="CH309" i="9"/>
  <c r="CH845" i="9"/>
  <c r="CH843" i="9"/>
  <c r="CH29" i="9"/>
  <c r="CH854" i="9"/>
  <c r="CH509" i="9"/>
  <c r="CH367" i="9"/>
  <c r="CH634" i="9"/>
  <c r="CH827" i="9"/>
  <c r="CH702" i="9"/>
  <c r="CH683" i="9"/>
  <c r="CH198" i="9"/>
  <c r="CH688" i="9"/>
  <c r="CH67" i="9"/>
  <c r="CH248" i="9"/>
  <c r="BJ96" i="9"/>
  <c r="CH482" i="9"/>
  <c r="CH471" i="9"/>
  <c r="BJ163" i="9"/>
  <c r="BJ245" i="9"/>
  <c r="CH343" i="9"/>
  <c r="BJ344" i="9"/>
  <c r="BJ280" i="9"/>
  <c r="CH44" i="9"/>
  <c r="CH809" i="9"/>
  <c r="BJ29" i="9"/>
  <c r="CH391" i="9"/>
  <c r="CH119" i="9"/>
  <c r="BJ152" i="9"/>
  <c r="BJ309" i="9"/>
  <c r="CH420" i="9"/>
  <c r="CH359" i="9"/>
  <c r="BJ339" i="9"/>
  <c r="BJ95" i="9"/>
  <c r="CH212" i="9"/>
  <c r="BJ288" i="9"/>
  <c r="CH646" i="9"/>
  <c r="CH618" i="9"/>
  <c r="CH672" i="9"/>
  <c r="CH281" i="9"/>
  <c r="CH727" i="9"/>
  <c r="CH152" i="9"/>
  <c r="CH328" i="9"/>
  <c r="CH812" i="9"/>
  <c r="BJ160" i="9"/>
  <c r="CH261" i="9"/>
  <c r="CH657" i="9"/>
  <c r="CH546" i="9"/>
  <c r="CH52" i="9"/>
  <c r="CH88" i="9"/>
  <c r="CH543" i="9"/>
  <c r="CH276" i="9"/>
  <c r="CH498" i="9"/>
  <c r="CH203" i="9"/>
  <c r="CH124" i="9"/>
  <c r="CH595" i="9"/>
  <c r="CH365" i="9"/>
  <c r="CH796" i="9"/>
  <c r="CH237" i="9"/>
  <c r="CH830" i="9"/>
  <c r="CH299" i="9"/>
  <c r="CH790" i="9"/>
  <c r="BJ103" i="9"/>
  <c r="BJ194" i="9"/>
  <c r="CH401" i="9"/>
  <c r="CH156" i="9"/>
  <c r="CH389" i="9"/>
  <c r="CH481" i="9"/>
  <c r="CH519" i="9"/>
  <c r="CH360" i="9"/>
  <c r="CH581" i="9"/>
  <c r="CH87" i="9"/>
  <c r="CH315" i="9"/>
  <c r="CH572" i="9"/>
  <c r="CH139" i="9"/>
  <c r="CH616" i="9"/>
  <c r="CH714" i="9"/>
  <c r="CH366" i="9"/>
  <c r="CH716" i="9"/>
  <c r="BJ62" i="9"/>
  <c r="CH89" i="9"/>
  <c r="CH81" i="9"/>
  <c r="CH588" i="9"/>
  <c r="BJ229" i="9"/>
  <c r="CH390" i="9"/>
  <c r="CH311" i="9"/>
  <c r="CH402" i="9"/>
  <c r="CH696" i="9"/>
  <c r="CH293" i="9"/>
  <c r="CH166" i="9"/>
  <c r="CH567" i="9"/>
  <c r="CH69" i="9"/>
  <c r="CH655" i="9"/>
  <c r="CH558" i="9"/>
  <c r="CH47" i="9"/>
  <c r="CH804" i="9"/>
  <c r="CH50" i="9"/>
  <c r="CH645" i="9"/>
  <c r="CH547" i="9"/>
  <c r="CH335" i="9"/>
  <c r="BJ214" i="9"/>
  <c r="BJ26" i="9"/>
  <c r="CH28" i="9"/>
  <c r="CH186" i="9"/>
  <c r="CH678" i="9"/>
  <c r="CH55" i="9"/>
  <c r="CH303" i="9"/>
  <c r="CH112" i="9"/>
  <c r="CH329" i="9"/>
  <c r="CH369" i="9"/>
  <c r="CH461" i="9"/>
  <c r="CH835" i="9"/>
  <c r="CH801" i="9"/>
  <c r="CH283" i="9"/>
  <c r="CH506" i="9"/>
  <c r="CH348" i="9"/>
  <c r="CH141" i="9"/>
  <c r="CH594" i="9"/>
  <c r="BJ181" i="9"/>
  <c r="CH93" i="9"/>
  <c r="CH611" i="9"/>
  <c r="CH34" i="9"/>
  <c r="CH821" i="9"/>
  <c r="CH158" i="9"/>
  <c r="CH706" i="9"/>
  <c r="CH472" i="9"/>
  <c r="CH600" i="9"/>
  <c r="CH411" i="9"/>
  <c r="CH820" i="9"/>
  <c r="CH149" i="9"/>
  <c r="CH709" i="9"/>
  <c r="CH336" i="9"/>
  <c r="CH867" i="9"/>
  <c r="CH828" i="9"/>
  <c r="CH285" i="9"/>
  <c r="CH686" i="9"/>
  <c r="CH209" i="9"/>
  <c r="CH470" i="9"/>
  <c r="BJ142" i="9"/>
  <c r="BJ172" i="9"/>
  <c r="CH641" i="9"/>
  <c r="CH289" i="9"/>
  <c r="BJ297" i="9"/>
  <c r="BJ331" i="9"/>
  <c r="CH630" i="9"/>
  <c r="CH585" i="9"/>
  <c r="BJ87" i="9"/>
  <c r="CH194" i="9"/>
  <c r="CH758" i="9"/>
  <c r="BJ73" i="9"/>
  <c r="BJ217" i="9"/>
  <c r="CH183" i="9"/>
  <c r="CH422" i="9"/>
  <c r="BJ328" i="9"/>
  <c r="CH162" i="9"/>
  <c r="CH423" i="9"/>
  <c r="CH733" i="9"/>
  <c r="CH157" i="9"/>
  <c r="CH393" i="9"/>
  <c r="CH465" i="9"/>
  <c r="CH277" i="9"/>
  <c r="CH793" i="9"/>
  <c r="CH337" i="9"/>
  <c r="CH413" i="9"/>
  <c r="CH589" i="9"/>
  <c r="BJ244" i="9"/>
  <c r="CH446" i="9"/>
  <c r="CH832" i="9"/>
  <c r="CH213" i="9"/>
  <c r="CH178" i="9"/>
  <c r="CH517" i="9"/>
  <c r="CH781" i="9"/>
  <c r="CH580" i="9"/>
  <c r="CH354" i="9"/>
  <c r="CH386" i="9"/>
  <c r="CH692" i="9"/>
  <c r="CH584" i="9"/>
  <c r="CH800" i="9"/>
  <c r="CH148" i="9"/>
  <c r="CH154" i="9"/>
  <c r="CH650" i="9"/>
  <c r="CH204" i="9"/>
  <c r="CH225" i="9"/>
  <c r="BJ322" i="9"/>
  <c r="CH817" i="9"/>
  <c r="CH574" i="9"/>
  <c r="CH656" i="9"/>
  <c r="CH833" i="9"/>
  <c r="CH625" i="9"/>
  <c r="CH97" i="9"/>
  <c r="CH736" i="9"/>
  <c r="CH252" i="9"/>
  <c r="CH432" i="9"/>
  <c r="CH111" i="9"/>
  <c r="CH576" i="9"/>
  <c r="CH282" i="9"/>
  <c r="CH410" i="9"/>
  <c r="CH238" i="9"/>
  <c r="CH803" i="9"/>
  <c r="CH48" i="9"/>
  <c r="BJ247" i="9"/>
  <c r="CH521" i="9"/>
  <c r="CH768" i="9"/>
  <c r="BJ148" i="9"/>
  <c r="BJ100" i="9"/>
  <c r="CH177" i="9"/>
  <c r="CH739" i="9"/>
  <c r="CH549" i="9"/>
  <c r="CH330" i="9"/>
  <c r="CH504" i="9"/>
  <c r="CH463" i="9"/>
  <c r="CH571" i="9"/>
  <c r="CH187" i="9"/>
  <c r="CH100" i="9"/>
  <c r="CH563" i="9"/>
  <c r="CH711" i="9"/>
  <c r="CH590" i="9"/>
  <c r="CH227" i="9"/>
  <c r="CH43" i="9"/>
  <c r="CH603" i="9"/>
  <c r="BJ70" i="9"/>
  <c r="CH349" i="9"/>
  <c r="CH484" i="9"/>
  <c r="CH95" i="9"/>
  <c r="CH582" i="9"/>
  <c r="CH326" i="9"/>
  <c r="CH477" i="9"/>
  <c r="CH167" i="9"/>
  <c r="CH106" i="9"/>
  <c r="CH220" i="9"/>
  <c r="CH331" i="9"/>
  <c r="CH622" i="9"/>
  <c r="CH553" i="9"/>
  <c r="BJ111" i="9"/>
  <c r="CH680" i="9"/>
  <c r="CH838" i="9"/>
  <c r="CH332" i="9"/>
  <c r="CH718" i="9"/>
  <c r="BJ67" i="9"/>
  <c r="CH514" i="9"/>
  <c r="CH105" i="9"/>
  <c r="CH695" i="9"/>
  <c r="BJ338" i="9"/>
  <c r="CH671" i="9"/>
  <c r="CH147" i="9"/>
  <c r="CH662" i="9"/>
  <c r="CH538" i="9"/>
  <c r="BJ274" i="9"/>
  <c r="CH107" i="9"/>
  <c r="CH356" i="9"/>
  <c r="BJ169" i="9"/>
  <c r="BJ321" i="9"/>
  <c r="CH264" i="9"/>
  <c r="CH300" i="9"/>
  <c r="BJ185" i="9"/>
  <c r="CH442" i="9"/>
  <c r="CH260" i="9"/>
  <c r="BJ81" i="9"/>
  <c r="BJ32" i="9"/>
  <c r="CH96" i="9"/>
  <c r="CH764" i="9"/>
  <c r="BJ31" i="9"/>
  <c r="CH102" i="9"/>
  <c r="CH640" i="9"/>
  <c r="CH624" i="9"/>
  <c r="CH444" i="9"/>
  <c r="CH240" i="9"/>
  <c r="CH128" i="9"/>
  <c r="CH247" i="9"/>
  <c r="CH797" i="9"/>
  <c r="CH143" i="9"/>
  <c r="CH317" i="9"/>
  <c r="CH846" i="9"/>
  <c r="BJ126" i="9"/>
  <c r="CH700" i="9"/>
  <c r="CH619" i="9"/>
  <c r="CH406" i="9"/>
  <c r="CH182" i="9"/>
  <c r="CH825" i="9"/>
  <c r="CH117" i="9"/>
  <c r="CH22" i="9"/>
  <c r="CH643" i="9"/>
  <c r="CH673" i="9"/>
  <c r="CH133" i="9"/>
  <c r="CH593" i="9"/>
  <c r="CH705" i="9"/>
  <c r="CH153" i="9"/>
  <c r="CH231" i="9"/>
  <c r="CH314" i="9"/>
  <c r="CH421" i="9"/>
  <c r="CH863" i="9"/>
  <c r="BJ136" i="9"/>
  <c r="CH527" i="9"/>
  <c r="CH631" i="9"/>
  <c r="CH310" i="9"/>
  <c r="CH324" i="9"/>
  <c r="CH628" i="9"/>
  <c r="CH439" i="9"/>
  <c r="CH612" i="9"/>
  <c r="CH63" i="9"/>
  <c r="CH649" i="9"/>
  <c r="CH319" i="9"/>
  <c r="CH699" i="9"/>
  <c r="CH596" i="9"/>
  <c r="CH712" i="9"/>
  <c r="CH704" i="9"/>
  <c r="CH598" i="9"/>
  <c r="CH146" i="9"/>
  <c r="CH669" i="9"/>
  <c r="CH682" i="9"/>
  <c r="CH408" i="9"/>
  <c r="BJ120" i="9"/>
  <c r="BJ334" i="9"/>
  <c r="CH513" i="9"/>
  <c r="CH730" i="9"/>
  <c r="CH116" i="9"/>
  <c r="CH288" i="9"/>
  <c r="CH644" i="9"/>
  <c r="CH674" i="9"/>
  <c r="CH740" i="9"/>
  <c r="CH83" i="9"/>
  <c r="CH777" i="9"/>
  <c r="CH377" i="9"/>
  <c r="CH424" i="9"/>
  <c r="CH707" i="9"/>
  <c r="BJ307" i="9"/>
  <c r="CH847" i="9"/>
  <c r="CH659" i="9"/>
  <c r="CH592" i="9"/>
  <c r="BJ84" i="9"/>
  <c r="CH294" i="9"/>
  <c r="CH449" i="9"/>
  <c r="CH244" i="9"/>
  <c r="CH217" i="9"/>
  <c r="CH68" i="9"/>
  <c r="CH436" i="9"/>
  <c r="CH388" i="9"/>
  <c r="CH58" i="9"/>
  <c r="CH304" i="9"/>
  <c r="CH780" i="9"/>
  <c r="CH579" i="9"/>
  <c r="CH232" i="9"/>
  <c r="CH142" i="9"/>
  <c r="CH552" i="9"/>
  <c r="CH479" i="9"/>
  <c r="CH713" i="9"/>
  <c r="BJ72" i="9"/>
  <c r="BJ310" i="9"/>
  <c r="CH785" i="9"/>
  <c r="CH550" i="9"/>
  <c r="BJ261" i="9"/>
  <c r="CH480" i="9"/>
  <c r="CH122" i="9"/>
  <c r="BJ205" i="9"/>
  <c r="BJ269" i="9"/>
  <c r="CH788" i="9"/>
  <c r="CH114" i="9"/>
  <c r="BJ200" i="9"/>
  <c r="BJ267" i="9"/>
  <c r="CH173" i="9"/>
  <c r="CH384" i="9"/>
  <c r="BJ308" i="9"/>
  <c r="CH723" i="9"/>
  <c r="CH284" i="9"/>
  <c r="CH810" i="9"/>
  <c r="CH254" i="9"/>
  <c r="CH841" i="9"/>
  <c r="CH802" i="9"/>
  <c r="CH526" i="9"/>
  <c r="CH816" i="9"/>
  <c r="CH37" i="9"/>
  <c r="CH115" i="9"/>
  <c r="CH382" i="9"/>
  <c r="CH250" i="9"/>
  <c r="CH836" i="9"/>
  <c r="CH677" i="9"/>
  <c r="CH233" i="9"/>
  <c r="CH255" i="9"/>
  <c r="CH842" i="9"/>
  <c r="CH263" i="9"/>
  <c r="CH151" i="9"/>
  <c r="CH586" i="9"/>
  <c r="CH562" i="9"/>
  <c r="CH522" i="9"/>
  <c r="CH65" i="9"/>
  <c r="CH840" i="9"/>
  <c r="CH523" i="9"/>
  <c r="CI523" i="9" l="1"/>
  <c r="CI840" i="9"/>
  <c r="CI65" i="9"/>
  <c r="CI522" i="9"/>
  <c r="CI562" i="9"/>
  <c r="CI586" i="9"/>
  <c r="CI151" i="9"/>
  <c r="CI263" i="9"/>
  <c r="CI842" i="9"/>
  <c r="CI255" i="9"/>
  <c r="CI233" i="9"/>
  <c r="CI677" i="9"/>
  <c r="CI836" i="9"/>
  <c r="CI250" i="9"/>
  <c r="CI382" i="9"/>
  <c r="CI115" i="9"/>
  <c r="CI37" i="9"/>
  <c r="CI816" i="9"/>
  <c r="CI526" i="9"/>
  <c r="CI802" i="9"/>
  <c r="CI841" i="9"/>
  <c r="CI254" i="9"/>
  <c r="CI810" i="9"/>
  <c r="CI284" i="9"/>
  <c r="CI723" i="9"/>
  <c r="BK308" i="9"/>
  <c r="CI384" i="9"/>
  <c r="CI173" i="9"/>
  <c r="BK267" i="9"/>
  <c r="BK200" i="9"/>
  <c r="CI114" i="9"/>
  <c r="CI788" i="9"/>
  <c r="BK269" i="9"/>
  <c r="BK205" i="9"/>
  <c r="CI122" i="9"/>
  <c r="CI480" i="9"/>
  <c r="BK261" i="9"/>
  <c r="CI550" i="9"/>
  <c r="CI785" i="9"/>
  <c r="BK310" i="9"/>
  <c r="BK72" i="9"/>
  <c r="CI713" i="9"/>
  <c r="CI479" i="9"/>
  <c r="CI552" i="9"/>
  <c r="CI142" i="9"/>
  <c r="CI232" i="9"/>
  <c r="CI579" i="9"/>
  <c r="CI780" i="9"/>
  <c r="CI304" i="9"/>
  <c r="CI58" i="9"/>
  <c r="CI388" i="9"/>
  <c r="CI436" i="9"/>
  <c r="CI68" i="9"/>
  <c r="CI217" i="9"/>
  <c r="CI244" i="9"/>
  <c r="CI449" i="9"/>
  <c r="CI294" i="9"/>
  <c r="BK84" i="9"/>
  <c r="CI592" i="9"/>
  <c r="CI659" i="9"/>
  <c r="CI847" i="9"/>
  <c r="BK307" i="9"/>
  <c r="CI707" i="9"/>
  <c r="CI424" i="9"/>
  <c r="CI377" i="9"/>
  <c r="CI777" i="9"/>
  <c r="CI83" i="9"/>
  <c r="CI740" i="9"/>
  <c r="CI674" i="9"/>
  <c r="CI644" i="9"/>
  <c r="CI288" i="9"/>
  <c r="CI116" i="9"/>
  <c r="CI730" i="9"/>
  <c r="CI513" i="9"/>
  <c r="BK334" i="9"/>
  <c r="BK120" i="9"/>
  <c r="CI408" i="9"/>
  <c r="CI682" i="9"/>
  <c r="CI669" i="9"/>
  <c r="CI146" i="9"/>
  <c r="CI598" i="9"/>
  <c r="CI704" i="9"/>
  <c r="CI712" i="9"/>
  <c r="CI596" i="9"/>
  <c r="CI699" i="9"/>
  <c r="CI319" i="9"/>
  <c r="CI649" i="9"/>
  <c r="CI63" i="9"/>
  <c r="CI612" i="9"/>
  <c r="CI439" i="9"/>
  <c r="CI628" i="9"/>
  <c r="CI324" i="9"/>
  <c r="CI310" i="9"/>
  <c r="CI631" i="9"/>
  <c r="CI527" i="9"/>
  <c r="BK136" i="9"/>
  <c r="CI863" i="9"/>
  <c r="CI421" i="9"/>
  <c r="CI314" i="9"/>
  <c r="CI231" i="9"/>
  <c r="CI153" i="9"/>
  <c r="CI705" i="9"/>
  <c r="CI593" i="9"/>
  <c r="CI133" i="9"/>
  <c r="CI673" i="9"/>
  <c r="CI643" i="9"/>
  <c r="CI22" i="9"/>
  <c r="CI117" i="9"/>
  <c r="CI825" i="9"/>
  <c r="CI182" i="9"/>
  <c r="CI406" i="9"/>
  <c r="CI619" i="9"/>
  <c r="CI700" i="9"/>
  <c r="BK126" i="9"/>
  <c r="CI846" i="9"/>
  <c r="CI317" i="9"/>
  <c r="CI143" i="9"/>
  <c r="CI797" i="9"/>
  <c r="CI247" i="9"/>
  <c r="CI128" i="9"/>
  <c r="CI240" i="9"/>
  <c r="CI444" i="9"/>
  <c r="CI624" i="9"/>
  <c r="CI640" i="9"/>
  <c r="CI102" i="9"/>
  <c r="BK31" i="9"/>
  <c r="CI764" i="9"/>
  <c r="CI96" i="9"/>
  <c r="BK32" i="9"/>
  <c r="BK81" i="9"/>
  <c r="CI260" i="9"/>
  <c r="CI442" i="9"/>
  <c r="BK185" i="9"/>
  <c r="CI300" i="9"/>
  <c r="CI264" i="9"/>
  <c r="BK321" i="9"/>
  <c r="BK169" i="9"/>
  <c r="CI356" i="9"/>
  <c r="CI107" i="9"/>
  <c r="BK274" i="9"/>
  <c r="CI538" i="9"/>
  <c r="CI662" i="9"/>
  <c r="CI147" i="9"/>
  <c r="CI671" i="9"/>
  <c r="BK338" i="9"/>
  <c r="CI695" i="9"/>
  <c r="CI105" i="9"/>
  <c r="CI514" i="9"/>
  <c r="BK67" i="9"/>
  <c r="CI718" i="9"/>
  <c r="CI332" i="9"/>
  <c r="CI838" i="9"/>
  <c r="CI680" i="9"/>
  <c r="BK111" i="9"/>
  <c r="CI553" i="9"/>
  <c r="CI622" i="9"/>
  <c r="CI331" i="9"/>
  <c r="CI220" i="9"/>
  <c r="CI106" i="9"/>
  <c r="CI167" i="9"/>
  <c r="CI477" i="9"/>
  <c r="CI326" i="9"/>
  <c r="CI582" i="9"/>
  <c r="CI95" i="9"/>
  <c r="CI484" i="9"/>
  <c r="CI349" i="9"/>
  <c r="BK70" i="9"/>
  <c r="CI603" i="9"/>
  <c r="CI43" i="9"/>
  <c r="CI227" i="9"/>
  <c r="CI590" i="9"/>
  <c r="CI711" i="9"/>
  <c r="CI563" i="9"/>
  <c r="CI100" i="9"/>
  <c r="CI187" i="9"/>
  <c r="CI571" i="9"/>
  <c r="CI463" i="9"/>
  <c r="CI504" i="9"/>
  <c r="CI330" i="9"/>
  <c r="CI549" i="9"/>
  <c r="CI739" i="9"/>
  <c r="CI177" i="9"/>
  <c r="BK100" i="9"/>
  <c r="BK148" i="9"/>
  <c r="CI768" i="9"/>
  <c r="CI521" i="9"/>
  <c r="BK247" i="9"/>
  <c r="CI48" i="9"/>
  <c r="CI803" i="9"/>
  <c r="CI238" i="9"/>
  <c r="CI410" i="9"/>
  <c r="CI282" i="9"/>
  <c r="CI576" i="9"/>
  <c r="CI111" i="9"/>
  <c r="CI432" i="9"/>
  <c r="CI252" i="9"/>
  <c r="CI736" i="9"/>
  <c r="CI97" i="9"/>
  <c r="CI625" i="9"/>
  <c r="CI833" i="9"/>
  <c r="CI656" i="9"/>
  <c r="CI574" i="9"/>
  <c r="CI817" i="9"/>
  <c r="BK322" i="9"/>
  <c r="CI225" i="9"/>
  <c r="CI204" i="9"/>
  <c r="CI650" i="9"/>
  <c r="CI154" i="9"/>
  <c r="CI148" i="9"/>
  <c r="CI800" i="9"/>
  <c r="CI584" i="9"/>
  <c r="CI692" i="9"/>
  <c r="CI386" i="9"/>
  <c r="CI354" i="9"/>
  <c r="CI580" i="9"/>
  <c r="CI781" i="9"/>
  <c r="CI517" i="9"/>
  <c r="CI178" i="9"/>
  <c r="CI213" i="9"/>
  <c r="CI832" i="9"/>
  <c r="CI446" i="9"/>
  <c r="BK244" i="9"/>
  <c r="CI589" i="9"/>
  <c r="CI413" i="9"/>
  <c r="CI337" i="9"/>
  <c r="CI793" i="9"/>
  <c r="CI277" i="9"/>
  <c r="CI465" i="9"/>
  <c r="CI393" i="9"/>
  <c r="CI157" i="9"/>
  <c r="CI733" i="9"/>
  <c r="CI423" i="9"/>
  <c r="CI162" i="9"/>
  <c r="BK328" i="9"/>
  <c r="CI422" i="9"/>
  <c r="CI183" i="9"/>
  <c r="BK217" i="9"/>
  <c r="BK73" i="9"/>
  <c r="CI758" i="9"/>
  <c r="CI194" i="9"/>
  <c r="BK87" i="9"/>
  <c r="CI585" i="9"/>
  <c r="CI630" i="9"/>
  <c r="BK331" i="9"/>
  <c r="BK297" i="9"/>
  <c r="CI289" i="9"/>
  <c r="CI641" i="9"/>
  <c r="BK172" i="9"/>
  <c r="BK142" i="9"/>
  <c r="CI470" i="9"/>
  <c r="CI209" i="9"/>
  <c r="CI686" i="9"/>
  <c r="CI285" i="9"/>
  <c r="CI828" i="9"/>
  <c r="CI867" i="9"/>
  <c r="CI336" i="9"/>
  <c r="CI709" i="9"/>
  <c r="CI149" i="9"/>
  <c r="CI820" i="9"/>
  <c r="CI411" i="9"/>
  <c r="CI600" i="9"/>
  <c r="CI472" i="9"/>
  <c r="CI706" i="9"/>
  <c r="CI158" i="9"/>
  <c r="CI821" i="9"/>
  <c r="CI34" i="9"/>
  <c r="CI611" i="9"/>
  <c r="CI93" i="9"/>
  <c r="BK181" i="9"/>
  <c r="CI594" i="9"/>
  <c r="CI141" i="9"/>
  <c r="CI348" i="9"/>
  <c r="CI506" i="9"/>
  <c r="CI283" i="9"/>
  <c r="CI801" i="9"/>
  <c r="CI835" i="9"/>
  <c r="CI461" i="9"/>
  <c r="CI369" i="9"/>
  <c r="CI329" i="9"/>
  <c r="CI112" i="9"/>
  <c r="CI303" i="9"/>
  <c r="CI55" i="9"/>
  <c r="CI678" i="9"/>
  <c r="CI186" i="9"/>
  <c r="CI28" i="9"/>
  <c r="BK26" i="9"/>
  <c r="BK214" i="9"/>
  <c r="CI335" i="9"/>
  <c r="CI547" i="9"/>
  <c r="CI645" i="9"/>
  <c r="CI50" i="9"/>
  <c r="CI804" i="9"/>
  <c r="CI47" i="9"/>
  <c r="CI558" i="9"/>
  <c r="CI655" i="9"/>
  <c r="CI69" i="9"/>
  <c r="CI567" i="9"/>
  <c r="CI166" i="9"/>
  <c r="CI293" i="9"/>
  <c r="CI696" i="9"/>
  <c r="CI402" i="9"/>
  <c r="CI311" i="9"/>
  <c r="CI390" i="9"/>
  <c r="BK229" i="9"/>
  <c r="CI588" i="9"/>
  <c r="CI81" i="9"/>
  <c r="CI89" i="9"/>
  <c r="BK62" i="9"/>
  <c r="CI716" i="9"/>
  <c r="CI366" i="9"/>
  <c r="CI714" i="9"/>
  <c r="CI616" i="9"/>
  <c r="CI139" i="9"/>
  <c r="CI572" i="9"/>
  <c r="CI315" i="9"/>
  <c r="CI87" i="9"/>
  <c r="CI581" i="9"/>
  <c r="CI360" i="9"/>
  <c r="CI519" i="9"/>
  <c r="CI481" i="9"/>
  <c r="CI389" i="9"/>
  <c r="CI156" i="9"/>
  <c r="CI401" i="9"/>
  <c r="BK194" i="9"/>
  <c r="BK103" i="9"/>
  <c r="CI790" i="9"/>
  <c r="CI299" i="9"/>
  <c r="CI830" i="9"/>
  <c r="CI237" i="9"/>
  <c r="CI796" i="9"/>
  <c r="CI365" i="9"/>
  <c r="CI595" i="9"/>
  <c r="CI124" i="9"/>
  <c r="CI203" i="9"/>
  <c r="CI498" i="9"/>
  <c r="CI276" i="9"/>
  <c r="CI543" i="9"/>
  <c r="CI88" i="9"/>
  <c r="CI52" i="9"/>
  <c r="CI546" i="9"/>
  <c r="CI657" i="9"/>
  <c r="CI261" i="9"/>
  <c r="BK160" i="9"/>
  <c r="CI812" i="9"/>
  <c r="CI328" i="9"/>
  <c r="CI152" i="9"/>
  <c r="CI727" i="9"/>
  <c r="CI281" i="9"/>
  <c r="CI672" i="9"/>
  <c r="CI618" i="9"/>
  <c r="CI646" i="9"/>
  <c r="BK288" i="9"/>
  <c r="CI212" i="9"/>
  <c r="BK95" i="9"/>
  <c r="BK339" i="9"/>
  <c r="CI359" i="9"/>
  <c r="CI420" i="9"/>
  <c r="BK309" i="9"/>
  <c r="BK152" i="9"/>
  <c r="CI119" i="9"/>
  <c r="CI391" i="9"/>
  <c r="BK29" i="9"/>
  <c r="CI809" i="9"/>
  <c r="CI44" i="9"/>
  <c r="BK280" i="9"/>
  <c r="BK344" i="9"/>
  <c r="CI343" i="9"/>
  <c r="BK245" i="9"/>
  <c r="BK163" i="9"/>
  <c r="CI471" i="9"/>
  <c r="CI482" i="9"/>
  <c r="BK96" i="9"/>
  <c r="CI248" i="9"/>
  <c r="CI67" i="9"/>
  <c r="CI688" i="9"/>
  <c r="CI198" i="9"/>
  <c r="CI683" i="9"/>
  <c r="CI702" i="9"/>
  <c r="CI827" i="9"/>
  <c r="CI634" i="9"/>
  <c r="CI367" i="9"/>
  <c r="CI509" i="9"/>
  <c r="CI854" i="9"/>
  <c r="CI29" i="9"/>
  <c r="CI843" i="9"/>
  <c r="CI845" i="9"/>
  <c r="CI309" i="9"/>
  <c r="CI219" i="9"/>
  <c r="CI668" i="9"/>
  <c r="CI551" i="9"/>
  <c r="CI64" i="9"/>
  <c r="BK191" i="9"/>
  <c r="BK188" i="9"/>
  <c r="CI272" i="9"/>
  <c r="CI454" i="9"/>
  <c r="CI262" i="9"/>
  <c r="CI51" i="9"/>
  <c r="CI597" i="9"/>
  <c r="CI46" i="9"/>
  <c r="CI555" i="9"/>
  <c r="CI721" i="9"/>
  <c r="CI485" i="9"/>
  <c r="CI561" i="9"/>
  <c r="CI200" i="9"/>
  <c r="CI428" i="9"/>
  <c r="CI689" i="9"/>
  <c r="CI441" i="9"/>
  <c r="CI501" i="9"/>
  <c r="CI532" i="9"/>
  <c r="BK24" i="9"/>
  <c r="CI792" i="9"/>
  <c r="CI368" i="9"/>
  <c r="CI419" i="9"/>
  <c r="BK154" i="9"/>
  <c r="CI140" i="9"/>
  <c r="CI617" i="9"/>
  <c r="CI144" i="9"/>
  <c r="CI864" i="9"/>
  <c r="CI49" i="9"/>
  <c r="CI853" i="9"/>
  <c r="CI535" i="9"/>
  <c r="CI633" i="9"/>
  <c r="CI858" i="9"/>
  <c r="CI32" i="9"/>
  <c r="CI26" i="9"/>
  <c r="CI756" i="9"/>
  <c r="CI376" i="9"/>
  <c r="CI179" i="9"/>
  <c r="CI638" i="9"/>
  <c r="BK253" i="9"/>
  <c r="BK25" i="9"/>
  <c r="CI697" i="9"/>
  <c r="CI80" i="9"/>
  <c r="BK315" i="9"/>
  <c r="CI799" i="9"/>
  <c r="CI409" i="9"/>
  <c r="CI280" i="9"/>
  <c r="CI708" i="9"/>
  <c r="CI214" i="9"/>
  <c r="CI458" i="9"/>
  <c r="CI292" i="9"/>
  <c r="CI273" i="9"/>
  <c r="CI663" i="9"/>
  <c r="CI503" i="9"/>
  <c r="CI577" i="9"/>
  <c r="CI316" i="9"/>
  <c r="CI762" i="9"/>
  <c r="BK108" i="9"/>
  <c r="BK335" i="9"/>
  <c r="CI305" i="9"/>
  <c r="CI852" i="9"/>
  <c r="CI234" i="9"/>
  <c r="CI333" i="9"/>
  <c r="CI450" i="9"/>
  <c r="CI664" i="9"/>
  <c r="CI171" i="9"/>
  <c r="CI395" i="9"/>
  <c r="CI818" i="9"/>
  <c r="CI399" i="9"/>
  <c r="BK340" i="9"/>
  <c r="BK303" i="9"/>
  <c r="CI195" i="9"/>
  <c r="CI541" i="9"/>
  <c r="BK138" i="9"/>
  <c r="CI502" i="9"/>
  <c r="CI745" i="9"/>
  <c r="BK283" i="9"/>
  <c r="BK324" i="9"/>
  <c r="CI775" i="9"/>
  <c r="CI445" i="9"/>
  <c r="BK255" i="9"/>
  <c r="CI295" i="9"/>
  <c r="CI197" i="9"/>
  <c r="BK316" i="9"/>
  <c r="BK346" i="9"/>
  <c r="CI193" i="9"/>
  <c r="CI615" i="9"/>
  <c r="CI822" i="9"/>
  <c r="CI239" i="9"/>
  <c r="CI710" i="9"/>
  <c r="CI145" i="9"/>
  <c r="CI717" i="9"/>
  <c r="CI497" i="9"/>
  <c r="CI670" i="9"/>
  <c r="CI434" i="9"/>
  <c r="CI38" i="9"/>
  <c r="CI856" i="9"/>
  <c r="BK204" i="9"/>
  <c r="CI385" i="9"/>
  <c r="CI278" i="9"/>
  <c r="BK79" i="9"/>
  <c r="CI447" i="9"/>
  <c r="CI763" i="9"/>
  <c r="CI241" i="9"/>
  <c r="CI698" i="9"/>
  <c r="CI327" i="9"/>
  <c r="CI168" i="9"/>
  <c r="CI848" i="9"/>
  <c r="BK171" i="9"/>
  <c r="CI583" i="9"/>
  <c r="CI587" i="9"/>
  <c r="CI831" i="9"/>
  <c r="CI850" i="9"/>
  <c r="CI456" i="9"/>
  <c r="CI448" i="9"/>
  <c r="CI104" i="9"/>
  <c r="CI258" i="9"/>
  <c r="CI787" i="9"/>
  <c r="CI110" i="9"/>
  <c r="CI207" i="9"/>
  <c r="CI218" i="9"/>
  <c r="BK195" i="9"/>
  <c r="CI599" i="9"/>
  <c r="CI33" i="9"/>
  <c r="CI57" i="9"/>
  <c r="CI131" i="9"/>
  <c r="CI794" i="9"/>
  <c r="CI346" i="9"/>
  <c r="CI859" i="9"/>
  <c r="CI210" i="9"/>
  <c r="CI604" i="9"/>
  <c r="CI24" i="9"/>
  <c r="CI387" i="9"/>
  <c r="CI608" i="9"/>
  <c r="CI627" i="9"/>
  <c r="CI407" i="9"/>
  <c r="CI746" i="9"/>
  <c r="CI614" i="9"/>
  <c r="CI79" i="9"/>
  <c r="BK83" i="9"/>
  <c r="CI150" i="9"/>
  <c r="CI135" i="9"/>
  <c r="CI464" i="9"/>
  <c r="CI334" i="9"/>
  <c r="CI715" i="9"/>
  <c r="CI412" i="9"/>
  <c r="CI379" i="9"/>
  <c r="CI862" i="9"/>
  <c r="CI798" i="9"/>
  <c r="CI121" i="9"/>
  <c r="CI459" i="9"/>
  <c r="CI76" i="9"/>
  <c r="CI274" i="9"/>
  <c r="CI666" i="9"/>
  <c r="CI192" i="9"/>
  <c r="CI362" i="9"/>
  <c r="CI318" i="9"/>
  <c r="CI564" i="9"/>
  <c r="CI228" i="9"/>
  <c r="BK210" i="9"/>
  <c r="BK102" i="9"/>
  <c r="CI118" i="9"/>
  <c r="CI837" i="9"/>
  <c r="BK290" i="9"/>
  <c r="CI351" i="9"/>
  <c r="CI236" i="9"/>
  <c r="CI865" i="9"/>
  <c r="CI224" i="9"/>
  <c r="CI270" i="9"/>
  <c r="CI525" i="9"/>
  <c r="CI394" i="9"/>
  <c r="CI468" i="9"/>
  <c r="CI165" i="9"/>
  <c r="CI819" i="9"/>
  <c r="CI694" i="9"/>
  <c r="CI103" i="9"/>
  <c r="CI661" i="9"/>
  <c r="BK293" i="9"/>
  <c r="BK213" i="9"/>
  <c r="CI84" i="9"/>
  <c r="CI371" i="9"/>
  <c r="CI602" i="9"/>
  <c r="CI601" i="9"/>
  <c r="CI345" i="9"/>
  <c r="CI92" i="9"/>
  <c r="CI737" i="9"/>
  <c r="CI175" i="9"/>
  <c r="CI752" i="9"/>
  <c r="CI62" i="9"/>
  <c r="BK323" i="9"/>
  <c r="BK327" i="9"/>
  <c r="CI729" i="9"/>
  <c r="CI86" i="9"/>
  <c r="BK54" i="9"/>
  <c r="CI364" i="9"/>
  <c r="CI731" i="9"/>
  <c r="BK129" i="9"/>
  <c r="BK272" i="9"/>
  <c r="CI488" i="9"/>
  <c r="CI772" i="9"/>
  <c r="BK298" i="9"/>
  <c r="CI159" i="9"/>
  <c r="CI253" i="9"/>
  <c r="BK155" i="9"/>
  <c r="BK231" i="9"/>
  <c r="CI307" i="9"/>
  <c r="CI486" i="9"/>
  <c r="CI725" i="9"/>
  <c r="CI652" i="9"/>
  <c r="CI322" i="9"/>
  <c r="CI476" i="9"/>
  <c r="BK250" i="9"/>
  <c r="CI185" i="9"/>
  <c r="CI568" i="9"/>
  <c r="CI536" i="9"/>
  <c r="CI635" i="9"/>
  <c r="CI41" i="9"/>
  <c r="CI544" i="9"/>
  <c r="CI511" i="9"/>
  <c r="CI54" i="9"/>
  <c r="CI467" i="9"/>
  <c r="CI308" i="9"/>
  <c r="CI77" i="9"/>
  <c r="BK329" i="9"/>
  <c r="BK135" i="9"/>
  <c r="BK275" i="9"/>
  <c r="BK225" i="9"/>
  <c r="BK76" i="9"/>
  <c r="BK296" i="9"/>
  <c r="BK89" i="9"/>
  <c r="BK282" i="9"/>
  <c r="BK110" i="9"/>
  <c r="CI530" i="9"/>
  <c r="CI291" i="9"/>
  <c r="CI130" i="9"/>
  <c r="CI778" i="9"/>
  <c r="CI639" i="9"/>
  <c r="CI136" i="9"/>
  <c r="CI339" i="9"/>
  <c r="CI433" i="9"/>
  <c r="CI60" i="9"/>
  <c r="CI469" i="9"/>
  <c r="CI808" i="9"/>
  <c r="CI499" i="9"/>
  <c r="BK86" i="9"/>
  <c r="BK337" i="9"/>
  <c r="BK262" i="9"/>
  <c r="BK58" i="9"/>
  <c r="BK256" i="9"/>
  <c r="BK128" i="9"/>
  <c r="BK299" i="9"/>
  <c r="BK212" i="9"/>
  <c r="BK222" i="9"/>
  <c r="CI533" i="9"/>
  <c r="CI496" i="9"/>
  <c r="CI42" i="9"/>
  <c r="CI208" i="9"/>
  <c r="CI457" i="9"/>
  <c r="CI155" i="9"/>
  <c r="CI35" i="9"/>
  <c r="CI524" i="9"/>
  <c r="CI487" i="9"/>
  <c r="CI691" i="9"/>
  <c r="CI665" i="9"/>
  <c r="CI637" i="9"/>
  <c r="BK266" i="9"/>
  <c r="BK343" i="9"/>
  <c r="BK109" i="9"/>
  <c r="BK239" i="9"/>
  <c r="BK143" i="9"/>
  <c r="BK94" i="9"/>
  <c r="BK162" i="9"/>
  <c r="BK190" i="9"/>
  <c r="BK52" i="9"/>
  <c r="BK112" i="9"/>
  <c r="CI296" i="9"/>
  <c r="CI176" i="9"/>
  <c r="CI211" i="9"/>
  <c r="CI648" i="9"/>
  <c r="CI290" i="9"/>
  <c r="CI782" i="9"/>
  <c r="CI400" i="9"/>
  <c r="CI71" i="9"/>
  <c r="CI857" i="9"/>
  <c r="CI805" i="9"/>
  <c r="CI743" i="9"/>
  <c r="CI286" i="9"/>
  <c r="BK114" i="9"/>
  <c r="BK306" i="9"/>
  <c r="BK61" i="9"/>
  <c r="BK271" i="9"/>
  <c r="BK57" i="9"/>
  <c r="BK260" i="9"/>
  <c r="BK193" i="9"/>
  <c r="BK151" i="9"/>
  <c r="BK341" i="9"/>
  <c r="CI493" i="9"/>
  <c r="CI132" i="9"/>
  <c r="CI109" i="9"/>
  <c r="CI508" i="9"/>
  <c r="CI719" i="9"/>
  <c r="CI609" i="9"/>
  <c r="CI306" i="9"/>
  <c r="CI452" i="9"/>
  <c r="CI378" i="9"/>
  <c r="CI829" i="9"/>
  <c r="CI190" i="9"/>
  <c r="BK104" i="9"/>
  <c r="BK28" i="9"/>
  <c r="BK146" i="9"/>
  <c r="BK74" i="9"/>
  <c r="BK209" i="9"/>
  <c r="BK49" i="9"/>
  <c r="BK63" i="9"/>
  <c r="BK168" i="9"/>
  <c r="BK85" i="9"/>
  <c r="BK140" i="9"/>
  <c r="CI813" i="9"/>
  <c r="CI557" i="9"/>
  <c r="CI259" i="9"/>
  <c r="CI531" i="9"/>
  <c r="BK304" i="9"/>
  <c r="BK326" i="9"/>
  <c r="CI341" i="9"/>
  <c r="CI216" i="9"/>
  <c r="CI201" i="9"/>
  <c r="CI720" i="9"/>
  <c r="CI325" i="9"/>
  <c r="CI462" i="9"/>
  <c r="CI430" i="9"/>
  <c r="CI226" i="9"/>
  <c r="CI321" i="9"/>
  <c r="CI653" i="9"/>
  <c r="CI807" i="9"/>
  <c r="BK115" i="9"/>
  <c r="BK90" i="9"/>
  <c r="BK165" i="9"/>
  <c r="BK93" i="9"/>
  <c r="BK311" i="9"/>
  <c r="BK276" i="9"/>
  <c r="BK227" i="9"/>
  <c r="BK281" i="9"/>
  <c r="BK285" i="9"/>
  <c r="CI826" i="9"/>
  <c r="CI489" i="9"/>
  <c r="CI40" i="9"/>
  <c r="CI249" i="9"/>
  <c r="CI257" i="9"/>
  <c r="CI839" i="9"/>
  <c r="CI265" i="9"/>
  <c r="CI769" i="9"/>
  <c r="CI251" i="9"/>
  <c r="CI120" i="9"/>
  <c r="CI243" i="9"/>
  <c r="CI74" i="9"/>
  <c r="BK302" i="9"/>
  <c r="BK236" i="9"/>
  <c r="BK36" i="9"/>
  <c r="BK330" i="9"/>
  <c r="BK106" i="9"/>
  <c r="BK186" i="9"/>
  <c r="BK291" i="9"/>
  <c r="BK119" i="9"/>
  <c r="BK179" i="9"/>
  <c r="CI528" i="9"/>
  <c r="CI427" i="9"/>
  <c r="CI693" i="9"/>
  <c r="CI31" i="9"/>
  <c r="CI431" i="9"/>
  <c r="CI754" i="9"/>
  <c r="CI404" i="9"/>
  <c r="CI90" i="9"/>
  <c r="CI392" i="9"/>
  <c r="CI123" i="9"/>
  <c r="CI735" i="9"/>
  <c r="CI189" i="9"/>
  <c r="BK226" i="9"/>
  <c r="BK23" i="9"/>
  <c r="BK40" i="9"/>
  <c r="BK234" i="9"/>
  <c r="BK295" i="9"/>
  <c r="BK221" i="9"/>
  <c r="BK183" i="9"/>
  <c r="BK33" i="9"/>
  <c r="BK48" i="9"/>
  <c r="CI658" i="9"/>
  <c r="CI494" i="9"/>
  <c r="CI789" i="9"/>
  <c r="CI443" i="9"/>
  <c r="CI510" i="9"/>
  <c r="CI53" i="9"/>
  <c r="CI556" i="9"/>
  <c r="CI824" i="9"/>
  <c r="CI741" i="9"/>
  <c r="CI361" i="9"/>
  <c r="CI313" i="9"/>
  <c r="CI191" i="9"/>
  <c r="BK59" i="9"/>
  <c r="BK342" i="9"/>
  <c r="BK82" i="9"/>
  <c r="BK238" i="9"/>
  <c r="BK314" i="9"/>
  <c r="BK51" i="9"/>
  <c r="BK312" i="9"/>
  <c r="BK319" i="9"/>
  <c r="BK130" i="9"/>
  <c r="BK92" i="9"/>
  <c r="CI490" i="9"/>
  <c r="CI690" i="9"/>
  <c r="CI205" i="9"/>
  <c r="CI381" i="9"/>
  <c r="CI578" i="9"/>
  <c r="CI403" i="9"/>
  <c r="CI515" i="9"/>
  <c r="CI620" i="9"/>
  <c r="CI323" i="9"/>
  <c r="CI202" i="9"/>
  <c r="CI397" i="9"/>
  <c r="BK224" i="9"/>
  <c r="BK184" i="9"/>
  <c r="BK101" i="9"/>
  <c r="BK132" i="9"/>
  <c r="BK116" i="9"/>
  <c r="BK349" i="9"/>
  <c r="BK105" i="9"/>
  <c r="BK113" i="9"/>
  <c r="BK180" i="9"/>
  <c r="CI174" i="9"/>
  <c r="CI654" i="9"/>
  <c r="CI855" i="9"/>
  <c r="CI623" i="9"/>
  <c r="BK254" i="9"/>
  <c r="CI844" i="9"/>
  <c r="CI127" i="9"/>
  <c r="CI728" i="9"/>
  <c r="CI591" i="9"/>
  <c r="CI230" i="9"/>
  <c r="CI235" i="9"/>
  <c r="CI566" i="9"/>
  <c r="CI734" i="9"/>
  <c r="CI188" i="9"/>
  <c r="CI786" i="9"/>
  <c r="CI851" i="9"/>
  <c r="CI507" i="9"/>
  <c r="CI222" i="9"/>
  <c r="CI554" i="9"/>
  <c r="CI350" i="9"/>
  <c r="CI78" i="9"/>
  <c r="BK252" i="9"/>
  <c r="BK68" i="9"/>
  <c r="CI23" i="9"/>
  <c r="CI681" i="9"/>
  <c r="CI437" i="9"/>
  <c r="CI70" i="9"/>
  <c r="CI125" i="9"/>
  <c r="CI534" i="9"/>
  <c r="CI632" i="9"/>
  <c r="CI137" i="9"/>
  <c r="CI676" i="9"/>
  <c r="CI520" i="9"/>
  <c r="CI483" i="9"/>
  <c r="BK41" i="9"/>
  <c r="BK150" i="9"/>
  <c r="BK141" i="9"/>
  <c r="BK325" i="9"/>
  <c r="BK273" i="9"/>
  <c r="BK35" i="9"/>
  <c r="BK265" i="9"/>
  <c r="BK243" i="9"/>
  <c r="BK167" i="9"/>
  <c r="CI518" i="9"/>
  <c r="CI61" i="9"/>
  <c r="CI685" i="9"/>
  <c r="CI342" i="9"/>
  <c r="CI629" i="9"/>
  <c r="CI613" i="9"/>
  <c r="CI539" i="9"/>
  <c r="CI767" i="9"/>
  <c r="CI279" i="9"/>
  <c r="CI679" i="9"/>
  <c r="CI866" i="9"/>
  <c r="CI626" i="9"/>
  <c r="BK348" i="9"/>
  <c r="BK139" i="9"/>
  <c r="BK208" i="9"/>
  <c r="BK127" i="9"/>
  <c r="BK351" i="9"/>
  <c r="BK39" i="9"/>
  <c r="BK278" i="9"/>
  <c r="BK199" i="9"/>
  <c r="BK215" i="9"/>
  <c r="CI774" i="9"/>
  <c r="CI172" i="9"/>
  <c r="CI784" i="9"/>
  <c r="CI101" i="9"/>
  <c r="CI765" i="9"/>
  <c r="CI275" i="9"/>
  <c r="CI542" i="9"/>
  <c r="CI301" i="9"/>
  <c r="CI287" i="9"/>
  <c r="CI466" i="9"/>
  <c r="CI30" i="9"/>
  <c r="CI491" i="9"/>
  <c r="BK287" i="9"/>
  <c r="BK174" i="9"/>
  <c r="BK99" i="9"/>
  <c r="BK189" i="9"/>
  <c r="BK69" i="9"/>
  <c r="BK46" i="9"/>
  <c r="BK333" i="9"/>
  <c r="BK117" i="9"/>
  <c r="BK263" i="9"/>
  <c r="CI99" i="9"/>
  <c r="CI72" i="9"/>
  <c r="CI129" i="9"/>
  <c r="CI540" i="9"/>
  <c r="CI297" i="9"/>
  <c r="CI726" i="9"/>
  <c r="CI113" i="9"/>
  <c r="CI242" i="9"/>
  <c r="CI806" i="9"/>
  <c r="CI751" i="9"/>
  <c r="CI660" i="9"/>
  <c r="CI353" i="9"/>
  <c r="BK53" i="9"/>
  <c r="BK157" i="9"/>
  <c r="BK177" i="9"/>
  <c r="BK233" i="9"/>
  <c r="BK203" i="9"/>
  <c r="BK257" i="9"/>
  <c r="BK268" i="9"/>
  <c r="BK77" i="9"/>
  <c r="BK350" i="9"/>
  <c r="CI773" i="9"/>
  <c r="CI453" i="9"/>
  <c r="CI738" i="9"/>
  <c r="CI358" i="9"/>
  <c r="CI495" i="9"/>
  <c r="CI340" i="9"/>
  <c r="CI779" i="9"/>
  <c r="CI25" i="9"/>
  <c r="CI229" i="9"/>
  <c r="CI750" i="9"/>
  <c r="CI776" i="9"/>
  <c r="CI245" i="9"/>
  <c r="BK47" i="9"/>
  <c r="BK60" i="9"/>
  <c r="BK211" i="9"/>
  <c r="BK161" i="9"/>
  <c r="BK66" i="9"/>
  <c r="BK42" i="9"/>
  <c r="BK232" i="9"/>
  <c r="BK202" i="9"/>
  <c r="BK277" i="9"/>
  <c r="CI559" i="9"/>
  <c r="CI199" i="9"/>
  <c r="CI742" i="9"/>
  <c r="CI170" i="9"/>
  <c r="CI312" i="9"/>
  <c r="CI636" i="9"/>
  <c r="CI575" i="9"/>
  <c r="CI545" i="9"/>
  <c r="CI749" i="9"/>
  <c r="CI860" i="9"/>
  <c r="BK91" i="9"/>
  <c r="BK270" i="9"/>
  <c r="CI701" i="9"/>
  <c r="CI268" i="9"/>
  <c r="CI416" i="9"/>
  <c r="CI180" i="9"/>
  <c r="CI560" i="9"/>
  <c r="CI440" i="9"/>
  <c r="CI396" i="9"/>
  <c r="CI134" i="9"/>
  <c r="CI374" i="9"/>
  <c r="CI512" i="9"/>
  <c r="CI475" i="9"/>
  <c r="BK318" i="9"/>
  <c r="BK258" i="9"/>
  <c r="BK294" i="9"/>
  <c r="BK216" i="9"/>
  <c r="BK182" i="9"/>
  <c r="BK107" i="9"/>
  <c r="BK347" i="9"/>
  <c r="BK133" i="9"/>
  <c r="BK207" i="9"/>
  <c r="CI770" i="9"/>
  <c r="CI473" i="9"/>
  <c r="CI724" i="9"/>
  <c r="CI98" i="9"/>
  <c r="CI761" i="9"/>
  <c r="CI687" i="9"/>
  <c r="CI460" i="9"/>
  <c r="CI82" i="9"/>
  <c r="CI791" i="9"/>
  <c r="CI267" i="9"/>
  <c r="CI196" i="9"/>
  <c r="CI757" i="9"/>
  <c r="BK145" i="9"/>
  <c r="BK230" i="9"/>
  <c r="BK97" i="9"/>
  <c r="BK305" i="9"/>
  <c r="BK173" i="9"/>
  <c r="BK166" i="9"/>
  <c r="BK187" i="9"/>
  <c r="BK156" i="9"/>
  <c r="BK121" i="9"/>
  <c r="CI91" i="9"/>
  <c r="CI160" i="9"/>
  <c r="CI684" i="9"/>
  <c r="CI338" i="9"/>
  <c r="CI75" i="9"/>
  <c r="CI344" i="9"/>
  <c r="CI722" i="9"/>
  <c r="CI766" i="9"/>
  <c r="CI138" i="9"/>
  <c r="CI269" i="9"/>
  <c r="CI744" i="9"/>
  <c r="CI815" i="9"/>
  <c r="BK147" i="9"/>
  <c r="BK192" i="9"/>
  <c r="BK206" i="9"/>
  <c r="BK219" i="9"/>
  <c r="BK246" i="9"/>
  <c r="BK122" i="9"/>
  <c r="BK196" i="9"/>
  <c r="BK249" i="9"/>
  <c r="BK345" i="9"/>
  <c r="CI606" i="9"/>
  <c r="CI66" i="9"/>
  <c r="CI418" i="9"/>
  <c r="CI372" i="9"/>
  <c r="CI429" i="9"/>
  <c r="CI753" i="9"/>
  <c r="CI108" i="9"/>
  <c r="CI642" i="9"/>
  <c r="CI795" i="9"/>
  <c r="CI271" i="9"/>
  <c r="CI383" i="9"/>
  <c r="CI161" i="9"/>
  <c r="BK251" i="9"/>
  <c r="BK242" i="9"/>
  <c r="BK317" i="9"/>
  <c r="BK50" i="9"/>
  <c r="BK336" i="9"/>
  <c r="BK301" i="9"/>
  <c r="BK56" i="9"/>
  <c r="BK27" i="9"/>
  <c r="BK43" i="9"/>
  <c r="CI27" i="9"/>
  <c r="CI56" i="9"/>
  <c r="CI783" i="9"/>
  <c r="CI438" i="9"/>
  <c r="CI73" i="9"/>
  <c r="CI126" i="9"/>
  <c r="CI811" i="9"/>
  <c r="CI500" i="9"/>
  <c r="CI755" i="9"/>
  <c r="CI417" i="9"/>
  <c r="CI823" i="9"/>
  <c r="CI181" i="9"/>
  <c r="BK45" i="9"/>
  <c r="BK332" i="9"/>
  <c r="BK98" i="9"/>
  <c r="BK159" i="9"/>
  <c r="BK137" i="9"/>
  <c r="BK144" i="9"/>
  <c r="BK223" i="9"/>
  <c r="BK65" i="9"/>
  <c r="BK37" i="9"/>
  <c r="CI320" i="9"/>
  <c r="CI849" i="9"/>
  <c r="CI455" i="9"/>
  <c r="CI565" i="9"/>
  <c r="CI164" i="9"/>
  <c r="CI398" i="9"/>
  <c r="CI570" i="9"/>
  <c r="CI206" i="9"/>
  <c r="CI605" i="9"/>
  <c r="CI375" i="9"/>
  <c r="BK124" i="9"/>
  <c r="CI256" i="9"/>
  <c r="CI861" i="9"/>
  <c r="CI266" i="9"/>
  <c r="CI415" i="9"/>
  <c r="CI426" i="9"/>
  <c r="CI610" i="9"/>
  <c r="CI607" i="9"/>
  <c r="CI760" i="9"/>
  <c r="CI573" i="9"/>
  <c r="CI667" i="9"/>
  <c r="CI505" i="9"/>
  <c r="BK289" i="9"/>
  <c r="BK175" i="9"/>
  <c r="BK264" i="9"/>
  <c r="BK241" i="9"/>
  <c r="BK34" i="9"/>
  <c r="BK228" i="9"/>
  <c r="BK201" i="9"/>
  <c r="BK178" i="9"/>
  <c r="BK131" i="9"/>
  <c r="BK313" i="9"/>
  <c r="CI85" i="9"/>
  <c r="CI223" i="9"/>
  <c r="CI748" i="9"/>
  <c r="CI94" i="9"/>
  <c r="CI814" i="9"/>
  <c r="CI169" i="9"/>
  <c r="CI529" i="9"/>
  <c r="CI492" i="9"/>
  <c r="CI221" i="9"/>
  <c r="CI373" i="9"/>
  <c r="CI355" i="9"/>
  <c r="CI474" i="9"/>
  <c r="BK80" i="9"/>
  <c r="BK149" i="9"/>
  <c r="BK64" i="9"/>
  <c r="BK320" i="9"/>
  <c r="BK279" i="9"/>
  <c r="BK30" i="9"/>
  <c r="BK125" i="9"/>
  <c r="BK88" i="9"/>
  <c r="BK164" i="9"/>
  <c r="CI302" i="9"/>
  <c r="CI425" i="9"/>
  <c r="CI36" i="9"/>
  <c r="CI435" i="9"/>
  <c r="CI184" i="9"/>
  <c r="CI834" i="9"/>
  <c r="CI747" i="9"/>
  <c r="CI732" i="9"/>
  <c r="CI45" i="9"/>
  <c r="CI675" i="9"/>
  <c r="CI647" i="9"/>
  <c r="CI621" i="9"/>
  <c r="BK123" i="9"/>
  <c r="BK55" i="9"/>
  <c r="BK22" i="9"/>
  <c r="BK44" i="9"/>
  <c r="BK240" i="9"/>
  <c r="BK153" i="9"/>
  <c r="BK220" i="9"/>
  <c r="BK75" i="9"/>
  <c r="BK78" i="9"/>
  <c r="CI771" i="9"/>
  <c r="CI478" i="9"/>
  <c r="CI39" i="9"/>
  <c r="CI163" i="9"/>
  <c r="CI347" i="9"/>
  <c r="CI569" i="9"/>
  <c r="CI537" i="9"/>
  <c r="CI414" i="9"/>
  <c r="CI703" i="9"/>
  <c r="CI405" i="9"/>
  <c r="CI357" i="9"/>
  <c r="CI352" i="9"/>
  <c r="BK292" i="9"/>
  <c r="BK235" i="9"/>
  <c r="BK118" i="9"/>
  <c r="BK286" i="9"/>
  <c r="BK248" i="9"/>
  <c r="BK176" i="9"/>
  <c r="BK170" i="9"/>
  <c r="BK71" i="9"/>
  <c r="BK38" i="9"/>
  <c r="CI298" i="9"/>
  <c r="CI451" i="9"/>
  <c r="CI246" i="9"/>
  <c r="CI651" i="9"/>
  <c r="CI759" i="9"/>
  <c r="CI215" i="9"/>
  <c r="CI370" i="9"/>
  <c r="CI380" i="9"/>
  <c r="CI363" i="9"/>
  <c r="CI548" i="9"/>
  <c r="CI516" i="9"/>
  <c r="CI59" i="9"/>
  <c r="BK284" i="9"/>
  <c r="BK259" i="9"/>
  <c r="BK198" i="9"/>
  <c r="BK158" i="9"/>
  <c r="BK134" i="9"/>
  <c r="BK197" i="9"/>
  <c r="BK218" i="9"/>
  <c r="BK237" i="9"/>
  <c r="BK300" i="9"/>
  <c r="CM6" i="9"/>
  <c r="N20" i="12"/>
  <c r="N91" i="12"/>
  <c r="P17" i="12"/>
  <c r="T17" i="12" s="1"/>
  <c r="P33" i="12"/>
  <c r="T33" i="12" s="1"/>
  <c r="P53" i="12"/>
  <c r="T53" i="12" s="1"/>
  <c r="P63" i="12"/>
  <c r="T63" i="12" s="1"/>
  <c r="P87" i="12"/>
  <c r="T87" i="12" s="1"/>
  <c r="P16" i="12"/>
  <c r="T16" i="12" s="1"/>
  <c r="P15" i="12"/>
  <c r="T15" i="12" s="1"/>
  <c r="P18" i="12"/>
  <c r="T18" i="12" s="1"/>
  <c r="P19" i="12"/>
  <c r="T19" i="12" s="1"/>
  <c r="P20" i="12"/>
  <c r="P21" i="12"/>
  <c r="T21" i="12" s="1"/>
  <c r="P22" i="12"/>
  <c r="T22" i="12" s="1"/>
  <c r="P23" i="12"/>
  <c r="T23" i="12" s="1"/>
  <c r="P24" i="12"/>
  <c r="T24" i="12" s="1"/>
  <c r="P25" i="12"/>
  <c r="T25" i="12" s="1"/>
  <c r="P26" i="12"/>
  <c r="T26" i="12" s="1"/>
  <c r="P27" i="12"/>
  <c r="T27" i="12" s="1"/>
  <c r="P28" i="12"/>
  <c r="T28" i="12" s="1"/>
  <c r="P30" i="12"/>
  <c r="T30" i="12" s="1"/>
  <c r="P31" i="12"/>
  <c r="T31" i="12" s="1"/>
  <c r="P32" i="12"/>
  <c r="T32" i="12" s="1"/>
  <c r="P13" i="12"/>
  <c r="T13" i="12" s="1"/>
  <c r="P14" i="12"/>
  <c r="T14" i="12" s="1"/>
  <c r="P36" i="12"/>
  <c r="T36" i="12" s="1"/>
  <c r="P37" i="12"/>
  <c r="T37" i="12" s="1"/>
  <c r="P38" i="12"/>
  <c r="T38" i="12" s="1"/>
  <c r="P39" i="12"/>
  <c r="T39" i="12" s="1"/>
  <c r="P35" i="12"/>
  <c r="T35" i="12" s="1"/>
  <c r="P34" i="12"/>
  <c r="T34" i="12" s="1"/>
  <c r="P40" i="12"/>
  <c r="T40" i="12" s="1"/>
  <c r="P41" i="12"/>
  <c r="T41" i="12" s="1"/>
  <c r="P42" i="12"/>
  <c r="T42" i="12" s="1"/>
  <c r="P43" i="12"/>
  <c r="T43" i="12" s="1"/>
  <c r="P44" i="12"/>
  <c r="T44" i="12" s="1"/>
  <c r="P45" i="12"/>
  <c r="T45" i="12" s="1"/>
  <c r="P46" i="12"/>
  <c r="T46" i="12" s="1"/>
  <c r="P47" i="12"/>
  <c r="T47" i="12" s="1"/>
  <c r="P48" i="12"/>
  <c r="T48" i="12" s="1"/>
  <c r="P49" i="12"/>
  <c r="T49" i="12" s="1"/>
  <c r="P50" i="12"/>
  <c r="T50" i="12" s="1"/>
  <c r="P51" i="12"/>
  <c r="T51" i="12" s="1"/>
  <c r="P52" i="12"/>
  <c r="T52" i="12" s="1"/>
  <c r="P54" i="12"/>
  <c r="T54" i="12" s="1"/>
  <c r="P55" i="12"/>
  <c r="T55" i="12" s="1"/>
  <c r="P56" i="12"/>
  <c r="T56" i="12" s="1"/>
  <c r="P59" i="12"/>
  <c r="T59" i="12" s="1"/>
  <c r="P60" i="12"/>
  <c r="T60" i="12" s="1"/>
  <c r="P57" i="12"/>
  <c r="T57" i="12" s="1"/>
  <c r="P61" i="12"/>
  <c r="T61" i="12" s="1"/>
  <c r="P62" i="12"/>
  <c r="T62" i="12" s="1"/>
  <c r="P64" i="12"/>
  <c r="T64" i="12" s="1"/>
  <c r="P65" i="12"/>
  <c r="T65" i="12" s="1"/>
  <c r="P66" i="12"/>
  <c r="T66" i="12" s="1"/>
  <c r="P67" i="12"/>
  <c r="T67" i="12" s="1"/>
  <c r="P68" i="12"/>
  <c r="T68" i="12" s="1"/>
  <c r="P69" i="12"/>
  <c r="T69" i="12" s="1"/>
  <c r="P71" i="12"/>
  <c r="T71" i="12" s="1"/>
  <c r="P70" i="12"/>
  <c r="T70" i="12" s="1"/>
  <c r="P73" i="12"/>
  <c r="T73" i="12" s="1"/>
  <c r="P72" i="12"/>
  <c r="T72" i="12" s="1"/>
  <c r="P74" i="12"/>
  <c r="T74" i="12" s="1"/>
  <c r="P75" i="12"/>
  <c r="T75" i="12" s="1"/>
  <c r="P76" i="12"/>
  <c r="T76" i="12" s="1"/>
  <c r="P77" i="12"/>
  <c r="T77" i="12" s="1"/>
  <c r="P79" i="12"/>
  <c r="T79" i="12" s="1"/>
  <c r="P78" i="12"/>
  <c r="T78" i="12" s="1"/>
  <c r="P80" i="12"/>
  <c r="T80" i="12" s="1"/>
  <c r="P81" i="12"/>
  <c r="T81" i="12" s="1"/>
  <c r="P82" i="12"/>
  <c r="T82" i="12" s="1"/>
  <c r="P83" i="12"/>
  <c r="T83" i="12" s="1"/>
  <c r="P85" i="12"/>
  <c r="T85" i="12" s="1"/>
  <c r="P84" i="12"/>
  <c r="T84" i="12" s="1"/>
  <c r="P86" i="12"/>
  <c r="T86" i="12" s="1"/>
  <c r="P88" i="12"/>
  <c r="T88" i="12" s="1"/>
  <c r="P89" i="12"/>
  <c r="T89" i="12" s="1"/>
  <c r="P90" i="12"/>
  <c r="T90" i="12" s="1"/>
  <c r="P91" i="12"/>
  <c r="P92" i="12"/>
  <c r="T92" i="12" s="1"/>
  <c r="P93" i="12"/>
  <c r="T93" i="12" s="1"/>
  <c r="P95" i="12"/>
  <c r="T95" i="12" s="1"/>
  <c r="P94" i="12"/>
  <c r="T94" i="12" s="1"/>
  <c r="P140" i="12"/>
  <c r="T140" i="12" s="1"/>
  <c r="P142" i="12"/>
  <c r="T142" i="12" s="1"/>
  <c r="P141" i="12"/>
  <c r="T141" i="12" s="1"/>
  <c r="P97" i="12"/>
  <c r="T97" i="12" s="1"/>
  <c r="P96" i="12"/>
  <c r="T96" i="12" s="1"/>
  <c r="P98" i="12"/>
  <c r="T98" i="12" s="1"/>
  <c r="P99" i="12"/>
  <c r="T99" i="12" s="1"/>
  <c r="P100" i="12"/>
  <c r="T100" i="12" s="1"/>
  <c r="P101" i="12"/>
  <c r="T101" i="12" s="1"/>
  <c r="P102" i="12"/>
  <c r="T102" i="12" s="1"/>
  <c r="P103" i="12"/>
  <c r="T103" i="12" s="1"/>
  <c r="P104" i="12"/>
  <c r="T104" i="12" s="1"/>
  <c r="P105" i="12"/>
  <c r="T105" i="12" s="1"/>
  <c r="P108" i="12"/>
  <c r="T108" i="12" s="1"/>
  <c r="P107" i="12"/>
  <c r="T107" i="12" s="1"/>
  <c r="P29" i="12"/>
  <c r="T29" i="12" s="1"/>
  <c r="P110" i="12"/>
  <c r="T110" i="12" s="1"/>
  <c r="P111" i="12"/>
  <c r="T111" i="12" s="1"/>
  <c r="P112" i="12"/>
  <c r="T112" i="12" s="1"/>
  <c r="P113" i="12"/>
  <c r="T113" i="12" s="1"/>
  <c r="P114" i="12"/>
  <c r="T114" i="12" s="1"/>
  <c r="P116" i="12"/>
  <c r="T116" i="12" s="1"/>
  <c r="P115" i="12"/>
  <c r="T115" i="12" s="1"/>
  <c r="P117" i="12"/>
  <c r="T117" i="12" s="1"/>
  <c r="P118" i="12"/>
  <c r="T118" i="12" s="1"/>
  <c r="P119" i="12"/>
  <c r="T119" i="12" s="1"/>
  <c r="P120" i="12"/>
  <c r="T120" i="12" s="1"/>
  <c r="P121" i="12"/>
  <c r="T121" i="12" s="1"/>
  <c r="P122" i="12"/>
  <c r="T122" i="12" s="1"/>
  <c r="P123" i="12"/>
  <c r="T123" i="12" s="1"/>
  <c r="P124" i="12"/>
  <c r="T124" i="12" s="1"/>
  <c r="P125" i="12"/>
  <c r="T125" i="12" s="1"/>
  <c r="P126" i="12"/>
  <c r="T126" i="12" s="1"/>
  <c r="P58" i="12"/>
  <c r="T58" i="12" s="1"/>
  <c r="P127" i="12"/>
  <c r="T127" i="12" s="1"/>
  <c r="P129" i="12"/>
  <c r="T129" i="12" s="1"/>
  <c r="P131" i="12"/>
  <c r="T131" i="12" s="1"/>
  <c r="P133" i="12"/>
  <c r="T133" i="12" s="1"/>
  <c r="P109" i="12"/>
  <c r="T109" i="12" s="1"/>
  <c r="P106" i="12"/>
  <c r="T106" i="12" s="1"/>
  <c r="P132" i="12"/>
  <c r="T132" i="12" s="1"/>
  <c r="P130" i="12"/>
  <c r="T130" i="12" s="1"/>
  <c r="P128" i="12"/>
  <c r="T128" i="12" s="1"/>
  <c r="P134" i="12"/>
  <c r="T134" i="12" s="1"/>
  <c r="P135" i="12"/>
  <c r="T135" i="12" s="1"/>
  <c r="P136" i="12"/>
  <c r="T136" i="12" s="1"/>
  <c r="P138" i="12"/>
  <c r="T138" i="12" s="1"/>
  <c r="P143" i="12"/>
  <c r="T143" i="12" s="1"/>
  <c r="P139" i="12"/>
  <c r="T139" i="12" s="1"/>
  <c r="P137" i="12"/>
  <c r="T137" i="12" s="1"/>
  <c r="T91" i="12" l="1"/>
  <c r="U91" i="12" s="1"/>
  <c r="T20" i="12"/>
  <c r="CP6" i="9"/>
  <c r="E8" i="16"/>
  <c r="Q28" i="12"/>
  <c r="Q54" i="12"/>
  <c r="Q84" i="12"/>
  <c r="Q101" i="12"/>
  <c r="Q114" i="12"/>
  <c r="Q109" i="12"/>
  <c r="Q33" i="12"/>
  <c r="Q18" i="12"/>
  <c r="Q24" i="12"/>
  <c r="Q31" i="12"/>
  <c r="Q38" i="12"/>
  <c r="Q42" i="12"/>
  <c r="Q48" i="12"/>
  <c r="Q55" i="12"/>
  <c r="Q62" i="12"/>
  <c r="Q69" i="12"/>
  <c r="Q75" i="12"/>
  <c r="Q81" i="12"/>
  <c r="Q86" i="12"/>
  <c r="Q93" i="12"/>
  <c r="Q97" i="12"/>
  <c r="Q102" i="12"/>
  <c r="Q29" i="12"/>
  <c r="Q116" i="12"/>
  <c r="Q121" i="12"/>
  <c r="Q58" i="12"/>
  <c r="Q53" i="12"/>
  <c r="Q19" i="12"/>
  <c r="Q25" i="12"/>
  <c r="Q32" i="12"/>
  <c r="Q39" i="12"/>
  <c r="Q43" i="12"/>
  <c r="Q49" i="12"/>
  <c r="Q56" i="12"/>
  <c r="Q64" i="12"/>
  <c r="Q71" i="12"/>
  <c r="Q76" i="12"/>
  <c r="Q82" i="12"/>
  <c r="Q88" i="12"/>
  <c r="Q95" i="12"/>
  <c r="Q96" i="12"/>
  <c r="Q103" i="12"/>
  <c r="Q110" i="12"/>
  <c r="Q115" i="12"/>
  <c r="Q122" i="12"/>
  <c r="Q127" i="12"/>
  <c r="Q132" i="12"/>
  <c r="Q63" i="12"/>
  <c r="Q20" i="12"/>
  <c r="Q26" i="12"/>
  <c r="Q13" i="12"/>
  <c r="Q35" i="12"/>
  <c r="Q44" i="12"/>
  <c r="Q50" i="12"/>
  <c r="Q59" i="12"/>
  <c r="Q65" i="12"/>
  <c r="Q70" i="12"/>
  <c r="Q77" i="12"/>
  <c r="Q89" i="12"/>
  <c r="Q94" i="12"/>
  <c r="Q98" i="12"/>
  <c r="Q104" i="12"/>
  <c r="Q111" i="12"/>
  <c r="Q117" i="12"/>
  <c r="Q123" i="12"/>
  <c r="Q16" i="12"/>
  <c r="Q22" i="12"/>
  <c r="Q36" i="12"/>
  <c r="Q40" i="12"/>
  <c r="Q46" i="12"/>
  <c r="Q52" i="12"/>
  <c r="Q57" i="12"/>
  <c r="Q67" i="12"/>
  <c r="Q72" i="12"/>
  <c r="Q78" i="12"/>
  <c r="Q85" i="12"/>
  <c r="Q91" i="12"/>
  <c r="Q142" i="12"/>
  <c r="Q100" i="12"/>
  <c r="Q108" i="12"/>
  <c r="Q113" i="12"/>
  <c r="Q119" i="12"/>
  <c r="Q125" i="12"/>
  <c r="Q133" i="12"/>
  <c r="Q134" i="12"/>
  <c r="Q137" i="12"/>
  <c r="Q17" i="12"/>
  <c r="Q15" i="12"/>
  <c r="Q23" i="12"/>
  <c r="Q30" i="12"/>
  <c r="Q37" i="12"/>
  <c r="Q41" i="12"/>
  <c r="Q47" i="12"/>
  <c r="Q61" i="12"/>
  <c r="Q68" i="12"/>
  <c r="Q74" i="12"/>
  <c r="Q80" i="12"/>
  <c r="Q92" i="12"/>
  <c r="Q141" i="12"/>
  <c r="Q107" i="12"/>
  <c r="Q120" i="12"/>
  <c r="Q126" i="12"/>
  <c r="Q135" i="12"/>
  <c r="Q130" i="12"/>
  <c r="Q143" i="12"/>
  <c r="Q87" i="12"/>
  <c r="Q51" i="12"/>
  <c r="Q34" i="12"/>
  <c r="Q79" i="12"/>
  <c r="Q112" i="12"/>
  <c r="Q129" i="12"/>
  <c r="Q139" i="12"/>
  <c r="Q73" i="12"/>
  <c r="Q131" i="12"/>
  <c r="Q138" i="12"/>
  <c r="Q21" i="12"/>
  <c r="Q106" i="12"/>
  <c r="Q105" i="12"/>
  <c r="Q99" i="12"/>
  <c r="Q128" i="12"/>
  <c r="Q136" i="12"/>
  <c r="Q83" i="12"/>
  <c r="Q124" i="12"/>
  <c r="Q60" i="12"/>
  <c r="Q45" i="12"/>
  <c r="Q90" i="12"/>
  <c r="Q140" i="12"/>
  <c r="Q14" i="12"/>
  <c r="Q66" i="12"/>
  <c r="Q27" i="12"/>
  <c r="Q118" i="12"/>
  <c r="O17" i="12"/>
  <c r="O15" i="12"/>
  <c r="O23" i="12"/>
  <c r="O30" i="12"/>
  <c r="O37" i="12"/>
  <c r="O41" i="12"/>
  <c r="O47" i="12"/>
  <c r="O54" i="12"/>
  <c r="O61" i="12"/>
  <c r="O68" i="12"/>
  <c r="O74" i="12"/>
  <c r="O80" i="12"/>
  <c r="O84" i="12"/>
  <c r="O92" i="12"/>
  <c r="O141" i="12"/>
  <c r="O101" i="12"/>
  <c r="O107" i="12"/>
  <c r="O114" i="12"/>
  <c r="O120" i="12"/>
  <c r="O126" i="12"/>
  <c r="O109" i="12"/>
  <c r="O135" i="12"/>
  <c r="O33" i="12"/>
  <c r="O18" i="12"/>
  <c r="O24" i="12"/>
  <c r="O31" i="12"/>
  <c r="O38" i="12"/>
  <c r="O42" i="12"/>
  <c r="O48" i="12"/>
  <c r="O55" i="12"/>
  <c r="O62" i="12"/>
  <c r="O69" i="12"/>
  <c r="O75" i="12"/>
  <c r="O81" i="12"/>
  <c r="O86" i="12"/>
  <c r="O93" i="12"/>
  <c r="O97" i="12"/>
  <c r="O102" i="12"/>
  <c r="O29" i="12"/>
  <c r="O116" i="12"/>
  <c r="O121" i="12"/>
  <c r="O58" i="12"/>
  <c r="O106" i="12"/>
  <c r="O136" i="12"/>
  <c r="O53" i="12"/>
  <c r="O19" i="12"/>
  <c r="O25" i="12"/>
  <c r="O32" i="12"/>
  <c r="O39" i="12"/>
  <c r="O43" i="12"/>
  <c r="O49" i="12"/>
  <c r="O56" i="12"/>
  <c r="O64" i="12"/>
  <c r="O71" i="12"/>
  <c r="O76" i="12"/>
  <c r="O82" i="12"/>
  <c r="O88" i="12"/>
  <c r="O95" i="12"/>
  <c r="O96" i="12"/>
  <c r="O103" i="12"/>
  <c r="O110" i="12"/>
  <c r="O115" i="12"/>
  <c r="O122" i="12"/>
  <c r="O127" i="12"/>
  <c r="O132" i="12"/>
  <c r="O138" i="12"/>
  <c r="O63" i="12"/>
  <c r="O20" i="12"/>
  <c r="O26" i="12"/>
  <c r="O13" i="12"/>
  <c r="O35" i="12"/>
  <c r="O44" i="12"/>
  <c r="O50" i="12"/>
  <c r="O59" i="12"/>
  <c r="O65" i="12"/>
  <c r="O70" i="12"/>
  <c r="O77" i="12"/>
  <c r="O12" i="12"/>
  <c r="O89" i="12"/>
  <c r="O94" i="12"/>
  <c r="O98" i="12"/>
  <c r="O104" i="12"/>
  <c r="O111" i="12"/>
  <c r="O117" i="12"/>
  <c r="O123" i="12"/>
  <c r="O129" i="12"/>
  <c r="O130" i="12"/>
  <c r="O143" i="12"/>
  <c r="O16" i="12"/>
  <c r="O22" i="12"/>
  <c r="O28" i="12"/>
  <c r="O36" i="12"/>
  <c r="O40" i="12"/>
  <c r="O46" i="12"/>
  <c r="O52" i="12"/>
  <c r="O57" i="12"/>
  <c r="O67" i="12"/>
  <c r="O72" i="12"/>
  <c r="O78" i="12"/>
  <c r="O85" i="12"/>
  <c r="O91" i="12"/>
  <c r="O142" i="12"/>
  <c r="O100" i="12"/>
  <c r="O108" i="12"/>
  <c r="O113" i="12"/>
  <c r="O119" i="12"/>
  <c r="O125" i="12"/>
  <c r="O133" i="12"/>
  <c r="O134" i="12"/>
  <c r="O137" i="12"/>
  <c r="O87" i="12"/>
  <c r="O51" i="12"/>
  <c r="O90" i="12"/>
  <c r="O21" i="12"/>
  <c r="O60" i="12"/>
  <c r="O140" i="12"/>
  <c r="O27" i="12"/>
  <c r="O66" i="12"/>
  <c r="O99" i="12"/>
  <c r="O14" i="12"/>
  <c r="O73" i="12"/>
  <c r="O105" i="12"/>
  <c r="O34" i="12"/>
  <c r="O79" i="12"/>
  <c r="O112" i="12"/>
  <c r="O45" i="12"/>
  <c r="O83" i="12"/>
  <c r="O139" i="12"/>
  <c r="O118" i="12"/>
  <c r="O128" i="12"/>
  <c r="O124" i="12"/>
  <c r="O131" i="12"/>
  <c r="U60" i="12" l="1"/>
  <c r="U27" i="12"/>
  <c r="U14" i="12"/>
  <c r="U123" i="12"/>
  <c r="U66" i="12"/>
  <c r="U21" i="12"/>
  <c r="U45" i="12"/>
  <c r="U83" i="12"/>
  <c r="U118" i="12"/>
  <c r="U57" i="12"/>
  <c r="U100" i="12"/>
  <c r="U134" i="12"/>
  <c r="U37" i="12"/>
  <c r="U74" i="12"/>
  <c r="U107" i="12"/>
  <c r="U130" i="12"/>
  <c r="U42" i="12"/>
  <c r="U81" i="12"/>
  <c r="U116" i="12"/>
  <c r="U53" i="12"/>
  <c r="U49" i="12"/>
  <c r="U88" i="12"/>
  <c r="U122" i="12"/>
  <c r="U26" i="12"/>
  <c r="U65" i="12"/>
  <c r="U98" i="12"/>
  <c r="U87" i="12"/>
  <c r="U51" i="12"/>
  <c r="U90" i="12"/>
  <c r="U124" i="12"/>
  <c r="U28" i="12"/>
  <c r="U67" i="12"/>
  <c r="U108" i="12"/>
  <c r="U137" i="12"/>
  <c r="U41" i="12"/>
  <c r="U80" i="12"/>
  <c r="U114" i="12"/>
  <c r="U33" i="12"/>
  <c r="U48" i="12"/>
  <c r="U86" i="12"/>
  <c r="U121" i="12"/>
  <c r="U19" i="12"/>
  <c r="U56" i="12"/>
  <c r="U95" i="12"/>
  <c r="U127" i="12"/>
  <c r="U13" i="12"/>
  <c r="U70" i="12"/>
  <c r="U104" i="12"/>
  <c r="U140" i="12"/>
  <c r="U131" i="12"/>
  <c r="U36" i="12"/>
  <c r="U72" i="12"/>
  <c r="U113" i="12"/>
  <c r="U17" i="12"/>
  <c r="U47" i="12"/>
  <c r="U84" i="12"/>
  <c r="U120" i="12"/>
  <c r="U18" i="12"/>
  <c r="U55" i="12"/>
  <c r="U93" i="12"/>
  <c r="U58" i="12"/>
  <c r="U25" i="12"/>
  <c r="U64" i="12"/>
  <c r="U96" i="12"/>
  <c r="U132" i="12"/>
  <c r="U35" i="12"/>
  <c r="U77" i="12"/>
  <c r="U111" i="12"/>
  <c r="U99" i="12"/>
  <c r="U128" i="12"/>
  <c r="U40" i="12"/>
  <c r="U78" i="12"/>
  <c r="U119" i="12"/>
  <c r="U15" i="12"/>
  <c r="U54" i="12"/>
  <c r="U92" i="12"/>
  <c r="U126" i="12"/>
  <c r="U24" i="12"/>
  <c r="U62" i="12"/>
  <c r="U97" i="12"/>
  <c r="U106" i="12"/>
  <c r="U32" i="12"/>
  <c r="U71" i="12"/>
  <c r="U103" i="12"/>
  <c r="U138" i="12"/>
  <c r="U44" i="12"/>
  <c r="U12" i="12"/>
  <c r="U117" i="12"/>
  <c r="U73" i="12"/>
  <c r="U105" i="12"/>
  <c r="U16" i="12"/>
  <c r="U46" i="12"/>
  <c r="U85" i="12"/>
  <c r="U125" i="12"/>
  <c r="U23" i="12"/>
  <c r="U61" i="12"/>
  <c r="U141" i="12"/>
  <c r="U109" i="12"/>
  <c r="U31" i="12"/>
  <c r="U69" i="12"/>
  <c r="U102" i="12"/>
  <c r="U136" i="12"/>
  <c r="U39" i="12"/>
  <c r="U76" i="12"/>
  <c r="U110" i="12"/>
  <c r="U139" i="12"/>
  <c r="U50" i="12"/>
  <c r="U89" i="12"/>
  <c r="U20" i="12"/>
  <c r="U34" i="12"/>
  <c r="U79" i="12"/>
  <c r="U112" i="12"/>
  <c r="U22" i="12"/>
  <c r="U52" i="12"/>
  <c r="U142" i="12"/>
  <c r="U133" i="12"/>
  <c r="U30" i="12"/>
  <c r="U68" i="12"/>
  <c r="U101" i="12"/>
  <c r="U135" i="12"/>
  <c r="U38" i="12"/>
  <c r="U75" i="12"/>
  <c r="U29" i="12"/>
  <c r="U143" i="12"/>
  <c r="U43" i="12"/>
  <c r="U82" i="12"/>
  <c r="U115" i="12"/>
  <c r="U63" i="12"/>
  <c r="U59" i="12"/>
  <c r="U94" i="12"/>
  <c r="U129" i="12"/>
  <c r="Y10" i="13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BZ33" i="9"/>
  <c r="BR151" i="9"/>
  <c r="BZ347" i="9"/>
  <c r="BZ75" i="9"/>
  <c r="BR128" i="9"/>
  <c r="BZ181" i="9"/>
  <c r="BR24" i="9"/>
  <c r="BB341" i="9"/>
  <c r="BZ287" i="9"/>
  <c r="BZ195" i="9"/>
  <c r="BR47" i="9"/>
  <c r="BZ155" i="9"/>
  <c r="BZ211" i="9"/>
  <c r="BR54" i="9"/>
  <c r="BZ305" i="9"/>
  <c r="BB385" i="9"/>
  <c r="BB149" i="9"/>
  <c r="AT112" i="9"/>
  <c r="BB431" i="9"/>
  <c r="AT178" i="9"/>
  <c r="BB457" i="9"/>
  <c r="BZ331" i="9"/>
  <c r="BR173" i="9"/>
  <c r="BZ22" i="9"/>
  <c r="BZ80" i="9"/>
  <c r="BR55" i="9"/>
  <c r="BZ126" i="9"/>
  <c r="BZ316" i="9"/>
  <c r="BZ279" i="9"/>
  <c r="BZ178" i="9"/>
  <c r="BZ239" i="9"/>
  <c r="BZ183" i="9"/>
  <c r="BR63" i="9"/>
  <c r="BZ228" i="9"/>
  <c r="BZ297" i="9"/>
  <c r="BZ324" i="9"/>
  <c r="BB192" i="9"/>
  <c r="BB238" i="9"/>
  <c r="BB99" i="9"/>
  <c r="BB348" i="9"/>
  <c r="BR144" i="9"/>
  <c r="BB264" i="9"/>
  <c r="BB94" i="9"/>
  <c r="BR100" i="9"/>
  <c r="BZ40" i="9"/>
  <c r="BZ67" i="9"/>
  <c r="BR142" i="9"/>
  <c r="BZ161" i="9"/>
  <c r="BZ248" i="9"/>
  <c r="BR57" i="9"/>
  <c r="BB288" i="9"/>
  <c r="BZ274" i="9"/>
  <c r="BR65" i="9"/>
  <c r="BR93" i="9"/>
  <c r="BZ246" i="9"/>
  <c r="BZ278" i="9"/>
  <c r="BR165" i="9"/>
  <c r="BZ25" i="9"/>
  <c r="BB338" i="9"/>
  <c r="BB96" i="9"/>
  <c r="BB142" i="9"/>
  <c r="BB378" i="9"/>
  <c r="AT167" i="9"/>
  <c r="BB410" i="9"/>
  <c r="BZ95" i="9"/>
  <c r="BZ39" i="9"/>
  <c r="BR121" i="9"/>
  <c r="BZ209" i="9"/>
  <c r="BZ153" i="9"/>
  <c r="BR81" i="9"/>
  <c r="BZ187" i="9"/>
  <c r="BR99" i="9"/>
  <c r="BR149" i="9"/>
  <c r="BZ24" i="9"/>
  <c r="BZ330" i="9"/>
  <c r="BR53" i="9"/>
  <c r="BZ53" i="9"/>
  <c r="BZ289" i="9"/>
  <c r="BR167" i="9"/>
  <c r="BB352" i="9"/>
  <c r="BB139" i="9"/>
  <c r="BB191" i="9"/>
  <c r="AT46" i="9"/>
  <c r="BB295" i="9"/>
  <c r="BB460" i="9"/>
  <c r="BB211" i="9"/>
  <c r="BZ54" i="9"/>
  <c r="BZ87" i="9"/>
  <c r="BR25" i="9"/>
  <c r="BZ168" i="9"/>
  <c r="BR88" i="9"/>
  <c r="BZ64" i="9"/>
  <c r="BZ86" i="9"/>
  <c r="BZ355" i="9"/>
  <c r="BR210" i="9"/>
  <c r="BZ108" i="9"/>
  <c r="BZ259" i="9"/>
  <c r="BR66" i="9"/>
  <c r="BZ166" i="9"/>
  <c r="BZ292" i="9"/>
  <c r="BR51" i="9"/>
  <c r="BB29" i="9"/>
  <c r="BB369" i="9"/>
  <c r="BB421" i="9"/>
  <c r="BB185" i="9"/>
  <c r="AD58" i="9"/>
  <c r="BZ202" i="9"/>
  <c r="BZ44" i="9"/>
  <c r="BR201" i="9"/>
  <c r="BZ262" i="9"/>
  <c r="BZ266" i="9"/>
  <c r="BR32" i="9"/>
  <c r="BZ49" i="9"/>
  <c r="BR143" i="9"/>
  <c r="BR208" i="9"/>
  <c r="BZ119" i="9"/>
  <c r="BZ192" i="9"/>
  <c r="BR112" i="9"/>
  <c r="BB28" i="9"/>
  <c r="BZ79" i="9"/>
  <c r="BR137" i="9"/>
  <c r="BB322" i="9"/>
  <c r="BB289" i="9"/>
  <c r="BB468" i="9"/>
  <c r="BB69" i="9"/>
  <c r="BB121" i="9"/>
  <c r="BB394" i="9"/>
  <c r="BB380" i="9"/>
  <c r="AT60" i="9"/>
  <c r="BR38" i="9"/>
  <c r="BZ318" i="9"/>
  <c r="BZ207" i="9"/>
  <c r="BR80" i="9"/>
  <c r="BZ313" i="9"/>
  <c r="BR191" i="9"/>
  <c r="BZ299" i="9"/>
  <c r="BZ203" i="9"/>
  <c r="BZ147" i="9"/>
  <c r="BR200" i="9"/>
  <c r="BZ107" i="9"/>
  <c r="BZ328" i="9"/>
  <c r="BR192" i="9"/>
  <c r="BZ221" i="9"/>
  <c r="BZ165" i="9"/>
  <c r="AT41" i="9"/>
  <c r="BB475" i="9"/>
  <c r="BB42" i="9"/>
  <c r="BB278" i="9"/>
  <c r="AL23" i="9"/>
  <c r="BZ247" i="9"/>
  <c r="BR90" i="9"/>
  <c r="BZ341" i="9"/>
  <c r="BZ361" i="9"/>
  <c r="BR27" i="9"/>
  <c r="BZ258" i="9"/>
  <c r="BZ327" i="9"/>
  <c r="BZ226" i="9"/>
  <c r="BZ94" i="9"/>
  <c r="BZ152" i="9"/>
  <c r="BZ99" i="9"/>
  <c r="BR188" i="9"/>
  <c r="BZ205" i="9"/>
  <c r="BR64" i="9"/>
  <c r="BZ220" i="9"/>
  <c r="BB432" i="9"/>
  <c r="BB33" i="9"/>
  <c r="BB85" i="9"/>
  <c r="BB328" i="9"/>
  <c r="BB189" i="9"/>
  <c r="BB55" i="9"/>
  <c r="BB105" i="9"/>
  <c r="BB426" i="9"/>
  <c r="BZ208" i="9"/>
  <c r="BZ322" i="9"/>
  <c r="BR77" i="9"/>
  <c r="BZ77" i="9"/>
  <c r="BZ358" i="9"/>
  <c r="BR139" i="9"/>
  <c r="BZ334" i="9"/>
  <c r="BZ294" i="9"/>
  <c r="BR214" i="9"/>
  <c r="BZ340" i="9"/>
  <c r="BZ198" i="9"/>
  <c r="BR82" i="9"/>
  <c r="BR169" i="9"/>
  <c r="BZ312" i="9"/>
  <c r="BR35" i="9"/>
  <c r="BB76" i="9"/>
  <c r="BB428" i="9"/>
  <c r="BB474" i="9"/>
  <c r="BB232" i="9"/>
  <c r="AL49" i="9"/>
  <c r="BB148" i="9"/>
  <c r="BZ314" i="9"/>
  <c r="BR44" i="9"/>
  <c r="BZ61" i="9"/>
  <c r="BZ69" i="9"/>
  <c r="BR158" i="9"/>
  <c r="BZ319" i="9"/>
  <c r="BR197" i="9"/>
  <c r="BZ72" i="9"/>
  <c r="BZ281" i="9"/>
  <c r="BZ225" i="9"/>
  <c r="BR166" i="9"/>
  <c r="BZ185" i="9"/>
  <c r="BZ272" i="9"/>
  <c r="BR48" i="9"/>
  <c r="BZ66" i="9"/>
  <c r="BB451" i="9"/>
  <c r="BB465" i="9"/>
  <c r="BB38" i="9"/>
  <c r="BB281" i="9"/>
  <c r="AT136" i="9"/>
  <c r="BB44" i="9"/>
  <c r="BZ311" i="9"/>
  <c r="BZ255" i="9"/>
  <c r="BR92" i="9"/>
  <c r="BZ84" i="9"/>
  <c r="BZ298" i="9"/>
  <c r="BZ196" i="9"/>
  <c r="BZ38" i="9"/>
  <c r="BR39" i="9"/>
  <c r="BR114" i="9"/>
  <c r="BZ240" i="9"/>
  <c r="BZ175" i="9"/>
  <c r="BR213" i="9"/>
  <c r="BZ269" i="9"/>
  <c r="BZ140" i="9"/>
  <c r="BR132" i="9"/>
  <c r="BB161" i="9"/>
  <c r="BB355" i="9"/>
  <c r="BB407" i="9"/>
  <c r="AT77" i="9"/>
  <c r="BB32" i="9"/>
  <c r="BB233" i="9"/>
  <c r="BZ176" i="9"/>
  <c r="BR168" i="9"/>
  <c r="BZ131" i="9"/>
  <c r="BZ218" i="9"/>
  <c r="BR157" i="9"/>
  <c r="BZ336" i="9"/>
  <c r="BR59" i="9"/>
  <c r="BB125" i="9"/>
  <c r="BZ71" i="9"/>
  <c r="BZ338" i="9"/>
  <c r="BR28" i="9"/>
  <c r="BZ184" i="9"/>
  <c r="BZ244" i="9"/>
  <c r="BR89" i="9"/>
  <c r="BZ89" i="9"/>
  <c r="BB169" i="9"/>
  <c r="BB412" i="9"/>
  <c r="BB381" i="9"/>
  <c r="BB215" i="9"/>
  <c r="BB447" i="9"/>
  <c r="BZ115" i="9"/>
  <c r="BR154" i="9"/>
  <c r="BR212" i="9"/>
  <c r="BZ229" i="9"/>
  <c r="BR72" i="9"/>
  <c r="BZ251" i="9"/>
  <c r="BZ159" i="9"/>
  <c r="BZ63" i="9"/>
  <c r="BR152" i="9"/>
  <c r="BZ23" i="9"/>
  <c r="BZ326" i="9"/>
  <c r="BR207" i="9"/>
  <c r="BZ353" i="9"/>
  <c r="BZ81" i="9"/>
  <c r="BR170" i="9"/>
  <c r="BB461" i="9"/>
  <c r="BB22" i="9"/>
  <c r="BB374" i="9"/>
  <c r="BB132" i="9"/>
  <c r="BZ352" i="9"/>
  <c r="BR171" i="9"/>
  <c r="BZ257" i="9"/>
  <c r="BZ201" i="9"/>
  <c r="BR120" i="9"/>
  <c r="BZ138" i="9"/>
  <c r="BR94" i="9"/>
  <c r="BZ142" i="9"/>
  <c r="BZ200" i="9"/>
  <c r="BZ68" i="9"/>
  <c r="BR43" i="9"/>
  <c r="BR104" i="9"/>
  <c r="BZ337" i="9"/>
  <c r="BR215" i="9"/>
  <c r="BZ172" i="9"/>
  <c r="BZ194" i="9"/>
  <c r="BB345" i="9"/>
  <c r="BB395" i="9"/>
  <c r="BB424" i="9"/>
  <c r="BB175" i="9"/>
  <c r="BB227" i="9"/>
  <c r="BB417" i="9"/>
  <c r="BB251" i="9"/>
  <c r="BZ124" i="9"/>
  <c r="BZ182" i="9"/>
  <c r="BR138" i="9"/>
  <c r="BZ250" i="9"/>
  <c r="BZ296" i="9"/>
  <c r="BR26" i="9"/>
  <c r="BZ342" i="9"/>
  <c r="BR29" i="9"/>
  <c r="BR130" i="9"/>
  <c r="BZ149" i="9"/>
  <c r="BZ114" i="9"/>
  <c r="BR34" i="9"/>
  <c r="BZ82" i="9"/>
  <c r="BZ73" i="9"/>
  <c r="BR148" i="9"/>
  <c r="BR160" i="9"/>
  <c r="BB408" i="9"/>
  <c r="BB454" i="9"/>
  <c r="BB315" i="9"/>
  <c r="BB79" i="9"/>
  <c r="BB64" i="9"/>
  <c r="BB480" i="9"/>
  <c r="BR205" i="9"/>
  <c r="BZ348" i="9"/>
  <c r="BR71" i="9"/>
  <c r="BR74" i="9"/>
  <c r="BZ199" i="9"/>
  <c r="BR78" i="9"/>
  <c r="BZ329" i="9"/>
  <c r="BZ273" i="9"/>
  <c r="BZ141" i="9"/>
  <c r="BR45" i="9"/>
  <c r="BZ101" i="9"/>
  <c r="BZ45" i="9"/>
  <c r="BR163" i="9"/>
  <c r="BZ359" i="9"/>
  <c r="BZ267" i="9"/>
  <c r="AT107" i="9"/>
  <c r="BB342" i="9"/>
  <c r="BB449" i="9"/>
  <c r="BB128" i="9"/>
  <c r="BB174" i="9"/>
  <c r="AT179" i="9"/>
  <c r="BZ171" i="9"/>
  <c r="BR159" i="9"/>
  <c r="BZ277" i="9"/>
  <c r="BZ285" i="9"/>
  <c r="BZ76" i="9"/>
  <c r="BZ170" i="9"/>
  <c r="BR162" i="9"/>
  <c r="BZ288" i="9"/>
  <c r="BZ156" i="9"/>
  <c r="BR76" i="9"/>
  <c r="BR185" i="9"/>
  <c r="BZ60" i="9"/>
  <c r="BZ129" i="9"/>
  <c r="BR31" i="9"/>
  <c r="BZ282" i="9"/>
  <c r="BB188" i="9"/>
  <c r="BB226" i="9"/>
  <c r="BB254" i="9"/>
  <c r="BB497" i="9"/>
  <c r="BB58" i="9"/>
  <c r="BB260" i="9"/>
  <c r="BR67" i="9"/>
  <c r="BZ102" i="9"/>
  <c r="BZ350" i="9"/>
  <c r="BR109" i="9"/>
  <c r="BZ97" i="9"/>
  <c r="BR172" i="9"/>
  <c r="BZ83" i="9"/>
  <c r="BZ232" i="9"/>
  <c r="BZ290" i="9"/>
  <c r="BR87" i="9"/>
  <c r="BZ136" i="9"/>
  <c r="BZ31" i="9"/>
  <c r="BR125" i="9"/>
  <c r="BZ125" i="9"/>
  <c r="BZ145" i="9"/>
  <c r="BR75" i="9"/>
  <c r="BZ42" i="9"/>
  <c r="BZ111" i="9"/>
  <c r="BR164" i="9"/>
  <c r="BR68" i="9"/>
  <c r="BZ301" i="9"/>
  <c r="BZ242" i="9"/>
  <c r="BR217" i="9"/>
  <c r="BZ360" i="9"/>
  <c r="BZ213" i="9"/>
  <c r="BR86" i="9"/>
  <c r="BB180" i="9"/>
  <c r="BB308" i="9"/>
  <c r="BB354" i="9"/>
  <c r="BB112" i="9"/>
  <c r="BB464" i="9"/>
  <c r="BB252" i="9"/>
  <c r="BZ48" i="9"/>
  <c r="BZ117" i="9"/>
  <c r="BR206" i="9"/>
  <c r="BZ90" i="9"/>
  <c r="BZ339" i="9"/>
  <c r="BZ58" i="9"/>
  <c r="BZ116" i="9"/>
  <c r="BR91" i="9"/>
  <c r="BR198" i="9"/>
  <c r="BZ210" i="9"/>
  <c r="BZ253" i="9"/>
  <c r="BR96" i="9"/>
  <c r="BZ88" i="9"/>
  <c r="BZ146" i="9"/>
  <c r="BR85" i="9"/>
  <c r="BB275" i="9"/>
  <c r="BB242" i="9"/>
  <c r="BB487" i="9"/>
  <c r="BB502" i="9"/>
  <c r="BB74" i="9"/>
  <c r="BB347" i="9"/>
  <c r="BB98" i="9"/>
  <c r="BZ98" i="9"/>
  <c r="BR73" i="9"/>
  <c r="BZ216" i="9"/>
  <c r="BZ212" i="9"/>
  <c r="BR187" i="9"/>
  <c r="BZ103" i="9"/>
  <c r="BR178" i="9"/>
  <c r="BZ197" i="9"/>
  <c r="BZ65" i="9"/>
  <c r="BZ286" i="9"/>
  <c r="BZ315" i="9"/>
  <c r="BZ214" i="9"/>
  <c r="BZ56" i="9"/>
  <c r="BR83" i="9"/>
  <c r="BZ191" i="9"/>
  <c r="BB199" i="9"/>
  <c r="BB249" i="9"/>
  <c r="BB301" i="9"/>
  <c r="BB65" i="9"/>
  <c r="BB405" i="9"/>
  <c r="BB307" i="9"/>
  <c r="BB321" i="9"/>
  <c r="BZ109" i="9"/>
  <c r="BR184" i="9"/>
  <c r="BB316" i="9"/>
  <c r="BZ151" i="9"/>
  <c r="BR209" i="9"/>
  <c r="BZ245" i="9"/>
  <c r="BZ189" i="9"/>
  <c r="BB172" i="9"/>
  <c r="BR146" i="9"/>
  <c r="BZ271" i="9"/>
  <c r="BZ320" i="9"/>
  <c r="BR50" i="9"/>
  <c r="BZ275" i="9"/>
  <c r="BZ219" i="9"/>
  <c r="BR195" i="9"/>
  <c r="BB222" i="9"/>
  <c r="BB183" i="9"/>
  <c r="BB440" i="9"/>
  <c r="BB262" i="9"/>
  <c r="BB495" i="9"/>
  <c r="BB294" i="9"/>
  <c r="BR176" i="9"/>
  <c r="BZ193" i="9"/>
  <c r="BR36" i="9"/>
  <c r="BZ28" i="9"/>
  <c r="BZ50" i="9"/>
  <c r="BR61" i="9"/>
  <c r="BZ204" i="9"/>
  <c r="BR124" i="9"/>
  <c r="BZ357" i="9"/>
  <c r="BZ148" i="9"/>
  <c r="BZ317" i="9"/>
  <c r="BZ261" i="9"/>
  <c r="BR134" i="9"/>
  <c r="BZ234" i="9"/>
  <c r="BR118" i="9"/>
  <c r="BB106" i="9"/>
  <c r="BB73" i="9"/>
  <c r="BB216" i="9"/>
  <c r="BB344" i="9"/>
  <c r="BB390" i="9"/>
  <c r="BB178" i="9"/>
  <c r="BZ270" i="9"/>
  <c r="BZ303" i="9"/>
  <c r="BR123" i="9"/>
  <c r="BZ304" i="9"/>
  <c r="BR107" i="9"/>
  <c r="BZ35" i="9"/>
  <c r="BZ302" i="9"/>
  <c r="BZ206" i="9"/>
  <c r="BR181" i="9"/>
  <c r="BZ52" i="9"/>
  <c r="BZ110" i="9"/>
  <c r="BR49" i="9"/>
  <c r="BZ137" i="9"/>
  <c r="BZ224" i="9"/>
  <c r="BR199" i="9"/>
  <c r="BB245" i="9"/>
  <c r="AT100" i="9"/>
  <c r="BB158" i="9"/>
  <c r="BB401" i="9"/>
  <c r="AD274" i="9"/>
  <c r="BR41" i="9"/>
  <c r="BZ41" i="9"/>
  <c r="BZ344" i="9"/>
  <c r="BR155" i="9"/>
  <c r="BZ263" i="9"/>
  <c r="BZ243" i="9"/>
  <c r="BR116" i="9"/>
  <c r="BZ349" i="9"/>
  <c r="BZ217" i="9"/>
  <c r="BR60" i="9"/>
  <c r="BR133" i="9"/>
  <c r="BZ121" i="9"/>
  <c r="BR196" i="9"/>
  <c r="BR218" i="9"/>
  <c r="BZ343" i="9"/>
  <c r="BB129" i="9"/>
  <c r="BB179" i="9"/>
  <c r="BR179" i="9"/>
  <c r="BB444" i="9"/>
  <c r="BB490" i="9"/>
  <c r="BB201" i="9"/>
  <c r="BZ249" i="9"/>
  <c r="BR122" i="9"/>
  <c r="BZ222" i="9"/>
  <c r="BZ291" i="9"/>
  <c r="BZ190" i="9"/>
  <c r="BZ32" i="9"/>
  <c r="BR141" i="9"/>
  <c r="BB72" i="9"/>
  <c r="BZ162" i="9"/>
  <c r="BR46" i="9"/>
  <c r="BR189" i="9"/>
  <c r="BZ30" i="9"/>
  <c r="BZ62" i="9"/>
  <c r="BR37" i="9"/>
  <c r="BZ180" i="9"/>
  <c r="BB122" i="9"/>
  <c r="BB365" i="9"/>
  <c r="AT143" i="9"/>
  <c r="BB162" i="9"/>
  <c r="AT24" i="9"/>
  <c r="BB194" i="9"/>
  <c r="BB221" i="9"/>
  <c r="BR69" i="9"/>
  <c r="BZ132" i="9"/>
  <c r="BR52" i="9"/>
  <c r="BR103" i="9"/>
  <c r="BZ354" i="9"/>
  <c r="BR113" i="9"/>
  <c r="BZ113" i="9"/>
  <c r="BZ57" i="9"/>
  <c r="BZ284" i="9"/>
  <c r="BR183" i="9"/>
  <c r="BZ130" i="9"/>
  <c r="BZ188" i="9"/>
  <c r="BR180" i="9"/>
  <c r="BZ143" i="9"/>
  <c r="BZ51" i="9"/>
  <c r="AT76" i="9"/>
  <c r="BB126" i="9"/>
  <c r="BB197" i="9"/>
  <c r="BB391" i="9"/>
  <c r="BB443" i="9"/>
  <c r="AT148" i="9"/>
  <c r="BB467" i="9"/>
  <c r="BR119" i="9"/>
  <c r="BZ310" i="9"/>
  <c r="BZ283" i="9"/>
  <c r="BR161" i="9"/>
  <c r="BZ36" i="9"/>
  <c r="BZ105" i="9"/>
  <c r="BR194" i="9"/>
  <c r="BB505" i="9"/>
  <c r="BZ223" i="9"/>
  <c r="BR30" i="9"/>
  <c r="BR211" i="9"/>
  <c r="BZ91" i="9"/>
  <c r="BZ135" i="9"/>
  <c r="BR33" i="9"/>
  <c r="BZ241" i="9"/>
  <c r="BB63" i="9"/>
  <c r="BB312" i="9"/>
  <c r="BB358" i="9"/>
  <c r="BB109" i="9"/>
  <c r="AT73" i="9"/>
  <c r="BB135" i="9"/>
  <c r="BZ325" i="9"/>
  <c r="BR203" i="9"/>
  <c r="BZ160" i="9"/>
  <c r="BZ362" i="9"/>
  <c r="BR174" i="9"/>
  <c r="BZ120" i="9"/>
  <c r="BR40" i="9"/>
  <c r="BB388" i="9"/>
  <c r="BZ100" i="9"/>
  <c r="BZ122" i="9"/>
  <c r="BZ177" i="9"/>
  <c r="BR177" i="9"/>
  <c r="BZ150" i="9"/>
  <c r="BR70" i="9"/>
  <c r="BZ118" i="9"/>
  <c r="BB438" i="9"/>
  <c r="BB196" i="9"/>
  <c r="BB165" i="9"/>
  <c r="BB478" i="9"/>
  <c r="BB231" i="9"/>
  <c r="BZ186" i="9"/>
  <c r="BR106" i="9"/>
  <c r="BZ154" i="9"/>
  <c r="BZ300" i="9"/>
  <c r="BR23" i="9"/>
  <c r="BZ167" i="9"/>
  <c r="BZ254" i="9"/>
  <c r="BR193" i="9"/>
  <c r="BR97" i="9"/>
  <c r="BZ85" i="9"/>
  <c r="BZ26" i="9"/>
  <c r="BR117" i="9"/>
  <c r="BZ173" i="9"/>
  <c r="BZ260" i="9"/>
  <c r="BR105" i="9"/>
  <c r="BZ215" i="9"/>
  <c r="BZ123" i="9"/>
  <c r="BR111" i="9"/>
  <c r="BZ265" i="9"/>
  <c r="BR108" i="9"/>
  <c r="BR204" i="9"/>
  <c r="BZ335" i="9"/>
  <c r="BZ37" i="9"/>
  <c r="BR131" i="9"/>
  <c r="BB244" i="9"/>
  <c r="BZ295" i="9"/>
  <c r="BR102" i="9"/>
  <c r="BB59" i="9"/>
  <c r="BB26" i="9"/>
  <c r="BB271" i="9"/>
  <c r="BB285" i="9"/>
  <c r="BB337" i="9"/>
  <c r="BB131" i="9"/>
  <c r="BR129" i="9"/>
  <c r="BZ163" i="9"/>
  <c r="BR58" i="9"/>
  <c r="BZ106" i="9"/>
  <c r="BZ164" i="9"/>
  <c r="BR156" i="9"/>
  <c r="BZ174" i="9"/>
  <c r="BZ78" i="9"/>
  <c r="BZ268" i="9"/>
  <c r="BZ46" i="9"/>
  <c r="BZ323" i="9"/>
  <c r="BZ231" i="9"/>
  <c r="BR186" i="9"/>
  <c r="BZ96" i="9"/>
  <c r="BZ346" i="9"/>
  <c r="AT72" i="9"/>
  <c r="BB212" i="9"/>
  <c r="BB258" i="9"/>
  <c r="BB494" i="9"/>
  <c r="AL36" i="9"/>
  <c r="AT144" i="9"/>
  <c r="BB68" i="9"/>
  <c r="BZ264" i="9"/>
  <c r="BZ333" i="9"/>
  <c r="BB100" i="9"/>
  <c r="BZ306" i="9"/>
  <c r="BR190" i="9"/>
  <c r="BZ29" i="9"/>
  <c r="BZ332" i="9"/>
  <c r="BR62" i="9"/>
  <c r="BR175" i="9"/>
  <c r="BZ55" i="9"/>
  <c r="BZ104" i="9"/>
  <c r="BR79" i="9"/>
  <c r="BZ59" i="9"/>
  <c r="BZ238" i="9"/>
  <c r="BR56" i="9"/>
  <c r="BB491" i="9"/>
  <c r="BB458" i="9"/>
  <c r="BB224" i="9"/>
  <c r="BB46" i="9"/>
  <c r="BB290" i="9"/>
  <c r="BB78" i="9"/>
  <c r="BB314" i="9"/>
  <c r="BZ179" i="9"/>
  <c r="BZ230" i="9"/>
  <c r="BR42" i="9"/>
  <c r="BZ293" i="9"/>
  <c r="BZ237" i="9"/>
  <c r="BR110" i="9"/>
  <c r="BZ235" i="9"/>
  <c r="BZ139" i="9"/>
  <c r="BR216" i="9"/>
  <c r="BZ233" i="9"/>
  <c r="BZ43" i="9"/>
  <c r="BR101" i="9"/>
  <c r="BR140" i="9"/>
  <c r="BZ157" i="9"/>
  <c r="BR135" i="9"/>
  <c r="BB292" i="9"/>
  <c r="BB153" i="9"/>
  <c r="BB205" i="9"/>
  <c r="BB448" i="9"/>
  <c r="AL62" i="9"/>
  <c r="BB364" i="9"/>
  <c r="BR84" i="9"/>
  <c r="BZ227" i="9"/>
  <c r="BZ134" i="9"/>
  <c r="BR126" i="9"/>
  <c r="BZ252" i="9"/>
  <c r="BZ321" i="9"/>
  <c r="BZ112" i="9"/>
  <c r="BB235" i="9"/>
  <c r="BZ74" i="9"/>
  <c r="BR153" i="9"/>
  <c r="BR182" i="9"/>
  <c r="BZ307" i="9"/>
  <c r="BZ351" i="9"/>
  <c r="BZ34" i="9"/>
  <c r="BZ92" i="9"/>
  <c r="BB279" i="9"/>
  <c r="BB43" i="9"/>
  <c r="BB95" i="9"/>
  <c r="BB325" i="9"/>
  <c r="AT98" i="9"/>
  <c r="BR22" i="9"/>
  <c r="BZ70" i="9"/>
  <c r="BZ128" i="9"/>
  <c r="BR136" i="9"/>
  <c r="BZ47" i="9"/>
  <c r="BZ27" i="9"/>
  <c r="BR145" i="9"/>
  <c r="BZ133" i="9"/>
  <c r="BZ256" i="9"/>
  <c r="BR95" i="9"/>
  <c r="BR150" i="9"/>
  <c r="BZ276" i="9"/>
  <c r="BZ345" i="9"/>
  <c r="BR147" i="9"/>
  <c r="BZ127" i="9"/>
  <c r="BB404" i="9"/>
  <c r="BZ158" i="9"/>
  <c r="BZ308" i="9"/>
  <c r="BB138" i="9"/>
  <c r="BB248" i="9"/>
  <c r="AT82" i="9"/>
  <c r="BB284" i="9"/>
  <c r="BB504" i="9"/>
  <c r="BB71" i="9"/>
  <c r="BB87" i="9"/>
  <c r="BB313" i="9"/>
  <c r="BB77" i="9"/>
  <c r="AL170" i="9"/>
  <c r="BB209" i="9"/>
  <c r="BB333" i="9"/>
  <c r="BB471" i="9"/>
  <c r="AD25" i="9"/>
  <c r="AD298" i="9"/>
  <c r="AD54" i="9"/>
  <c r="AL169" i="9"/>
  <c r="AT133" i="9"/>
  <c r="AD134" i="9"/>
  <c r="AD244" i="9"/>
  <c r="AT39" i="9"/>
  <c r="AD380" i="9"/>
  <c r="AD125" i="9"/>
  <c r="AT52" i="9"/>
  <c r="AT48" i="9"/>
  <c r="BB230" i="9"/>
  <c r="BB257" i="9"/>
  <c r="BZ93" i="9"/>
  <c r="BB336" i="9"/>
  <c r="BB166" i="9"/>
  <c r="BB93" i="9"/>
  <c r="BB406" i="9"/>
  <c r="BB434" i="9"/>
  <c r="AD96" i="9"/>
  <c r="AL103" i="9"/>
  <c r="AT128" i="9"/>
  <c r="AL173" i="9"/>
  <c r="V23" i="9"/>
  <c r="AD309" i="9"/>
  <c r="BB411" i="9"/>
  <c r="AT198" i="9"/>
  <c r="AD283" i="9"/>
  <c r="AD335" i="9"/>
  <c r="AT113" i="9"/>
  <c r="BB51" i="9"/>
  <c r="BB114" i="9"/>
  <c r="BB350" i="9"/>
  <c r="AT201" i="9"/>
  <c r="BB220" i="9"/>
  <c r="BB356" i="9"/>
  <c r="BB396" i="9"/>
  <c r="BB488" i="9"/>
  <c r="BB318" i="9"/>
  <c r="AL176" i="9"/>
  <c r="AT127" i="9"/>
  <c r="AD92" i="9"/>
  <c r="AT196" i="9"/>
  <c r="AD61" i="9"/>
  <c r="AD334" i="9"/>
  <c r="F28" i="9"/>
  <c r="AD38" i="9"/>
  <c r="AD143" i="9"/>
  <c r="AL151" i="9"/>
  <c r="AD428" i="9"/>
  <c r="AD174" i="9"/>
  <c r="BB298" i="9"/>
  <c r="AT134" i="9"/>
  <c r="BB171" i="9"/>
  <c r="BB204" i="9"/>
  <c r="BB208" i="9"/>
  <c r="BB283" i="9"/>
  <c r="BB119" i="9"/>
  <c r="AT40" i="9"/>
  <c r="BB359" i="9"/>
  <c r="BB375" i="9"/>
  <c r="AD55" i="9"/>
  <c r="AD112" i="9"/>
  <c r="AL53" i="9"/>
  <c r="AL81" i="9"/>
  <c r="AT120" i="9"/>
  <c r="AD27" i="9"/>
  <c r="AL165" i="9"/>
  <c r="AT69" i="9"/>
  <c r="AD194" i="9"/>
  <c r="AD300" i="9"/>
  <c r="AL42" i="9"/>
  <c r="BB48" i="9"/>
  <c r="BB483" i="9"/>
  <c r="BB61" i="9"/>
  <c r="BB88" i="9"/>
  <c r="AL108" i="9"/>
  <c r="BB173" i="9"/>
  <c r="BB297" i="9"/>
  <c r="BB415" i="9"/>
  <c r="BB429" i="9"/>
  <c r="BB265" i="9"/>
  <c r="AD388" i="9"/>
  <c r="AT183" i="9"/>
  <c r="AD393" i="9"/>
  <c r="AT32" i="9"/>
  <c r="AD213" i="9"/>
  <c r="AD293" i="9"/>
  <c r="F460" i="9"/>
  <c r="AD117" i="9"/>
  <c r="AD108" i="9"/>
  <c r="BB427" i="9"/>
  <c r="AT29" i="9"/>
  <c r="BB277" i="9"/>
  <c r="BB304" i="9"/>
  <c r="AL121" i="9"/>
  <c r="BB389" i="9"/>
  <c r="AT28" i="9"/>
  <c r="BB152" i="9"/>
  <c r="AT160" i="9"/>
  <c r="BB481" i="9"/>
  <c r="AD131" i="9"/>
  <c r="AT22" i="9"/>
  <c r="AD259" i="9"/>
  <c r="AT204" i="9"/>
  <c r="AT130" i="9"/>
  <c r="AD162" i="9"/>
  <c r="AL74" i="9"/>
  <c r="AT50" i="9"/>
  <c r="AD242" i="9"/>
  <c r="AD352" i="9"/>
  <c r="AT147" i="9"/>
  <c r="AD207" i="9"/>
  <c r="N84" i="9"/>
  <c r="N82" i="9"/>
  <c r="F540" i="9"/>
  <c r="F295" i="9"/>
  <c r="F317" i="9"/>
  <c r="F556" i="9"/>
  <c r="F341" i="9"/>
  <c r="N51" i="9"/>
  <c r="N124" i="9"/>
  <c r="F518" i="9"/>
  <c r="F553" i="9"/>
  <c r="F133" i="9"/>
  <c r="F263" i="9"/>
  <c r="F54" i="9"/>
  <c r="F395" i="9"/>
  <c r="N151" i="9"/>
  <c r="N48" i="9"/>
  <c r="N46" i="9"/>
  <c r="F504" i="9"/>
  <c r="F111" i="9"/>
  <c r="F33" i="9"/>
  <c r="F224" i="9"/>
  <c r="F188" i="9"/>
  <c r="F567" i="9"/>
  <c r="AL156" i="9"/>
  <c r="N28" i="9"/>
  <c r="BZ144" i="9"/>
  <c r="BB413" i="9"/>
  <c r="BZ169" i="9"/>
  <c r="BB274" i="9"/>
  <c r="BB317" i="9"/>
  <c r="BB47" i="9"/>
  <c r="BB167" i="9"/>
  <c r="BB397" i="9"/>
  <c r="AT145" i="9"/>
  <c r="AT154" i="9"/>
  <c r="BB403" i="9"/>
  <c r="BB377" i="9"/>
  <c r="BB56" i="9"/>
  <c r="BB371" i="9"/>
  <c r="AL150" i="9"/>
  <c r="V55" i="9"/>
  <c r="AD181" i="9"/>
  <c r="AD356" i="9"/>
  <c r="AD102" i="9"/>
  <c r="AL122" i="9"/>
  <c r="N165" i="9"/>
  <c r="AD127" i="9"/>
  <c r="AD184" i="9"/>
  <c r="AL125" i="9"/>
  <c r="AD345" i="9"/>
  <c r="BB145" i="9"/>
  <c r="AL85" i="9"/>
  <c r="AT180" i="9"/>
  <c r="BB104" i="9"/>
  <c r="BB360" i="9"/>
  <c r="BB177" i="9"/>
  <c r="BB498" i="9"/>
  <c r="BB23" i="9"/>
  <c r="BB253" i="9"/>
  <c r="AT186" i="9"/>
  <c r="AD398" i="9"/>
  <c r="AD36" i="9"/>
  <c r="AD88" i="9"/>
  <c r="AD167" i="9"/>
  <c r="AL113" i="9"/>
  <c r="AT90" i="9"/>
  <c r="AD90" i="9"/>
  <c r="AL99" i="9"/>
  <c r="AT169" i="9"/>
  <c r="AD170" i="9"/>
  <c r="BB82" i="9"/>
  <c r="AT109" i="9"/>
  <c r="BB446" i="9"/>
  <c r="BB473" i="9"/>
  <c r="BR98" i="9"/>
  <c r="BB67" i="9"/>
  <c r="BB382" i="9"/>
  <c r="BB309" i="9"/>
  <c r="BB143" i="9"/>
  <c r="BB159" i="9"/>
  <c r="AD312" i="9"/>
  <c r="AL116" i="9"/>
  <c r="AT159" i="9"/>
  <c r="AL39" i="9"/>
  <c r="BB327" i="9"/>
  <c r="AD217" i="9"/>
  <c r="AT93" i="9"/>
  <c r="AT38" i="9"/>
  <c r="AD255" i="9"/>
  <c r="AD84" i="9"/>
  <c r="AL29" i="9"/>
  <c r="AD147" i="9"/>
  <c r="BB39" i="9"/>
  <c r="AD94" i="9"/>
  <c r="BB400" i="9"/>
  <c r="BB45" i="9"/>
  <c r="BB379" i="9"/>
  <c r="AT124" i="9"/>
  <c r="BB445" i="9"/>
  <c r="BB455" i="9"/>
  <c r="BB206" i="9"/>
  <c r="AT57" i="9"/>
  <c r="BB291" i="9"/>
  <c r="AD279" i="9"/>
  <c r="AD47" i="9"/>
  <c r="AD132" i="9"/>
  <c r="AL139" i="9"/>
  <c r="AT164" i="9"/>
  <c r="AD49" i="9"/>
  <c r="AD214" i="9"/>
  <c r="AL34" i="9"/>
  <c r="V61" i="9"/>
  <c r="AD239" i="9"/>
  <c r="BB35" i="9"/>
  <c r="AT165" i="9"/>
  <c r="BB387" i="9"/>
  <c r="BB420" i="9"/>
  <c r="BB53" i="9"/>
  <c r="BB499" i="9"/>
  <c r="BB335" i="9"/>
  <c r="AT71" i="9"/>
  <c r="BB90" i="9"/>
  <c r="AT106" i="9"/>
  <c r="AD271" i="9"/>
  <c r="AD328" i="9"/>
  <c r="AL66" i="9"/>
  <c r="AL105" i="9"/>
  <c r="AT163" i="9"/>
  <c r="AD128" i="9"/>
  <c r="AD202" i="9"/>
  <c r="AL94" i="9"/>
  <c r="AD410" i="9"/>
  <c r="BB198" i="9"/>
  <c r="AL59" i="9"/>
  <c r="AT118" i="9"/>
  <c r="BB151" i="9"/>
  <c r="BB305" i="9"/>
  <c r="BB236" i="9"/>
  <c r="BB66" i="9"/>
  <c r="BB70" i="9"/>
  <c r="BB306" i="9"/>
  <c r="AT137" i="9"/>
  <c r="AD183" i="9"/>
  <c r="AD31" i="9"/>
  <c r="AD238" i="9"/>
  <c r="AL147" i="9"/>
  <c r="AL174" i="9"/>
  <c r="AD93" i="9"/>
  <c r="AD210" i="9"/>
  <c r="AL177" i="9"/>
  <c r="N121" i="9"/>
  <c r="AD235" i="9"/>
  <c r="AD292" i="9"/>
  <c r="AL30" i="9"/>
  <c r="F23" i="9"/>
  <c r="F334" i="9"/>
  <c r="V75" i="9"/>
  <c r="N119" i="9"/>
  <c r="V80" i="9"/>
  <c r="F360" i="9"/>
  <c r="F115" i="9"/>
  <c r="F137" i="9"/>
  <c r="F376" i="9"/>
  <c r="F640" i="9"/>
  <c r="N177" i="9"/>
  <c r="V33" i="9"/>
  <c r="F326" i="9"/>
  <c r="F589" i="9"/>
  <c r="F169" i="9"/>
  <c r="F299" i="9"/>
  <c r="F339" i="9"/>
  <c r="F298" i="9"/>
  <c r="V39" i="9"/>
  <c r="F289" i="9"/>
  <c r="F543" i="9"/>
  <c r="BR202" i="9"/>
  <c r="BB501" i="9"/>
  <c r="BB311" i="9"/>
  <c r="AT129" i="9"/>
  <c r="BB164" i="9"/>
  <c r="BB110" i="9"/>
  <c r="BB493" i="9"/>
  <c r="BB41" i="9"/>
  <c r="AL134" i="9"/>
  <c r="BB120" i="9"/>
  <c r="AT59" i="9"/>
  <c r="BB368" i="9"/>
  <c r="BB190" i="9"/>
  <c r="BB218" i="9"/>
  <c r="AD347" i="9"/>
  <c r="AL90" i="9"/>
  <c r="AT103" i="9"/>
  <c r="AL88" i="9"/>
  <c r="AD404" i="9"/>
  <c r="AD258" i="9"/>
  <c r="F161" i="9"/>
  <c r="AT202" i="9"/>
  <c r="AD67" i="9"/>
  <c r="AD119" i="9"/>
  <c r="AT104" i="9"/>
  <c r="BB437" i="9"/>
  <c r="BZ236" i="9"/>
  <c r="BB300" i="9"/>
  <c r="BB130" i="9"/>
  <c r="BB273" i="9"/>
  <c r="BB323" i="9"/>
  <c r="BB339" i="9"/>
  <c r="BB349" i="9"/>
  <c r="BB376" i="9"/>
  <c r="AD22" i="9"/>
  <c r="AL22" i="9"/>
  <c r="AD338" i="9"/>
  <c r="AD189" i="9"/>
  <c r="AD351" i="9"/>
  <c r="AD107" i="9"/>
  <c r="AL115" i="9"/>
  <c r="AD392" i="9"/>
  <c r="AD138" i="9"/>
  <c r="AL158" i="9"/>
  <c r="N49" i="9"/>
  <c r="BB361" i="9"/>
  <c r="AL98" i="9"/>
  <c r="BB184" i="9"/>
  <c r="BB320" i="9"/>
  <c r="BB127" i="9"/>
  <c r="BB393" i="9"/>
  <c r="BB229" i="9"/>
  <c r="BB239" i="9"/>
  <c r="BB469" i="9"/>
  <c r="AT26" i="9"/>
  <c r="V97" i="9"/>
  <c r="AD252" i="9"/>
  <c r="AD304" i="9"/>
  <c r="AD383" i="9"/>
  <c r="AL126" i="9"/>
  <c r="AT139" i="9"/>
  <c r="AD306" i="9"/>
  <c r="AL141" i="9"/>
  <c r="AT194" i="9"/>
  <c r="AD386" i="9"/>
  <c r="AD23" i="9"/>
  <c r="AL100" i="9"/>
  <c r="BB384" i="9"/>
  <c r="BB136" i="9"/>
  <c r="BB247" i="9"/>
  <c r="BB83" i="9"/>
  <c r="AT35" i="9"/>
  <c r="BB270" i="9"/>
  <c r="AT101" i="9"/>
  <c r="BB302" i="9"/>
  <c r="BB329" i="9"/>
  <c r="AD233" i="9"/>
  <c r="AL120" i="9"/>
  <c r="AT30" i="9"/>
  <c r="AD403" i="9"/>
  <c r="AD33" i="9"/>
  <c r="AD72" i="9"/>
  <c r="AD124" i="9"/>
  <c r="AT119" i="9"/>
  <c r="AD97" i="9"/>
  <c r="AD370" i="9"/>
  <c r="F64" i="9"/>
  <c r="AD74" i="9"/>
  <c r="BB52" i="9"/>
  <c r="AD310" i="9"/>
  <c r="BB137" i="9"/>
  <c r="BB261" i="9"/>
  <c r="BB116" i="9"/>
  <c r="BB154" i="9"/>
  <c r="BB182" i="9"/>
  <c r="BB186" i="9"/>
  <c r="BB422" i="9"/>
  <c r="BB470" i="9"/>
  <c r="AT114" i="9"/>
  <c r="AD211" i="9"/>
  <c r="AD263" i="9"/>
  <c r="AD348" i="9"/>
  <c r="AL152" i="9"/>
  <c r="AT195" i="9"/>
  <c r="AD265" i="9"/>
  <c r="AD425" i="9"/>
  <c r="AL119" i="9"/>
  <c r="BB268" i="9"/>
  <c r="AD53" i="9"/>
  <c r="BB353" i="9"/>
  <c r="BB477" i="9"/>
  <c r="BB332" i="9"/>
  <c r="BB370" i="9"/>
  <c r="BB398" i="9"/>
  <c r="BB402" i="9"/>
  <c r="BB147" i="9"/>
  <c r="AT37" i="9"/>
  <c r="AT157" i="9"/>
  <c r="AD83" i="9"/>
  <c r="AL55" i="9"/>
  <c r="AD103" i="9"/>
  <c r="AD371" i="9"/>
  <c r="AL65" i="9"/>
  <c r="AD327" i="9"/>
  <c r="AD366" i="9"/>
  <c r="F269" i="9"/>
  <c r="AT66" i="9"/>
  <c r="AD175" i="9"/>
  <c r="AD227" i="9"/>
  <c r="F558" i="9"/>
  <c r="F138" i="9"/>
  <c r="F238" i="9"/>
  <c r="F574" i="9"/>
  <c r="F154" i="9"/>
  <c r="V43" i="9"/>
  <c r="N142" i="9"/>
  <c r="V65" i="9"/>
  <c r="F180" i="9"/>
  <c r="F63" i="9"/>
  <c r="F195" i="9"/>
  <c r="F196" i="9"/>
  <c r="F89" i="9"/>
  <c r="N54" i="9"/>
  <c r="V69" i="9"/>
  <c r="F368" i="9"/>
  <c r="F522" i="9"/>
  <c r="F102" i="9"/>
  <c r="F202" i="9"/>
  <c r="F74" i="9"/>
  <c r="F51" i="9"/>
  <c r="F561" i="9"/>
  <c r="F548" i="9"/>
  <c r="BZ356" i="9"/>
  <c r="BB92" i="9"/>
  <c r="AT108" i="9"/>
  <c r="BB485" i="9"/>
  <c r="BB25" i="9"/>
  <c r="AL72" i="9"/>
  <c r="AT149" i="9"/>
  <c r="BB367" i="9"/>
  <c r="BB108" i="9"/>
  <c r="BB452" i="9"/>
  <c r="BB282" i="9"/>
  <c r="BB286" i="9"/>
  <c r="BB37" i="9"/>
  <c r="AT166" i="9"/>
  <c r="AD182" i="9"/>
  <c r="AD287" i="9"/>
  <c r="AL92" i="9"/>
  <c r="AD424" i="9"/>
  <c r="AL28" i="9"/>
  <c r="V46" i="9"/>
  <c r="AD341" i="9"/>
  <c r="AL57" i="9"/>
  <c r="AT126" i="9"/>
  <c r="AD123" i="9"/>
  <c r="AD64" i="9"/>
  <c r="BB500" i="9"/>
  <c r="BB324" i="9"/>
  <c r="BB141" i="9"/>
  <c r="BB462" i="9"/>
  <c r="BB203" i="9"/>
  <c r="BB170" i="9"/>
  <c r="AT206" i="9"/>
  <c r="AT190" i="9"/>
  <c r="BB223" i="9"/>
  <c r="AD193" i="9"/>
  <c r="AD358" i="9"/>
  <c r="AL47" i="9"/>
  <c r="AT62" i="9"/>
  <c r="AT193" i="9"/>
  <c r="AD87" i="9"/>
  <c r="AD48" i="9"/>
  <c r="AL124" i="9"/>
  <c r="AD45" i="9"/>
  <c r="AD294" i="9"/>
  <c r="F197" i="9"/>
  <c r="BB168" i="9"/>
  <c r="BR127" i="9"/>
  <c r="BB31" i="9"/>
  <c r="BB346" i="9"/>
  <c r="BB489" i="9"/>
  <c r="BB54" i="9"/>
  <c r="AT70" i="9"/>
  <c r="BB86" i="9"/>
  <c r="BB113" i="9"/>
  <c r="AD201" i="9"/>
  <c r="AL107" i="9"/>
  <c r="V40" i="9"/>
  <c r="AD187" i="9"/>
  <c r="AD218" i="9"/>
  <c r="AD323" i="9"/>
  <c r="AL128" i="9"/>
  <c r="V94" i="9"/>
  <c r="AD354" i="9"/>
  <c r="AD154" i="9"/>
  <c r="N62" i="9"/>
  <c r="AD379" i="9"/>
  <c r="AD99" i="9"/>
  <c r="BB441" i="9"/>
  <c r="BB343" i="9"/>
  <c r="AT88" i="9"/>
  <c r="BB409" i="9"/>
  <c r="BB150" i="9"/>
  <c r="BB111" i="9"/>
  <c r="AL131" i="9"/>
  <c r="BB40" i="9"/>
  <c r="BB176" i="9"/>
  <c r="AD104" i="9"/>
  <c r="AD317" i="9"/>
  <c r="AL73" i="9"/>
  <c r="AD130" i="9"/>
  <c r="AL58" i="9"/>
  <c r="AD374" i="9"/>
  <c r="AD339" i="9"/>
  <c r="AL148" i="9"/>
  <c r="AT58" i="9"/>
  <c r="AD253" i="9"/>
  <c r="AL82" i="9"/>
  <c r="AT74" i="9"/>
  <c r="BB115" i="9"/>
  <c r="BB496" i="9"/>
  <c r="BB463" i="9"/>
  <c r="BB299" i="9"/>
  <c r="BB34" i="9"/>
  <c r="BB486" i="9"/>
  <c r="BB435" i="9"/>
  <c r="BB27" i="9"/>
  <c r="BB60" i="9"/>
  <c r="AD417" i="9"/>
  <c r="AL133" i="9"/>
  <c r="AT97" i="9"/>
  <c r="AD98" i="9"/>
  <c r="V53" i="9"/>
  <c r="AD288" i="9"/>
  <c r="AD340" i="9"/>
  <c r="AT43" i="9"/>
  <c r="AD313" i="9"/>
  <c r="AD113" i="9"/>
  <c r="BB331" i="9"/>
  <c r="BB269" i="9"/>
  <c r="BB200" i="9"/>
  <c r="BB30" i="9"/>
  <c r="BB250" i="9"/>
  <c r="BB217" i="9"/>
  <c r="AT138" i="9"/>
  <c r="BB243" i="9"/>
  <c r="BB276" i="9"/>
  <c r="AD234" i="9"/>
  <c r="AL146" i="9"/>
  <c r="AT68" i="9"/>
  <c r="AD290" i="9"/>
  <c r="AT205" i="9"/>
  <c r="AD206" i="9"/>
  <c r="AD59" i="9"/>
  <c r="AL136" i="9"/>
  <c r="AT83" i="9"/>
  <c r="AD243" i="9"/>
  <c r="AL97" i="9"/>
  <c r="AT61" i="9"/>
  <c r="AD62" i="9"/>
  <c r="AD423" i="9"/>
  <c r="F673" i="9"/>
  <c r="F42" i="9"/>
  <c r="F378" i="9"/>
  <c r="F183" i="9"/>
  <c r="F58" i="9"/>
  <c r="F394" i="9"/>
  <c r="N188" i="9"/>
  <c r="F201" i="9"/>
  <c r="V51" i="9"/>
  <c r="BZ280" i="9"/>
  <c r="BB442" i="9"/>
  <c r="BB228" i="9"/>
  <c r="BB476" i="9"/>
  <c r="BB414" i="9"/>
  <c r="AD269" i="9"/>
  <c r="BB84" i="9"/>
  <c r="AT23" i="9"/>
  <c r="BB57" i="9"/>
  <c r="BB107" i="9"/>
  <c r="BB123" i="9"/>
  <c r="BB133" i="9"/>
  <c r="BB160" i="9"/>
  <c r="AL159" i="9"/>
  <c r="AT182" i="9"/>
  <c r="AD122" i="9"/>
  <c r="AD228" i="9"/>
  <c r="AD307" i="9"/>
  <c r="AD364" i="9"/>
  <c r="AL102" i="9"/>
  <c r="AD176" i="9"/>
  <c r="AD389" i="9"/>
  <c r="AL145" i="9"/>
  <c r="N42" i="9"/>
  <c r="AD420" i="9"/>
  <c r="BB263" i="9"/>
  <c r="BB237" i="9"/>
  <c r="BB287" i="9"/>
  <c r="BB303" i="9"/>
  <c r="BB50" i="9"/>
  <c r="BB293" i="9"/>
  <c r="AD166" i="9"/>
  <c r="BB425" i="9"/>
  <c r="AT64" i="9"/>
  <c r="AT150" i="9"/>
  <c r="AD241" i="9"/>
  <c r="AD41" i="9"/>
  <c r="AD270" i="9"/>
  <c r="AL27" i="9"/>
  <c r="AT158" i="9"/>
  <c r="AD350" i="9"/>
  <c r="AD237" i="9"/>
  <c r="AL64" i="9"/>
  <c r="BB399" i="9"/>
  <c r="AD377" i="9"/>
  <c r="BB225" i="9"/>
  <c r="BB91" i="9"/>
  <c r="BB357" i="9"/>
  <c r="BB193" i="9"/>
  <c r="BB419" i="9"/>
  <c r="BB386" i="9"/>
  <c r="AL46" i="9"/>
  <c r="AT36" i="9"/>
  <c r="BB439" i="9"/>
  <c r="AD409" i="9"/>
  <c r="AD101" i="9"/>
  <c r="AL60" i="9"/>
  <c r="AL180" i="9"/>
  <c r="AT33" i="9"/>
  <c r="AD158" i="9"/>
  <c r="AD264" i="9"/>
  <c r="AL171" i="9"/>
  <c r="V59" i="9"/>
  <c r="AD37" i="9"/>
  <c r="AT142" i="9"/>
  <c r="AT49" i="9"/>
  <c r="AD319" i="9"/>
  <c r="BB210" i="9"/>
  <c r="AT184" i="9"/>
  <c r="BB234" i="9"/>
  <c r="AT65" i="9"/>
  <c r="BB482" i="9"/>
  <c r="BB240" i="9"/>
  <c r="BZ309" i="9"/>
  <c r="BB372" i="9"/>
  <c r="BB202" i="9"/>
  <c r="AT27" i="9"/>
  <c r="AD152" i="9"/>
  <c r="AD357" i="9"/>
  <c r="AD229" i="9"/>
  <c r="AD394" i="9"/>
  <c r="AL83" i="9"/>
  <c r="V81" i="9"/>
  <c r="AD419" i="9"/>
  <c r="AL162" i="9"/>
  <c r="AT175" i="9"/>
  <c r="AD342" i="9"/>
  <c r="AD34" i="9"/>
  <c r="AT172" i="9"/>
  <c r="BB80" i="9"/>
  <c r="BB118" i="9"/>
  <c r="BB146" i="9"/>
  <c r="BB366" i="9"/>
  <c r="BB124" i="9"/>
  <c r="AL144" i="9"/>
  <c r="BB256" i="9"/>
  <c r="BB392" i="9"/>
  <c r="AD320" i="9"/>
  <c r="AD66" i="9"/>
  <c r="AL86" i="9"/>
  <c r="AD411" i="9"/>
  <c r="AL143" i="9"/>
  <c r="V76" i="9"/>
  <c r="AD223" i="9"/>
  <c r="AL32" i="9"/>
  <c r="AT162" i="9"/>
  <c r="AD105" i="9"/>
  <c r="BB310" i="9"/>
  <c r="BB296" i="9"/>
  <c r="BB334" i="9"/>
  <c r="BB362" i="9"/>
  <c r="BB97" i="9"/>
  <c r="BB340" i="9"/>
  <c r="AL157" i="9"/>
  <c r="BB472" i="9"/>
  <c r="BB117" i="9"/>
  <c r="V22" i="9"/>
  <c r="AT122" i="9"/>
  <c r="AD375" i="9"/>
  <c r="AL154" i="9"/>
  <c r="AL51" i="9"/>
  <c r="N85" i="9"/>
  <c r="AD415" i="9"/>
  <c r="AD303" i="9"/>
  <c r="AL135" i="9"/>
  <c r="AD284" i="9"/>
  <c r="AD30" i="9"/>
  <c r="AL50" i="9"/>
  <c r="F105" i="9"/>
  <c r="N146" i="9"/>
  <c r="N66" i="9"/>
  <c r="F579" i="9"/>
  <c r="F164" i="9"/>
  <c r="F493" i="9"/>
  <c r="F623" i="9"/>
  <c r="F198" i="9"/>
  <c r="F539" i="9"/>
  <c r="N92" i="9"/>
  <c r="F214" i="9"/>
  <c r="BR115" i="9"/>
  <c r="BB259" i="9"/>
  <c r="BB62" i="9"/>
  <c r="BB241" i="9"/>
  <c r="BB484" i="9"/>
  <c r="BB36" i="9"/>
  <c r="BB416" i="9"/>
  <c r="BB246" i="9"/>
  <c r="BB466" i="9"/>
  <c r="BB433" i="9"/>
  <c r="AT181" i="9"/>
  <c r="BB459" i="9"/>
  <c r="BB492" i="9"/>
  <c r="AD225" i="9"/>
  <c r="AD142" i="9"/>
  <c r="AT153" i="9"/>
  <c r="BB195" i="9"/>
  <c r="AT156" i="9"/>
  <c r="AD247" i="9"/>
  <c r="AD299" i="9"/>
  <c r="AT99" i="9"/>
  <c r="AD224" i="9"/>
  <c r="AD78" i="9"/>
  <c r="F321" i="9"/>
  <c r="BB351" i="9"/>
  <c r="BB326" i="9"/>
  <c r="BB383" i="9"/>
  <c r="BB134" i="9"/>
  <c r="AT170" i="9"/>
  <c r="AT185" i="9"/>
  <c r="BB140" i="9"/>
  <c r="BB144" i="9"/>
  <c r="BB272" i="9"/>
  <c r="BB102" i="9"/>
  <c r="AL163" i="9"/>
  <c r="AT78" i="9"/>
  <c r="AD397" i="9"/>
  <c r="V58" i="9"/>
  <c r="AD318" i="9"/>
  <c r="AD118" i="9"/>
  <c r="N26" i="9"/>
  <c r="AD343" i="9"/>
  <c r="AD400" i="9"/>
  <c r="AL138" i="9"/>
  <c r="AD212" i="9"/>
  <c r="BB479" i="9"/>
  <c r="BB453" i="9"/>
  <c r="BB503" i="9"/>
  <c r="AT34" i="9"/>
  <c r="BB266" i="9"/>
  <c r="BB24" i="9"/>
  <c r="AD382" i="9"/>
  <c r="BB156" i="9"/>
  <c r="AT95" i="9"/>
  <c r="AT187" i="9"/>
  <c r="AD75" i="9"/>
  <c r="AD257" i="9"/>
  <c r="AD381" i="9"/>
  <c r="AD178" i="9"/>
  <c r="AT189" i="9"/>
  <c r="V72" i="9"/>
  <c r="AD203" i="9"/>
  <c r="AL149" i="9"/>
  <c r="AT132" i="9"/>
  <c r="AD126" i="9"/>
  <c r="AL38" i="9"/>
  <c r="BB101" i="9"/>
  <c r="BB267" i="9"/>
  <c r="BB330" i="9"/>
  <c r="BB75" i="9"/>
  <c r="AL95" i="9"/>
  <c r="BB436" i="9"/>
  <c r="BB81" i="9"/>
  <c r="BB163" i="9"/>
  <c r="BB213" i="9"/>
  <c r="BB49" i="9"/>
  <c r="AD172" i="9"/>
  <c r="AT152" i="9"/>
  <c r="AD308" i="9"/>
  <c r="AT192" i="9"/>
  <c r="AD277" i="9"/>
  <c r="AD77" i="9"/>
  <c r="F244" i="9"/>
  <c r="AD254" i="9"/>
  <c r="AD359" i="9"/>
  <c r="AL164" i="9"/>
  <c r="V47" i="9"/>
  <c r="AD390" i="9"/>
  <c r="BB157" i="9"/>
  <c r="BB214" i="9"/>
  <c r="BB450" i="9"/>
  <c r="BB219" i="9"/>
  <c r="BB207" i="9"/>
  <c r="BB456" i="9"/>
  <c r="BB280" i="9"/>
  <c r="BB103" i="9"/>
  <c r="BB418" i="9"/>
  <c r="AL52" i="9"/>
  <c r="AD368" i="9"/>
  <c r="AD222" i="9"/>
  <c r="AD51" i="9"/>
  <c r="AD137" i="9"/>
  <c r="AL96" i="9"/>
  <c r="N117" i="9"/>
  <c r="AD168" i="9"/>
  <c r="AL175" i="9"/>
  <c r="AT200" i="9"/>
  <c r="BB373" i="9"/>
  <c r="BB430" i="9"/>
  <c r="BB181" i="9"/>
  <c r="AT96" i="9"/>
  <c r="BB423" i="9"/>
  <c r="BB187" i="9"/>
  <c r="BB89" i="9"/>
  <c r="BB319" i="9"/>
  <c r="BB155" i="9"/>
  <c r="AL137" i="9"/>
  <c r="AD314" i="9"/>
  <c r="AD329" i="9"/>
  <c r="AD133" i="9"/>
  <c r="AD330" i="9"/>
  <c r="AT173" i="9"/>
  <c r="AT85" i="9"/>
  <c r="AD355" i="9"/>
  <c r="AD407" i="9"/>
  <c r="AT207" i="9"/>
  <c r="AD332" i="9"/>
  <c r="AD186" i="9"/>
  <c r="N101" i="9"/>
  <c r="F492" i="9"/>
  <c r="F219" i="9"/>
  <c r="F232" i="9"/>
  <c r="F308" i="9"/>
  <c r="F429" i="9"/>
  <c r="F163" i="9"/>
  <c r="F38" i="9"/>
  <c r="F555" i="9"/>
  <c r="AD28" i="9"/>
  <c r="AL25" i="9"/>
  <c r="AD190" i="9"/>
  <c r="N98" i="9"/>
  <c r="AD110" i="9"/>
  <c r="AD215" i="9"/>
  <c r="AL178" i="9"/>
  <c r="AD261" i="9"/>
  <c r="AD246" i="9"/>
  <c r="AD46" i="9"/>
  <c r="F156" i="9"/>
  <c r="F148" i="9"/>
  <c r="N73" i="9"/>
  <c r="AD278" i="9"/>
  <c r="V41" i="9"/>
  <c r="F171" i="9"/>
  <c r="F78" i="9"/>
  <c r="F414" i="9"/>
  <c r="F393" i="9"/>
  <c r="F94" i="9"/>
  <c r="F430" i="9"/>
  <c r="N153" i="9"/>
  <c r="F369" i="9"/>
  <c r="N135" i="9"/>
  <c r="V31" i="9"/>
  <c r="F252" i="9"/>
  <c r="F120" i="9"/>
  <c r="F112" i="9"/>
  <c r="N37" i="9"/>
  <c r="F672" i="9"/>
  <c r="F123" i="9"/>
  <c r="F254" i="9"/>
  <c r="F451" i="9"/>
  <c r="F487" i="9"/>
  <c r="F626" i="9"/>
  <c r="V70" i="9"/>
  <c r="AD384" i="9"/>
  <c r="V48" i="9"/>
  <c r="AL70" i="9"/>
  <c r="V26" i="9"/>
  <c r="AD24" i="9"/>
  <c r="AL31" i="9"/>
  <c r="AT56" i="9"/>
  <c r="AD414" i="9"/>
  <c r="AD106" i="9"/>
  <c r="AT117" i="9"/>
  <c r="N157" i="9"/>
  <c r="N112" i="9"/>
  <c r="F356" i="9"/>
  <c r="F325" i="9"/>
  <c r="F49" i="9"/>
  <c r="F390" i="9"/>
  <c r="F490" i="9"/>
  <c r="F95" i="9"/>
  <c r="F406" i="9"/>
  <c r="N58" i="9"/>
  <c r="N191" i="9"/>
  <c r="V63" i="9"/>
  <c r="F432" i="9"/>
  <c r="F403" i="9"/>
  <c r="F425" i="9"/>
  <c r="F664" i="9"/>
  <c r="N186" i="9"/>
  <c r="N76" i="9"/>
  <c r="F320" i="9"/>
  <c r="F217" i="9"/>
  <c r="F621" i="9"/>
  <c r="F386" i="9"/>
  <c r="F260" i="9"/>
  <c r="F110" i="9"/>
  <c r="F559" i="9"/>
  <c r="F288" i="9"/>
  <c r="F584" i="9"/>
  <c r="F676" i="9"/>
  <c r="AD267" i="9"/>
  <c r="AD57" i="9"/>
  <c r="AD79" i="9"/>
  <c r="AL104" i="9"/>
  <c r="AT55" i="9"/>
  <c r="AD429" i="9"/>
  <c r="AL87" i="9"/>
  <c r="AT177" i="9"/>
  <c r="AD302" i="9"/>
  <c r="AD408" i="9"/>
  <c r="F445" i="9"/>
  <c r="F25" i="9"/>
  <c r="F155" i="9"/>
  <c r="F491" i="9"/>
  <c r="F71" i="9"/>
  <c r="N36" i="9"/>
  <c r="N163" i="9"/>
  <c r="N167" i="9"/>
  <c r="F67" i="9"/>
  <c r="F583" i="9"/>
  <c r="F605" i="9"/>
  <c r="F113" i="9"/>
  <c r="F84" i="9"/>
  <c r="F76" i="9"/>
  <c r="N111" i="9"/>
  <c r="F235" i="9"/>
  <c r="F409" i="9"/>
  <c r="F315" i="9"/>
  <c r="F119" i="9"/>
  <c r="F537" i="9"/>
  <c r="F530" i="9"/>
  <c r="F302" i="9"/>
  <c r="F614" i="9"/>
  <c r="F411" i="9"/>
  <c r="F656" i="9"/>
  <c r="AT188" i="9"/>
  <c r="F496" i="9"/>
  <c r="AL75" i="9"/>
  <c r="AL76" i="9"/>
  <c r="AD32" i="9"/>
  <c r="AD245" i="9"/>
  <c r="AL93" i="9"/>
  <c r="N113" i="9"/>
  <c r="AD276" i="9"/>
  <c r="AL80" i="9"/>
  <c r="AT123" i="9"/>
  <c r="F322" i="9"/>
  <c r="N116" i="9"/>
  <c r="F643" i="9"/>
  <c r="V68" i="9"/>
  <c r="F420" i="9"/>
  <c r="F45" i="9"/>
  <c r="F444" i="9"/>
  <c r="F436" i="9"/>
  <c r="N158" i="9"/>
  <c r="N185" i="9"/>
  <c r="V93" i="9"/>
  <c r="F248" i="9"/>
  <c r="F381" i="9"/>
  <c r="F157" i="9"/>
  <c r="F498" i="9"/>
  <c r="F598" i="9"/>
  <c r="F286" i="9"/>
  <c r="N80" i="9"/>
  <c r="F607" i="9"/>
  <c r="F345" i="9"/>
  <c r="F440" i="9"/>
  <c r="F69" i="9"/>
  <c r="F73" i="9"/>
  <c r="N195" i="9"/>
  <c r="F633" i="9"/>
  <c r="AD91" i="9"/>
  <c r="AD43" i="9"/>
  <c r="AT47" i="9"/>
  <c r="AD416" i="9"/>
  <c r="AD413" i="9"/>
  <c r="AL61" i="9"/>
  <c r="AT25" i="9"/>
  <c r="AD26" i="9"/>
  <c r="AD136" i="9"/>
  <c r="AT116" i="9"/>
  <c r="AD272" i="9"/>
  <c r="N83" i="9"/>
  <c r="V44" i="9"/>
  <c r="F324" i="9"/>
  <c r="F79" i="9"/>
  <c r="F101" i="9"/>
  <c r="F340" i="9"/>
  <c r="F604" i="9"/>
  <c r="N33" i="9"/>
  <c r="V86" i="9"/>
  <c r="F266" i="9"/>
  <c r="F337" i="9"/>
  <c r="F679" i="9"/>
  <c r="F47" i="9"/>
  <c r="F599" i="9"/>
  <c r="F581" i="9"/>
  <c r="F438" i="9"/>
  <c r="AL123" i="9"/>
  <c r="AD248" i="9"/>
  <c r="AL153" i="9"/>
  <c r="N114" i="9"/>
  <c r="AD76" i="9"/>
  <c r="AL166" i="9"/>
  <c r="F118" i="9"/>
  <c r="V66" i="9"/>
  <c r="N106" i="9"/>
  <c r="F144" i="9"/>
  <c r="F660" i="9"/>
  <c r="F160" i="9"/>
  <c r="N57" i="9"/>
  <c r="V71" i="9"/>
  <c r="F373" i="9"/>
  <c r="F516" i="9"/>
  <c r="F662" i="9"/>
  <c r="F323" i="9"/>
  <c r="N75" i="9"/>
  <c r="F281" i="9"/>
  <c r="N88" i="9"/>
  <c r="F34" i="9"/>
  <c r="F230" i="9"/>
  <c r="F475" i="9"/>
  <c r="F75" i="9"/>
  <c r="N129" i="9"/>
  <c r="V87" i="9"/>
  <c r="F36" i="9"/>
  <c r="N110" i="9"/>
  <c r="F573" i="9"/>
  <c r="F505" i="9"/>
  <c r="F350" i="9"/>
  <c r="AD282" i="9"/>
  <c r="AT199" i="9"/>
  <c r="AD349" i="9"/>
  <c r="AD73" i="9"/>
  <c r="AL118" i="9"/>
  <c r="AT110" i="9"/>
  <c r="AD50" i="9"/>
  <c r="AD156" i="9"/>
  <c r="AL101" i="9"/>
  <c r="V34" i="9"/>
  <c r="AD402" i="9"/>
  <c r="F93" i="9"/>
  <c r="F159" i="9"/>
  <c r="F221" i="9"/>
  <c r="F279" i="9"/>
  <c r="N182" i="9"/>
  <c r="N102" i="9"/>
  <c r="F585" i="9"/>
  <c r="F200" i="9"/>
  <c r="F529" i="9"/>
  <c r="F659" i="9"/>
  <c r="F234" i="9"/>
  <c r="F575" i="9"/>
  <c r="N128" i="9"/>
  <c r="F466" i="9"/>
  <c r="F46" i="9"/>
  <c r="V88" i="9"/>
  <c r="F655" i="9"/>
  <c r="F677" i="9"/>
  <c r="F185" i="9"/>
  <c r="F361" i="9"/>
  <c r="F495" i="9"/>
  <c r="F206" i="9"/>
  <c r="F380" i="9"/>
  <c r="F62" i="9"/>
  <c r="F199" i="9"/>
  <c r="AD159" i="9"/>
  <c r="AL33" i="9"/>
  <c r="AD250" i="9"/>
  <c r="AD406" i="9"/>
  <c r="F100" i="9"/>
  <c r="AD326" i="9"/>
  <c r="AD129" i="9"/>
  <c r="AL160" i="9"/>
  <c r="BB255" i="9"/>
  <c r="AD249" i="9"/>
  <c r="AD262" i="9"/>
  <c r="F372" i="9"/>
  <c r="F364" i="9"/>
  <c r="N86" i="9"/>
  <c r="N172" i="9"/>
  <c r="V101" i="9"/>
  <c r="F176" i="9"/>
  <c r="F474" i="9"/>
  <c r="F630" i="9"/>
  <c r="F210" i="9"/>
  <c r="F310" i="9"/>
  <c r="F646" i="9"/>
  <c r="F226" i="9"/>
  <c r="V56" i="9"/>
  <c r="N147" i="9"/>
  <c r="V99" i="9"/>
  <c r="F468" i="9"/>
  <c r="F336" i="9"/>
  <c r="F328" i="9"/>
  <c r="N50" i="9"/>
  <c r="F667" i="9"/>
  <c r="F657" i="9"/>
  <c r="F506" i="9"/>
  <c r="F278" i="9"/>
  <c r="F242" i="9"/>
  <c r="F362" i="9"/>
  <c r="F615" i="9"/>
  <c r="AL77" i="9"/>
  <c r="V89" i="9"/>
  <c r="AT125" i="9"/>
  <c r="AL155" i="9"/>
  <c r="N64" i="9"/>
  <c r="AD240" i="9"/>
  <c r="AL44" i="9"/>
  <c r="AT87" i="9"/>
  <c r="AD157" i="9"/>
  <c r="AD322" i="9"/>
  <c r="AL142" i="9"/>
  <c r="F388" i="9"/>
  <c r="N125" i="9"/>
  <c r="V85" i="9"/>
  <c r="F152" i="9"/>
  <c r="F265" i="9"/>
  <c r="F606" i="9"/>
  <c r="F291" i="9"/>
  <c r="F311" i="9"/>
  <c r="F622" i="9"/>
  <c r="N71" i="9"/>
  <c r="N192" i="9"/>
  <c r="N190" i="9"/>
  <c r="F648" i="9"/>
  <c r="F619" i="9"/>
  <c r="F641" i="9"/>
  <c r="F149" i="9"/>
  <c r="F208" i="9"/>
  <c r="N89" i="9"/>
  <c r="V37" i="9"/>
  <c r="F80" i="9"/>
  <c r="F546" i="9"/>
  <c r="F608" i="9"/>
  <c r="F512" i="9"/>
  <c r="BZ367" i="9"/>
  <c r="F92" i="9"/>
  <c r="F644" i="9"/>
  <c r="AD344" i="9"/>
  <c r="AT79" i="9"/>
  <c r="AD144" i="9"/>
  <c r="AD412" i="9"/>
  <c r="AT140" i="9"/>
  <c r="AD80" i="9"/>
  <c r="AD401" i="9"/>
  <c r="F568" i="9"/>
  <c r="V64" i="9"/>
  <c r="AD216" i="9"/>
  <c r="AD268" i="9"/>
  <c r="F126" i="9"/>
  <c r="F467" i="9"/>
  <c r="N183" i="9"/>
  <c r="F142" i="9"/>
  <c r="N139" i="9"/>
  <c r="F463" i="9"/>
  <c r="V35" i="9"/>
  <c r="F240" i="9"/>
  <c r="F509" i="9"/>
  <c r="F264" i="9"/>
  <c r="F256" i="9"/>
  <c r="N181" i="9"/>
  <c r="N150" i="9"/>
  <c r="N40" i="9"/>
  <c r="F284" i="9"/>
  <c r="F109" i="9"/>
  <c r="F90" i="9"/>
  <c r="F431" i="9"/>
  <c r="N187" i="9"/>
  <c r="F507" i="9"/>
  <c r="F267" i="9"/>
  <c r="F428" i="9"/>
  <c r="F631" i="9"/>
  <c r="F449" i="9"/>
  <c r="F627" i="9"/>
  <c r="AD148" i="9"/>
  <c r="AL63" i="9"/>
  <c r="AL161" i="9"/>
  <c r="AD297" i="9"/>
  <c r="AD405" i="9"/>
  <c r="F538" i="9"/>
  <c r="V52" i="9"/>
  <c r="F652" i="9"/>
  <c r="N159" i="9"/>
  <c r="F649" i="9"/>
  <c r="F416" i="9"/>
  <c r="F338" i="9"/>
  <c r="F508" i="9"/>
  <c r="V79" i="9"/>
  <c r="F309" i="9"/>
  <c r="F319" i="9"/>
  <c r="F179" i="9"/>
  <c r="F520" i="9"/>
  <c r="F143" i="9"/>
  <c r="V60" i="9"/>
  <c r="F497" i="9"/>
  <c r="F273" i="9"/>
  <c r="F359" i="9"/>
  <c r="F250" i="9"/>
  <c r="F571" i="9"/>
  <c r="F461" i="9"/>
  <c r="F330" i="9"/>
  <c r="F415" i="9"/>
  <c r="F609" i="9"/>
  <c r="AD82" i="9"/>
  <c r="AD164" i="9"/>
  <c r="AT44" i="9"/>
  <c r="AT174" i="9"/>
  <c r="AD378" i="9"/>
  <c r="AD70" i="9"/>
  <c r="AT81" i="9"/>
  <c r="AD81" i="9"/>
  <c r="AD95" i="9"/>
  <c r="AL41" i="9"/>
  <c r="AT161" i="9"/>
  <c r="N91" i="9"/>
  <c r="N95" i="9"/>
  <c r="F327" i="9"/>
  <c r="F511" i="9"/>
  <c r="F533" i="9"/>
  <c r="F41" i="9"/>
  <c r="F557" i="9"/>
  <c r="N99" i="9"/>
  <c r="N137" i="9"/>
  <c r="F237" i="9"/>
  <c r="F483" i="9"/>
  <c r="F349" i="9"/>
  <c r="F479" i="9"/>
  <c r="F270" i="9"/>
  <c r="F611" i="9"/>
  <c r="N164" i="9"/>
  <c r="N55" i="9"/>
  <c r="N59" i="9"/>
  <c r="F165" i="9"/>
  <c r="F595" i="9"/>
  <c r="F513" i="9"/>
  <c r="F524" i="9"/>
  <c r="F464" i="9"/>
  <c r="F91" i="9"/>
  <c r="F344" i="9"/>
  <c r="AD140" i="9"/>
  <c r="AL40" i="9"/>
  <c r="AD44" i="9"/>
  <c r="AD289" i="9"/>
  <c r="AL26" i="9"/>
  <c r="AT141" i="9"/>
  <c r="AD266" i="9"/>
  <c r="AD372" i="9"/>
  <c r="AL114" i="9"/>
  <c r="V90" i="9"/>
  <c r="AD145" i="9"/>
  <c r="F158" i="9"/>
  <c r="F168" i="9"/>
  <c r="F437" i="9"/>
  <c r="F192" i="9"/>
  <c r="F184" i="9"/>
  <c r="N109" i="9"/>
  <c r="V29" i="9"/>
  <c r="V36" i="9"/>
  <c r="F351" i="9"/>
  <c r="F114" i="9"/>
  <c r="F450" i="9"/>
  <c r="F30" i="9"/>
  <c r="F130" i="9"/>
  <c r="F147" i="9"/>
  <c r="F262" i="9"/>
  <c r="V92" i="9"/>
  <c r="F122" i="9"/>
  <c r="F132" i="9"/>
  <c r="F401" i="9"/>
  <c r="F182" i="9"/>
  <c r="F402" i="9"/>
  <c r="F476" i="9"/>
  <c r="F602" i="9"/>
  <c r="F398" i="9"/>
  <c r="F135" i="9"/>
  <c r="F26" i="9"/>
  <c r="AT42" i="9"/>
  <c r="AD324" i="9"/>
  <c r="AD273" i="9"/>
  <c r="AD149" i="9"/>
  <c r="F316" i="9"/>
  <c r="V28" i="9"/>
  <c r="AD180" i="9"/>
  <c r="AD232" i="9"/>
  <c r="AT102" i="9"/>
  <c r="AD205" i="9"/>
  <c r="AD333" i="9"/>
  <c r="F588" i="9"/>
  <c r="F580" i="9"/>
  <c r="F88" i="9"/>
  <c r="N193" i="9"/>
  <c r="N148" i="9"/>
  <c r="F392" i="9"/>
  <c r="F433" i="9"/>
  <c r="F85" i="9"/>
  <c r="F426" i="9"/>
  <c r="F526" i="9"/>
  <c r="F131" i="9"/>
  <c r="F442" i="9"/>
  <c r="N94" i="9"/>
  <c r="N189" i="9"/>
  <c r="N23" i="9"/>
  <c r="F27" i="9"/>
  <c r="F552" i="9"/>
  <c r="F544" i="9"/>
  <c r="F52" i="9"/>
  <c r="F374" i="9"/>
  <c r="F55" i="9"/>
  <c r="F177" i="9"/>
  <c r="F675" i="9"/>
  <c r="F501" i="9"/>
  <c r="F245" i="9"/>
  <c r="F645" i="9"/>
  <c r="AD89" i="9"/>
  <c r="AD204" i="9"/>
  <c r="AT94" i="9"/>
  <c r="AD295" i="9"/>
  <c r="AD100" i="9"/>
  <c r="AT80" i="9"/>
  <c r="AD236" i="9"/>
  <c r="AD418" i="9"/>
  <c r="AL71" i="9"/>
  <c r="AD363" i="9"/>
  <c r="AD151" i="9"/>
  <c r="F661" i="9"/>
  <c r="F241" i="9"/>
  <c r="F371" i="9"/>
  <c r="F129" i="9"/>
  <c r="F287" i="9"/>
  <c r="N43" i="9"/>
  <c r="N176" i="9"/>
  <c r="N168" i="9"/>
  <c r="F283" i="9"/>
  <c r="F50" i="9"/>
  <c r="F60" i="9"/>
  <c r="F329" i="9"/>
  <c r="F300" i="9"/>
  <c r="F292" i="9"/>
  <c r="N171" i="9"/>
  <c r="F98" i="9"/>
  <c r="F625" i="9"/>
  <c r="F205" i="9"/>
  <c r="F335" i="9"/>
  <c r="F471" i="9"/>
  <c r="F297" i="9"/>
  <c r="F542" i="9"/>
  <c r="F332" i="9"/>
  <c r="F306" i="9"/>
  <c r="F363" i="9"/>
  <c r="AL89" i="9"/>
  <c r="AT135" i="9"/>
  <c r="AD360" i="9"/>
  <c r="AD155" i="9"/>
  <c r="AT171" i="9"/>
  <c r="AD296" i="9"/>
  <c r="AD150" i="9"/>
  <c r="F53" i="9"/>
  <c r="V49" i="9"/>
  <c r="AD135" i="9"/>
  <c r="AD369" i="9"/>
  <c r="F342" i="9"/>
  <c r="F678" i="9"/>
  <c r="F22" i="9"/>
  <c r="F358" i="9"/>
  <c r="N152" i="9"/>
  <c r="F39" i="9"/>
  <c r="V100" i="9"/>
  <c r="F456" i="9"/>
  <c r="F213" i="9"/>
  <c r="F480" i="9"/>
  <c r="F472" i="9"/>
  <c r="N27" i="9"/>
  <c r="F172" i="9"/>
  <c r="N53" i="9"/>
  <c r="F502" i="9"/>
  <c r="F145" i="9"/>
  <c r="N175" i="9"/>
  <c r="F276" i="9"/>
  <c r="F596" i="9"/>
  <c r="F277" i="9"/>
  <c r="V78" i="9"/>
  <c r="F482" i="9"/>
  <c r="N108" i="9"/>
  <c r="F417" i="9"/>
  <c r="F313" i="9"/>
  <c r="F399" i="9"/>
  <c r="F357" i="9"/>
  <c r="F632" i="9"/>
  <c r="F637" i="9"/>
  <c r="F452" i="9"/>
  <c r="F566" i="9"/>
  <c r="F582" i="9"/>
  <c r="AD305" i="9"/>
  <c r="AD85" i="9"/>
  <c r="AD220" i="9"/>
  <c r="AL45" i="9"/>
  <c r="V83" i="9"/>
  <c r="AD111" i="9"/>
  <c r="AD226" i="9"/>
  <c r="N134" i="9"/>
  <c r="AD63" i="9"/>
  <c r="AD35" i="9"/>
  <c r="AL43" i="9"/>
  <c r="F239" i="9"/>
  <c r="F550" i="9"/>
  <c r="N87" i="9"/>
  <c r="N120" i="9"/>
  <c r="N118" i="9"/>
  <c r="F576" i="9"/>
  <c r="F331" i="9"/>
  <c r="F353" i="9"/>
  <c r="F592" i="9"/>
  <c r="F377" i="9"/>
  <c r="N25" i="9"/>
  <c r="N160" i="9"/>
  <c r="F554" i="9"/>
  <c r="F56" i="9"/>
  <c r="F385" i="9"/>
  <c r="F515" i="9"/>
  <c r="F203" i="9"/>
  <c r="F514" i="9"/>
  <c r="N166" i="9"/>
  <c r="F134" i="9"/>
  <c r="F127" i="9"/>
  <c r="F477" i="9"/>
  <c r="F578" i="9"/>
  <c r="F223" i="9"/>
  <c r="F663" i="9"/>
  <c r="AD353" i="9"/>
  <c r="N41" i="9"/>
  <c r="AT75" i="9"/>
  <c r="AT208" i="9"/>
  <c r="AD121" i="9"/>
  <c r="AD286" i="9"/>
  <c r="AL106" i="9"/>
  <c r="V62" i="9"/>
  <c r="AD311" i="9"/>
  <c r="AL54" i="9"/>
  <c r="AT67" i="9"/>
  <c r="N104" i="9"/>
  <c r="N96" i="9"/>
  <c r="F211" i="9"/>
  <c r="F261" i="9"/>
  <c r="F333" i="9"/>
  <c r="F257" i="9"/>
  <c r="F459" i="9"/>
  <c r="N105" i="9"/>
  <c r="N138" i="9"/>
  <c r="F591" i="9"/>
  <c r="F236" i="9"/>
  <c r="F565" i="9"/>
  <c r="F81" i="9"/>
  <c r="F486" i="9"/>
  <c r="F66" i="9"/>
  <c r="F166" i="9"/>
  <c r="N68" i="9"/>
  <c r="N60" i="9"/>
  <c r="F175" i="9"/>
  <c r="F296" i="9"/>
  <c r="F307" i="9"/>
  <c r="F447" i="9"/>
  <c r="F680" i="9"/>
  <c r="F303" i="9"/>
  <c r="N144" i="9"/>
  <c r="F470" i="9"/>
  <c r="AT63" i="9"/>
  <c r="AD160" i="9"/>
  <c r="AD260" i="9"/>
  <c r="AD285" i="9"/>
  <c r="AD346" i="9"/>
  <c r="AL35" i="9"/>
  <c r="AD177" i="9"/>
  <c r="AD115" i="9"/>
  <c r="AL127" i="9"/>
  <c r="AT203" i="9"/>
  <c r="AD361" i="9"/>
  <c r="V32" i="9"/>
  <c r="F384" i="9"/>
  <c r="F653" i="9"/>
  <c r="F408" i="9"/>
  <c r="F400" i="9"/>
  <c r="N122" i="9"/>
  <c r="N149" i="9"/>
  <c r="V57" i="9"/>
  <c r="F212" i="9"/>
  <c r="F654" i="9"/>
  <c r="F666" i="9"/>
  <c r="F246" i="9"/>
  <c r="F346" i="9"/>
  <c r="F167" i="9"/>
  <c r="F478" i="9"/>
  <c r="N130" i="9"/>
  <c r="V67" i="9"/>
  <c r="F348" i="9"/>
  <c r="F617" i="9"/>
  <c r="F458" i="9"/>
  <c r="F397" i="9"/>
  <c r="F57" i="9"/>
  <c r="F285" i="9"/>
  <c r="F312" i="9"/>
  <c r="N29" i="9"/>
  <c r="AD71" i="9"/>
  <c r="AL179" i="9"/>
  <c r="AT105" i="9"/>
  <c r="AL168" i="9"/>
  <c r="N77" i="9"/>
  <c r="AD231" i="9"/>
  <c r="AD40" i="9"/>
  <c r="AL112" i="9"/>
  <c r="AD373" i="9"/>
  <c r="AD65" i="9"/>
  <c r="AL24" i="9"/>
  <c r="F233" i="9"/>
  <c r="N126" i="9"/>
  <c r="N52" i="9"/>
  <c r="F446" i="9"/>
  <c r="F481" i="9"/>
  <c r="F61" i="9"/>
  <c r="F191" i="9"/>
  <c r="F527" i="9"/>
  <c r="F107" i="9"/>
  <c r="N72" i="9"/>
  <c r="N69" i="9"/>
  <c r="N45" i="9"/>
  <c r="F103" i="9"/>
  <c r="F86" i="9"/>
  <c r="F96" i="9"/>
  <c r="F365" i="9"/>
  <c r="F125" i="9"/>
  <c r="N90" i="9"/>
  <c r="V95" i="9"/>
  <c r="F410" i="9"/>
  <c r="F469" i="9"/>
  <c r="F669" i="9"/>
  <c r="F207" i="9"/>
  <c r="F638" i="9"/>
  <c r="F82" i="9"/>
  <c r="F314" i="9"/>
  <c r="AD153" i="9"/>
  <c r="AD163" i="9"/>
  <c r="AT168" i="9"/>
  <c r="AD315" i="9"/>
  <c r="AD316" i="9"/>
  <c r="AT111" i="9"/>
  <c r="AD69" i="9"/>
  <c r="AD197" i="9"/>
  <c r="AL84" i="9"/>
  <c r="AT155" i="9"/>
  <c r="AD367" i="9"/>
  <c r="F128" i="9"/>
  <c r="F457" i="9"/>
  <c r="F587" i="9"/>
  <c r="F162" i="9"/>
  <c r="F503" i="9"/>
  <c r="N56" i="9"/>
  <c r="F178" i="9"/>
  <c r="F499" i="9"/>
  <c r="V30" i="9"/>
  <c r="F545" i="9"/>
  <c r="F485" i="9"/>
  <c r="N65" i="9"/>
  <c r="F117" i="9"/>
  <c r="F407" i="9"/>
  <c r="N81" i="9"/>
  <c r="F305" i="9"/>
  <c r="F97" i="9"/>
  <c r="F563" i="9"/>
  <c r="F521" i="9"/>
  <c r="F443" i="9"/>
  <c r="F535" i="9"/>
  <c r="F528" i="9"/>
  <c r="F665" i="9"/>
  <c r="N30" i="9"/>
  <c r="F494" i="9"/>
  <c r="F636" i="9"/>
  <c r="F181" i="9"/>
  <c r="AT84" i="9"/>
  <c r="AL68" i="9"/>
  <c r="AD399" i="9"/>
  <c r="AD120" i="9"/>
  <c r="AL78" i="9"/>
  <c r="V54" i="9"/>
  <c r="AD109" i="9"/>
  <c r="AT89" i="9"/>
  <c r="AT121" i="9"/>
  <c r="AD391" i="9"/>
  <c r="AD195" i="9"/>
  <c r="F441" i="9"/>
  <c r="F354" i="9"/>
  <c r="F454" i="9"/>
  <c r="F59" i="9"/>
  <c r="F370" i="9"/>
  <c r="N22" i="9"/>
  <c r="N155" i="9"/>
  <c r="V27" i="9"/>
  <c r="F396" i="9"/>
  <c r="F151" i="9"/>
  <c r="F173" i="9"/>
  <c r="F412" i="9"/>
  <c r="F413" i="9"/>
  <c r="N61" i="9"/>
  <c r="N194" i="9"/>
  <c r="F590" i="9"/>
  <c r="F249" i="9"/>
  <c r="F318" i="9"/>
  <c r="F418" i="9"/>
  <c r="F404" i="9"/>
  <c r="F577" i="9"/>
  <c r="F189" i="9"/>
  <c r="F387" i="9"/>
  <c r="F647" i="9"/>
  <c r="F231" i="9"/>
  <c r="AL109" i="9"/>
  <c r="AD301" i="9"/>
  <c r="AD179" i="9"/>
  <c r="AL69" i="9"/>
  <c r="AT54" i="9"/>
  <c r="AD169" i="9"/>
  <c r="AD141" i="9"/>
  <c r="F136" i="9"/>
  <c r="AD146" i="9"/>
  <c r="AD251" i="9"/>
  <c r="AL56" i="9"/>
  <c r="F455" i="9"/>
  <c r="F35" i="9"/>
  <c r="N93" i="9"/>
  <c r="N127" i="9"/>
  <c r="N131" i="9"/>
  <c r="F31" i="9"/>
  <c r="F547" i="9"/>
  <c r="F569" i="9"/>
  <c r="F77" i="9"/>
  <c r="F593" i="9"/>
  <c r="N38" i="9"/>
  <c r="N173" i="9"/>
  <c r="F405" i="9"/>
  <c r="F272" i="9"/>
  <c r="F601" i="9"/>
  <c r="F243" i="9"/>
  <c r="F419" i="9"/>
  <c r="F375" i="9"/>
  <c r="N179" i="9"/>
  <c r="F434" i="9"/>
  <c r="F170" i="9"/>
  <c r="F271" i="9"/>
  <c r="F531" i="9"/>
  <c r="F560" i="9"/>
  <c r="N47" i="9"/>
  <c r="F618" i="9"/>
  <c r="AD188" i="9"/>
  <c r="F280" i="9"/>
  <c r="AL111" i="9"/>
  <c r="AT51" i="9"/>
  <c r="AD337" i="9"/>
  <c r="AD29" i="9"/>
  <c r="AL117" i="9"/>
  <c r="N100" i="9"/>
  <c r="AD60" i="9"/>
  <c r="AL67" i="9"/>
  <c r="AT92" i="9"/>
  <c r="F106" i="9"/>
  <c r="N103" i="9"/>
  <c r="F427" i="9"/>
  <c r="AD219" i="9"/>
  <c r="F204" i="9"/>
  <c r="F473" i="9"/>
  <c r="F228" i="9"/>
  <c r="F220" i="9"/>
  <c r="N145" i="9"/>
  <c r="V24" i="9"/>
  <c r="V25" i="9"/>
  <c r="F32" i="9"/>
  <c r="F150" i="9"/>
  <c r="F87" i="9"/>
  <c r="F282" i="9"/>
  <c r="F382" i="9"/>
  <c r="F70" i="9"/>
  <c r="N67" i="9"/>
  <c r="F391" i="9"/>
  <c r="F536" i="9"/>
  <c r="F146" i="9"/>
  <c r="F37" i="9"/>
  <c r="F422" i="9"/>
  <c r="F355" i="9"/>
  <c r="V77" i="9"/>
  <c r="AL79" i="9"/>
  <c r="BB363" i="9"/>
  <c r="AD209" i="9"/>
  <c r="AD365" i="9"/>
  <c r="F532" i="9"/>
  <c r="V84" i="9"/>
  <c r="AD396" i="9"/>
  <c r="AD171" i="9"/>
  <c r="AT151" i="9"/>
  <c r="AD421" i="9"/>
  <c r="AD221" i="9"/>
  <c r="F43" i="9"/>
  <c r="F65" i="9"/>
  <c r="F304" i="9"/>
  <c r="F424" i="9"/>
  <c r="N161" i="9"/>
  <c r="V50" i="9"/>
  <c r="F218" i="9"/>
  <c r="F301" i="9"/>
  <c r="F642" i="9"/>
  <c r="F435" i="9"/>
  <c r="F347" i="9"/>
  <c r="F658" i="9"/>
  <c r="N107" i="9"/>
  <c r="N32" i="9"/>
  <c r="N24" i="9"/>
  <c r="F139" i="9"/>
  <c r="F423" i="9"/>
  <c r="F29" i="9"/>
  <c r="F268" i="9"/>
  <c r="F668" i="9"/>
  <c r="F141" i="9"/>
  <c r="F519" i="9"/>
  <c r="F639" i="9"/>
  <c r="F153" i="9"/>
  <c r="F421" i="9"/>
  <c r="AD427" i="9"/>
  <c r="AD173" i="9"/>
  <c r="AL130" i="9"/>
  <c r="AL181" i="9"/>
  <c r="N78" i="9"/>
  <c r="AD199" i="9"/>
  <c r="AD256" i="9"/>
  <c r="AL129" i="9"/>
  <c r="AD68" i="9"/>
  <c r="AD281" i="9"/>
  <c r="AL37" i="9"/>
  <c r="N133" i="9"/>
  <c r="N79" i="9"/>
  <c r="F551" i="9"/>
  <c r="F517" i="9"/>
  <c r="N169" i="9"/>
  <c r="F489" i="9"/>
  <c r="N115" i="9"/>
  <c r="N44" i="9"/>
  <c r="F439" i="9"/>
  <c r="F255" i="9"/>
  <c r="F572" i="9"/>
  <c r="F294" i="9"/>
  <c r="F343" i="9"/>
  <c r="AD39" i="9"/>
  <c r="AD291" i="9"/>
  <c r="AT45" i="9"/>
  <c r="AD422" i="9"/>
  <c r="AD275" i="9"/>
  <c r="AL172" i="9"/>
  <c r="AT31" i="9"/>
  <c r="AD198" i="9"/>
  <c r="AL110" i="9"/>
  <c r="AT86" i="9"/>
  <c r="N136" i="9"/>
  <c r="V74" i="9"/>
  <c r="F140" i="9"/>
  <c r="F258" i="9"/>
  <c r="F594" i="9"/>
  <c r="F174" i="9"/>
  <c r="F274" i="9"/>
  <c r="F610" i="9"/>
  <c r="F190" i="9"/>
  <c r="V91" i="9"/>
  <c r="N178" i="9"/>
  <c r="V42" i="9"/>
  <c r="F216" i="9"/>
  <c r="F187" i="9"/>
  <c r="F209" i="9"/>
  <c r="F448" i="9"/>
  <c r="V45" i="9"/>
  <c r="V38" i="9"/>
  <c r="F104" i="9"/>
  <c r="F222" i="9"/>
  <c r="F99" i="9"/>
  <c r="F44" i="9"/>
  <c r="F523" i="9"/>
  <c r="F253" i="9"/>
  <c r="N39" i="9"/>
  <c r="F525" i="9"/>
  <c r="N123" i="9"/>
  <c r="AD280" i="9"/>
  <c r="AD230" i="9"/>
  <c r="AD336" i="9"/>
  <c r="AL91" i="9"/>
  <c r="AT131" i="9"/>
  <c r="AD325" i="9"/>
  <c r="AL167" i="9"/>
  <c r="AT146" i="9"/>
  <c r="AD86" i="9"/>
  <c r="AD192" i="9"/>
  <c r="F229" i="9"/>
  <c r="F570" i="9"/>
  <c r="F670" i="9"/>
  <c r="F275" i="9"/>
  <c r="F586" i="9"/>
  <c r="N35" i="9"/>
  <c r="N156" i="9"/>
  <c r="N154" i="9"/>
  <c r="F612" i="9"/>
  <c r="F367" i="9"/>
  <c r="F389" i="9"/>
  <c r="F628" i="9"/>
  <c r="F629" i="9"/>
  <c r="N74" i="9"/>
  <c r="N63" i="9"/>
  <c r="F603" i="9"/>
  <c r="F193" i="9"/>
  <c r="F534" i="9"/>
  <c r="F634" i="9"/>
  <c r="F620" i="9"/>
  <c r="F290" i="9"/>
  <c r="F613" i="9"/>
  <c r="F510" i="9"/>
  <c r="F597" i="9"/>
  <c r="N97" i="9"/>
  <c r="F379" i="9"/>
  <c r="AD42" i="9"/>
  <c r="AT191" i="9"/>
  <c r="AD395" i="9"/>
  <c r="AD196" i="9"/>
  <c r="AT115" i="9"/>
  <c r="AD385" i="9"/>
  <c r="AD185" i="9"/>
  <c r="F352" i="9"/>
  <c r="AD362" i="9"/>
  <c r="AD321" i="9"/>
  <c r="AD52" i="9"/>
  <c r="F671" i="9"/>
  <c r="F251" i="9"/>
  <c r="N141" i="9"/>
  <c r="N140" i="9"/>
  <c r="N132" i="9"/>
  <c r="F247" i="9"/>
  <c r="F453" i="9"/>
  <c r="F24" i="9"/>
  <c r="F293" i="9"/>
  <c r="F48" i="9"/>
  <c r="F40" i="9"/>
  <c r="N174" i="9"/>
  <c r="V98" i="9"/>
  <c r="V73" i="9"/>
  <c r="F68" i="9"/>
  <c r="F186" i="9"/>
  <c r="F635" i="9"/>
  <c r="F215" i="9"/>
  <c r="N180" i="9"/>
  <c r="F650" i="9"/>
  <c r="F488" i="9"/>
  <c r="F116" i="9"/>
  <c r="F500" i="9"/>
  <c r="F83" i="9"/>
  <c r="F651" i="9"/>
  <c r="AD208" i="9"/>
  <c r="AD376" i="9"/>
  <c r="V96" i="9"/>
  <c r="AD200" i="9"/>
  <c r="AD161" i="9"/>
  <c r="AL48" i="9"/>
  <c r="AT53" i="9"/>
  <c r="AD331" i="9"/>
  <c r="AL140" i="9"/>
  <c r="AT91" i="9"/>
  <c r="AD56" i="9"/>
  <c r="N70" i="9"/>
  <c r="F600" i="9"/>
  <c r="F108" i="9"/>
  <c r="F624" i="9"/>
  <c r="F616" i="9"/>
  <c r="F124" i="9"/>
  <c r="N170" i="9"/>
  <c r="N184" i="9"/>
  <c r="V82" i="9"/>
  <c r="F541" i="9"/>
  <c r="F121" i="9"/>
  <c r="F462" i="9"/>
  <c r="F562" i="9"/>
  <c r="F383" i="9"/>
  <c r="F225" i="9"/>
  <c r="N143" i="9"/>
  <c r="N34" i="9"/>
  <c r="F564" i="9"/>
  <c r="F72" i="9"/>
  <c r="F674" i="9"/>
  <c r="F194" i="9"/>
  <c r="F549" i="9"/>
  <c r="F366" i="9"/>
  <c r="N31" i="9"/>
  <c r="F484" i="9"/>
  <c r="AD387" i="9"/>
  <c r="AL132" i="9"/>
  <c r="AD426" i="9"/>
  <c r="AD114" i="9"/>
  <c r="F465" i="9"/>
  <c r="AT197" i="9"/>
  <c r="AD139" i="9"/>
  <c r="AD191" i="9"/>
  <c r="AT176" i="9"/>
  <c r="AD116" i="9"/>
  <c r="AD165" i="9"/>
  <c r="F259" i="9"/>
  <c r="N162" i="9"/>
  <c r="F227" i="9"/>
  <c r="G227" i="9" l="1"/>
  <c r="O162" i="9"/>
  <c r="G259" i="9"/>
  <c r="AE165" i="9"/>
  <c r="AE116" i="9"/>
  <c r="AU176" i="9"/>
  <c r="AE191" i="9"/>
  <c r="AE139" i="9"/>
  <c r="AU197" i="9"/>
  <c r="G465" i="9"/>
  <c r="AE114" i="9"/>
  <c r="AE426" i="9"/>
  <c r="AM132" i="9"/>
  <c r="AE387" i="9"/>
  <c r="G484" i="9"/>
  <c r="O31" i="9"/>
  <c r="G366" i="9"/>
  <c r="G549" i="9"/>
  <c r="G194" i="9"/>
  <c r="G674" i="9"/>
  <c r="G72" i="9"/>
  <c r="G564" i="9"/>
  <c r="O34" i="9"/>
  <c r="O143" i="9"/>
  <c r="G225" i="9"/>
  <c r="G383" i="9"/>
  <c r="G562" i="9"/>
  <c r="G462" i="9"/>
  <c r="G121" i="9"/>
  <c r="G541" i="9"/>
  <c r="O184" i="9"/>
  <c r="O170" i="9"/>
  <c r="G124" i="9"/>
  <c r="G616" i="9"/>
  <c r="G624" i="9"/>
  <c r="G108" i="9"/>
  <c r="G600" i="9"/>
  <c r="O70" i="9"/>
  <c r="AE56" i="9"/>
  <c r="AU91" i="9"/>
  <c r="AM140" i="9"/>
  <c r="AE331" i="9"/>
  <c r="AU53" i="9"/>
  <c r="AM48" i="9"/>
  <c r="AE161" i="9"/>
  <c r="AE200" i="9"/>
  <c r="AE376" i="9"/>
  <c r="AE208" i="9"/>
  <c r="G651" i="9"/>
  <c r="G83" i="9"/>
  <c r="G500" i="9"/>
  <c r="G116" i="9"/>
  <c r="G488" i="9"/>
  <c r="G650" i="9"/>
  <c r="O180" i="9"/>
  <c r="G215" i="9"/>
  <c r="G635" i="9"/>
  <c r="G186" i="9"/>
  <c r="G68" i="9"/>
  <c r="O174" i="9"/>
  <c r="G40" i="9"/>
  <c r="G48" i="9"/>
  <c r="G293" i="9"/>
  <c r="G24" i="9"/>
  <c r="G453" i="9"/>
  <c r="G247" i="9"/>
  <c r="O132" i="9"/>
  <c r="O140" i="9"/>
  <c r="O141" i="9"/>
  <c r="G251" i="9"/>
  <c r="G671" i="9"/>
  <c r="AE52" i="9"/>
  <c r="AE321" i="9"/>
  <c r="AE362" i="9"/>
  <c r="G352" i="9"/>
  <c r="AE185" i="9"/>
  <c r="AE385" i="9"/>
  <c r="AU115" i="9"/>
  <c r="AE196" i="9"/>
  <c r="AE395" i="9"/>
  <c r="AU191" i="9"/>
  <c r="AE42" i="9"/>
  <c r="G379" i="9"/>
  <c r="O97" i="9"/>
  <c r="G597" i="9"/>
  <c r="G510" i="9"/>
  <c r="G613" i="9"/>
  <c r="G290" i="9"/>
  <c r="G620" i="9"/>
  <c r="G634" i="9"/>
  <c r="G534" i="9"/>
  <c r="G193" i="9"/>
  <c r="G603" i="9"/>
  <c r="O63" i="9"/>
  <c r="O74" i="9"/>
  <c r="G629" i="9"/>
  <c r="G628" i="9"/>
  <c r="G389" i="9"/>
  <c r="G367" i="9"/>
  <c r="G612" i="9"/>
  <c r="O154" i="9"/>
  <c r="O156" i="9"/>
  <c r="O35" i="9"/>
  <c r="G586" i="9"/>
  <c r="G275" i="9"/>
  <c r="G670" i="9"/>
  <c r="G570" i="9"/>
  <c r="G229" i="9"/>
  <c r="AE192" i="9"/>
  <c r="AE86" i="9"/>
  <c r="AU146" i="9"/>
  <c r="AM167" i="9"/>
  <c r="AE325" i="9"/>
  <c r="AU131" i="9"/>
  <c r="AM91" i="9"/>
  <c r="AE336" i="9"/>
  <c r="AE230" i="9"/>
  <c r="AE280" i="9"/>
  <c r="O123" i="9"/>
  <c r="G525" i="9"/>
  <c r="O39" i="9"/>
  <c r="G253" i="9"/>
  <c r="G523" i="9"/>
  <c r="G44" i="9"/>
  <c r="G99" i="9"/>
  <c r="G222" i="9"/>
  <c r="G104" i="9"/>
  <c r="G448" i="9"/>
  <c r="G209" i="9"/>
  <c r="G187" i="9"/>
  <c r="G216" i="9"/>
  <c r="O178" i="9"/>
  <c r="G190" i="9"/>
  <c r="G610" i="9"/>
  <c r="G274" i="9"/>
  <c r="G174" i="9"/>
  <c r="G594" i="9"/>
  <c r="G258" i="9"/>
  <c r="G140" i="9"/>
  <c r="O136" i="9"/>
  <c r="AU86" i="9"/>
  <c r="AM110" i="9"/>
  <c r="AE198" i="9"/>
  <c r="AU31" i="9"/>
  <c r="AM172" i="9"/>
  <c r="AE275" i="9"/>
  <c r="AE422" i="9"/>
  <c r="AU45" i="9"/>
  <c r="AE291" i="9"/>
  <c r="AE39" i="9"/>
  <c r="G343" i="9"/>
  <c r="G294" i="9"/>
  <c r="G572" i="9"/>
  <c r="G255" i="9"/>
  <c r="G439" i="9"/>
  <c r="O44" i="9"/>
  <c r="O115" i="9"/>
  <c r="G489" i="9"/>
  <c r="O169" i="9"/>
  <c r="G517" i="9"/>
  <c r="G551" i="9"/>
  <c r="O79" i="9"/>
  <c r="O133" i="9"/>
  <c r="AM37" i="9"/>
  <c r="AE281" i="9"/>
  <c r="AE68" i="9"/>
  <c r="AM129" i="9"/>
  <c r="AE256" i="9"/>
  <c r="AE199" i="9"/>
  <c r="O78" i="9"/>
  <c r="AM181" i="9"/>
  <c r="AM130" i="9"/>
  <c r="AE173" i="9"/>
  <c r="AE427" i="9"/>
  <c r="G421" i="9"/>
  <c r="G153" i="9"/>
  <c r="G639" i="9"/>
  <c r="G519" i="9"/>
  <c r="G141" i="9"/>
  <c r="G668" i="9"/>
  <c r="G268" i="9"/>
  <c r="G29" i="9"/>
  <c r="G423" i="9"/>
  <c r="G139" i="9"/>
  <c r="O24" i="9"/>
  <c r="O32" i="9"/>
  <c r="O107" i="9"/>
  <c r="G658" i="9"/>
  <c r="G347" i="9"/>
  <c r="G435" i="9"/>
  <c r="G642" i="9"/>
  <c r="G301" i="9"/>
  <c r="G218" i="9"/>
  <c r="O161" i="9"/>
  <c r="G424" i="9"/>
  <c r="G304" i="9"/>
  <c r="G65" i="9"/>
  <c r="G43" i="9"/>
  <c r="AE221" i="9"/>
  <c r="AE421" i="9"/>
  <c r="AU151" i="9"/>
  <c r="AE171" i="9"/>
  <c r="AE396" i="9"/>
  <c r="G532" i="9"/>
  <c r="AE365" i="9"/>
  <c r="AE209" i="9"/>
  <c r="BC363" i="9"/>
  <c r="AM79" i="9"/>
  <c r="G355" i="9"/>
  <c r="G422" i="9"/>
  <c r="G37" i="9"/>
  <c r="G146" i="9"/>
  <c r="G536" i="9"/>
  <c r="G391" i="9"/>
  <c r="O67" i="9"/>
  <c r="G70" i="9"/>
  <c r="G382" i="9"/>
  <c r="G282" i="9"/>
  <c r="G87" i="9"/>
  <c r="G150" i="9"/>
  <c r="G32" i="9"/>
  <c r="O145" i="9"/>
  <c r="G220" i="9"/>
  <c r="G228" i="9"/>
  <c r="G473" i="9"/>
  <c r="G204" i="9"/>
  <c r="AE219" i="9"/>
  <c r="G427" i="9"/>
  <c r="O103" i="9"/>
  <c r="G106" i="9"/>
  <c r="AU92" i="9"/>
  <c r="AM67" i="9"/>
  <c r="AE60" i="9"/>
  <c r="O100" i="9"/>
  <c r="AM117" i="9"/>
  <c r="AE29" i="9"/>
  <c r="AE337" i="9"/>
  <c r="AU51" i="9"/>
  <c r="AM111" i="9"/>
  <c r="G280" i="9"/>
  <c r="AE188" i="9"/>
  <c r="G618" i="9"/>
  <c r="O47" i="9"/>
  <c r="G560" i="9"/>
  <c r="G531" i="9"/>
  <c r="G271" i="9"/>
  <c r="G170" i="9"/>
  <c r="G434" i="9"/>
  <c r="O179" i="9"/>
  <c r="G375" i="9"/>
  <c r="G419" i="9"/>
  <c r="G243" i="9"/>
  <c r="G601" i="9"/>
  <c r="G272" i="9"/>
  <c r="G405" i="9"/>
  <c r="O173" i="9"/>
  <c r="O38" i="9"/>
  <c r="G593" i="9"/>
  <c r="G77" i="9"/>
  <c r="G569" i="9"/>
  <c r="G547" i="9"/>
  <c r="G31" i="9"/>
  <c r="O131" i="9"/>
  <c r="O127" i="9"/>
  <c r="O93" i="9"/>
  <c r="G35" i="9"/>
  <c r="G455" i="9"/>
  <c r="AM56" i="9"/>
  <c r="AE251" i="9"/>
  <c r="AE146" i="9"/>
  <c r="G136" i="9"/>
  <c r="AE141" i="9"/>
  <c r="AE169" i="9"/>
  <c r="AU54" i="9"/>
  <c r="AM69" i="9"/>
  <c r="AE179" i="9"/>
  <c r="AE301" i="9"/>
  <c r="AM109" i="9"/>
  <c r="G231" i="9"/>
  <c r="G647" i="9"/>
  <c r="G387" i="9"/>
  <c r="G189" i="9"/>
  <c r="G577" i="9"/>
  <c r="G404" i="9"/>
  <c r="G418" i="9"/>
  <c r="G318" i="9"/>
  <c r="G249" i="9"/>
  <c r="G590" i="9"/>
  <c r="O194" i="9"/>
  <c r="O61" i="9"/>
  <c r="G413" i="9"/>
  <c r="G412" i="9"/>
  <c r="G173" i="9"/>
  <c r="G151" i="9"/>
  <c r="G396" i="9"/>
  <c r="O155" i="9"/>
  <c r="O22" i="9"/>
  <c r="G370" i="9"/>
  <c r="G59" i="9"/>
  <c r="G454" i="9"/>
  <c r="G354" i="9"/>
  <c r="G441" i="9"/>
  <c r="AE195" i="9"/>
  <c r="AE391" i="9"/>
  <c r="AU121" i="9"/>
  <c r="AU89" i="9"/>
  <c r="AE109" i="9"/>
  <c r="AM78" i="9"/>
  <c r="AE120" i="9"/>
  <c r="AE399" i="9"/>
  <c r="AM68" i="9"/>
  <c r="AU84" i="9"/>
  <c r="G181" i="9"/>
  <c r="G636" i="9"/>
  <c r="G494" i="9"/>
  <c r="O30" i="9"/>
  <c r="G665" i="9"/>
  <c r="G528" i="9"/>
  <c r="G535" i="9"/>
  <c r="G443" i="9"/>
  <c r="G521" i="9"/>
  <c r="G563" i="9"/>
  <c r="G97" i="9"/>
  <c r="G305" i="9"/>
  <c r="O81" i="9"/>
  <c r="G407" i="9"/>
  <c r="G117" i="9"/>
  <c r="O65" i="9"/>
  <c r="G485" i="9"/>
  <c r="G545" i="9"/>
  <c r="G499" i="9"/>
  <c r="G178" i="9"/>
  <c r="O56" i="9"/>
  <c r="G503" i="9"/>
  <c r="G162" i="9"/>
  <c r="G587" i="9"/>
  <c r="G457" i="9"/>
  <c r="G128" i="9"/>
  <c r="AE367" i="9"/>
  <c r="AU155" i="9"/>
  <c r="AM84" i="9"/>
  <c r="AE197" i="9"/>
  <c r="AE69" i="9"/>
  <c r="AU111" i="9"/>
  <c r="AE316" i="9"/>
  <c r="AE315" i="9"/>
  <c r="AU168" i="9"/>
  <c r="AE163" i="9"/>
  <c r="AE153" i="9"/>
  <c r="G314" i="9"/>
  <c r="G82" i="9"/>
  <c r="G638" i="9"/>
  <c r="G207" i="9"/>
  <c r="G669" i="9"/>
  <c r="G469" i="9"/>
  <c r="G410" i="9"/>
  <c r="O90" i="9"/>
  <c r="G125" i="9"/>
  <c r="G365" i="9"/>
  <c r="G96" i="9"/>
  <c r="G86" i="9"/>
  <c r="G103" i="9"/>
  <c r="O45" i="9"/>
  <c r="O69" i="9"/>
  <c r="O72" i="9"/>
  <c r="G107" i="9"/>
  <c r="G527" i="9"/>
  <c r="G191" i="9"/>
  <c r="G61" i="9"/>
  <c r="G481" i="9"/>
  <c r="G446" i="9"/>
  <c r="O52" i="9"/>
  <c r="O126" i="9"/>
  <c r="G233" i="9"/>
  <c r="AM24" i="9"/>
  <c r="AE65" i="9"/>
  <c r="AE373" i="9"/>
  <c r="AM112" i="9"/>
  <c r="AE40" i="9"/>
  <c r="AE231" i="9"/>
  <c r="O77" i="9"/>
  <c r="AM168" i="9"/>
  <c r="AU105" i="9"/>
  <c r="AM179" i="9"/>
  <c r="AE71" i="9"/>
  <c r="O29" i="9"/>
  <c r="G312" i="9"/>
  <c r="G285" i="9"/>
  <c r="G57" i="9"/>
  <c r="G397" i="9"/>
  <c r="G458" i="9"/>
  <c r="G617" i="9"/>
  <c r="G348" i="9"/>
  <c r="O130" i="9"/>
  <c r="G478" i="9"/>
  <c r="G167" i="9"/>
  <c r="G346" i="9"/>
  <c r="G246" i="9"/>
  <c r="G666" i="9"/>
  <c r="G654" i="9"/>
  <c r="G212" i="9"/>
  <c r="O149" i="9"/>
  <c r="O122" i="9"/>
  <c r="G400" i="9"/>
  <c r="G408" i="9"/>
  <c r="G653" i="9"/>
  <c r="G384" i="9"/>
  <c r="AE361" i="9"/>
  <c r="AU203" i="9"/>
  <c r="AM127" i="9"/>
  <c r="AE115" i="9"/>
  <c r="AE177" i="9"/>
  <c r="AM35" i="9"/>
  <c r="AE346" i="9"/>
  <c r="AE285" i="9"/>
  <c r="AE260" i="9"/>
  <c r="AE160" i="9"/>
  <c r="AU63" i="9"/>
  <c r="G470" i="9"/>
  <c r="O144" i="9"/>
  <c r="G303" i="9"/>
  <c r="G680" i="9"/>
  <c r="G447" i="9"/>
  <c r="G307" i="9"/>
  <c r="G296" i="9"/>
  <c r="G175" i="9"/>
  <c r="O60" i="9"/>
  <c r="O68" i="9"/>
  <c r="G166" i="9"/>
  <c r="G66" i="9"/>
  <c r="G486" i="9"/>
  <c r="G81" i="9"/>
  <c r="G565" i="9"/>
  <c r="G236" i="9"/>
  <c r="G591" i="9"/>
  <c r="O138" i="9"/>
  <c r="O105" i="9"/>
  <c r="G459" i="9"/>
  <c r="G257" i="9"/>
  <c r="G333" i="9"/>
  <c r="G261" i="9"/>
  <c r="G211" i="9"/>
  <c r="O96" i="9"/>
  <c r="O104" i="9"/>
  <c r="AU67" i="9"/>
  <c r="AM54" i="9"/>
  <c r="AE311" i="9"/>
  <c r="AM106" i="9"/>
  <c r="AE286" i="9"/>
  <c r="AE121" i="9"/>
  <c r="AU208" i="9"/>
  <c r="AU75" i="9"/>
  <c r="O41" i="9"/>
  <c r="AE353" i="9"/>
  <c r="G663" i="9"/>
  <c r="G223" i="9"/>
  <c r="G578" i="9"/>
  <c r="G477" i="9"/>
  <c r="G127" i="9"/>
  <c r="G134" i="9"/>
  <c r="O166" i="9"/>
  <c r="G514" i="9"/>
  <c r="G203" i="9"/>
  <c r="G515" i="9"/>
  <c r="G385" i="9"/>
  <c r="G56" i="9"/>
  <c r="G554" i="9"/>
  <c r="O160" i="9"/>
  <c r="O25" i="9"/>
  <c r="G377" i="9"/>
  <c r="G592" i="9"/>
  <c r="G353" i="9"/>
  <c r="G331" i="9"/>
  <c r="G576" i="9"/>
  <c r="O118" i="9"/>
  <c r="O120" i="9"/>
  <c r="O87" i="9"/>
  <c r="G550" i="9"/>
  <c r="G239" i="9"/>
  <c r="AM43" i="9"/>
  <c r="AE35" i="9"/>
  <c r="AE63" i="9"/>
  <c r="O134" i="9"/>
  <c r="AE226" i="9"/>
  <c r="AE111" i="9"/>
  <c r="AM45" i="9"/>
  <c r="AE220" i="9"/>
  <c r="AE85" i="9"/>
  <c r="AE305" i="9"/>
  <c r="G582" i="9"/>
  <c r="G566" i="9"/>
  <c r="G452" i="9"/>
  <c r="G637" i="9"/>
  <c r="G632" i="9"/>
  <c r="G357" i="9"/>
  <c r="G399" i="9"/>
  <c r="G313" i="9"/>
  <c r="G417" i="9"/>
  <c r="O108" i="9"/>
  <c r="G482" i="9"/>
  <c r="G277" i="9"/>
  <c r="G596" i="9"/>
  <c r="G276" i="9"/>
  <c r="O175" i="9"/>
  <c r="G145" i="9"/>
  <c r="G502" i="9"/>
  <c r="O53" i="9"/>
  <c r="G172" i="9"/>
  <c r="O27" i="9"/>
  <c r="G472" i="9"/>
  <c r="G480" i="9"/>
  <c r="G213" i="9"/>
  <c r="G456" i="9"/>
  <c r="G39" i="9"/>
  <c r="O152" i="9"/>
  <c r="G358" i="9"/>
  <c r="G22" i="9"/>
  <c r="G678" i="9"/>
  <c r="G342" i="9"/>
  <c r="AE369" i="9"/>
  <c r="AE135" i="9"/>
  <c r="G53" i="9"/>
  <c r="AE150" i="9"/>
  <c r="AE296" i="9"/>
  <c r="AU171" i="9"/>
  <c r="AE155" i="9"/>
  <c r="AE360" i="9"/>
  <c r="AU135" i="9"/>
  <c r="AM89" i="9"/>
  <c r="G363" i="9"/>
  <c r="G306" i="9"/>
  <c r="G332" i="9"/>
  <c r="G542" i="9"/>
  <c r="G297" i="9"/>
  <c r="G471" i="9"/>
  <c r="G335" i="9"/>
  <c r="G205" i="9"/>
  <c r="G625" i="9"/>
  <c r="G98" i="9"/>
  <c r="O171" i="9"/>
  <c r="G292" i="9"/>
  <c r="G300" i="9"/>
  <c r="G329" i="9"/>
  <c r="G60" i="9"/>
  <c r="G50" i="9"/>
  <c r="G283" i="9"/>
  <c r="O168" i="9"/>
  <c r="O176" i="9"/>
  <c r="O43" i="9"/>
  <c r="G287" i="9"/>
  <c r="G129" i="9"/>
  <c r="G371" i="9"/>
  <c r="G241" i="9"/>
  <c r="G661" i="9"/>
  <c r="AE151" i="9"/>
  <c r="AE363" i="9"/>
  <c r="AM71" i="9"/>
  <c r="AE418" i="9"/>
  <c r="AE236" i="9"/>
  <c r="AU80" i="9"/>
  <c r="AE100" i="9"/>
  <c r="AE295" i="9"/>
  <c r="AU94" i="9"/>
  <c r="AE204" i="9"/>
  <c r="AE89" i="9"/>
  <c r="G645" i="9"/>
  <c r="G245" i="9"/>
  <c r="G501" i="9"/>
  <c r="G675" i="9"/>
  <c r="G177" i="9"/>
  <c r="G55" i="9"/>
  <c r="G374" i="9"/>
  <c r="G52" i="9"/>
  <c r="G544" i="9"/>
  <c r="G552" i="9"/>
  <c r="G27" i="9"/>
  <c r="O23" i="9"/>
  <c r="O189" i="9"/>
  <c r="O94" i="9"/>
  <c r="G442" i="9"/>
  <c r="G131" i="9"/>
  <c r="G526" i="9"/>
  <c r="G426" i="9"/>
  <c r="G85" i="9"/>
  <c r="G433" i="9"/>
  <c r="G392" i="9"/>
  <c r="O148" i="9"/>
  <c r="O193" i="9"/>
  <c r="G88" i="9"/>
  <c r="G580" i="9"/>
  <c r="G588" i="9"/>
  <c r="AE333" i="9"/>
  <c r="AE205" i="9"/>
  <c r="AU102" i="9"/>
  <c r="AE232" i="9"/>
  <c r="AE180" i="9"/>
  <c r="G316" i="9"/>
  <c r="AE149" i="9"/>
  <c r="AE273" i="9"/>
  <c r="AE324" i="9"/>
  <c r="AU42" i="9"/>
  <c r="G26" i="9"/>
  <c r="G135" i="9"/>
  <c r="G398" i="9"/>
  <c r="G602" i="9"/>
  <c r="G476" i="9"/>
  <c r="G402" i="9"/>
  <c r="G182" i="9"/>
  <c r="G401" i="9"/>
  <c r="G132" i="9"/>
  <c r="G122" i="9"/>
  <c r="G262" i="9"/>
  <c r="G147" i="9"/>
  <c r="G130" i="9"/>
  <c r="G30" i="9"/>
  <c r="G450" i="9"/>
  <c r="G114" i="9"/>
  <c r="G351" i="9"/>
  <c r="O109" i="9"/>
  <c r="G184" i="9"/>
  <c r="G192" i="9"/>
  <c r="G437" i="9"/>
  <c r="G168" i="9"/>
  <c r="G158" i="9"/>
  <c r="AE145" i="9"/>
  <c r="AM114" i="9"/>
  <c r="AE372" i="9"/>
  <c r="AE266" i="9"/>
  <c r="AU141" i="9"/>
  <c r="AM26" i="9"/>
  <c r="AE289" i="9"/>
  <c r="AE44" i="9"/>
  <c r="AM40" i="9"/>
  <c r="AE140" i="9"/>
  <c r="G344" i="9"/>
  <c r="G91" i="9"/>
  <c r="G464" i="9"/>
  <c r="G524" i="9"/>
  <c r="G513" i="9"/>
  <c r="G595" i="9"/>
  <c r="G165" i="9"/>
  <c r="O59" i="9"/>
  <c r="O55" i="9"/>
  <c r="O164" i="9"/>
  <c r="G611" i="9"/>
  <c r="G270" i="9"/>
  <c r="G479" i="9"/>
  <c r="G349" i="9"/>
  <c r="G483" i="9"/>
  <c r="G237" i="9"/>
  <c r="O137" i="9"/>
  <c r="O99" i="9"/>
  <c r="G557" i="9"/>
  <c r="G41" i="9"/>
  <c r="G533" i="9"/>
  <c r="G511" i="9"/>
  <c r="G327" i="9"/>
  <c r="O95" i="9"/>
  <c r="O91" i="9"/>
  <c r="AU161" i="9"/>
  <c r="AM41" i="9"/>
  <c r="AE95" i="9"/>
  <c r="AE81" i="9"/>
  <c r="AU81" i="9"/>
  <c r="AE70" i="9"/>
  <c r="AE378" i="9"/>
  <c r="AU174" i="9"/>
  <c r="AU44" i="9"/>
  <c r="AE164" i="9"/>
  <c r="AE82" i="9"/>
  <c r="G609" i="9"/>
  <c r="G415" i="9"/>
  <c r="G330" i="9"/>
  <c r="G461" i="9"/>
  <c r="G571" i="9"/>
  <c r="G250" i="9"/>
  <c r="G359" i="9"/>
  <c r="G273" i="9"/>
  <c r="G497" i="9"/>
  <c r="G143" i="9"/>
  <c r="G520" i="9"/>
  <c r="G179" i="9"/>
  <c r="G319" i="9"/>
  <c r="G309" i="9"/>
  <c r="G508" i="9"/>
  <c r="G338" i="9"/>
  <c r="G416" i="9"/>
  <c r="G649" i="9"/>
  <c r="O159" i="9"/>
  <c r="G652" i="9"/>
  <c r="G538" i="9"/>
  <c r="AE405" i="9"/>
  <c r="AE297" i="9"/>
  <c r="AM161" i="9"/>
  <c r="AM63" i="9"/>
  <c r="AE148" i="9"/>
  <c r="G627" i="9"/>
  <c r="G449" i="9"/>
  <c r="G631" i="9"/>
  <c r="G428" i="9"/>
  <c r="G267" i="9"/>
  <c r="G507" i="9"/>
  <c r="O187" i="9"/>
  <c r="G431" i="9"/>
  <c r="G90" i="9"/>
  <c r="G109" i="9"/>
  <c r="G284" i="9"/>
  <c r="O40" i="9"/>
  <c r="O150" i="9"/>
  <c r="O181" i="9"/>
  <c r="G256" i="9"/>
  <c r="G264" i="9"/>
  <c r="G509" i="9"/>
  <c r="G240" i="9"/>
  <c r="G463" i="9"/>
  <c r="O139" i="9"/>
  <c r="G142" i="9"/>
  <c r="O183" i="9"/>
  <c r="G467" i="9"/>
  <c r="G126" i="9"/>
  <c r="AE268" i="9"/>
  <c r="AE216" i="9"/>
  <c r="G568" i="9"/>
  <c r="AE401" i="9"/>
  <c r="AE80" i="9"/>
  <c r="AU140" i="9"/>
  <c r="AE412" i="9"/>
  <c r="AE144" i="9"/>
  <c r="AU79" i="9"/>
  <c r="AE344" i="9"/>
  <c r="G644" i="9"/>
  <c r="G92" i="9"/>
  <c r="G512" i="9"/>
  <c r="G608" i="9"/>
  <c r="G546" i="9"/>
  <c r="G80" i="9"/>
  <c r="O89" i="9"/>
  <c r="G208" i="9"/>
  <c r="G149" i="9"/>
  <c r="G641" i="9"/>
  <c r="G619" i="9"/>
  <c r="G648" i="9"/>
  <c r="O190" i="9"/>
  <c r="O192" i="9"/>
  <c r="O71" i="9"/>
  <c r="G622" i="9"/>
  <c r="G311" i="9"/>
  <c r="G291" i="9"/>
  <c r="G606" i="9"/>
  <c r="G265" i="9"/>
  <c r="G152" i="9"/>
  <c r="O125" i="9"/>
  <c r="G388" i="9"/>
  <c r="AM142" i="9"/>
  <c r="AE322" i="9"/>
  <c r="AE157" i="9"/>
  <c r="AU87" i="9"/>
  <c r="AM44" i="9"/>
  <c r="AE240" i="9"/>
  <c r="O64" i="9"/>
  <c r="AM155" i="9"/>
  <c r="AU125" i="9"/>
  <c r="AM77" i="9"/>
  <c r="G615" i="9"/>
  <c r="G362" i="9"/>
  <c r="G242" i="9"/>
  <c r="G278" i="9"/>
  <c r="G506" i="9"/>
  <c r="G657" i="9"/>
  <c r="G667" i="9"/>
  <c r="O50" i="9"/>
  <c r="G328" i="9"/>
  <c r="G336" i="9"/>
  <c r="G468" i="9"/>
  <c r="O147" i="9"/>
  <c r="G226" i="9"/>
  <c r="G646" i="9"/>
  <c r="G310" i="9"/>
  <c r="G210" i="9"/>
  <c r="G630" i="9"/>
  <c r="G474" i="9"/>
  <c r="G176" i="9"/>
  <c r="O172" i="9"/>
  <c r="O86" i="9"/>
  <c r="G364" i="9"/>
  <c r="G372" i="9"/>
  <c r="AE262" i="9"/>
  <c r="AE249" i="9"/>
  <c r="BC255" i="9"/>
  <c r="AM160" i="9"/>
  <c r="AE129" i="9"/>
  <c r="AE326" i="9"/>
  <c r="G100" i="9"/>
  <c r="AE406" i="9"/>
  <c r="AE250" i="9"/>
  <c r="AM33" i="9"/>
  <c r="AE159" i="9"/>
  <c r="G199" i="9"/>
  <c r="G62" i="9"/>
  <c r="G380" i="9"/>
  <c r="G206" i="9"/>
  <c r="G495" i="9"/>
  <c r="G361" i="9"/>
  <c r="G185" i="9"/>
  <c r="G677" i="9"/>
  <c r="G655" i="9"/>
  <c r="G46" i="9"/>
  <c r="G466" i="9"/>
  <c r="O128" i="9"/>
  <c r="G575" i="9"/>
  <c r="G234" i="9"/>
  <c r="G659" i="9"/>
  <c r="G529" i="9"/>
  <c r="G200" i="9"/>
  <c r="G585" i="9"/>
  <c r="O102" i="9"/>
  <c r="O182" i="9"/>
  <c r="G279" i="9"/>
  <c r="G221" i="9"/>
  <c r="G159" i="9"/>
  <c r="G93" i="9"/>
  <c r="AE402" i="9"/>
  <c r="AM101" i="9"/>
  <c r="AE156" i="9"/>
  <c r="AE50" i="9"/>
  <c r="AU110" i="9"/>
  <c r="AM118" i="9"/>
  <c r="AE73" i="9"/>
  <c r="AE349" i="9"/>
  <c r="AU199" i="9"/>
  <c r="AE282" i="9"/>
  <c r="G350" i="9"/>
  <c r="G505" i="9"/>
  <c r="G573" i="9"/>
  <c r="O110" i="9"/>
  <c r="G36" i="9"/>
  <c r="O129" i="9"/>
  <c r="G75" i="9"/>
  <c r="G475" i="9"/>
  <c r="G230" i="9"/>
  <c r="G34" i="9"/>
  <c r="O88" i="9"/>
  <c r="G281" i="9"/>
  <c r="O75" i="9"/>
  <c r="G323" i="9"/>
  <c r="G662" i="9"/>
  <c r="G516" i="9"/>
  <c r="G373" i="9"/>
  <c r="O57" i="9"/>
  <c r="G160" i="9"/>
  <c r="G660" i="9"/>
  <c r="G144" i="9"/>
  <c r="O106" i="9"/>
  <c r="G118" i="9"/>
  <c r="AM166" i="9"/>
  <c r="AE76" i="9"/>
  <c r="O114" i="9"/>
  <c r="AM153" i="9"/>
  <c r="AE248" i="9"/>
  <c r="AM123" i="9"/>
  <c r="G438" i="9"/>
  <c r="G581" i="9"/>
  <c r="G599" i="9"/>
  <c r="G47" i="9"/>
  <c r="G679" i="9"/>
  <c r="G337" i="9"/>
  <c r="G266" i="9"/>
  <c r="O33" i="9"/>
  <c r="G604" i="9"/>
  <c r="G340" i="9"/>
  <c r="G101" i="9"/>
  <c r="G79" i="9"/>
  <c r="G324" i="9"/>
  <c r="O83" i="9"/>
  <c r="AE272" i="9"/>
  <c r="AU116" i="9"/>
  <c r="AE136" i="9"/>
  <c r="AE26" i="9"/>
  <c r="AU25" i="9"/>
  <c r="AM61" i="9"/>
  <c r="AE413" i="9"/>
  <c r="AE416" i="9"/>
  <c r="AU47" i="9"/>
  <c r="AE43" i="9"/>
  <c r="AE91" i="9"/>
  <c r="G633" i="9"/>
  <c r="O195" i="9"/>
  <c r="G73" i="9"/>
  <c r="G69" i="9"/>
  <c r="G440" i="9"/>
  <c r="G345" i="9"/>
  <c r="G607" i="9"/>
  <c r="O80" i="9"/>
  <c r="G286" i="9"/>
  <c r="G598" i="9"/>
  <c r="G498" i="9"/>
  <c r="G157" i="9"/>
  <c r="G381" i="9"/>
  <c r="G248" i="9"/>
  <c r="O185" i="9"/>
  <c r="O158" i="9"/>
  <c r="G436" i="9"/>
  <c r="G444" i="9"/>
  <c r="G45" i="9"/>
  <c r="G420" i="9"/>
  <c r="G643" i="9"/>
  <c r="O116" i="9"/>
  <c r="G322" i="9"/>
  <c r="AU123" i="9"/>
  <c r="AM80" i="9"/>
  <c r="AE276" i="9"/>
  <c r="O113" i="9"/>
  <c r="AM93" i="9"/>
  <c r="AE245" i="9"/>
  <c r="AE32" i="9"/>
  <c r="AM76" i="9"/>
  <c r="AM75" i="9"/>
  <c r="G496" i="9"/>
  <c r="AU188" i="9"/>
  <c r="G656" i="9"/>
  <c r="G411" i="9"/>
  <c r="G614" i="9"/>
  <c r="G302" i="9"/>
  <c r="G530" i="9"/>
  <c r="G537" i="9"/>
  <c r="G119" i="9"/>
  <c r="G315" i="9"/>
  <c r="G409" i="9"/>
  <c r="G235" i="9"/>
  <c r="O111" i="9"/>
  <c r="G76" i="9"/>
  <c r="G84" i="9"/>
  <c r="G113" i="9"/>
  <c r="G605" i="9"/>
  <c r="G583" i="9"/>
  <c r="G67" i="9"/>
  <c r="O167" i="9"/>
  <c r="O163" i="9"/>
  <c r="O36" i="9"/>
  <c r="G71" i="9"/>
  <c r="G491" i="9"/>
  <c r="G155" i="9"/>
  <c r="G25" i="9"/>
  <c r="G445" i="9"/>
  <c r="AE408" i="9"/>
  <c r="AE302" i="9"/>
  <c r="AU177" i="9"/>
  <c r="AM87" i="9"/>
  <c r="AE429" i="9"/>
  <c r="AU55" i="9"/>
  <c r="AM104" i="9"/>
  <c r="AE79" i="9"/>
  <c r="AE57" i="9"/>
  <c r="AE267" i="9"/>
  <c r="G676" i="9"/>
  <c r="G584" i="9"/>
  <c r="G288" i="9"/>
  <c r="G559" i="9"/>
  <c r="G110" i="9"/>
  <c r="G260" i="9"/>
  <c r="G386" i="9"/>
  <c r="G621" i="9"/>
  <c r="G217" i="9"/>
  <c r="G320" i="9"/>
  <c r="O76" i="9"/>
  <c r="O186" i="9"/>
  <c r="G664" i="9"/>
  <c r="G425" i="9"/>
  <c r="G403" i="9"/>
  <c r="G432" i="9"/>
  <c r="O191" i="9"/>
  <c r="O58" i="9"/>
  <c r="G406" i="9"/>
  <c r="G95" i="9"/>
  <c r="G490" i="9"/>
  <c r="G390" i="9"/>
  <c r="G49" i="9"/>
  <c r="G325" i="9"/>
  <c r="G356" i="9"/>
  <c r="O112" i="9"/>
  <c r="O157" i="9"/>
  <c r="AU117" i="9"/>
  <c r="AE106" i="9"/>
  <c r="AE414" i="9"/>
  <c r="AU56" i="9"/>
  <c r="AM31" i="9"/>
  <c r="AE24" i="9"/>
  <c r="AM70" i="9"/>
  <c r="AE384" i="9"/>
  <c r="G626" i="9"/>
  <c r="G487" i="9"/>
  <c r="G451" i="9"/>
  <c r="G254" i="9"/>
  <c r="G123" i="9"/>
  <c r="G672" i="9"/>
  <c r="O37" i="9"/>
  <c r="G112" i="9"/>
  <c r="G120" i="9"/>
  <c r="G252" i="9"/>
  <c r="O135" i="9"/>
  <c r="G369" i="9"/>
  <c r="O153" i="9"/>
  <c r="G430" i="9"/>
  <c r="G94" i="9"/>
  <c r="G393" i="9"/>
  <c r="G414" i="9"/>
  <c r="G78" i="9"/>
  <c r="G171" i="9"/>
  <c r="AE278" i="9"/>
  <c r="O73" i="9"/>
  <c r="G148" i="9"/>
  <c r="G156" i="9"/>
  <c r="AE46" i="9"/>
  <c r="AE246" i="9"/>
  <c r="AE261" i="9"/>
  <c r="AM178" i="9"/>
  <c r="AE215" i="9"/>
  <c r="AE110" i="9"/>
  <c r="O98" i="9"/>
  <c r="AE190" i="9"/>
  <c r="AM25" i="9"/>
  <c r="AE28" i="9"/>
  <c r="G555" i="9"/>
  <c r="G38" i="9"/>
  <c r="G163" i="9"/>
  <c r="G429" i="9"/>
  <c r="G308" i="9"/>
  <c r="G232" i="9"/>
  <c r="G219" i="9"/>
  <c r="G492" i="9"/>
  <c r="O101" i="9"/>
  <c r="AE186" i="9"/>
  <c r="AE332" i="9"/>
  <c r="AU207" i="9"/>
  <c r="AE407" i="9"/>
  <c r="AE355" i="9"/>
  <c r="AU85" i="9"/>
  <c r="AU173" i="9"/>
  <c r="AE330" i="9"/>
  <c r="AE133" i="9"/>
  <c r="AE329" i="9"/>
  <c r="AE314" i="9"/>
  <c r="AM137" i="9"/>
  <c r="BC155" i="9"/>
  <c r="BC319" i="9"/>
  <c r="BC89" i="9"/>
  <c r="BC187" i="9"/>
  <c r="BC423" i="9"/>
  <c r="AU96" i="9"/>
  <c r="BC181" i="9"/>
  <c r="BC430" i="9"/>
  <c r="BC373" i="9"/>
  <c r="AU200" i="9"/>
  <c r="AM175" i="9"/>
  <c r="AE168" i="9"/>
  <c r="O117" i="9"/>
  <c r="AM96" i="9"/>
  <c r="AE137" i="9"/>
  <c r="AE51" i="9"/>
  <c r="AE222" i="9"/>
  <c r="AE368" i="9"/>
  <c r="AM52" i="9"/>
  <c r="BC418" i="9"/>
  <c r="BC103" i="9"/>
  <c r="BC280" i="9"/>
  <c r="BC456" i="9"/>
  <c r="BC207" i="9"/>
  <c r="BC219" i="9"/>
  <c r="BC450" i="9"/>
  <c r="BC214" i="9"/>
  <c r="BC157" i="9"/>
  <c r="AE390" i="9"/>
  <c r="AM164" i="9"/>
  <c r="AE359" i="9"/>
  <c r="AE254" i="9"/>
  <c r="G244" i="9"/>
  <c r="AE77" i="9"/>
  <c r="AE277" i="9"/>
  <c r="AU192" i="9"/>
  <c r="AE308" i="9"/>
  <c r="AU152" i="9"/>
  <c r="AE172" i="9"/>
  <c r="BC49" i="9"/>
  <c r="BC213" i="9"/>
  <c r="BC163" i="9"/>
  <c r="BC81" i="9"/>
  <c r="BC436" i="9"/>
  <c r="AM95" i="9"/>
  <c r="BC75" i="9"/>
  <c r="BC330" i="9"/>
  <c r="BC267" i="9"/>
  <c r="BC101" i="9"/>
  <c r="AM38" i="9"/>
  <c r="AE126" i="9"/>
  <c r="AU132" i="9"/>
  <c r="AM149" i="9"/>
  <c r="AE203" i="9"/>
  <c r="AU189" i="9"/>
  <c r="AE178" i="9"/>
  <c r="AE381" i="9"/>
  <c r="AE257" i="9"/>
  <c r="AE75" i="9"/>
  <c r="AU187" i="9"/>
  <c r="AU95" i="9"/>
  <c r="BC156" i="9"/>
  <c r="AE382" i="9"/>
  <c r="BC24" i="9"/>
  <c r="BC266" i="9"/>
  <c r="AU34" i="9"/>
  <c r="BC503" i="9"/>
  <c r="BC453" i="9"/>
  <c r="BC479" i="9"/>
  <c r="AE212" i="9"/>
  <c r="AM138" i="9"/>
  <c r="AE400" i="9"/>
  <c r="AE343" i="9"/>
  <c r="O26" i="9"/>
  <c r="AE118" i="9"/>
  <c r="AE318" i="9"/>
  <c r="AE397" i="9"/>
  <c r="AU78" i="9"/>
  <c r="AM163" i="9"/>
  <c r="BC102" i="9"/>
  <c r="BC272" i="9"/>
  <c r="BC144" i="9"/>
  <c r="BC140" i="9"/>
  <c r="AU185" i="9"/>
  <c r="AU170" i="9"/>
  <c r="BC134" i="9"/>
  <c r="BC383" i="9"/>
  <c r="BC326" i="9"/>
  <c r="BC351" i="9"/>
  <c r="G321" i="9"/>
  <c r="AE78" i="9"/>
  <c r="AE224" i="9"/>
  <c r="AU99" i="9"/>
  <c r="AE299" i="9"/>
  <c r="AE247" i="9"/>
  <c r="AU156" i="9"/>
  <c r="BC195" i="9"/>
  <c r="AU153" i="9"/>
  <c r="AE142" i="9"/>
  <c r="AE225" i="9"/>
  <c r="BC492" i="9"/>
  <c r="BC459" i="9"/>
  <c r="AU181" i="9"/>
  <c r="BC433" i="9"/>
  <c r="BC466" i="9"/>
  <c r="BC246" i="9"/>
  <c r="BC416" i="9"/>
  <c r="BC36" i="9"/>
  <c r="BC484" i="9"/>
  <c r="BC241" i="9"/>
  <c r="BC62" i="9"/>
  <c r="BC259" i="9"/>
  <c r="BS115" i="9"/>
  <c r="G214" i="9"/>
  <c r="O92" i="9"/>
  <c r="G539" i="9"/>
  <c r="G198" i="9"/>
  <c r="G623" i="9"/>
  <c r="G493" i="9"/>
  <c r="G164" i="9"/>
  <c r="G579" i="9"/>
  <c r="O66" i="9"/>
  <c r="O146" i="9"/>
  <c r="G105" i="9"/>
  <c r="AM50" i="9"/>
  <c r="AE30" i="9"/>
  <c r="AE284" i="9"/>
  <c r="AM135" i="9"/>
  <c r="AE303" i="9"/>
  <c r="AE415" i="9"/>
  <c r="O85" i="9"/>
  <c r="AM51" i="9"/>
  <c r="AM154" i="9"/>
  <c r="AE375" i="9"/>
  <c r="AU122" i="9"/>
  <c r="BC117" i="9"/>
  <c r="BC472" i="9"/>
  <c r="AM157" i="9"/>
  <c r="BC340" i="9"/>
  <c r="BC97" i="9"/>
  <c r="BC362" i="9"/>
  <c r="BC334" i="9"/>
  <c r="BC296" i="9"/>
  <c r="BC310" i="9"/>
  <c r="AE105" i="9"/>
  <c r="AU162" i="9"/>
  <c r="AM32" i="9"/>
  <c r="AE223" i="9"/>
  <c r="AM143" i="9"/>
  <c r="AE411" i="9"/>
  <c r="AM86" i="9"/>
  <c r="AE66" i="9"/>
  <c r="AE320" i="9"/>
  <c r="BC392" i="9"/>
  <c r="BC256" i="9"/>
  <c r="AM144" i="9"/>
  <c r="BC124" i="9"/>
  <c r="BC366" i="9"/>
  <c r="BC146" i="9"/>
  <c r="BC118" i="9"/>
  <c r="BC80" i="9"/>
  <c r="AU172" i="9"/>
  <c r="AE34" i="9"/>
  <c r="AE342" i="9"/>
  <c r="AU175" i="9"/>
  <c r="AM162" i="9"/>
  <c r="AE419" i="9"/>
  <c r="AM83" i="9"/>
  <c r="AE394" i="9"/>
  <c r="AE229" i="9"/>
  <c r="AE357" i="9"/>
  <c r="AE152" i="9"/>
  <c r="AU27" i="9"/>
  <c r="BC202" i="9"/>
  <c r="BC372" i="9"/>
  <c r="CA309" i="9"/>
  <c r="BC240" i="9"/>
  <c r="BC482" i="9"/>
  <c r="AU65" i="9"/>
  <c r="BC234" i="9"/>
  <c r="AU184" i="9"/>
  <c r="BC210" i="9"/>
  <c r="AE319" i="9"/>
  <c r="AU49" i="9"/>
  <c r="AU142" i="9"/>
  <c r="AE37" i="9"/>
  <c r="AM171" i="9"/>
  <c r="AE264" i="9"/>
  <c r="AE158" i="9"/>
  <c r="AU33" i="9"/>
  <c r="AM180" i="9"/>
  <c r="AM60" i="9"/>
  <c r="AE101" i="9"/>
  <c r="AE409" i="9"/>
  <c r="BC439" i="9"/>
  <c r="AU36" i="9"/>
  <c r="AM46" i="9"/>
  <c r="BC386" i="9"/>
  <c r="BC419" i="9"/>
  <c r="BC193" i="9"/>
  <c r="BC357" i="9"/>
  <c r="BC91" i="9"/>
  <c r="BC225" i="9"/>
  <c r="AE377" i="9"/>
  <c r="BC399" i="9"/>
  <c r="AM64" i="9"/>
  <c r="AE237" i="9"/>
  <c r="AE350" i="9"/>
  <c r="AU158" i="9"/>
  <c r="AM27" i="9"/>
  <c r="AE270" i="9"/>
  <c r="AE41" i="9"/>
  <c r="AE241" i="9"/>
  <c r="AU150" i="9"/>
  <c r="AU64" i="9"/>
  <c r="BC425" i="9"/>
  <c r="AE166" i="9"/>
  <c r="BC293" i="9"/>
  <c r="BC50" i="9"/>
  <c r="BC303" i="9"/>
  <c r="BC287" i="9"/>
  <c r="BC237" i="9"/>
  <c r="BC263" i="9"/>
  <c r="AE420" i="9"/>
  <c r="O42" i="9"/>
  <c r="AM145" i="9"/>
  <c r="AE389" i="9"/>
  <c r="AE176" i="9"/>
  <c r="AM102" i="9"/>
  <c r="AE364" i="9"/>
  <c r="AE307" i="9"/>
  <c r="AE228" i="9"/>
  <c r="AE122" i="9"/>
  <c r="AU182" i="9"/>
  <c r="AM159" i="9"/>
  <c r="BC160" i="9"/>
  <c r="BC133" i="9"/>
  <c r="BC123" i="9"/>
  <c r="BC107" i="9"/>
  <c r="BC57" i="9"/>
  <c r="AU23" i="9"/>
  <c r="BC84" i="9"/>
  <c r="AE269" i="9"/>
  <c r="BC414" i="9"/>
  <c r="BC476" i="9"/>
  <c r="BC228" i="9"/>
  <c r="BC442" i="9"/>
  <c r="CA280" i="9"/>
  <c r="G201" i="9"/>
  <c r="O188" i="9"/>
  <c r="G394" i="9"/>
  <c r="G58" i="9"/>
  <c r="G183" i="9"/>
  <c r="G378" i="9"/>
  <c r="G42" i="9"/>
  <c r="G673" i="9"/>
  <c r="AE423" i="9"/>
  <c r="AE62" i="9"/>
  <c r="AU61" i="9"/>
  <c r="AM97" i="9"/>
  <c r="AE243" i="9"/>
  <c r="AU83" i="9"/>
  <c r="AM136" i="9"/>
  <c r="AE59" i="9"/>
  <c r="AE206" i="9"/>
  <c r="AU205" i="9"/>
  <c r="AE290" i="9"/>
  <c r="AU68" i="9"/>
  <c r="AM146" i="9"/>
  <c r="AE234" i="9"/>
  <c r="BC276" i="9"/>
  <c r="BC243" i="9"/>
  <c r="AU138" i="9"/>
  <c r="BC217" i="9"/>
  <c r="BC250" i="9"/>
  <c r="BC30" i="9"/>
  <c r="BC200" i="9"/>
  <c r="BC269" i="9"/>
  <c r="BC331" i="9"/>
  <c r="AE113" i="9"/>
  <c r="AE313" i="9"/>
  <c r="AU43" i="9"/>
  <c r="AE340" i="9"/>
  <c r="AE288" i="9"/>
  <c r="AE98" i="9"/>
  <c r="AU97" i="9"/>
  <c r="AM133" i="9"/>
  <c r="AE417" i="9"/>
  <c r="BC60" i="9"/>
  <c r="BC27" i="9"/>
  <c r="BC435" i="9"/>
  <c r="BC486" i="9"/>
  <c r="BC34" i="9"/>
  <c r="BC299" i="9"/>
  <c r="BC463" i="9"/>
  <c r="BC496" i="9"/>
  <c r="BC115" i="9"/>
  <c r="AU74" i="9"/>
  <c r="AM82" i="9"/>
  <c r="AE253" i="9"/>
  <c r="AU58" i="9"/>
  <c r="AM148" i="9"/>
  <c r="AE339" i="9"/>
  <c r="AE374" i="9"/>
  <c r="AM58" i="9"/>
  <c r="AE130" i="9"/>
  <c r="AM73" i="9"/>
  <c r="AE317" i="9"/>
  <c r="AE104" i="9"/>
  <c r="BC176" i="9"/>
  <c r="BC40" i="9"/>
  <c r="AM131" i="9"/>
  <c r="BC111" i="9"/>
  <c r="BC150" i="9"/>
  <c r="BC409" i="9"/>
  <c r="AU88" i="9"/>
  <c r="BC343" i="9"/>
  <c r="BC441" i="9"/>
  <c r="AE99" i="9"/>
  <c r="AE379" i="9"/>
  <c r="O62" i="9"/>
  <c r="AE154" i="9"/>
  <c r="AE354" i="9"/>
  <c r="AM128" i="9"/>
  <c r="AE323" i="9"/>
  <c r="AE218" i="9"/>
  <c r="AE187" i="9"/>
  <c r="AM107" i="9"/>
  <c r="AE201" i="9"/>
  <c r="BC113" i="9"/>
  <c r="BC86" i="9"/>
  <c r="AU70" i="9"/>
  <c r="BC54" i="9"/>
  <c r="BC489" i="9"/>
  <c r="BC346" i="9"/>
  <c r="BC31" i="9"/>
  <c r="BS127" i="9"/>
  <c r="BC168" i="9"/>
  <c r="G197" i="9"/>
  <c r="AE294" i="9"/>
  <c r="AE45" i="9"/>
  <c r="AM124" i="9"/>
  <c r="AE48" i="9"/>
  <c r="AE87" i="9"/>
  <c r="AU193" i="9"/>
  <c r="AU62" i="9"/>
  <c r="AM47" i="9"/>
  <c r="AE358" i="9"/>
  <c r="AE193" i="9"/>
  <c r="BC223" i="9"/>
  <c r="AU190" i="9"/>
  <c r="AU206" i="9"/>
  <c r="BC170" i="9"/>
  <c r="BC203" i="9"/>
  <c r="BC462" i="9"/>
  <c r="BC141" i="9"/>
  <c r="BC324" i="9"/>
  <c r="BC500" i="9"/>
  <c r="AE64" i="9"/>
  <c r="AE123" i="9"/>
  <c r="AU126" i="9"/>
  <c r="AM57" i="9"/>
  <c r="AE341" i="9"/>
  <c r="AM28" i="9"/>
  <c r="AE424" i="9"/>
  <c r="AM92" i="9"/>
  <c r="AE287" i="9"/>
  <c r="AE182" i="9"/>
  <c r="AU166" i="9"/>
  <c r="BC37" i="9"/>
  <c r="BC286" i="9"/>
  <c r="BC282" i="9"/>
  <c r="BC452" i="9"/>
  <c r="BC108" i="9"/>
  <c r="BC367" i="9"/>
  <c r="AU149" i="9"/>
  <c r="AM72" i="9"/>
  <c r="BC25" i="9"/>
  <c r="BC485" i="9"/>
  <c r="AU108" i="9"/>
  <c r="BC92" i="9"/>
  <c r="CA356" i="9"/>
  <c r="G548" i="9"/>
  <c r="G561" i="9"/>
  <c r="G51" i="9"/>
  <c r="G74" i="9"/>
  <c r="G202" i="9"/>
  <c r="G102" i="9"/>
  <c r="G522" i="9"/>
  <c r="G368" i="9"/>
  <c r="O54" i="9"/>
  <c r="G89" i="9"/>
  <c r="G196" i="9"/>
  <c r="G195" i="9"/>
  <c r="G63" i="9"/>
  <c r="G180" i="9"/>
  <c r="O142" i="9"/>
  <c r="G154" i="9"/>
  <c r="G574" i="9"/>
  <c r="G238" i="9"/>
  <c r="G138" i="9"/>
  <c r="G558" i="9"/>
  <c r="AE227" i="9"/>
  <c r="AE175" i="9"/>
  <c r="AU66" i="9"/>
  <c r="G269" i="9"/>
  <c r="AE366" i="9"/>
  <c r="AE327" i="9"/>
  <c r="AM65" i="9"/>
  <c r="AE371" i="9"/>
  <c r="AE103" i="9"/>
  <c r="AM55" i="9"/>
  <c r="AE83" i="9"/>
  <c r="AU157" i="9"/>
  <c r="AU37" i="9"/>
  <c r="BC147" i="9"/>
  <c r="BC402" i="9"/>
  <c r="BC398" i="9"/>
  <c r="BC370" i="9"/>
  <c r="BC332" i="9"/>
  <c r="BC477" i="9"/>
  <c r="BC353" i="9"/>
  <c r="AE53" i="9"/>
  <c r="BC268" i="9"/>
  <c r="AM119" i="9"/>
  <c r="AE425" i="9"/>
  <c r="AE265" i="9"/>
  <c r="AU195" i="9"/>
  <c r="AM152" i="9"/>
  <c r="AE348" i="9"/>
  <c r="AE263" i="9"/>
  <c r="AE211" i="9"/>
  <c r="AU114" i="9"/>
  <c r="BC470" i="9"/>
  <c r="BC422" i="9"/>
  <c r="BC186" i="9"/>
  <c r="BC182" i="9"/>
  <c r="BC154" i="9"/>
  <c r="BC116" i="9"/>
  <c r="BC261" i="9"/>
  <c r="BC137" i="9"/>
  <c r="AE310" i="9"/>
  <c r="BC52" i="9"/>
  <c r="AE74" i="9"/>
  <c r="G64" i="9"/>
  <c r="AE370" i="9"/>
  <c r="AE97" i="9"/>
  <c r="AU119" i="9"/>
  <c r="AE124" i="9"/>
  <c r="AE72" i="9"/>
  <c r="AE33" i="9"/>
  <c r="AE403" i="9"/>
  <c r="AU30" i="9"/>
  <c r="AM120" i="9"/>
  <c r="AE233" i="9"/>
  <c r="BC329" i="9"/>
  <c r="BC302" i="9"/>
  <c r="AU101" i="9"/>
  <c r="BC270" i="9"/>
  <c r="AU35" i="9"/>
  <c r="BC83" i="9"/>
  <c r="BC247" i="9"/>
  <c r="BC136" i="9"/>
  <c r="BC384" i="9"/>
  <c r="AM100" i="9"/>
  <c r="AE23" i="9"/>
  <c r="AE386" i="9"/>
  <c r="AU194" i="9"/>
  <c r="AM141" i="9"/>
  <c r="AE306" i="9"/>
  <c r="AU139" i="9"/>
  <c r="AM126" i="9"/>
  <c r="AE383" i="9"/>
  <c r="AE304" i="9"/>
  <c r="AE252" i="9"/>
  <c r="AU26" i="9"/>
  <c r="BC469" i="9"/>
  <c r="BC239" i="9"/>
  <c r="BC229" i="9"/>
  <c r="BC393" i="9"/>
  <c r="BC127" i="9"/>
  <c r="BC320" i="9"/>
  <c r="BC184" i="9"/>
  <c r="AM98" i="9"/>
  <c r="BC361" i="9"/>
  <c r="O49" i="9"/>
  <c r="AM158" i="9"/>
  <c r="AE138" i="9"/>
  <c r="AE392" i="9"/>
  <c r="AM115" i="9"/>
  <c r="AE107" i="9"/>
  <c r="AE351" i="9"/>
  <c r="AE189" i="9"/>
  <c r="AE338" i="9"/>
  <c r="AM22" i="9"/>
  <c r="AE22" i="9"/>
  <c r="BC376" i="9"/>
  <c r="BC349" i="9"/>
  <c r="BC339" i="9"/>
  <c r="BC323" i="9"/>
  <c r="BC273" i="9"/>
  <c r="BC130" i="9"/>
  <c r="BC300" i="9"/>
  <c r="CA236" i="9"/>
  <c r="BC437" i="9"/>
  <c r="AU104" i="9"/>
  <c r="AE119" i="9"/>
  <c r="AE67" i="9"/>
  <c r="AU202" i="9"/>
  <c r="G161" i="9"/>
  <c r="AE258" i="9"/>
  <c r="AE404" i="9"/>
  <c r="AM88" i="9"/>
  <c r="AU103" i="9"/>
  <c r="AM90" i="9"/>
  <c r="AE347" i="9"/>
  <c r="BC218" i="9"/>
  <c r="BC190" i="9"/>
  <c r="BC368" i="9"/>
  <c r="AU59" i="9"/>
  <c r="BC120" i="9"/>
  <c r="AM134" i="9"/>
  <c r="BC41" i="9"/>
  <c r="BC493" i="9"/>
  <c r="BC110" i="9"/>
  <c r="BC164" i="9"/>
  <c r="AU129" i="9"/>
  <c r="BC311" i="9"/>
  <c r="BC501" i="9"/>
  <c r="BS202" i="9"/>
  <c r="G543" i="9"/>
  <c r="G289" i="9"/>
  <c r="G298" i="9"/>
  <c r="G339" i="9"/>
  <c r="G299" i="9"/>
  <c r="G169" i="9"/>
  <c r="G589" i="9"/>
  <c r="G326" i="9"/>
  <c r="O177" i="9"/>
  <c r="G640" i="9"/>
  <c r="G376" i="9"/>
  <c r="G137" i="9"/>
  <c r="G115" i="9"/>
  <c r="G360" i="9"/>
  <c r="O119" i="9"/>
  <c r="G334" i="9"/>
  <c r="G23" i="9"/>
  <c r="AM30" i="9"/>
  <c r="AE292" i="9"/>
  <c r="AE235" i="9"/>
  <c r="O121" i="9"/>
  <c r="AM177" i="9"/>
  <c r="AE210" i="9"/>
  <c r="AE93" i="9"/>
  <c r="AM174" i="9"/>
  <c r="AM147" i="9"/>
  <c r="AE238" i="9"/>
  <c r="AE31" i="9"/>
  <c r="AE183" i="9"/>
  <c r="AU137" i="9"/>
  <c r="BC306" i="9"/>
  <c r="BC70" i="9"/>
  <c r="BC66" i="9"/>
  <c r="BC236" i="9"/>
  <c r="BC305" i="9"/>
  <c r="BC151" i="9"/>
  <c r="AU118" i="9"/>
  <c r="AM59" i="9"/>
  <c r="BC198" i="9"/>
  <c r="AE410" i="9"/>
  <c r="AM94" i="9"/>
  <c r="AE202" i="9"/>
  <c r="AE128" i="9"/>
  <c r="AU163" i="9"/>
  <c r="AM105" i="9"/>
  <c r="AM66" i="9"/>
  <c r="AE328" i="9"/>
  <c r="AE271" i="9"/>
  <c r="AU106" i="9"/>
  <c r="BC90" i="9"/>
  <c r="AU71" i="9"/>
  <c r="BC335" i="9"/>
  <c r="BC499" i="9"/>
  <c r="BC53" i="9"/>
  <c r="BC420" i="9"/>
  <c r="BC387" i="9"/>
  <c r="AU165" i="9"/>
  <c r="BC35" i="9"/>
  <c r="AE239" i="9"/>
  <c r="AM34" i="9"/>
  <c r="AE214" i="9"/>
  <c r="AE49" i="9"/>
  <c r="AU164" i="9"/>
  <c r="AM139" i="9"/>
  <c r="AE132" i="9"/>
  <c r="AE47" i="9"/>
  <c r="AE279" i="9"/>
  <c r="BC291" i="9"/>
  <c r="AU57" i="9"/>
  <c r="BC206" i="9"/>
  <c r="BC455" i="9"/>
  <c r="BC445" i="9"/>
  <c r="AU124" i="9"/>
  <c r="BC379" i="9"/>
  <c r="BC45" i="9"/>
  <c r="BC400" i="9"/>
  <c r="AE94" i="9"/>
  <c r="BC39" i="9"/>
  <c r="AE147" i="9"/>
  <c r="AM29" i="9"/>
  <c r="AE84" i="9"/>
  <c r="AE255" i="9"/>
  <c r="AU38" i="9"/>
  <c r="AU93" i="9"/>
  <c r="AE217" i="9"/>
  <c r="BC327" i="9"/>
  <c r="AM39" i="9"/>
  <c r="AU159" i="9"/>
  <c r="AM116" i="9"/>
  <c r="AE312" i="9"/>
  <c r="BC159" i="9"/>
  <c r="BC143" i="9"/>
  <c r="BC309" i="9"/>
  <c r="BC382" i="9"/>
  <c r="BC67" i="9"/>
  <c r="BS98" i="9"/>
  <c r="BC473" i="9"/>
  <c r="BC446" i="9"/>
  <c r="AU109" i="9"/>
  <c r="BC82" i="9"/>
  <c r="AE170" i="9"/>
  <c r="AU169" i="9"/>
  <c r="AM99" i="9"/>
  <c r="AE90" i="9"/>
  <c r="AU90" i="9"/>
  <c r="AM113" i="9"/>
  <c r="AE167" i="9"/>
  <c r="AE88" i="9"/>
  <c r="AE36" i="9"/>
  <c r="AE398" i="9"/>
  <c r="AU186" i="9"/>
  <c r="BC253" i="9"/>
  <c r="BC23" i="9"/>
  <c r="BC498" i="9"/>
  <c r="BC177" i="9"/>
  <c r="BC360" i="9"/>
  <c r="BC104" i="9"/>
  <c r="AU180" i="9"/>
  <c r="AM85" i="9"/>
  <c r="BC145" i="9"/>
  <c r="AE345" i="9"/>
  <c r="AM125" i="9"/>
  <c r="AE184" i="9"/>
  <c r="AE127" i="9"/>
  <c r="O165" i="9"/>
  <c r="AM122" i="9"/>
  <c r="AE102" i="9"/>
  <c r="AE356" i="9"/>
  <c r="AE181" i="9"/>
  <c r="AM150" i="9"/>
  <c r="BC371" i="9"/>
  <c r="BC56" i="9"/>
  <c r="BC377" i="9"/>
  <c r="BC403" i="9"/>
  <c r="AU154" i="9"/>
  <c r="AU145" i="9"/>
  <c r="BC397" i="9"/>
  <c r="BC167" i="9"/>
  <c r="BC47" i="9"/>
  <c r="BC317" i="9"/>
  <c r="BC274" i="9"/>
  <c r="CA169" i="9"/>
  <c r="BC413" i="9"/>
  <c r="CA144" i="9"/>
  <c r="O28" i="9"/>
  <c r="AM156" i="9"/>
  <c r="G567" i="9"/>
  <c r="G188" i="9"/>
  <c r="G224" i="9"/>
  <c r="G33" i="9"/>
  <c r="G111" i="9"/>
  <c r="G504" i="9"/>
  <c r="O46" i="9"/>
  <c r="O48" i="9"/>
  <c r="O151" i="9"/>
  <c r="G395" i="9"/>
  <c r="G54" i="9"/>
  <c r="G263" i="9"/>
  <c r="G133" i="9"/>
  <c r="G553" i="9"/>
  <c r="G518" i="9"/>
  <c r="O124" i="9"/>
  <c r="O51" i="9"/>
  <c r="G341" i="9"/>
  <c r="G556" i="9"/>
  <c r="G317" i="9"/>
  <c r="G295" i="9"/>
  <c r="G540" i="9"/>
  <c r="O82" i="9"/>
  <c r="O84" i="9"/>
  <c r="AE207" i="9"/>
  <c r="AU147" i="9"/>
  <c r="AE352" i="9"/>
  <c r="AE242" i="9"/>
  <c r="AU50" i="9"/>
  <c r="AM74" i="9"/>
  <c r="AE162" i="9"/>
  <c r="AU130" i="9"/>
  <c r="AU204" i="9"/>
  <c r="AE259" i="9"/>
  <c r="AU22" i="9"/>
  <c r="AE131" i="9"/>
  <c r="BC481" i="9"/>
  <c r="AU160" i="9"/>
  <c r="BC152" i="9"/>
  <c r="AU28" i="9"/>
  <c r="BC389" i="9"/>
  <c r="AM121" i="9"/>
  <c r="BC304" i="9"/>
  <c r="BC277" i="9"/>
  <c r="AU29" i="9"/>
  <c r="BC427" i="9"/>
  <c r="AE108" i="9"/>
  <c r="AE117" i="9"/>
  <c r="G460" i="9"/>
  <c r="AE293" i="9"/>
  <c r="AE213" i="9"/>
  <c r="AU32" i="9"/>
  <c r="AE393" i="9"/>
  <c r="AU183" i="9"/>
  <c r="AE388" i="9"/>
  <c r="BC265" i="9"/>
  <c r="BC429" i="9"/>
  <c r="BC415" i="9"/>
  <c r="BC297" i="9"/>
  <c r="BC173" i="9"/>
  <c r="AM108" i="9"/>
  <c r="BC88" i="9"/>
  <c r="BC61" i="9"/>
  <c r="BC483" i="9"/>
  <c r="BC48" i="9"/>
  <c r="AM42" i="9"/>
  <c r="AE300" i="9"/>
  <c r="AE194" i="9"/>
  <c r="AU69" i="9"/>
  <c r="AM165" i="9"/>
  <c r="AE27" i="9"/>
  <c r="AU120" i="9"/>
  <c r="AM81" i="9"/>
  <c r="AM53" i="9"/>
  <c r="AE112" i="9"/>
  <c r="AE55" i="9"/>
  <c r="BC375" i="9"/>
  <c r="BC359" i="9"/>
  <c r="AU40" i="9"/>
  <c r="BC119" i="9"/>
  <c r="BC283" i="9"/>
  <c r="BC208" i="9"/>
  <c r="BC204" i="9"/>
  <c r="BC171" i="9"/>
  <c r="AU134" i="9"/>
  <c r="BC298" i="9"/>
  <c r="AE174" i="9"/>
  <c r="AE428" i="9"/>
  <c r="AM151" i="9"/>
  <c r="AE143" i="9"/>
  <c r="AE38" i="9"/>
  <c r="G28" i="9"/>
  <c r="AE334" i="9"/>
  <c r="AE61" i="9"/>
  <c r="AU196" i="9"/>
  <c r="AE92" i="9"/>
  <c r="AU127" i="9"/>
  <c r="AM176" i="9"/>
  <c r="BC318" i="9"/>
  <c r="BC488" i="9"/>
  <c r="BC396" i="9"/>
  <c r="BC356" i="9"/>
  <c r="BC220" i="9"/>
  <c r="AU201" i="9"/>
  <c r="BC350" i="9"/>
  <c r="BC114" i="9"/>
  <c r="BC51" i="9"/>
  <c r="AU113" i="9"/>
  <c r="AE335" i="9"/>
  <c r="AE283" i="9"/>
  <c r="AU198" i="9"/>
  <c r="BC411" i="9"/>
  <c r="AE309" i="9"/>
  <c r="AM173" i="9"/>
  <c r="AU128" i="9"/>
  <c r="AM103" i="9"/>
  <c r="AE96" i="9"/>
  <c r="BC434" i="9"/>
  <c r="BC406" i="9"/>
  <c r="BC93" i="9"/>
  <c r="BC166" i="9"/>
  <c r="BC336" i="9"/>
  <c r="CA93" i="9"/>
  <c r="BC257" i="9"/>
  <c r="BC230" i="9"/>
  <c r="AU48" i="9"/>
  <c r="AU52" i="9"/>
  <c r="AE125" i="9"/>
  <c r="AE380" i="9"/>
  <c r="AU39" i="9"/>
  <c r="AE244" i="9"/>
  <c r="AE134" i="9"/>
  <c r="AU133" i="9"/>
  <c r="AM169" i="9"/>
  <c r="AE54" i="9"/>
  <c r="AE298" i="9"/>
  <c r="AE25" i="9"/>
  <c r="BC471" i="9"/>
  <c r="BC333" i="9"/>
  <c r="BC209" i="9"/>
  <c r="AM170" i="9"/>
  <c r="BC77" i="9"/>
  <c r="BC313" i="9"/>
  <c r="BC87" i="9"/>
  <c r="BC71" i="9"/>
  <c r="BC504" i="9"/>
  <c r="BC284" i="9"/>
  <c r="AU82" i="9"/>
  <c r="BC248" i="9"/>
  <c r="BC138" i="9"/>
  <c r="CA308" i="9"/>
  <c r="CA158" i="9"/>
  <c r="BC404" i="9"/>
  <c r="CA127" i="9"/>
  <c r="BS147" i="9"/>
  <c r="CA345" i="9"/>
  <c r="CA276" i="9"/>
  <c r="BS150" i="9"/>
  <c r="BS95" i="9"/>
  <c r="CA256" i="9"/>
  <c r="CA133" i="9"/>
  <c r="BS145" i="9"/>
  <c r="CA27" i="9"/>
  <c r="CA47" i="9"/>
  <c r="BS136" i="9"/>
  <c r="CA128" i="9"/>
  <c r="CA70" i="9"/>
  <c r="BS22" i="9"/>
  <c r="AU98" i="9"/>
  <c r="BC325" i="9"/>
  <c r="BC95" i="9"/>
  <c r="BC43" i="9"/>
  <c r="BC279" i="9"/>
  <c r="CA92" i="9"/>
  <c r="CA34" i="9"/>
  <c r="CA351" i="9"/>
  <c r="CA307" i="9"/>
  <c r="BS182" i="9"/>
  <c r="BS153" i="9"/>
  <c r="CA74" i="9"/>
  <c r="BC235" i="9"/>
  <c r="CA112" i="9"/>
  <c r="CA321" i="9"/>
  <c r="CA252" i="9"/>
  <c r="BS126" i="9"/>
  <c r="CA134" i="9"/>
  <c r="CA227" i="9"/>
  <c r="BS84" i="9"/>
  <c r="BC364" i="9"/>
  <c r="AM62" i="9"/>
  <c r="BC448" i="9"/>
  <c r="BC205" i="9"/>
  <c r="BC153" i="9"/>
  <c r="BC292" i="9"/>
  <c r="BS135" i="9"/>
  <c r="CA157" i="9"/>
  <c r="BS140" i="9"/>
  <c r="BS101" i="9"/>
  <c r="CA43" i="9"/>
  <c r="CA233" i="9"/>
  <c r="BS216" i="9"/>
  <c r="CA139" i="9"/>
  <c r="CA235" i="9"/>
  <c r="BS110" i="9"/>
  <c r="CA237" i="9"/>
  <c r="CA293" i="9"/>
  <c r="BS42" i="9"/>
  <c r="CA230" i="9"/>
  <c r="CA179" i="9"/>
  <c r="BC314" i="9"/>
  <c r="BC78" i="9"/>
  <c r="BC290" i="9"/>
  <c r="BC46" i="9"/>
  <c r="BC224" i="9"/>
  <c r="BC458" i="9"/>
  <c r="BC491" i="9"/>
  <c r="BS56" i="9"/>
  <c r="CA238" i="9"/>
  <c r="CA59" i="9"/>
  <c r="BS79" i="9"/>
  <c r="CA104" i="9"/>
  <c r="CA55" i="9"/>
  <c r="BS175" i="9"/>
  <c r="BS62" i="9"/>
  <c r="CA332" i="9"/>
  <c r="CA29" i="9"/>
  <c r="BS190" i="9"/>
  <c r="CA306" i="9"/>
  <c r="BC100" i="9"/>
  <c r="CA333" i="9"/>
  <c r="CA264" i="9"/>
  <c r="BC68" i="9"/>
  <c r="AU144" i="9"/>
  <c r="AM36" i="9"/>
  <c r="BC494" i="9"/>
  <c r="BC258" i="9"/>
  <c r="BC212" i="9"/>
  <c r="AU72" i="9"/>
  <c r="CA346" i="9"/>
  <c r="CA96" i="9"/>
  <c r="BS186" i="9"/>
  <c r="CA231" i="9"/>
  <c r="CA323" i="9"/>
  <c r="CA46" i="9"/>
  <c r="CA268" i="9"/>
  <c r="CA78" i="9"/>
  <c r="CA174" i="9"/>
  <c r="BS156" i="9"/>
  <c r="CA164" i="9"/>
  <c r="CA106" i="9"/>
  <c r="BS58" i="9"/>
  <c r="CA163" i="9"/>
  <c r="BS129" i="9"/>
  <c r="BC131" i="9"/>
  <c r="BC337" i="9"/>
  <c r="BC285" i="9"/>
  <c r="BC271" i="9"/>
  <c r="BC26" i="9"/>
  <c r="BC59" i="9"/>
  <c r="BS102" i="9"/>
  <c r="CA295" i="9"/>
  <c r="BC244" i="9"/>
  <c r="BS131" i="9"/>
  <c r="CA37" i="9"/>
  <c r="CA335" i="9"/>
  <c r="BS204" i="9"/>
  <c r="BS108" i="9"/>
  <c r="CA265" i="9"/>
  <c r="BS111" i="9"/>
  <c r="CA123" i="9"/>
  <c r="CA215" i="9"/>
  <c r="BS105" i="9"/>
  <c r="CA260" i="9"/>
  <c r="CA173" i="9"/>
  <c r="BS117" i="9"/>
  <c r="CA26" i="9"/>
  <c r="CA85" i="9"/>
  <c r="BS97" i="9"/>
  <c r="BS193" i="9"/>
  <c r="CA254" i="9"/>
  <c r="CA167" i="9"/>
  <c r="BS23" i="9"/>
  <c r="CA300" i="9"/>
  <c r="CA154" i="9"/>
  <c r="BS106" i="9"/>
  <c r="CA186" i="9"/>
  <c r="BC231" i="9"/>
  <c r="BC478" i="9"/>
  <c r="BC165" i="9"/>
  <c r="BC196" i="9"/>
  <c r="BC438" i="9"/>
  <c r="CA118" i="9"/>
  <c r="BS70" i="9"/>
  <c r="CA150" i="9"/>
  <c r="BS177" i="9"/>
  <c r="CA177" i="9"/>
  <c r="CA122" i="9"/>
  <c r="CA100" i="9"/>
  <c r="BC388" i="9"/>
  <c r="BS40" i="9"/>
  <c r="CA120" i="9"/>
  <c r="BS174" i="9"/>
  <c r="CA362" i="9"/>
  <c r="CA160" i="9"/>
  <c r="BS203" i="9"/>
  <c r="CA325" i="9"/>
  <c r="BC135" i="9"/>
  <c r="AU73" i="9"/>
  <c r="BC109" i="9"/>
  <c r="BC358" i="9"/>
  <c r="BC312" i="9"/>
  <c r="BC63" i="9"/>
  <c r="CA241" i="9"/>
  <c r="BS33" i="9"/>
  <c r="CA135" i="9"/>
  <c r="CA91" i="9"/>
  <c r="BS211" i="9"/>
  <c r="BS30" i="9"/>
  <c r="CA223" i="9"/>
  <c r="BC505" i="9"/>
  <c r="BS194" i="9"/>
  <c r="CA105" i="9"/>
  <c r="CA36" i="9"/>
  <c r="BS161" i="9"/>
  <c r="CA283" i="9"/>
  <c r="CA310" i="9"/>
  <c r="BS119" i="9"/>
  <c r="BC467" i="9"/>
  <c r="AU148" i="9"/>
  <c r="BC443" i="9"/>
  <c r="BC391" i="9"/>
  <c r="BC197" i="9"/>
  <c r="BC126" i="9"/>
  <c r="AU76" i="9"/>
  <c r="CA51" i="9"/>
  <c r="CA143" i="9"/>
  <c r="BS180" i="9"/>
  <c r="CA188" i="9"/>
  <c r="CA130" i="9"/>
  <c r="BS183" i="9"/>
  <c r="CA284" i="9"/>
  <c r="CA57" i="9"/>
  <c r="CA113" i="9"/>
  <c r="BS113" i="9"/>
  <c r="CA354" i="9"/>
  <c r="BS103" i="9"/>
  <c r="BS52" i="9"/>
  <c r="CA132" i="9"/>
  <c r="BS69" i="9"/>
  <c r="BC221" i="9"/>
  <c r="BC194" i="9"/>
  <c r="AU24" i="9"/>
  <c r="BC162" i="9"/>
  <c r="AU143" i="9"/>
  <c r="BC365" i="9"/>
  <c r="BC122" i="9"/>
  <c r="CA180" i="9"/>
  <c r="BS37" i="9"/>
  <c r="CA62" i="9"/>
  <c r="CA30" i="9"/>
  <c r="BS189" i="9"/>
  <c r="BS46" i="9"/>
  <c r="CA162" i="9"/>
  <c r="BC72" i="9"/>
  <c r="BS141" i="9"/>
  <c r="CA32" i="9"/>
  <c r="CA190" i="9"/>
  <c r="CA291" i="9"/>
  <c r="CA222" i="9"/>
  <c r="BS122" i="9"/>
  <c r="CA249" i="9"/>
  <c r="BC201" i="9"/>
  <c r="BC490" i="9"/>
  <c r="BC444" i="9"/>
  <c r="BS179" i="9"/>
  <c r="BC179" i="9"/>
  <c r="BC129" i="9"/>
  <c r="CA343" i="9"/>
  <c r="BS218" i="9"/>
  <c r="BS196" i="9"/>
  <c r="CA121" i="9"/>
  <c r="BS133" i="9"/>
  <c r="BS60" i="9"/>
  <c r="CA217" i="9"/>
  <c r="CA349" i="9"/>
  <c r="BS116" i="9"/>
  <c r="CA243" i="9"/>
  <c r="CA263" i="9"/>
  <c r="BS155" i="9"/>
  <c r="CA344" i="9"/>
  <c r="CA41" i="9"/>
  <c r="BS41" i="9"/>
  <c r="AE274" i="9"/>
  <c r="BC401" i="9"/>
  <c r="BC158" i="9"/>
  <c r="AU100" i="9"/>
  <c r="BC245" i="9"/>
  <c r="BS199" i="9"/>
  <c r="CA224" i="9"/>
  <c r="CA137" i="9"/>
  <c r="BS49" i="9"/>
  <c r="CA110" i="9"/>
  <c r="CA52" i="9"/>
  <c r="BS181" i="9"/>
  <c r="CA206" i="9"/>
  <c r="CA302" i="9"/>
  <c r="CA35" i="9"/>
  <c r="BS107" i="9"/>
  <c r="CA304" i="9"/>
  <c r="BS123" i="9"/>
  <c r="CA303" i="9"/>
  <c r="CA270" i="9"/>
  <c r="BC178" i="9"/>
  <c r="BC390" i="9"/>
  <c r="BC344" i="9"/>
  <c r="BC216" i="9"/>
  <c r="BC73" i="9"/>
  <c r="BC106" i="9"/>
  <c r="BS118" i="9"/>
  <c r="CA234" i="9"/>
  <c r="BS134" i="9"/>
  <c r="CA261" i="9"/>
  <c r="CA317" i="9"/>
  <c r="CA148" i="9"/>
  <c r="CA357" i="9"/>
  <c r="BS124" i="9"/>
  <c r="CA204" i="9"/>
  <c r="BS61" i="9"/>
  <c r="CA50" i="9"/>
  <c r="CA28" i="9"/>
  <c r="BS36" i="9"/>
  <c r="CA193" i="9"/>
  <c r="BS176" i="9"/>
  <c r="BC294" i="9"/>
  <c r="BC495" i="9"/>
  <c r="BC262" i="9"/>
  <c r="BC440" i="9"/>
  <c r="BC183" i="9"/>
  <c r="BC222" i="9"/>
  <c r="BS195" i="9"/>
  <c r="CA219" i="9"/>
  <c r="CA275" i="9"/>
  <c r="BS50" i="9"/>
  <c r="CA320" i="9"/>
  <c r="CA271" i="9"/>
  <c r="BS146" i="9"/>
  <c r="BC172" i="9"/>
  <c r="CA189" i="9"/>
  <c r="CA245" i="9"/>
  <c r="BS209" i="9"/>
  <c r="CA151" i="9"/>
  <c r="BC316" i="9"/>
  <c r="BS184" i="9"/>
  <c r="CA109" i="9"/>
  <c r="BC321" i="9"/>
  <c r="BC307" i="9"/>
  <c r="BC405" i="9"/>
  <c r="BC65" i="9"/>
  <c r="BC301" i="9"/>
  <c r="BC249" i="9"/>
  <c r="BC199" i="9"/>
  <c r="CA191" i="9"/>
  <c r="BS83" i="9"/>
  <c r="CA56" i="9"/>
  <c r="CA214" i="9"/>
  <c r="CA315" i="9"/>
  <c r="CA286" i="9"/>
  <c r="CA65" i="9"/>
  <c r="CA197" i="9"/>
  <c r="BS178" i="9"/>
  <c r="CA103" i="9"/>
  <c r="BS187" i="9"/>
  <c r="CA212" i="9"/>
  <c r="CA216" i="9"/>
  <c r="BS73" i="9"/>
  <c r="CA98" i="9"/>
  <c r="BC98" i="9"/>
  <c r="BC347" i="9"/>
  <c r="BC74" i="9"/>
  <c r="BC502" i="9"/>
  <c r="BC487" i="9"/>
  <c r="BC242" i="9"/>
  <c r="BC275" i="9"/>
  <c r="BS85" i="9"/>
  <c r="CA146" i="9"/>
  <c r="CA88" i="9"/>
  <c r="BS96" i="9"/>
  <c r="CA253" i="9"/>
  <c r="CA210" i="9"/>
  <c r="BS198" i="9"/>
  <c r="BS91" i="9"/>
  <c r="CA116" i="9"/>
  <c r="CA58" i="9"/>
  <c r="CA339" i="9"/>
  <c r="CA90" i="9"/>
  <c r="BS206" i="9"/>
  <c r="CA117" i="9"/>
  <c r="CA48" i="9"/>
  <c r="BC252" i="9"/>
  <c r="BC464" i="9"/>
  <c r="BC112" i="9"/>
  <c r="BC354" i="9"/>
  <c r="BC308" i="9"/>
  <c r="BC180" i="9"/>
  <c r="BS86" i="9"/>
  <c r="CA213" i="9"/>
  <c r="CA360" i="9"/>
  <c r="BS217" i="9"/>
  <c r="CA242" i="9"/>
  <c r="CA301" i="9"/>
  <c r="BS68" i="9"/>
  <c r="BS164" i="9"/>
  <c r="CA111" i="9"/>
  <c r="CA42" i="9"/>
  <c r="BS75" i="9"/>
  <c r="CA145" i="9"/>
  <c r="CA125" i="9"/>
  <c r="BS125" i="9"/>
  <c r="CA31" i="9"/>
  <c r="CA136" i="9"/>
  <c r="BS87" i="9"/>
  <c r="CA290" i="9"/>
  <c r="CA232" i="9"/>
  <c r="CA83" i="9"/>
  <c r="BS172" i="9"/>
  <c r="CA97" i="9"/>
  <c r="BS109" i="9"/>
  <c r="CA350" i="9"/>
  <c r="CA102" i="9"/>
  <c r="BS67" i="9"/>
  <c r="BC260" i="9"/>
  <c r="BC58" i="9"/>
  <c r="BC497" i="9"/>
  <c r="BC254" i="9"/>
  <c r="BC226" i="9"/>
  <c r="BC188" i="9"/>
  <c r="CA282" i="9"/>
  <c r="BS31" i="9"/>
  <c r="CA129" i="9"/>
  <c r="CA60" i="9"/>
  <c r="BS185" i="9"/>
  <c r="BS76" i="9"/>
  <c r="CA156" i="9"/>
  <c r="CA288" i="9"/>
  <c r="BS162" i="9"/>
  <c r="CA170" i="9"/>
  <c r="CA76" i="9"/>
  <c r="CA285" i="9"/>
  <c r="CA277" i="9"/>
  <c r="BS159" i="9"/>
  <c r="CA171" i="9"/>
  <c r="AU179" i="9"/>
  <c r="BC174" i="9"/>
  <c r="BC128" i="9"/>
  <c r="BC449" i="9"/>
  <c r="BC342" i="9"/>
  <c r="AU107" i="9"/>
  <c r="CA267" i="9"/>
  <c r="CA359" i="9"/>
  <c r="BS163" i="9"/>
  <c r="CA45" i="9"/>
  <c r="CA101" i="9"/>
  <c r="BS45" i="9"/>
  <c r="CA141" i="9"/>
  <c r="CA273" i="9"/>
  <c r="CA329" i="9"/>
  <c r="BS78" i="9"/>
  <c r="CA199" i="9"/>
  <c r="BS74" i="9"/>
  <c r="BS71" i="9"/>
  <c r="CA348" i="9"/>
  <c r="BS205" i="9"/>
  <c r="BC480" i="9"/>
  <c r="BC64" i="9"/>
  <c r="BC79" i="9"/>
  <c r="BC315" i="9"/>
  <c r="BC454" i="9"/>
  <c r="BC408" i="9"/>
  <c r="BS160" i="9"/>
  <c r="BS148" i="9"/>
  <c r="CA73" i="9"/>
  <c r="CA82" i="9"/>
  <c r="BS34" i="9"/>
  <c r="CA114" i="9"/>
  <c r="CA149" i="9"/>
  <c r="BS130" i="9"/>
  <c r="BS29" i="9"/>
  <c r="CA342" i="9"/>
  <c r="BS26" i="9"/>
  <c r="CA296" i="9"/>
  <c r="CA250" i="9"/>
  <c r="BS138" i="9"/>
  <c r="CA182" i="9"/>
  <c r="CA124" i="9"/>
  <c r="BC251" i="9"/>
  <c r="BC417" i="9"/>
  <c r="BC227" i="9"/>
  <c r="BC175" i="9"/>
  <c r="BC424" i="9"/>
  <c r="BC395" i="9"/>
  <c r="BC345" i="9"/>
  <c r="CA194" i="9"/>
  <c r="CA172" i="9"/>
  <c r="BS215" i="9"/>
  <c r="CA337" i="9"/>
  <c r="BS104" i="9"/>
  <c r="BS43" i="9"/>
  <c r="CA68" i="9"/>
  <c r="CA200" i="9"/>
  <c r="CA142" i="9"/>
  <c r="BS94" i="9"/>
  <c r="CA138" i="9"/>
  <c r="BS120" i="9"/>
  <c r="CA201" i="9"/>
  <c r="CA257" i="9"/>
  <c r="BS171" i="9"/>
  <c r="CA352" i="9"/>
  <c r="BC132" i="9"/>
  <c r="BC374" i="9"/>
  <c r="BC22" i="9"/>
  <c r="BC461" i="9"/>
  <c r="BS170" i="9"/>
  <c r="CA81" i="9"/>
  <c r="CA353" i="9"/>
  <c r="BS207" i="9"/>
  <c r="CA326" i="9"/>
  <c r="CA23" i="9"/>
  <c r="BS152" i="9"/>
  <c r="CA63" i="9"/>
  <c r="CA159" i="9"/>
  <c r="CA251" i="9"/>
  <c r="BS72" i="9"/>
  <c r="CA229" i="9"/>
  <c r="BS212" i="9"/>
  <c r="BS154" i="9"/>
  <c r="CA115" i="9"/>
  <c r="BC447" i="9"/>
  <c r="BC215" i="9"/>
  <c r="BC381" i="9"/>
  <c r="BC412" i="9"/>
  <c r="BC169" i="9"/>
  <c r="CA89" i="9"/>
  <c r="BS89" i="9"/>
  <c r="CA244" i="9"/>
  <c r="CA184" i="9"/>
  <c r="BS28" i="9"/>
  <c r="CA338" i="9"/>
  <c r="CA71" i="9"/>
  <c r="BC125" i="9"/>
  <c r="BS59" i="9"/>
  <c r="CA336" i="9"/>
  <c r="BS157" i="9"/>
  <c r="CA218" i="9"/>
  <c r="CA131" i="9"/>
  <c r="BS168" i="9"/>
  <c r="CA176" i="9"/>
  <c r="BC233" i="9"/>
  <c r="BC32" i="9"/>
  <c r="AU77" i="9"/>
  <c r="BC407" i="9"/>
  <c r="BC355" i="9"/>
  <c r="BC161" i="9"/>
  <c r="BS132" i="9"/>
  <c r="CA140" i="9"/>
  <c r="CA269" i="9"/>
  <c r="BS213" i="9"/>
  <c r="CA175" i="9"/>
  <c r="CA240" i="9"/>
  <c r="BS114" i="9"/>
  <c r="BS39" i="9"/>
  <c r="CA38" i="9"/>
  <c r="CA196" i="9"/>
  <c r="CA298" i="9"/>
  <c r="CA84" i="9"/>
  <c r="BS92" i="9"/>
  <c r="CA255" i="9"/>
  <c r="CA311" i="9"/>
  <c r="BC44" i="9"/>
  <c r="AU136" i="9"/>
  <c r="BC281" i="9"/>
  <c r="BC38" i="9"/>
  <c r="BC465" i="9"/>
  <c r="BC451" i="9"/>
  <c r="CA66" i="9"/>
  <c r="BS48" i="9"/>
  <c r="CA272" i="9"/>
  <c r="CA185" i="9"/>
  <c r="BS166" i="9"/>
  <c r="CA225" i="9"/>
  <c r="CA281" i="9"/>
  <c r="CA72" i="9"/>
  <c r="BS197" i="9"/>
  <c r="CA319" i="9"/>
  <c r="BS158" i="9"/>
  <c r="CA69" i="9"/>
  <c r="CA61" i="9"/>
  <c r="BS44" i="9"/>
  <c r="CA314" i="9"/>
  <c r="BC148" i="9"/>
  <c r="AM49" i="9"/>
  <c r="BC232" i="9"/>
  <c r="BC474" i="9"/>
  <c r="BC428" i="9"/>
  <c r="BC76" i="9"/>
  <c r="BS35" i="9"/>
  <c r="CA312" i="9"/>
  <c r="BS169" i="9"/>
  <c r="BS82" i="9"/>
  <c r="CA198" i="9"/>
  <c r="CA340" i="9"/>
  <c r="BS214" i="9"/>
  <c r="CA294" i="9"/>
  <c r="CA334" i="9"/>
  <c r="BS139" i="9"/>
  <c r="CA358" i="9"/>
  <c r="CA77" i="9"/>
  <c r="BS77" i="9"/>
  <c r="CA322" i="9"/>
  <c r="CA208" i="9"/>
  <c r="BC426" i="9"/>
  <c r="BC105" i="9"/>
  <c r="BC55" i="9"/>
  <c r="BC189" i="9"/>
  <c r="BC328" i="9"/>
  <c r="BC85" i="9"/>
  <c r="BC33" i="9"/>
  <c r="BC432" i="9"/>
  <c r="CA220" i="9"/>
  <c r="BS64" i="9"/>
  <c r="CA205" i="9"/>
  <c r="BS188" i="9"/>
  <c r="CA99" i="9"/>
  <c r="CA152" i="9"/>
  <c r="CA94" i="9"/>
  <c r="CA226" i="9"/>
  <c r="CA327" i="9"/>
  <c r="CA258" i="9"/>
  <c r="BS27" i="9"/>
  <c r="CA361" i="9"/>
  <c r="CA341" i="9"/>
  <c r="BS90" i="9"/>
  <c r="CA247" i="9"/>
  <c r="AM23" i="9"/>
  <c r="BC278" i="9"/>
  <c r="BC42" i="9"/>
  <c r="BC475" i="9"/>
  <c r="AU41" i="9"/>
  <c r="CA165" i="9"/>
  <c r="CA221" i="9"/>
  <c r="BS192" i="9"/>
  <c r="CA328" i="9"/>
  <c r="CA107" i="9"/>
  <c r="BS200" i="9"/>
  <c r="CA147" i="9"/>
  <c r="CA203" i="9"/>
  <c r="CA299" i="9"/>
  <c r="BS191" i="9"/>
  <c r="CA313" i="9"/>
  <c r="BS80" i="9"/>
  <c r="CA207" i="9"/>
  <c r="CA318" i="9"/>
  <c r="BS38" i="9"/>
  <c r="AU60" i="9"/>
  <c r="BC380" i="9"/>
  <c r="BC394" i="9"/>
  <c r="BC121" i="9"/>
  <c r="BC69" i="9"/>
  <c r="BC468" i="9"/>
  <c r="BC289" i="9"/>
  <c r="BC322" i="9"/>
  <c r="BS137" i="9"/>
  <c r="CA79" i="9"/>
  <c r="BC28" i="9"/>
  <c r="BS112" i="9"/>
  <c r="CA192" i="9"/>
  <c r="CA119" i="9"/>
  <c r="BS208" i="9"/>
  <c r="BS143" i="9"/>
  <c r="CA49" i="9"/>
  <c r="BS32" i="9"/>
  <c r="CA266" i="9"/>
  <c r="CA262" i="9"/>
  <c r="BS201" i="9"/>
  <c r="CA44" i="9"/>
  <c r="CA202" i="9"/>
  <c r="AE58" i="9"/>
  <c r="BC185" i="9"/>
  <c r="BC421" i="9"/>
  <c r="BC369" i="9"/>
  <c r="BC29" i="9"/>
  <c r="BS51" i="9"/>
  <c r="CA292" i="9"/>
  <c r="CA166" i="9"/>
  <c r="BS66" i="9"/>
  <c r="CA259" i="9"/>
  <c r="CA108" i="9"/>
  <c r="BS210" i="9"/>
  <c r="CA355" i="9"/>
  <c r="CA86" i="9"/>
  <c r="CA64" i="9"/>
  <c r="BS88" i="9"/>
  <c r="CA168" i="9"/>
  <c r="BS25" i="9"/>
  <c r="CA87" i="9"/>
  <c r="CA54" i="9"/>
  <c r="BC211" i="9"/>
  <c r="BC460" i="9"/>
  <c r="BC295" i="9"/>
  <c r="AU46" i="9"/>
  <c r="BC191" i="9"/>
  <c r="BC139" i="9"/>
  <c r="BC352" i="9"/>
  <c r="BS167" i="9"/>
  <c r="CA289" i="9"/>
  <c r="CA53" i="9"/>
  <c r="BS53" i="9"/>
  <c r="CA330" i="9"/>
  <c r="CA24" i="9"/>
  <c r="BS149" i="9"/>
  <c r="BS99" i="9"/>
  <c r="CA187" i="9"/>
  <c r="BS81" i="9"/>
  <c r="CA153" i="9"/>
  <c r="CA209" i="9"/>
  <c r="BS121" i="9"/>
  <c r="CA39" i="9"/>
  <c r="CA95" i="9"/>
  <c r="BC410" i="9"/>
  <c r="AU167" i="9"/>
  <c r="BC378" i="9"/>
  <c r="BC142" i="9"/>
  <c r="BC96" i="9"/>
  <c r="BC338" i="9"/>
  <c r="CA25" i="9"/>
  <c r="BS165" i="9"/>
  <c r="CA278" i="9"/>
  <c r="CA246" i="9"/>
  <c r="BS93" i="9"/>
  <c r="BS65" i="9"/>
  <c r="CA274" i="9"/>
  <c r="BC288" i="9"/>
  <c r="BS57" i="9"/>
  <c r="CA248" i="9"/>
  <c r="CA161" i="9"/>
  <c r="BS142" i="9"/>
  <c r="CA67" i="9"/>
  <c r="CA40" i="9"/>
  <c r="BS100" i="9"/>
  <c r="BC94" i="9"/>
  <c r="BC264" i="9"/>
  <c r="BS144" i="9"/>
  <c r="BC348" i="9"/>
  <c r="BC99" i="9"/>
  <c r="BC238" i="9"/>
  <c r="BC192" i="9"/>
  <c r="CA324" i="9"/>
  <c r="CA297" i="9"/>
  <c r="CA228" i="9"/>
  <c r="BS63" i="9"/>
  <c r="CA183" i="9"/>
  <c r="CA239" i="9"/>
  <c r="CA178" i="9"/>
  <c r="CA279" i="9"/>
  <c r="CA316" i="9"/>
  <c r="CA126" i="9"/>
  <c r="BS55" i="9"/>
  <c r="CA80" i="9"/>
  <c r="CA22" i="9"/>
  <c r="BS173" i="9"/>
  <c r="CA331" i="9"/>
  <c r="BC457" i="9"/>
  <c r="AU178" i="9"/>
  <c r="BC431" i="9"/>
  <c r="AU112" i="9"/>
  <c r="BC149" i="9"/>
  <c r="BC385" i="9"/>
  <c r="CA305" i="9"/>
  <c r="BS54" i="9"/>
  <c r="CA211" i="9"/>
  <c r="CA155" i="9"/>
  <c r="BS47" i="9"/>
  <c r="CA195" i="9"/>
  <c r="CA287" i="9"/>
  <c r="BC341" i="9"/>
  <c r="BS24" i="9"/>
  <c r="CA181" i="9"/>
  <c r="BS128" i="9"/>
  <c r="CA75" i="9"/>
  <c r="CA347" i="9"/>
  <c r="BS151" i="9"/>
  <c r="CA33" i="9"/>
  <c r="CE14" i="9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U54" i="3" s="1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3" i="9" s="1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U51" i="3" s="1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U57" i="3" s="1"/>
  <c r="L59" i="3"/>
  <c r="U59" i="3" s="1"/>
  <c r="L56" i="3"/>
  <c r="U56" i="3" s="1"/>
  <c r="M72" i="3"/>
  <c r="L52" i="3"/>
  <c r="U52" i="3" s="1"/>
  <c r="L55" i="3"/>
  <c r="U55" i="3" s="1"/>
  <c r="N55" i="3"/>
  <c r="L58" i="3"/>
  <c r="U58" i="3" s="1"/>
  <c r="N54" i="3"/>
  <c r="N57" i="3"/>
  <c r="N56" i="3"/>
  <c r="N51" i="3"/>
  <c r="N52" i="3"/>
  <c r="N59" i="3"/>
  <c r="AI14" i="9"/>
  <c r="C15" i="9"/>
  <c r="C16" i="9"/>
  <c r="K14" i="9"/>
  <c r="N53" i="3" l="1"/>
  <c r="N58" i="3"/>
  <c r="U73" i="3"/>
  <c r="U72" i="3"/>
  <c r="AA14" i="9"/>
  <c r="U69" i="3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BZ6" i="9" l="1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<sst xmlns="http://schemas.openxmlformats.org/spreadsheetml/2006/main" count="13555" uniqueCount="673">
  <si>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</si>
  <si>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</si>
  <si>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</si>
  <si>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</si>
  <si>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</si>
  <si>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</si>
  <si>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</si>
  <si>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</si>
  <si>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</si>
  <si>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</si>
  <si>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</si>
  <si>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</si>
  <si>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</si>
  <si>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</si>
  <si>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</si>
  <si>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</si>
  <si>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</si>
  <si>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</si>
  <si>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</si>
  <si>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</si>
  <si>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</si>
  <si>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</si>
  <si>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</si>
  <si>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</si>
  <si>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</si>
  <si>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</si>
  <si>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</si>
  <si>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</si>
  <si>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</si>
  <si>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</si>
  <si>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</si>
  <si>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</si>
  <si>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</si>
  <si>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</si>
  <si>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</si>
  <si>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</si>
  <si>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</si>
  <si>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</si>
  <si>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</si>
  <si>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</si>
  <si>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</si>
  <si>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</si>
  <si>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</si>
  <si>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</si>
  <si>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</si>
  <si>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</si>
  <si>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</si>
  <si>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</si>
  <si>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</si>
  <si>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</si>
  <si>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</si>
  <si>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</si>
  <si>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</si>
  <si>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</si>
  <si>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</si>
  <si>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</si>
  <si>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</si>
  <si>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</si>
  <si>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</si>
  <si>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</si>
  <si>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</si>
  <si>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</si>
  <si>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</si>
  <si>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</si>
  <si>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</si>
  <si>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</si>
  <si>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</si>
  <si>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</si>
  <si>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</si>
  <si>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</si>
  <si>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</si>
  <si>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</si>
  <si>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</si>
  <si>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</si>
  <si>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</si>
  <si>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</si>
  <si>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</si>
  <si>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</si>
  <si>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</si>
  <si>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</si>
  <si>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</si>
  <si>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</si>
  <si>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</si>
  <si>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</si>
  <si>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</si>
  <si>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</si>
  <si>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</si>
  <si>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</si>
  <si>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</si>
  <si>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</si>
  <si>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</si>
  <si>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</si>
  <si>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</si>
  <si>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</si>
  <si>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</si>
  <si>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</si>
  <si>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</si>
  <si>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</si>
  <si>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</si>
  <si>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</si>
  <si>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</si>
  <si>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</si>
  <si>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</si>
  <si>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</si>
  <si>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</si>
  <si>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</si>
  <si>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</si>
  <si>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</si>
  <si>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</si>
  <si>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</si>
  <si>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</si>
  <si>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</si>
  <si>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</si>
  <si>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</si>
  <si>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</si>
  <si>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</si>
  <si>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</si>
  <si>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</si>
  <si>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</si>
  <si>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</si>
  <si>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</si>
  <si>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</si>
  <si>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</si>
  <si>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</si>
  <si>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</si>
  <si>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</si>
  <si>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</si>
  <si>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</si>
  <si>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</si>
  <si>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</si>
  <si>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</si>
  <si>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</si>
  <si>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</si>
  <si>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</si>
  <si>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</si>
  <si>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</si>
  <si>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</si>
  <si>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</si>
  <si>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</si>
  <si>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</si>
  <si>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</si>
  <si>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</si>
  <si>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</si>
  <si>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</si>
  <si>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</si>
  <si>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</si>
  <si>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</si>
  <si>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</si>
  <si>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</si>
  <si>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</si>
  <si>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</si>
  <si>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</si>
  <si>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</si>
  <si>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</si>
  <si>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</si>
  <si>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</si>
  <si>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</si>
  <si>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</si>
  <si>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</si>
  <si>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</si>
  <si>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</si>
  <si>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</si>
  <si>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</si>
  <si>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</si>
  <si>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</si>
  <si>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</si>
  <si>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</si>
  <si>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</si>
  <si>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</si>
  <si>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</si>
  <si>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</si>
  <si>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</si>
  <si>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</si>
  <si>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</si>
  <si>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</si>
  <si>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</si>
  <si>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</si>
  <si>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</si>
  <si>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</si>
  <si>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</si>
  <si>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</si>
  <si>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</si>
  <si>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</si>
  <si>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</si>
  <si>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</si>
  <si>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</si>
  <si>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</si>
  <si>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</si>
  <si>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</si>
  <si>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</si>
  <si>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</si>
  <si>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</si>
  <si>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</si>
  <si>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</si>
  <si>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</si>
  <si>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</si>
  <si>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</si>
  <si>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</si>
  <si>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</si>
  <si>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</si>
  <si>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</si>
  <si>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</si>
  <si>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</si>
  <si>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</si>
  <si>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</si>
  <si>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</si>
  <si>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</si>
  <si>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</si>
  <si>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</si>
  <si>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</si>
  <si>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</si>
  <si>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</si>
  <si>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</si>
  <si>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</si>
  <si>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</si>
  <si>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</si>
  <si>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</si>
  <si>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</si>
  <si>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</si>
  <si>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</si>
  <si>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</si>
  <si>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</si>
  <si>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</si>
  <si>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</si>
  <si>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</si>
  <si>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</si>
  <si>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</si>
  <si>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</si>
  <si>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</si>
  <si>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</si>
  <si>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</si>
  <si>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</si>
  <si>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</si>
  <si>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</si>
  <si>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</si>
  <si>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</si>
  <si>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</si>
  <si>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</si>
  <si>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</si>
  <si>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</si>
  <si>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</si>
  <si>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</si>
  <si>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</si>
  <si>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</si>
  <si>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</si>
  <si>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</si>
  <si>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</si>
  <si>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</si>
  <si>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</si>
  <si>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</si>
  <si>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</si>
  <si>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</si>
  <si>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</si>
  <si>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</si>
  <si>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</si>
  <si>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</si>
  <si>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</si>
  <si>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</si>
  <si>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</si>
  <si>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</si>
  <si>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</si>
  <si>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</si>
  <si>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</si>
  <si>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</si>
  <si>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</si>
  <si>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</si>
  <si>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</si>
  <si>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</si>
  <si>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</si>
  <si>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</si>
  <si>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</si>
  <si>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</si>
  <si>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</si>
  <si>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</si>
  <si>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</si>
  <si>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</si>
  <si>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</si>
  <si>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</si>
  <si>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</si>
  <si>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</si>
  <si>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</si>
  <si>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</si>
  <si>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</si>
  <si>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</si>
  <si>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</si>
  <si>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</si>
  <si>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</si>
  <si>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</si>
  <si>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</si>
  <si>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</si>
  <si>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</si>
  <si>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</si>
  <si>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</si>
  <si>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</si>
  <si>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</si>
  <si>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</si>
  <si>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</si>
  <si>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</si>
  <si>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</si>
  <si>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</si>
  <si>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</si>
  <si>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</si>
  <si>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</si>
  <si>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</si>
  <si>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</si>
  <si>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</si>
  <si>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</si>
  <si>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</si>
  <si>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</si>
  <si>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</si>
  <si>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</si>
  <si>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</si>
  <si>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</si>
  <si>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</si>
  <si>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</si>
  <si>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</si>
  <si>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</si>
  <si>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</si>
  <si>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</si>
  <si>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</si>
  <si>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</si>
  <si>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</si>
  <si>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</si>
  <si>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</si>
  <si>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</si>
  <si>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</si>
  <si>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</si>
  <si>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</si>
  <si>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</si>
  <si>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</si>
  <si>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</si>
  <si>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</si>
  <si>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</si>
  <si>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</si>
  <si>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</si>
  <si>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</si>
  <si>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</si>
  <si>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</si>
  <si>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</si>
  <si>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</si>
  <si>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</si>
  <si>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</si>
  <si>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</si>
  <si>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</si>
  <si>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</si>
  <si>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</si>
  <si>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</si>
  <si>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</si>
  <si>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</si>
  <si>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</si>
  <si>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</si>
  <si>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</si>
  <si>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</si>
  <si>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</si>
  <si>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</si>
  <si>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</si>
  <si>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</si>
  <si>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</si>
  <si>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</si>
  <si>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</si>
  <si>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</si>
  <si>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</si>
  <si>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</si>
  <si>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</si>
  <si>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</si>
  <si>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</si>
  <si>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</si>
  <si>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</si>
  <si>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</si>
  <si>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</si>
  <si>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</si>
  <si>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</si>
  <si>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</si>
  <si>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</si>
  <si>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</si>
  <si>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</si>
  <si>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</si>
  <si>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</si>
  <si>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</si>
  <si>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</si>
  <si>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</si>
  <si>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</si>
  <si>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</si>
  <si>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</si>
  <si>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</si>
  <si>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</si>
  <si>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</si>
  <si>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</si>
  <si>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</si>
  <si>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</si>
  <si>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</si>
  <si>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</si>
  <si>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</si>
  <si>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</si>
  <si>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</si>
  <si>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</si>
  <si>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</si>
  <si>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</si>
  <si>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</si>
  <si>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</si>
  <si>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</si>
  <si>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</si>
  <si>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</si>
  <si>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</si>
  <si>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</si>
  <si>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</si>
  <si>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</si>
  <si>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</si>
  <si>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</si>
  <si>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</si>
  <si>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</si>
  <si>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</si>
  <si>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</si>
  <si>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</si>
  <si>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</si>
  <si>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</si>
  <si>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</si>
  <si>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</si>
  <si>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</si>
  <si>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</si>
  <si>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</si>
  <si>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</si>
  <si>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</si>
  <si>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</si>
  <si>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</si>
  <si>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</si>
  <si>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</si>
  <si>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</si>
  <si>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</si>
  <si>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</si>
  <si>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</si>
  <si>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</si>
  <si>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</si>
  <si>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</si>
  <si>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</si>
  <si>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</si>
  <si>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</si>
  <si>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</si>
  <si>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</si>
  <si>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</si>
  <si>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</si>
  <si>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</si>
  <si>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</si>
  <si>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</si>
  <si>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</si>
  <si>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</si>
  <si>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</si>
  <si>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</si>
  <si>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</si>
  <si>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</si>
  <si>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</si>
  <si>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</si>
  <si>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</si>
  <si>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</si>
  <si>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</si>
  <si>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</si>
  <si>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</si>
  <si>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</si>
  <si>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</si>
  <si>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</si>
  <si>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</si>
  <si>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</si>
  <si>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</si>
  <si>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</si>
  <si>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</si>
  <si>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</si>
  <si>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</si>
  <si>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</si>
  <si>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</si>
  <si>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</si>
  <si>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</si>
  <si>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</si>
  <si>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</si>
  <si>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</si>
  <si>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</si>
  <si>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</si>
  <si>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</si>
  <si>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</si>
  <si>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</si>
  <si>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</si>
  <si>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</si>
  <si>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</si>
  <si>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</si>
  <si>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</si>
  <si>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</si>
  <si>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</si>
  <si>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</si>
  <si>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</si>
  <si>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</si>
  <si>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</si>
  <si>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</si>
  <si>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</si>
  <si>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</si>
  <si>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</si>
  <si>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</si>
  <si>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</si>
  <si>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</si>
  <si>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</si>
  <si>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</si>
  <si>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</si>
  <si>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</si>
  <si>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</si>
  <si>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</si>
  <si>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</si>
  <si>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</si>
  <si>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</si>
  <si>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</si>
  <si>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</si>
  <si>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</si>
  <si>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</si>
  <si>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</si>
  <si>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</si>
  <si>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</si>
  <si>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</si>
  <si>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</si>
  <si>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</si>
  <si>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</si>
  <si>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</si>
  <si>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</si>
  <si>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</si>
  <si>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</si>
  <si>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</si>
  <si>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</si>
  <si>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</si>
  <si>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</si>
  <si>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</si>
  <si>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</si>
  <si>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</si>
  <si>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</si>
  <si>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</si>
  <si>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</si>
  <si>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</si>
  <si>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</si>
  <si>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</si>
  <si>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</si>
  <si>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</si>
  <si>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</si>
  <si>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</si>
  <si>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</si>
  <si>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</si>
  <si>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</si>
  <si>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</si>
  <si>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</si>
  <si>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</si>
  <si>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</si>
  <si>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</si>
  <si>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</si>
  <si>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</si>
  <si>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</si>
  <si>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</si>
  <si>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</si>
  <si>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</si>
  <si>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</si>
  <si>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</si>
  <si>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</si>
  <si>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</si>
  <si>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</si>
  <si>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</si>
  <si>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</si>
  <si>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</si>
  <si>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</si>
  <si>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</si>
  <si>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</si>
  <si>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</si>
  <si>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</si>
  <si>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</si>
  <si>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</si>
  <si>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</si>
  <si>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</si>
  <si>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</si>
  <si>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</si>
  <si>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</si>
  <si>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</si>
  <si>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</si>
  <si>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</si>
  <si>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</si>
  <si>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</si>
  <si>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</si>
  <si>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</si>
  <si>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</si>
  <si>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</si>
  <si>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</si>
  <si>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</si>
  <si>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</si>
  <si>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</si>
  <si>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</si>
  <si>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</si>
  <si>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</si>
  <si>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</si>
  <si>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</si>
  <si>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</si>
  <si>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</si>
  <si>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</si>
  <si>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</si>
  <si>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</si>
  <si>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</si>
  <si>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</si>
  <si>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</si>
  <si>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</si>
  <si>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</si>
  <si>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</si>
  <si>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</si>
  <si>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</si>
  <si>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</si>
  <si>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</si>
  <si>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</si>
  <si>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</si>
  <si>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</si>
  <si>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</si>
  <si>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</si>
  <si>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</si>
  <si>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</si>
  <si>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</si>
  <si>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</si>
  <si>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</si>
  <si>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</si>
  <si>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</si>
  <si>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</si>
  <si>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</si>
  <si>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</si>
  <si>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</si>
  <si>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</si>
  <si>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</si>
  <si>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</si>
  <si>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</si>
  <si>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</si>
  <si>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</si>
  <si>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</si>
  <si>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</si>
  <si>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</si>
  <si>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</si>
  <si>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</si>
  <si>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</si>
  <si>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</si>
  <si>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</si>
  <si>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</si>
  <si>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</si>
  <si>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</si>
  <si>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</si>
  <si>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</si>
  <si>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PF_CastleBoat</t>
  </si>
  <si>
    <t>PF_BarrelGroup</t>
  </si>
  <si>
    <t>PF_Trapdoor</t>
  </si>
  <si>
    <t>Obstacle</t>
  </si>
  <si>
    <t>PF_SpiderWeb</t>
  </si>
  <si>
    <t>PF_Geiser</t>
  </si>
  <si>
    <t>'PF_PoisonFlower'</t>
  </si>
  <si>
    <t>spiderWeb</t>
  </si>
  <si>
    <t>PF_Boat</t>
  </si>
  <si>
    <t>Barrel</t>
  </si>
  <si>
    <t>Human</t>
  </si>
  <si>
    <t>PF_Barrel</t>
  </si>
  <si>
    <t>PF_Cart</t>
  </si>
  <si>
    <t>'PF_Barrel</t>
  </si>
  <si>
    <t>01'</t>
  </si>
  <si>
    <t>PF_Box</t>
  </si>
  <si>
    <t>PF_Rock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</si>
  <si>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</si>
  <si>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</si>
  <si>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</si>
  <si>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</si>
  <si>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</si>
  <si>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</si>
  <si>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</si>
  <si>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</si>
  <si>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</si>
  <si>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</si>
  <si>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</si>
  <si>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</si>
  <si>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</si>
  <si>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</si>
  <si>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</si>
  <si>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  -&gt; IMPLEMENTED(03/10/2017)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</si>
</sst>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10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17" borderId="29" xfId="0" applyFont="1" applyFill="1" applyBorder="1"/>
    <xf numFmtId="0" fontId="0" fillId="0" borderId="0" xfId="0" applyFont="1"/>
    <xf numFmtId="0" fontId="0" fillId="4" borderId="0" xfId="0" applyFill="1" applyAlignment="1">
      <alignment horizontal="right" vertical="top"/>
    </xf>
    <xf numFmtId="0" fontId="0" fillId="18" borderId="0" xfId="0" applyFill="1" applyAlignment="1">
      <alignment horizontal="right" vertical="top"/>
    </xf>
    <xf numFmtId="0" fontId="0" fillId="19" borderId="0" xfId="0" applyFill="1" applyAlignment="1">
      <alignment horizontal="right" vertical="top"/>
    </xf>
    <xf numFmtId="0" fontId="0" fillId="21" borderId="0" xfId="0" applyFill="1" applyAlignment="1">
      <alignment horizontal="right" vertical="top"/>
    </xf>
    <xf numFmtId="0" fontId="1" fillId="20" borderId="0" xfId="0" applyFont="1" applyFill="1"/>
    <xf numFmtId="0" fontId="1" fillId="23" borderId="0" xfId="0" applyFont="1" applyFill="1"/>
    <xf numFmtId="0" fontId="0" fillId="6" borderId="0" xfId="0" applyNumberFormat="1" applyFill="1" applyAlignment="1">
      <alignment horizontal="right" vertical="top"/>
    </xf>
    <xf numFmtId="0" fontId="0" fillId="24" borderId="0" xfId="0" applyNumberFormat="1" applyFill="1" applyAlignment="1">
      <alignment horizontal="right" vertical="top"/>
    </xf>
    <xf numFmtId="0" fontId="1" fillId="25" borderId="0" xfId="0" applyFont="1" applyFill="1"/>
    <xf numFmtId="0" fontId="0" fillId="22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6" borderId="0" xfId="0" applyFont="1" applyFill="1"/>
    <xf numFmtId="0" fontId="8" fillId="26" borderId="0" xfId="0" applyFont="1" applyFill="1"/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826368"/>
        <c:axId val="84492288"/>
      </c:barChart>
      <c:catAx>
        <c:axId val="848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92288"/>
        <c:crosses val="autoZero"/>
        <c:auto val="1"/>
        <c:lblAlgn val="ctr"/>
        <c:lblOffset val="100"/>
        <c:noMultiLvlLbl val="0"/>
      </c:catAx>
      <c:valAx>
        <c:axId val="844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2352"/>
        <c:axId val="86293888"/>
      </c:barChart>
      <c:catAx>
        <c:axId val="862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93888"/>
        <c:crosses val="autoZero"/>
        <c:auto val="1"/>
        <c:lblAlgn val="ctr"/>
        <c:lblOffset val="100"/>
        <c:noMultiLvlLbl val="0"/>
      </c:catAx>
      <c:valAx>
        <c:axId val="862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06176"/>
        <c:axId val="86344832"/>
      </c:barChart>
      <c:catAx>
        <c:axId val="863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4832"/>
        <c:crosses val="autoZero"/>
        <c:auto val="1"/>
        <c:lblAlgn val="ctr"/>
        <c:lblOffset val="100"/>
        <c:noMultiLvlLbl val="0"/>
      </c:catAx>
      <c:valAx>
        <c:axId val="86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552"/>
        <c:axId val="85009536"/>
      </c:lineChart>
      <c:catAx>
        <c:axId val="845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09536"/>
        <c:crosses val="autoZero"/>
        <c:auto val="1"/>
        <c:lblAlgn val="ctr"/>
        <c:lblOffset val="100"/>
        <c:noMultiLvlLbl val="0"/>
      </c:catAx>
      <c:valAx>
        <c:axId val="8500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503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68320"/>
        <c:axId val="88169856"/>
      </c:barChart>
      <c:catAx>
        <c:axId val="881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169856"/>
        <c:crosses val="autoZero"/>
        <c:auto val="1"/>
        <c:lblAlgn val="ctr"/>
        <c:lblOffset val="100"/>
        <c:noMultiLvlLbl val="0"/>
      </c:catAx>
      <c:valAx>
        <c:axId val="881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6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9552"/>
        <c:axId val="88201088"/>
      </c:barChart>
      <c:catAx>
        <c:axId val="881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1088"/>
        <c:crosses val="autoZero"/>
        <c:auto val="1"/>
        <c:lblAlgn val="ctr"/>
        <c:lblOffset val="100"/>
        <c:noMultiLvlLbl val="0"/>
      </c:catAx>
      <c:valAx>
        <c:axId val="88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9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8800"/>
        <c:axId val="99470336"/>
      </c:barChart>
      <c:catAx>
        <c:axId val="994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470336"/>
        <c:crosses val="autoZero"/>
        <c:auto val="1"/>
        <c:lblAlgn val="ctr"/>
        <c:lblOffset val="100"/>
        <c:noMultiLvlLbl val="0"/>
      </c:catAx>
      <c:valAx>
        <c:axId val="994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62176"/>
        <c:axId val="99763712"/>
      </c:barChart>
      <c:catAx>
        <c:axId val="997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63712"/>
        <c:crosses val="autoZero"/>
        <c:auto val="1"/>
        <c:lblAlgn val="ctr"/>
        <c:lblOffset val="100"/>
        <c:noMultiLvlLbl val="0"/>
      </c:catAx>
      <c:valAx>
        <c:axId val="997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1648"/>
        <c:axId val="85133568"/>
      </c:lineChart>
      <c:catAx>
        <c:axId val="851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33568"/>
        <c:crosses val="autoZero"/>
        <c:auto val="1"/>
        <c:lblAlgn val="ctr"/>
        <c:lblOffset val="100"/>
        <c:noMultiLvlLbl val="0"/>
      </c:catAx>
      <c:valAx>
        <c:axId val="85133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1316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117540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69344"/>
        <c:axId val="86983424"/>
      </c:barChart>
      <c:catAx>
        <c:axId val="869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83424"/>
        <c:crosses val="autoZero"/>
        <c:auto val="1"/>
        <c:lblAlgn val="ctr"/>
        <c:lblOffset val="100"/>
        <c:noMultiLvlLbl val="0"/>
      </c:catAx>
      <c:valAx>
        <c:axId val="869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0672"/>
        <c:axId val="87022208"/>
      </c:barChart>
      <c:catAx>
        <c:axId val="87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022208"/>
        <c:crosses val="autoZero"/>
        <c:auto val="1"/>
        <c:lblAlgn val="ctr"/>
        <c:lblOffset val="100"/>
        <c:noMultiLvlLbl val="0"/>
      </c:catAx>
      <c:valAx>
        <c:axId val="870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3" totalsRowShown="0" headerRowDxfId="86" dataDxfId="85">
  <autoFilter ref="D11:U143"/>
  <sortState ref="D12:S143">
    <sortCondition ref="D11:D143"/>
  </sortState>
  <tableColumns count="18">
    <tableColumn id="1" name="Content Sku" dataDxfId="84"/>
    <tableColumn id="2" name="Spawner Prefab" dataDxfId="83"/>
    <tableColumn id="3" name="Entity Prefab" dataDxfId="82"/>
    <tableColumn id="4" name="Respawn Min" dataDxfId="81"/>
    <tableColumn id="5" name="Respawn Max" dataDxfId="80"/>
    <tableColumn id="6" name="HP Given" dataDxfId="79"/>
    <tableColumn id="7" name="XP Given" dataDxfId="78"/>
    <tableColumn id="8" name="Edible Tier" dataDxfId="77"/>
    <tableColumn id="9" name="BurnableTier" dataDxfId="76"/>
    <tableColumn id="10" name="Damage" dataDxfId="75"/>
    <tableColumn id="11" name="Total in &quot;Village&quot; scene" dataDxfId="74">
      <calculatedColumnFormula>COUNTIF(Table7[Spawner],Table1[[#This Row],[Spawner Prefab]])</calculatedColumnFormula>
    </tableColumn>
    <tableColumn id="12" name="Percentage1" dataDxfId="73">
      <calculatedColumnFormula>ROUND((Table1[[#This Row],[Total in "Village" scene]]/SUM(Table1[Total in "Village" scene]))*100,1)</calculatedColumnFormula>
    </tableColumn>
    <tableColumn id="13" name="Total in &quot;Castle&quot; scene" dataDxfId="72">
      <calculatedColumnFormula>COUNTIF(Table15[Spawner],Table1[[#This Row],[Spawner Prefab]])</calculatedColumnFormula>
    </tableColumn>
    <tableColumn id="14" name="Percentage2" dataDxfId="71">
      <calculatedColumnFormula>ROUND((Table1[[#This Row],[Total in "Castle" scene]]/SUM(Table1[Total in "Castle" scene]))*100,1)</calculatedColumnFormula>
    </tableColumn>
    <tableColumn id="17" name="Total in &quot;Dark&quot; scene" dataDxfId="70">
      <calculatedColumnFormula>COUNTIF(Table20[Spawner],Table1[[#This Row],[Spawner Prefab]])</calculatedColumnFormula>
    </tableColumn>
    <tableColumn id="18" name="Percentage3" dataDxfId="69">
      <calculatedColumnFormula>ROUND((Table1[[#This Row],[Total in "Dark" scene]]/SUM(Table1[Total in "Dark" scene]))*100,1)</calculatedColumnFormula>
    </tableColumn>
    <tableColumn id="15" name="Total in the game" dataDxfId="68">
      <calculatedColumnFormula>Table1[[#This Row],[Total in "Village" scene]]+Table1[[#This Row],[Total in "Castle" scene]]</calculatedColumnFormula>
    </tableColumn>
    <tableColumn id="16" name="Percentage4" dataDxfId="67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4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48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46">
      <calculatedColumnFormula>ROUND((Table610[[#This Row],[XP]]*Table610[[#This Row],[entity_spawned (AVG)]])*(Table610[[#This Row],[activating_chance]]/100),0)</calculatedColumnFormula>
    </tableColumn>
    <tableColumn id="9" name="Aggressive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43">
      <calculatedColumnFormula>ROUND((Table61011[[#This Row],[XP]]*Table61011[[#This Row],[entity_spawned (AVG)]])*(Table61011[[#This Row],[activating_chance]]/100),0)</calculatedColumnFormula>
    </tableColumn>
    <tableColumn id="9" name="Aggressive" dataDxfId="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38">
      <calculatedColumnFormula>ROUND((Table12[[#This Row],[XP]]*Table12[[#This Row],[entity_spawned (AVG)]])*(Table12[[#This Row],[activating_chance]]/100),0)</calculatedColumnFormula>
    </tableColumn>
    <tableColumn id="7" name="Aggressive" dataDxfId="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35">
      <calculatedColumnFormula>ROUND((Table13[[#This Row],[XP]]*Table13[[#This Row],[entity_spawned (AVG)]])*(Table13[[#This Row],[activating_chance]]/100),0)</calculatedColumnFormula>
    </tableColumn>
    <tableColumn id="7" name="Aggressive" dataDxfId="3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32">
      <calculatedColumnFormula>ROUND((Table14[[#This Row],[XP]]*Table14[[#This Row],[entity_spawned (AVG)]])*(Table14[[#This Row],[activating_chance]]/100),0)</calculatedColumnFormula>
    </tableColumn>
    <tableColumn id="7" name="Aggressive" dataDxfId="3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25" totalsRowShown="0" headerRowDxfId="30" headerRowBorderDxfId="29" tableBorderDxfId="28" totalsRowBorderDxfId="27">
  <autoFilter ref="CL21:CR25"/>
  <tableColumns count="7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25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5" totalsRowShown="0" headerRowDxfId="24" headerRowBorderDxfId="23" tableBorderDxfId="22" totalsRowBorderDxfId="21">
  <autoFilter ref="CT21:CZ25"/>
  <tableColumns count="7">
    <tableColumn id="1" name="spawner_sku"/>
    <tableColumn id="2" name="entity_spawned (AVG)"/>
    <tableColumn id="3" name="respawn_time"/>
    <tableColumn id="4" name="activating_chance"/>
    <tableColumn id="5" name="XP" dataDxfId="2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9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18" headerRowBorderDxfId="17" tableBorderDxfId="16" totalsRowBorderDxfId="15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14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3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66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65">
      <calculatedColumnFormula>DATA_SCENES_UNITY_1!BG7+DATA_SCENES_UNITY_1!BO7+DATA_SCENES_UNITY_1!BW7+DATA_SCENES_UNITY_1!CE7</calculatedColumnFormula>
    </tableColumn>
    <tableColumn id="5" name="Total preys" dataDxfId="64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63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12" headerRowBorderDxfId="11" tableBorderDxfId="10" totalsRowBorderDxfId="9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7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86" totalsRowShown="0">
  <autoFilter ref="T7:V1986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10" totalsRowShown="0" headerRowDxfId="6" headerRowBorderDxfId="5" tableBorderDxfId="4" totalsRowBorderDxfId="3">
  <autoFilter ref="AI7:AK10"/>
  <sortState ref="AI8:AK10">
    <sortCondition ref="AI7:AI1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6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61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80" totalsRowShown="0" headerRowDxfId="60">
  <autoFilter ref="B21:H680"/>
  <sortState ref="B22:H681">
    <sortCondition ref="B21:B681"/>
  </sortState>
  <tableColumns count="7">
    <tableColumn id="1" name="spawner_sku" dataDxfId="59"/>
    <tableColumn id="2" name="entity_spawned (AVG)"/>
    <tableColumn id="5" name="respawn_time"/>
    <tableColumn id="6" name="activating_chance"/>
    <tableColumn id="7" name="XP" dataDxfId="5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57">
      <calculatedColumnFormula>ROUND((Table245[[#This Row],[XP]]*Table245[[#This Row],[entity_spawned (AVG)]])*(Table245[[#This Row],[activating_chance]]/100),0)</calculatedColumnFormula>
    </tableColumn>
    <tableColumn id="3" name="Aggresive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54">
      <calculatedColumnFormula>ROUND((Table2[[#This Row],[XP]]*Table2[[#This Row],[entity_spawned (AVG)]])*(Table2[[#This Row],[activating_chance]]/100),0)</calculatedColumnFormula>
    </tableColumn>
    <tableColumn id="9" name="Aggressive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51">
      <calculatedColumnFormula>ROUND((Table6[[#This Row],[XP]]*Table6[[#This Row],[entity_spawned (AVG)]])*(Table6[[#This Row],[activating_chance]]/100),0)</calculatedColumnFormula>
    </tableColumn>
    <tableColumn id="9" name="Aggressive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3"/>
  <sheetViews>
    <sheetView topLeftCell="A85" workbookViewId="0">
      <pane xSplit="6" topLeftCell="G1" activePane="topRight" state="frozen"/>
      <selection pane="topRight" activeCell="O86" sqref="O8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279</v>
      </c>
      <c r="N2" s="77"/>
    </row>
    <row r="3" spans="4:21" x14ac:dyDescent="0.25">
      <c r="F3" s="83"/>
      <c r="N3" s="77"/>
    </row>
    <row r="4" spans="4:21" x14ac:dyDescent="0.25">
      <c r="F4" s="83" t="s">
        <v>620</v>
      </c>
      <c r="N4" s="77"/>
    </row>
    <row r="5" spans="4:21" x14ac:dyDescent="0.25">
      <c r="N5" s="77"/>
    </row>
    <row r="6" spans="4:21" x14ac:dyDescent="0.25">
      <c r="F6" s="1" t="s">
        <v>378</v>
      </c>
      <c r="H6" s="1" t="s">
        <v>381</v>
      </c>
      <c r="N6" s="78"/>
    </row>
    <row r="7" spans="4:21" x14ac:dyDescent="0.25">
      <c r="F7" t="s">
        <v>379</v>
      </c>
      <c r="H7" t="s">
        <v>382</v>
      </c>
      <c r="N7" s="78"/>
    </row>
    <row r="8" spans="4:21" x14ac:dyDescent="0.25">
      <c r="F8" t="s">
        <v>380</v>
      </c>
      <c r="H8" t="s">
        <v>383</v>
      </c>
      <c r="N8" s="77"/>
      <c r="O8" s="77"/>
    </row>
    <row r="11" spans="4:21" x14ac:dyDescent="0.25">
      <c r="D11" s="1" t="s">
        <v>282</v>
      </c>
      <c r="E11" s="1" t="s">
        <v>281</v>
      </c>
      <c r="F11" s="1" t="s">
        <v>283</v>
      </c>
      <c r="G11" s="112" t="s">
        <v>284</v>
      </c>
      <c r="H11" s="112" t="s">
        <v>285</v>
      </c>
      <c r="I11" s="113" t="s">
        <v>286</v>
      </c>
      <c r="J11" s="113" t="s">
        <v>287</v>
      </c>
      <c r="K11" s="113" t="s">
        <v>376</v>
      </c>
      <c r="L11" s="113" t="s">
        <v>421</v>
      </c>
      <c r="M11" s="113" t="s">
        <v>188</v>
      </c>
      <c r="N11" s="116" t="s">
        <v>670</v>
      </c>
      <c r="O11" s="116" t="s">
        <v>558</v>
      </c>
      <c r="P11" s="119" t="s">
        <v>669</v>
      </c>
      <c r="Q11" s="120" t="s">
        <v>550</v>
      </c>
      <c r="R11" s="116" t="s">
        <v>668</v>
      </c>
      <c r="S11" s="116" t="s">
        <v>658</v>
      </c>
      <c r="T11" s="119" t="s">
        <v>657</v>
      </c>
      <c r="U11" s="119" t="s">
        <v>671</v>
      </c>
    </row>
    <row r="12" spans="4:21" ht="15" customHeight="1" x14ac:dyDescent="0.25">
      <c r="D12" s="79" t="s">
        <v>9</v>
      </c>
      <c r="E12" s="79" t="s">
        <v>144</v>
      </c>
      <c r="F12" s="79" t="s">
        <v>27</v>
      </c>
      <c r="G12" s="110">
        <v>450</v>
      </c>
      <c r="H12" s="110">
        <v>450</v>
      </c>
      <c r="I12" s="109" t="s">
        <v>9</v>
      </c>
      <c r="J12" s="109"/>
      <c r="K12" s="109"/>
      <c r="L12" s="109"/>
      <c r="M12" s="109"/>
      <c r="N12" s="114">
        <f>COUNTIF(Table7[Spawner],Table1[[#This Row],[Spawner Prefab]])</f>
        <v>6</v>
      </c>
      <c r="O12" s="11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18">
        <f>ROUND((Table1[[#This Row],[Total in "Castle" scene]]/SUM(Table1[Total in "Castle" scene]))*100,1)</f>
        <v>0.4</v>
      </c>
      <c r="R12" s="114">
        <f>COUNTIF(Table20[Spawner],Table1[[#This Row],[Spawner Prefab]])</f>
        <v>0</v>
      </c>
      <c r="S12" s="114">
        <f>ROUND((Table1[[#This Row],[Total in "Dark" scene]]/SUM(Table1[Total in "Dark" scene]))*100,1)</f>
        <v>0</v>
      </c>
      <c r="T12" s="118">
        <f>Table1[[#This Row],[Total in "Village" scene]]+Table1[[#This Row],[Total in "Castle" scene]]</f>
        <v>13</v>
      </c>
      <c r="U12" s="118">
        <f>ROUND((Table1[[#This Row],[Total in the game]]/SUM(Table1[Total in the game]))*100,1)</f>
        <v>0.3</v>
      </c>
    </row>
    <row r="13" spans="4:21" ht="17.25" customHeight="1" x14ac:dyDescent="0.25">
      <c r="D13" s="79" t="s">
        <v>9</v>
      </c>
      <c r="E13" s="79" t="s">
        <v>384</v>
      </c>
      <c r="F13" s="79" t="s">
        <v>385</v>
      </c>
      <c r="G13" s="111">
        <v>450</v>
      </c>
      <c r="H13" s="111">
        <v>450</v>
      </c>
      <c r="I13" s="108" t="s">
        <v>9</v>
      </c>
      <c r="J13" s="108"/>
      <c r="K13" s="108"/>
      <c r="L13" s="108"/>
      <c r="M13" s="108"/>
      <c r="N13" s="115">
        <f>COUNTIF(Table7[Spawner],Table1[[#This Row],[Spawner Prefab]])</f>
        <v>3</v>
      </c>
      <c r="O13" s="115">
        <f>ROUND((Table1[[#This Row],[Total in "Village" scene]]/SUM(Table1[Total in "Village" scene]))*100,1)</f>
        <v>0.1</v>
      </c>
      <c r="P13" s="117">
        <f>COUNTIF(Table15[Spawner],Table1[[#This Row],[Spawner Prefab]])</f>
        <v>0</v>
      </c>
      <c r="Q13" s="117">
        <f>ROUND((Table1[[#This Row],[Total in "Castle" scene]]/SUM(Table1[Total in "Castle" scene]))*100,1)</f>
        <v>0</v>
      </c>
      <c r="R13" s="115">
        <f>COUNTIF(Table20[Spawner],Table1[[#This Row],[Spawner Prefab]])</f>
        <v>0</v>
      </c>
      <c r="S13" s="115">
        <f>ROUND((Table1[[#This Row],[Total in "Dark" scene]]/SUM(Table1[Total in "Dark" scene]))*100,1)</f>
        <v>0</v>
      </c>
      <c r="T13" s="117">
        <f>Table1[[#This Row],[Total in "Village" scene]]+Table1[[#This Row],[Total in "Castle" scene]]</f>
        <v>3</v>
      </c>
      <c r="U13" s="117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583</v>
      </c>
      <c r="F14" s="79" t="s">
        <v>584</v>
      </c>
      <c r="G14" s="110">
        <v>450</v>
      </c>
      <c r="H14" s="110">
        <v>450</v>
      </c>
      <c r="I14" s="109" t="s">
        <v>9</v>
      </c>
      <c r="J14" s="109"/>
      <c r="K14" s="109"/>
      <c r="L14" s="109"/>
      <c r="M14" s="109"/>
      <c r="N14" s="114">
        <f>COUNTIF(Table7[Spawner],Table1[[#This Row],[Spawner Prefab]])</f>
        <v>0</v>
      </c>
      <c r="O14" s="114">
        <f>ROUND((Table1[[#This Row],[Total in "Village" scene]]/SUM(Table1[Total in "Village" scene]))*100,1)</f>
        <v>0</v>
      </c>
      <c r="P14" s="118">
        <f>COUNTIF(Table15[Spawner],Table1[[#This Row],[Spawner Prefab]])</f>
        <v>3</v>
      </c>
      <c r="Q14" s="118">
        <f>ROUND((Table1[[#This Row],[Total in "Castle" scene]]/SUM(Table1[Total in "Castle" scene]))*100,1)</f>
        <v>0.2</v>
      </c>
      <c r="R14" s="114">
        <f>COUNTIF(Table20[Spawner],Table1[[#This Row],[Spawner Prefab]])</f>
        <v>0</v>
      </c>
      <c r="S14" s="114">
        <f>ROUND((Table1[[#This Row],[Total in "Dark" scene]]/SUM(Table1[Total in "Dark" scene]))*100,1)</f>
        <v>0</v>
      </c>
      <c r="T14" s="118">
        <f>Table1[[#This Row],[Total in "Village" scene]]+Table1[[#This Row],[Total in "Castle" scene]]</f>
        <v>3</v>
      </c>
      <c r="U14" s="118">
        <f>ROUND((Table1[[#This Row],[Total in the game]]/SUM(Table1[Total in the game]))*100,1)</f>
        <v>0.1</v>
      </c>
    </row>
    <row r="15" spans="4:21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08">
        <v>20</v>
      </c>
      <c r="J15" s="108">
        <v>75</v>
      </c>
      <c r="K15" s="108">
        <v>0</v>
      </c>
      <c r="L15" s="108">
        <v>0</v>
      </c>
      <c r="M15" s="108">
        <v>10</v>
      </c>
      <c r="N15" s="115">
        <f>COUNTIF(Table7[Spawner],Table1[[#This Row],[Spawner Prefab]])</f>
        <v>10</v>
      </c>
      <c r="O15" s="115">
        <f>ROUND((Table1[[#This Row],[Total in "Village" scene]]/SUM(Table1[Total in "Village" scene]))*100,1)</f>
        <v>0.4</v>
      </c>
      <c r="P15" s="117">
        <f>COUNTIF(Table15[Spawner],Table1[[#This Row],[Spawner Prefab]])</f>
        <v>0</v>
      </c>
      <c r="Q15" s="117">
        <f>ROUND((Table1[[#This Row],[Total in "Castle" scene]]/SUM(Table1[Total in "Castle" scene]))*100,1)</f>
        <v>0</v>
      </c>
      <c r="R15" s="115">
        <f>COUNTIF(Table20[Spawner],Table1[[#This Row],[Spawner Prefab]])</f>
        <v>0</v>
      </c>
      <c r="S15" s="115">
        <f>ROUND((Table1[[#This Row],[Total in "Dark" scene]]/SUM(Table1[Total in "Dark" scene]))*100,1)</f>
        <v>0</v>
      </c>
      <c r="T15" s="117">
        <f>Table1[[#This Row],[Total in "Village" scene]]+Table1[[#This Row],[Total in "Castle" scene]]</f>
        <v>10</v>
      </c>
      <c r="U15" s="117">
        <f>ROUND((Table1[[#This Row],[Total in the game]]/SUM(Table1[Total in the game]))*100,1)</f>
        <v>0.2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0">
        <v>280</v>
      </c>
      <c r="H16" s="110">
        <v>280</v>
      </c>
      <c r="I16" s="109">
        <v>20</v>
      </c>
      <c r="J16" s="109">
        <v>75</v>
      </c>
      <c r="K16" s="109">
        <v>0</v>
      </c>
      <c r="L16" s="109">
        <v>0</v>
      </c>
      <c r="M16" s="109">
        <v>10</v>
      </c>
      <c r="N16" s="114">
        <f>COUNTIF(Table7[Spawner],Table1[[#This Row],[Spawner Prefab]])</f>
        <v>6</v>
      </c>
      <c r="O16" s="114">
        <f>ROUND((Table1[[#This Row],[Total in "Village" scene]]/SUM(Table1[Total in "Village" scene]))*100,1)</f>
        <v>0.2</v>
      </c>
      <c r="P16" s="118">
        <f>COUNTIF(Table15[Spawner],Table1[[#This Row],[Spawner Prefab]])</f>
        <v>0</v>
      </c>
      <c r="Q16" s="118">
        <f>ROUND((Table1[[#This Row],[Total in "Castle" scene]]/SUM(Table1[Total in "Castle" scene]))*100,1)</f>
        <v>0</v>
      </c>
      <c r="R16" s="114">
        <f>COUNTIF(Table20[Spawner],Table1[[#This Row],[Spawner Prefab]])</f>
        <v>0</v>
      </c>
      <c r="S16" s="114">
        <f>ROUND((Table1[[#This Row],[Total in "Dark" scene]]/SUM(Table1[Total in "Dark" scene]))*100,1)</f>
        <v>0</v>
      </c>
      <c r="T16" s="118">
        <f>Table1[[#This Row],[Total in "Village" scene]]+Table1[[#This Row],[Total in "Castle" scene]]</f>
        <v>6</v>
      </c>
      <c r="U16" s="118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570</v>
      </c>
      <c r="F17" s="79" t="s">
        <v>571</v>
      </c>
      <c r="G17" s="111">
        <v>280</v>
      </c>
      <c r="H17" s="111">
        <v>280</v>
      </c>
      <c r="I17" s="108">
        <v>20</v>
      </c>
      <c r="J17" s="108">
        <v>75</v>
      </c>
      <c r="K17" s="108">
        <v>0</v>
      </c>
      <c r="L17" s="108">
        <v>0</v>
      </c>
      <c r="M17" s="108">
        <v>4</v>
      </c>
      <c r="N17" s="115">
        <f>COUNTIF(Table7[Spawner],Table1[[#This Row],[Spawner Prefab]])</f>
        <v>3</v>
      </c>
      <c r="O17" s="115">
        <f>ROUND((Table1[[#This Row],[Total in "Village" scene]]/SUM(Table1[Total in "Village" scene]))*100,1)</f>
        <v>0.1</v>
      </c>
      <c r="P17" s="117">
        <f>COUNTIF(Table15[Spawner],Table1[[#This Row],[Spawner Prefab]])</f>
        <v>0</v>
      </c>
      <c r="Q17" s="117">
        <f>ROUND((Table1[[#This Row],[Total in "Castle" scene]]/SUM(Table1[Total in "Castle" scene]))*100,1)</f>
        <v>0</v>
      </c>
      <c r="R17" s="115">
        <f>COUNTIF(Table20[Spawner],Table1[[#This Row],[Spawner Prefab]])</f>
        <v>0</v>
      </c>
      <c r="S17" s="115">
        <f>ROUND((Table1[[#This Row],[Total in "Dark" scene]]/SUM(Table1[Total in "Dark" scene]))*100,1)</f>
        <v>0</v>
      </c>
      <c r="T17" s="117">
        <f>Table1[[#This Row],[Total in "Village" scene]]+Table1[[#This Row],[Total in "Castle" scene]]</f>
        <v>3</v>
      </c>
      <c r="U17" s="117">
        <f>ROUND((Table1[[#This Row],[Total in the game]]/SUM(Table1[Total in the game]))*100,1)</f>
        <v>0.1</v>
      </c>
    </row>
    <row r="18" spans="4:21" x14ac:dyDescent="0.25">
      <c r="D18" s="79" t="s">
        <v>71</v>
      </c>
      <c r="E18" s="79" t="s">
        <v>12</v>
      </c>
      <c r="F18" s="79" t="s">
        <v>14</v>
      </c>
      <c r="G18" s="110">
        <v>300</v>
      </c>
      <c r="H18" s="110">
        <v>300</v>
      </c>
      <c r="I18" s="109">
        <v>20</v>
      </c>
      <c r="J18" s="109">
        <v>75</v>
      </c>
      <c r="K18" s="109">
        <v>0</v>
      </c>
      <c r="L18" s="109">
        <v>0</v>
      </c>
      <c r="M18" s="109">
        <v>16</v>
      </c>
      <c r="N18" s="114">
        <f>COUNTIF(Table7[Spawner],Table1[[#This Row],[Spawner Prefab]])</f>
        <v>11</v>
      </c>
      <c r="O18" s="114">
        <f>ROUND((Table1[[#This Row],[Total in "Village" scene]]/SUM(Table1[Total in "Village" scene]))*100,1)</f>
        <v>0.4</v>
      </c>
      <c r="P18" s="118">
        <f>COUNTIF(Table15[Spawner],Table1[[#This Row],[Spawner Prefab]])</f>
        <v>4</v>
      </c>
      <c r="Q18" s="118">
        <f>ROUND((Table1[[#This Row],[Total in "Castle" scene]]/SUM(Table1[Total in "Castle" scene]))*100,1)</f>
        <v>0.2</v>
      </c>
      <c r="R18" s="114">
        <f>COUNTIF(Table20[Spawner],Table1[[#This Row],[Spawner Prefab]])</f>
        <v>0</v>
      </c>
      <c r="S18" s="114">
        <f>ROUND((Table1[[#This Row],[Total in "Dark" scene]]/SUM(Table1[Total in "Dark" scene]))*100,1)</f>
        <v>0</v>
      </c>
      <c r="T18" s="118">
        <f>Table1[[#This Row],[Total in "Village" scene]]+Table1[[#This Row],[Total in "Castle" scene]]</f>
        <v>15</v>
      </c>
      <c r="U18" s="118">
        <f>ROUND((Table1[[#This Row],[Total in the game]]/SUM(Table1[Total in the game]))*100,1)</f>
        <v>0.3</v>
      </c>
    </row>
    <row r="19" spans="4:21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08">
        <v>20</v>
      </c>
      <c r="J19" s="108">
        <v>75</v>
      </c>
      <c r="K19" s="108">
        <v>0</v>
      </c>
      <c r="L19" s="108">
        <v>0</v>
      </c>
      <c r="M19" s="108">
        <v>16</v>
      </c>
      <c r="N19" s="115">
        <f>COUNTIF(Table7[Spawner],Table1[[#This Row],[Spawner Prefab]])</f>
        <v>6</v>
      </c>
      <c r="O19" s="115">
        <f>ROUND((Table1[[#This Row],[Total in "Village" scene]]/SUM(Table1[Total in "Village" scene]))*100,1)</f>
        <v>0.2</v>
      </c>
      <c r="P19" s="117">
        <f>COUNTIF(Table15[Spawner],Table1[[#This Row],[Spawner Prefab]])</f>
        <v>13</v>
      </c>
      <c r="Q19" s="117">
        <f>ROUND((Table1[[#This Row],[Total in "Castle" scene]]/SUM(Table1[Total in "Castle" scene]))*100,1)</f>
        <v>0.7</v>
      </c>
      <c r="R19" s="115">
        <f>COUNTIF(Table20[Spawner],Table1[[#This Row],[Spawner Prefab]])</f>
        <v>1</v>
      </c>
      <c r="S19" s="115">
        <f>ROUND((Table1[[#This Row],[Total in "Dark" scene]]/SUM(Table1[Total in "Dark" scene]))*100,1)</f>
        <v>33.299999999999997</v>
      </c>
      <c r="T19" s="117">
        <f>Table1[[#This Row],[Total in "Village" scene]]+Table1[[#This Row],[Total in "Castle" scene]]</f>
        <v>19</v>
      </c>
      <c r="U19" s="117">
        <f>ROUND((Table1[[#This Row],[Total in the game]]/SUM(Table1[Total in the game]))*100,1)</f>
        <v>0.4</v>
      </c>
    </row>
    <row r="20" spans="4:21" x14ac:dyDescent="0.25">
      <c r="D20" s="79" t="s">
        <v>433</v>
      </c>
      <c r="E20" s="79" t="s">
        <v>434</v>
      </c>
      <c r="F20" s="79" t="s">
        <v>435</v>
      </c>
      <c r="G20" s="110">
        <v>310</v>
      </c>
      <c r="H20" s="110">
        <v>310</v>
      </c>
      <c r="I20" s="109">
        <v>50</v>
      </c>
      <c r="J20" s="109">
        <v>55</v>
      </c>
      <c r="K20" s="109">
        <v>1</v>
      </c>
      <c r="L20" s="109">
        <v>1</v>
      </c>
      <c r="M20" s="109">
        <v>30</v>
      </c>
      <c r="N20" s="114">
        <f>COUNTIF(Table7[Spawner],Table1[[#This Row],[Spawner Prefab]])</f>
        <v>12</v>
      </c>
      <c r="O20" s="11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18">
        <f>ROUND((Table1[[#This Row],[Total in "Castle" scene]]/SUM(Table1[Total in "Castle" scene]))*100,1)</f>
        <v>0</v>
      </c>
      <c r="R20" s="114">
        <f>COUNTIF(Table20[Spawner],Table1[[#This Row],[Spawner Prefab]])</f>
        <v>0</v>
      </c>
      <c r="S20" s="114">
        <f>ROUND((Table1[[#This Row],[Total in "Dark" scene]]/SUM(Table1[Total in "Dark" scene]))*100,1)</f>
        <v>0</v>
      </c>
      <c r="T20" s="118">
        <f>Table1[[#This Row],[Total in "Village" scene]]+Table1[[#This Row],[Total in "Castle" scene]]</f>
        <v>12</v>
      </c>
      <c r="U20" s="118">
        <f>ROUND((Table1[[#This Row],[Total in the game]]/SUM(Table1[Total in the game]))*100,1)</f>
        <v>0.3</v>
      </c>
    </row>
    <row r="21" spans="4:21" x14ac:dyDescent="0.25">
      <c r="D21" s="79" t="s">
        <v>433</v>
      </c>
      <c r="E21" s="79" t="s">
        <v>436</v>
      </c>
      <c r="F21" s="79" t="s">
        <v>437</v>
      </c>
      <c r="G21" s="111">
        <v>310</v>
      </c>
      <c r="H21" s="111">
        <v>310</v>
      </c>
      <c r="I21" s="108">
        <v>50</v>
      </c>
      <c r="J21" s="108">
        <v>55</v>
      </c>
      <c r="K21" s="108">
        <v>1</v>
      </c>
      <c r="L21" s="108">
        <v>1</v>
      </c>
      <c r="M21" s="108">
        <v>30</v>
      </c>
      <c r="N21" s="115">
        <f>COUNTIF(Table7[Spawner],Table1[[#This Row],[Spawner Prefab]])</f>
        <v>3</v>
      </c>
      <c r="O21" s="115">
        <f>ROUND((Table1[[#This Row],[Total in "Village" scene]]/SUM(Table1[Total in "Village" scene]))*100,1)</f>
        <v>0.1</v>
      </c>
      <c r="P21" s="117">
        <f>COUNTIF(Table15[Spawner],Table1[[#This Row],[Spawner Prefab]])</f>
        <v>0</v>
      </c>
      <c r="Q21" s="117">
        <f>ROUND((Table1[[#This Row],[Total in "Castle" scene]]/SUM(Table1[Total in "Castle" scene]))*100,1)</f>
        <v>0</v>
      </c>
      <c r="R21" s="115">
        <f>COUNTIF(Table20[Spawner],Table1[[#This Row],[Spawner Prefab]])</f>
        <v>0</v>
      </c>
      <c r="S21" s="115">
        <f>ROUND((Table1[[#This Row],[Total in "Dark" scene]]/SUM(Table1[Total in "Dark" scene]))*100,1)</f>
        <v>0</v>
      </c>
      <c r="T21" s="117">
        <f>Table1[[#This Row],[Total in "Village" scene]]+Table1[[#This Row],[Total in "Castle" scene]]</f>
        <v>3</v>
      </c>
      <c r="U21" s="117">
        <f>ROUND((Table1[[#This Row],[Total in the game]]/SUM(Table1[Total in the game]))*100,1)</f>
        <v>0.1</v>
      </c>
    </row>
    <row r="22" spans="4:21" x14ac:dyDescent="0.25">
      <c r="D22" s="79" t="s">
        <v>438</v>
      </c>
      <c r="E22" s="79" t="s">
        <v>424</v>
      </c>
      <c r="F22" s="79" t="s">
        <v>425</v>
      </c>
      <c r="G22" s="110">
        <v>200</v>
      </c>
      <c r="H22" s="110">
        <v>200</v>
      </c>
      <c r="I22" s="109">
        <v>-10</v>
      </c>
      <c r="J22" s="109">
        <v>0</v>
      </c>
      <c r="K22" s="109">
        <v>0</v>
      </c>
      <c r="L22" s="109">
        <v>0</v>
      </c>
      <c r="M22" s="109" t="s">
        <v>9</v>
      </c>
      <c r="N22" s="114">
        <f>COUNTIF(Table7[Spawner],Table1[[#This Row],[Spawner Prefab]])</f>
        <v>139</v>
      </c>
      <c r="O22" s="114">
        <f>ROUND((Table1[[#This Row],[Total in "Village" scene]]/SUM(Table1[Total in "Village" scene]))*100,1)</f>
        <v>5.5</v>
      </c>
      <c r="P22" s="118">
        <f>COUNTIF(Table15[Spawner],Table1[[#This Row],[Spawner Prefab]])</f>
        <v>152</v>
      </c>
      <c r="Q22" s="118">
        <f>ROUND((Table1[[#This Row],[Total in "Castle" scene]]/SUM(Table1[Total in "Castle" scene]))*100,1)</f>
        <v>8.3000000000000007</v>
      </c>
      <c r="R22" s="114">
        <f>COUNTIF(Table20[Spawner],Table1[[#This Row],[Spawner Prefab]])</f>
        <v>0</v>
      </c>
      <c r="S22" s="114">
        <f>ROUND((Table1[[#This Row],[Total in "Dark" scene]]/SUM(Table1[Total in "Dark" scene]))*100,1)</f>
        <v>0</v>
      </c>
      <c r="T22" s="118">
        <f>Table1[[#This Row],[Total in "Village" scene]]+Table1[[#This Row],[Total in "Castle" scene]]</f>
        <v>291</v>
      </c>
      <c r="U22" s="118">
        <f>ROUND((Table1[[#This Row],[Total in the game]]/SUM(Table1[Total in the game]))*100,1)</f>
        <v>6.6</v>
      </c>
    </row>
    <row r="23" spans="4:21" x14ac:dyDescent="0.25">
      <c r="D23" s="79" t="s">
        <v>439</v>
      </c>
      <c r="E23" s="79" t="s">
        <v>440</v>
      </c>
      <c r="F23" s="79" t="s">
        <v>551</v>
      </c>
      <c r="G23" s="111">
        <v>280</v>
      </c>
      <c r="H23" s="111">
        <v>280</v>
      </c>
      <c r="I23" s="108">
        <v>20</v>
      </c>
      <c r="J23" s="108">
        <v>50</v>
      </c>
      <c r="K23" s="108">
        <v>0</v>
      </c>
      <c r="L23" s="108">
        <v>0</v>
      </c>
      <c r="M23" s="108">
        <v>10</v>
      </c>
      <c r="N23" s="115">
        <f>COUNTIF(Table7[Spawner],Table1[[#This Row],[Spawner Prefab]])</f>
        <v>3</v>
      </c>
      <c r="O23" s="115">
        <f>ROUND((Table1[[#This Row],[Total in "Village" scene]]/SUM(Table1[Total in "Village" scene]))*100,1)</f>
        <v>0.1</v>
      </c>
      <c r="P23" s="117">
        <f>COUNTIF(Table15[Spawner],Table1[[#This Row],[Spawner Prefab]])</f>
        <v>0</v>
      </c>
      <c r="Q23" s="117">
        <f>ROUND((Table1[[#This Row],[Total in "Castle" scene]]/SUM(Table1[Total in "Castle" scene]))*100,1)</f>
        <v>0</v>
      </c>
      <c r="R23" s="115">
        <f>COUNTIF(Table20[Spawner],Table1[[#This Row],[Spawner Prefab]])</f>
        <v>0</v>
      </c>
      <c r="S23" s="115">
        <f>ROUND((Table1[[#This Row],[Total in "Dark" scene]]/SUM(Table1[Total in "Dark" scene]))*100,1)</f>
        <v>0</v>
      </c>
      <c r="T23" s="117">
        <f>Table1[[#This Row],[Total in "Village" scene]]+Table1[[#This Row],[Total in "Castle" scene]]</f>
        <v>3</v>
      </c>
      <c r="U23" s="117">
        <f>ROUND((Table1[[#This Row],[Total in the game]]/SUM(Table1[Total in the game]))*100,1)</f>
        <v>0.1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0">
        <v>200</v>
      </c>
      <c r="H24" s="110">
        <v>200</v>
      </c>
      <c r="I24" s="109">
        <v>20</v>
      </c>
      <c r="J24" s="109">
        <v>50</v>
      </c>
      <c r="K24" s="109">
        <v>0</v>
      </c>
      <c r="L24" s="109">
        <v>0</v>
      </c>
      <c r="M24" s="109" t="s">
        <v>9</v>
      </c>
      <c r="N24" s="114">
        <f>COUNTIF(Table7[Spawner],Table1[[#This Row],[Spawner Prefab]])</f>
        <v>1</v>
      </c>
      <c r="O24" s="11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18">
        <f>ROUND((Table1[[#This Row],[Total in "Castle" scene]]/SUM(Table1[Total in "Castle" scene]))*100,1)</f>
        <v>0</v>
      </c>
      <c r="R24" s="114">
        <f>COUNTIF(Table20[Spawner],Table1[[#This Row],[Spawner Prefab]])</f>
        <v>0</v>
      </c>
      <c r="S24" s="114">
        <f>ROUND((Table1[[#This Row],[Total in "Dark" scene]]/SUM(Table1[Total in "Dark" scene]))*100,1)</f>
        <v>0</v>
      </c>
      <c r="T24" s="118">
        <f>Table1[[#This Row],[Total in "Village" scene]]+Table1[[#This Row],[Total in "Castle" scene]]</f>
        <v>1</v>
      </c>
      <c r="U24" s="118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08">
        <v>5</v>
      </c>
      <c r="J25" s="108">
        <v>55</v>
      </c>
      <c r="K25" s="108">
        <v>1</v>
      </c>
      <c r="L25" s="108">
        <v>1</v>
      </c>
      <c r="M25" s="108">
        <v>8</v>
      </c>
      <c r="N25" s="115">
        <f>COUNTIF(Table7[Spawner],Table1[[#This Row],[Spawner Prefab]])</f>
        <v>42</v>
      </c>
      <c r="O25" s="115">
        <f>ROUND((Table1[[#This Row],[Total in "Village" scene]]/SUM(Table1[Total in "Village" scene]))*100,1)</f>
        <v>1.6</v>
      </c>
      <c r="P25" s="117">
        <f>COUNTIF(Table15[Spawner],Table1[[#This Row],[Spawner Prefab]])</f>
        <v>43</v>
      </c>
      <c r="Q25" s="117">
        <f>ROUND((Table1[[#This Row],[Total in "Castle" scene]]/SUM(Table1[Total in "Castle" scene]))*100,1)</f>
        <v>2.2999999999999998</v>
      </c>
      <c r="R25" s="115">
        <f>COUNTIF(Table20[Spawner],Table1[[#This Row],[Spawner Prefab]])</f>
        <v>0</v>
      </c>
      <c r="S25" s="115">
        <f>ROUND((Table1[[#This Row],[Total in "Dark" scene]]/SUM(Table1[Total in "Dark" scene]))*100,1)</f>
        <v>0</v>
      </c>
      <c r="T25" s="117">
        <f>Table1[[#This Row],[Total in "Village" scene]]+Table1[[#This Row],[Total in "Castle" scene]]</f>
        <v>85</v>
      </c>
      <c r="U25" s="117">
        <f>ROUND((Table1[[#This Row],[Total in the game]]/SUM(Table1[Total in the game]))*100,1)</f>
        <v>1.9</v>
      </c>
    </row>
    <row r="26" spans="4:21" x14ac:dyDescent="0.25">
      <c r="D26" s="79" t="s">
        <v>92</v>
      </c>
      <c r="E26" s="79" t="s">
        <v>41</v>
      </c>
      <c r="F26" s="79" t="s">
        <v>35</v>
      </c>
      <c r="G26" s="110">
        <v>280</v>
      </c>
      <c r="H26" s="110">
        <v>280</v>
      </c>
      <c r="I26" s="109">
        <v>2</v>
      </c>
      <c r="J26" s="109">
        <v>25</v>
      </c>
      <c r="K26" s="109">
        <v>0</v>
      </c>
      <c r="L26" s="109">
        <v>0</v>
      </c>
      <c r="M26" s="109" t="s">
        <v>9</v>
      </c>
      <c r="N26" s="114">
        <f>COUNTIF(Table7[Spawner],Table1[[#This Row],[Spawner Prefab]])</f>
        <v>32</v>
      </c>
      <c r="O26" s="11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18">
        <f>ROUND((Table1[[#This Row],[Total in "Castle" scene]]/SUM(Table1[Total in "Castle" scene]))*100,1)</f>
        <v>7</v>
      </c>
      <c r="R26" s="114">
        <f>COUNTIF(Table20[Spawner],Table1[[#This Row],[Spawner Prefab]])</f>
        <v>0</v>
      </c>
      <c r="S26" s="114">
        <f>ROUND((Table1[[#This Row],[Total in "Dark" scene]]/SUM(Table1[Total in "Dark" scene]))*100,1)</f>
        <v>0</v>
      </c>
      <c r="T26" s="118">
        <f>Table1[[#This Row],[Total in "Village" scene]]+Table1[[#This Row],[Total in "Castle" scene]]</f>
        <v>161</v>
      </c>
      <c r="U26" s="118">
        <f>ROUND((Table1[[#This Row],[Total in the game]]/SUM(Table1[Total in the game]))*100,1)</f>
        <v>3.7</v>
      </c>
    </row>
    <row r="27" spans="4:21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08">
        <v>2</v>
      </c>
      <c r="J27" s="108">
        <v>25</v>
      </c>
      <c r="K27" s="108">
        <v>0</v>
      </c>
      <c r="L27" s="108">
        <v>0</v>
      </c>
      <c r="M27" s="108" t="s">
        <v>9</v>
      </c>
      <c r="N27" s="115">
        <f>COUNTIF(Table7[Spawner],Table1[[#This Row],[Spawner Prefab]])</f>
        <v>4</v>
      </c>
      <c r="O27" s="115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17">
        <f>ROUND((Table1[[#This Row],[Total in "Castle" scene]]/SUM(Table1[Total in "Castle" scene]))*100,1)</f>
        <v>0.4</v>
      </c>
      <c r="R27" s="115">
        <f>COUNTIF(Table20[Spawner],Table1[[#This Row],[Spawner Prefab]])</f>
        <v>0</v>
      </c>
      <c r="S27" s="115">
        <f>ROUND((Table1[[#This Row],[Total in "Dark" scene]]/SUM(Table1[Total in "Dark" scene]))*100,1)</f>
        <v>0</v>
      </c>
      <c r="T27" s="117">
        <f>Table1[[#This Row],[Total in "Village" scene]]+Table1[[#This Row],[Total in "Castle" scene]]</f>
        <v>11</v>
      </c>
      <c r="U27" s="117">
        <f>ROUND((Table1[[#This Row],[Total in the game]]/SUM(Table1[Total in the game]))*100,1)</f>
        <v>0.3</v>
      </c>
    </row>
    <row r="28" spans="4:21" x14ac:dyDescent="0.25">
      <c r="D28" s="79" t="s">
        <v>580</v>
      </c>
      <c r="E28" s="79" t="s">
        <v>581</v>
      </c>
      <c r="F28" s="79" t="s">
        <v>582</v>
      </c>
      <c r="G28" s="110">
        <v>120</v>
      </c>
      <c r="H28" s="110">
        <v>120</v>
      </c>
      <c r="I28" s="109">
        <v>80</v>
      </c>
      <c r="J28" s="109">
        <v>150</v>
      </c>
      <c r="K28" s="109">
        <v>4</v>
      </c>
      <c r="L28" s="109">
        <v>4</v>
      </c>
      <c r="M28" s="109" t="s">
        <v>9</v>
      </c>
      <c r="N28" s="114">
        <f>COUNTIF(Table7[Spawner],Table1[[#This Row],[Spawner Prefab]])</f>
        <v>0</v>
      </c>
      <c r="O28" s="11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18">
        <f>ROUND((Table1[[#This Row],[Total in "Castle" scene]]/SUM(Table1[Total in "Castle" scene]))*100,1)</f>
        <v>0</v>
      </c>
      <c r="R28" s="114">
        <f>COUNTIF(Table20[Spawner],Table1[[#This Row],[Spawner Prefab]])</f>
        <v>0</v>
      </c>
      <c r="S28" s="114">
        <f>ROUND((Table1[[#This Row],[Total in "Dark" scene]]/SUM(Table1[Total in "Dark" scene]))*100,1)</f>
        <v>0</v>
      </c>
      <c r="T28" s="118">
        <f>Table1[[#This Row],[Total in "Village" scene]]+Table1[[#This Row],[Total in "Castle" scene]]</f>
        <v>0</v>
      </c>
      <c r="U28" s="118">
        <f>ROUND((Table1[[#This Row],[Total in the game]]/SUM(Table1[Total in the game]))*100,1)</f>
        <v>0</v>
      </c>
    </row>
    <row r="29" spans="4:21" x14ac:dyDescent="0.25">
      <c r="D29" s="79" t="s">
        <v>73</v>
      </c>
      <c r="E29" s="79" t="s">
        <v>354</v>
      </c>
      <c r="F29" s="79" t="s">
        <v>355</v>
      </c>
      <c r="G29" s="111">
        <v>130</v>
      </c>
      <c r="H29" s="111">
        <v>130</v>
      </c>
      <c r="I29" s="108">
        <v>15</v>
      </c>
      <c r="J29" s="108">
        <v>50</v>
      </c>
      <c r="K29" s="108">
        <v>0</v>
      </c>
      <c r="L29" s="108">
        <v>0</v>
      </c>
      <c r="M29" s="108" t="s">
        <v>9</v>
      </c>
      <c r="N29" s="115">
        <f>COUNTIF(Table7[Spawner],Table1[[#This Row],[Spawner Prefab]])</f>
        <v>2</v>
      </c>
      <c r="O29" s="115">
        <f>ROUND((Table1[[#This Row],[Total in "Village" scene]]/SUM(Table1[Total in "Village" scene]))*100,1)</f>
        <v>0.1</v>
      </c>
      <c r="P29" s="117">
        <f>COUNTIF(Table15[Spawner],Table1[[#This Row],[Spawner Prefab]])</f>
        <v>0</v>
      </c>
      <c r="Q29" s="117">
        <f>ROUND((Table1[[#This Row],[Total in "Castle" scene]]/SUM(Table1[Total in "Castle" scene]))*100,1)</f>
        <v>0</v>
      </c>
      <c r="R29" s="115">
        <f>COUNTIF(Table20[Spawner],Table1[[#This Row],[Spawner Prefab]])</f>
        <v>0</v>
      </c>
      <c r="S29" s="115">
        <f>ROUND((Table1[[#This Row],[Total in "Dark" scene]]/SUM(Table1[Total in "Dark" scene]))*100,1)</f>
        <v>0</v>
      </c>
      <c r="T29" s="117">
        <f>Table1[[#This Row],[Total in "Village" scene]]+Table1[[#This Row],[Total in "Castle" scene]]</f>
        <v>2</v>
      </c>
      <c r="U29" s="117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58</v>
      </c>
      <c r="F30" s="79" t="s">
        <v>56</v>
      </c>
      <c r="G30" s="110">
        <v>130</v>
      </c>
      <c r="H30" s="110">
        <v>130</v>
      </c>
      <c r="I30" s="109">
        <v>15</v>
      </c>
      <c r="J30" s="109">
        <v>50</v>
      </c>
      <c r="K30" s="109">
        <v>0</v>
      </c>
      <c r="L30" s="109">
        <v>0</v>
      </c>
      <c r="M30" s="109" t="s">
        <v>9</v>
      </c>
      <c r="N30" s="114">
        <f>COUNTIF(Table7[Spawner],Table1[[#This Row],[Spawner Prefab]])</f>
        <v>0</v>
      </c>
      <c r="O30" s="114">
        <f>ROUND((Table1[[#This Row],[Total in "Village" scene]]/SUM(Table1[Total in "Village" scene]))*100,1)</f>
        <v>0</v>
      </c>
      <c r="P30" s="118">
        <f>COUNTIF(Table15[Spawner],Table1[[#This Row],[Spawner Prefab]])</f>
        <v>2</v>
      </c>
      <c r="Q30" s="118">
        <f>ROUND((Table1[[#This Row],[Total in "Castle" scene]]/SUM(Table1[Total in "Castle" scene]))*100,1)</f>
        <v>0.1</v>
      </c>
      <c r="R30" s="114">
        <f>COUNTIF(Table20[Spawner],Table1[[#This Row],[Spawner Prefab]])</f>
        <v>0</v>
      </c>
      <c r="S30" s="114">
        <f>ROUND((Table1[[#This Row],[Total in "Dark" scene]]/SUM(Table1[Total in "Dark" scene]))*100,1)</f>
        <v>0</v>
      </c>
      <c r="T30" s="118">
        <f>Table1[[#This Row],[Total in "Village" scene]]+Table1[[#This Row],[Total in "Castle" scene]]</f>
        <v>2</v>
      </c>
      <c r="U30" s="118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08">
        <v>15</v>
      </c>
      <c r="J31" s="108">
        <v>50</v>
      </c>
      <c r="K31" s="108">
        <v>0</v>
      </c>
      <c r="L31" s="108">
        <v>0</v>
      </c>
      <c r="M31" s="108" t="s">
        <v>9</v>
      </c>
      <c r="N31" s="115">
        <f>COUNTIF(Table7[Spawner],Table1[[#This Row],[Spawner Prefab]])</f>
        <v>0</v>
      </c>
      <c r="O31" s="115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17">
        <f>ROUND((Table1[[#This Row],[Total in "Castle" scene]]/SUM(Table1[Total in "Castle" scene]))*100,1)</f>
        <v>0</v>
      </c>
      <c r="R31" s="115">
        <f>COUNTIF(Table20[Spawner],Table1[[#This Row],[Spawner Prefab]])</f>
        <v>0</v>
      </c>
      <c r="S31" s="115">
        <f>ROUND((Table1[[#This Row],[Total in "Dark" scene]]/SUM(Table1[Total in "Dark" scene]))*100,1)</f>
        <v>0</v>
      </c>
      <c r="T31" s="117">
        <f>Table1[[#This Row],[Total in "Village" scene]]+Table1[[#This Row],[Total in "Castle" scene]]</f>
        <v>0</v>
      </c>
      <c r="U31" s="117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10">
        <v>220</v>
      </c>
      <c r="H32" s="110">
        <v>220</v>
      </c>
      <c r="I32" s="109">
        <v>30</v>
      </c>
      <c r="J32" s="109">
        <v>75</v>
      </c>
      <c r="K32" s="109">
        <v>0</v>
      </c>
      <c r="L32" s="109">
        <v>0</v>
      </c>
      <c r="M32" s="109">
        <v>8</v>
      </c>
      <c r="N32" s="114">
        <f>COUNTIF(Table7[Spawner],Table1[[#This Row],[Spawner Prefab]])</f>
        <v>13</v>
      </c>
      <c r="O32" s="11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18">
        <f>ROUND((Table1[[#This Row],[Total in "Castle" scene]]/SUM(Table1[Total in "Castle" scene]))*100,1)</f>
        <v>1.2</v>
      </c>
      <c r="R32" s="114">
        <f>COUNTIF(Table20[Spawner],Table1[[#This Row],[Spawner Prefab]])</f>
        <v>0</v>
      </c>
      <c r="S32" s="114">
        <f>ROUND((Table1[[#This Row],[Total in "Dark" scene]]/SUM(Table1[Total in "Dark" scene]))*100,1)</f>
        <v>0</v>
      </c>
      <c r="T32" s="118">
        <f>Table1[[#This Row],[Total in "Village" scene]]+Table1[[#This Row],[Total in "Castle" scene]]</f>
        <v>35</v>
      </c>
      <c r="U32" s="118">
        <f>ROUND((Table1[[#This Row],[Total in the game]]/SUM(Table1[Total in the game]))*100,1)</f>
        <v>0.8</v>
      </c>
    </row>
    <row r="33" spans="4:21" x14ac:dyDescent="0.25">
      <c r="D33" s="79" t="s">
        <v>87</v>
      </c>
      <c r="E33" s="79" t="s">
        <v>572</v>
      </c>
      <c r="F33" s="79" t="s">
        <v>573</v>
      </c>
      <c r="G33" s="111">
        <v>220</v>
      </c>
      <c r="H33" s="111">
        <v>220</v>
      </c>
      <c r="I33" s="108">
        <v>30</v>
      </c>
      <c r="J33" s="108">
        <v>75</v>
      </c>
      <c r="K33" s="108">
        <v>0</v>
      </c>
      <c r="L33" s="108">
        <v>0</v>
      </c>
      <c r="M33" s="108">
        <v>3</v>
      </c>
      <c r="N33" s="115">
        <f>COUNTIF(Table7[Spawner],Table1[[#This Row],[Spawner Prefab]])</f>
        <v>7</v>
      </c>
      <c r="O33" s="115">
        <f>ROUND((Table1[[#This Row],[Total in "Village" scene]]/SUM(Table1[Total in "Village" scene]))*100,1)</f>
        <v>0.3</v>
      </c>
      <c r="P33" s="117">
        <f>COUNTIF(Table15[Spawner],Table1[[#This Row],[Spawner Prefab]])</f>
        <v>0</v>
      </c>
      <c r="Q33" s="117">
        <f>ROUND((Table1[[#This Row],[Total in "Castle" scene]]/SUM(Table1[Total in "Castle" scene]))*100,1)</f>
        <v>0</v>
      </c>
      <c r="R33" s="115">
        <f>COUNTIF(Table20[Spawner],Table1[[#This Row],[Spawner Prefab]])</f>
        <v>0</v>
      </c>
      <c r="S33" s="115">
        <f>ROUND((Table1[[#This Row],[Total in "Dark" scene]]/SUM(Table1[Total in "Dark" scene]))*100,1)</f>
        <v>0</v>
      </c>
      <c r="T33" s="117">
        <f>Table1[[#This Row],[Total in "Village" scene]]+Table1[[#This Row],[Total in "Castle" scene]]</f>
        <v>7</v>
      </c>
      <c r="U33" s="117">
        <f>ROUND((Table1[[#This Row],[Total in the game]]/SUM(Table1[Total in the game]))*100,1)</f>
        <v>0.2</v>
      </c>
    </row>
    <row r="34" spans="4:21" x14ac:dyDescent="0.25">
      <c r="D34" s="79" t="s">
        <v>103</v>
      </c>
      <c r="E34" s="79" t="s">
        <v>270</v>
      </c>
      <c r="F34" s="79" t="s">
        <v>93</v>
      </c>
      <c r="G34" s="110">
        <v>180</v>
      </c>
      <c r="H34" s="110">
        <v>180</v>
      </c>
      <c r="I34" s="109">
        <v>2</v>
      </c>
      <c r="J34" s="109">
        <v>25</v>
      </c>
      <c r="K34" s="109">
        <v>0</v>
      </c>
      <c r="L34" s="109">
        <v>0</v>
      </c>
      <c r="M34" s="109" t="s">
        <v>9</v>
      </c>
      <c r="N34" s="114">
        <f>COUNTIF(Table7[Spawner],Table1[[#This Row],[Spawner Prefab]])</f>
        <v>377</v>
      </c>
      <c r="O34" s="114">
        <f>ROUND((Table1[[#This Row],[Total in "Village" scene]]/SUM(Table1[Total in "Village" scene]))*100,1)</f>
        <v>14.8</v>
      </c>
      <c r="P34" s="118">
        <f>COUNTIF(Table15[Spawner],Table1[[#This Row],[Spawner Prefab]])</f>
        <v>127</v>
      </c>
      <c r="Q34" s="118">
        <f>ROUND((Table1[[#This Row],[Total in "Castle" scene]]/SUM(Table1[Total in "Castle" scene]))*100,1)</f>
        <v>6.9</v>
      </c>
      <c r="R34" s="114">
        <f>COUNTIF(Table20[Spawner],Table1[[#This Row],[Spawner Prefab]])</f>
        <v>0</v>
      </c>
      <c r="S34" s="114">
        <f>ROUND((Table1[[#This Row],[Total in "Dark" scene]]/SUM(Table1[Total in "Dark" scene]))*100,1)</f>
        <v>0</v>
      </c>
      <c r="T34" s="118">
        <f>Table1[[#This Row],[Total in "Village" scene]]+Table1[[#This Row],[Total in "Castle" scene]]</f>
        <v>504</v>
      </c>
      <c r="U34" s="118">
        <f>ROUND((Table1[[#This Row],[Total in the game]]/SUM(Table1[Total in the game]))*100,1)</f>
        <v>11.5</v>
      </c>
    </row>
    <row r="35" spans="4:21" x14ac:dyDescent="0.25">
      <c r="D35" s="79" t="s">
        <v>103</v>
      </c>
      <c r="E35" s="79" t="s">
        <v>269</v>
      </c>
      <c r="F35" s="79" t="s">
        <v>93</v>
      </c>
      <c r="G35" s="111">
        <v>180</v>
      </c>
      <c r="H35" s="111">
        <v>180</v>
      </c>
      <c r="I35" s="108">
        <v>2</v>
      </c>
      <c r="J35" s="108">
        <v>25</v>
      </c>
      <c r="K35" s="108">
        <v>0</v>
      </c>
      <c r="L35" s="108">
        <v>0</v>
      </c>
      <c r="M35" s="108" t="s">
        <v>9</v>
      </c>
      <c r="N35" s="115">
        <f>COUNTIF(Table7[Spawner],Table1[[#This Row],[Spawner Prefab]])</f>
        <v>144</v>
      </c>
      <c r="O35" s="115">
        <f>ROUND((Table1[[#This Row],[Total in "Village" scene]]/SUM(Table1[Total in "Village" scene]))*100,1)</f>
        <v>5.7</v>
      </c>
      <c r="P35" s="117">
        <f>COUNTIF(Table15[Spawner],Table1[[#This Row],[Spawner Prefab]])</f>
        <v>17</v>
      </c>
      <c r="Q35" s="117">
        <f>ROUND((Table1[[#This Row],[Total in "Castle" scene]]/SUM(Table1[Total in "Castle" scene]))*100,1)</f>
        <v>0.9</v>
      </c>
      <c r="R35" s="115">
        <f>COUNTIF(Table20[Spawner],Table1[[#This Row],[Spawner Prefab]])</f>
        <v>0</v>
      </c>
      <c r="S35" s="115">
        <f>ROUND((Table1[[#This Row],[Total in "Dark" scene]]/SUM(Table1[Total in "Dark" scene]))*100,1)</f>
        <v>0</v>
      </c>
      <c r="T35" s="117">
        <f>Table1[[#This Row],[Total in "Village" scene]]+Table1[[#This Row],[Total in "Castle" scene]]</f>
        <v>161</v>
      </c>
      <c r="U35" s="117">
        <f>ROUND((Table1[[#This Row],[Total in the game]]/SUM(Table1[Total in the game]))*100,1)</f>
        <v>3.7</v>
      </c>
    </row>
    <row r="36" spans="4:21" x14ac:dyDescent="0.25">
      <c r="D36" s="79" t="s">
        <v>103</v>
      </c>
      <c r="E36" s="79" t="s">
        <v>97</v>
      </c>
      <c r="F36" s="79" t="s">
        <v>93</v>
      </c>
      <c r="G36" s="110">
        <v>180</v>
      </c>
      <c r="H36" s="110">
        <v>180</v>
      </c>
      <c r="I36" s="109">
        <v>2</v>
      </c>
      <c r="J36" s="109">
        <v>25</v>
      </c>
      <c r="K36" s="109">
        <v>0</v>
      </c>
      <c r="L36" s="109">
        <v>0</v>
      </c>
      <c r="M36" s="109" t="s">
        <v>9</v>
      </c>
      <c r="N36" s="114">
        <f>COUNTIF(Table7[Spawner],Table1[[#This Row],[Spawner Prefab]])</f>
        <v>75</v>
      </c>
      <c r="O36" s="114">
        <f>ROUND((Table1[[#This Row],[Total in "Village" scene]]/SUM(Table1[Total in "Village" scene]))*100,1)</f>
        <v>2.9</v>
      </c>
      <c r="P36" s="118">
        <f>COUNTIF(Table15[Spawner],Table1[[#This Row],[Spawner Prefab]])</f>
        <v>0</v>
      </c>
      <c r="Q36" s="118">
        <f>ROUND((Table1[[#This Row],[Total in "Castle" scene]]/SUM(Table1[Total in "Castle" scene]))*100,1)</f>
        <v>0</v>
      </c>
      <c r="R36" s="114">
        <f>COUNTIF(Table20[Spawner],Table1[[#This Row],[Spawner Prefab]])</f>
        <v>0</v>
      </c>
      <c r="S36" s="114">
        <f>ROUND((Table1[[#This Row],[Total in "Dark" scene]]/SUM(Table1[Total in "Dark" scene]))*100,1)</f>
        <v>0</v>
      </c>
      <c r="T36" s="118">
        <f>Table1[[#This Row],[Total in "Village" scene]]+Table1[[#This Row],[Total in "Castle" scene]]</f>
        <v>75</v>
      </c>
      <c r="U36" s="118">
        <f>ROUND((Table1[[#This Row],[Total in the game]]/SUM(Table1[Total in the game]))*100,1)</f>
        <v>1.7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08">
        <v>2</v>
      </c>
      <c r="J37" s="108">
        <v>25</v>
      </c>
      <c r="K37" s="108">
        <v>0</v>
      </c>
      <c r="L37" s="108">
        <v>0</v>
      </c>
      <c r="M37" s="108" t="s">
        <v>9</v>
      </c>
      <c r="N37" s="115">
        <f>COUNTIF(Table7[Spawner],Table1[[#This Row],[Spawner Prefab]])</f>
        <v>39</v>
      </c>
      <c r="O37" s="115">
        <f>ROUND((Table1[[#This Row],[Total in "Village" scene]]/SUM(Table1[Total in "Village" scene]))*100,1)</f>
        <v>1.5</v>
      </c>
      <c r="P37" s="117">
        <f>COUNTIF(Table15[Spawner],Table1[[#This Row],[Spawner Prefab]])</f>
        <v>0</v>
      </c>
      <c r="Q37" s="117">
        <f>ROUND((Table1[[#This Row],[Total in "Castle" scene]]/SUM(Table1[Total in "Castle" scene]))*100,1)</f>
        <v>0</v>
      </c>
      <c r="R37" s="115">
        <f>COUNTIF(Table20[Spawner],Table1[[#This Row],[Spawner Prefab]])</f>
        <v>0</v>
      </c>
      <c r="S37" s="115">
        <f>ROUND((Table1[[#This Row],[Total in "Dark" scene]]/SUM(Table1[Total in "Dark" scene]))*100,1)</f>
        <v>0</v>
      </c>
      <c r="T37" s="117">
        <f>Table1[[#This Row],[Total in "Village" scene]]+Table1[[#This Row],[Total in "Castle" scene]]</f>
        <v>39</v>
      </c>
      <c r="U37" s="117">
        <f>ROUND((Table1[[#This Row],[Total in the game]]/SUM(Table1[Total in the game]))*100,1)</f>
        <v>0.9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0">
        <v>180</v>
      </c>
      <c r="H38" s="110">
        <v>180</v>
      </c>
      <c r="I38" s="109">
        <v>2</v>
      </c>
      <c r="J38" s="109">
        <v>25</v>
      </c>
      <c r="K38" s="109">
        <v>0</v>
      </c>
      <c r="L38" s="109">
        <v>0</v>
      </c>
      <c r="M38" s="109" t="s">
        <v>9</v>
      </c>
      <c r="N38" s="114">
        <f>COUNTIF(Table7[Spawner],Table1[[#This Row],[Spawner Prefab]])</f>
        <v>20</v>
      </c>
      <c r="O38" s="11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18">
        <f>ROUND((Table1[[#This Row],[Total in "Castle" scene]]/SUM(Table1[Total in "Castle" scene]))*100,1)</f>
        <v>0</v>
      </c>
      <c r="R38" s="114">
        <f>COUNTIF(Table20[Spawner],Table1[[#This Row],[Spawner Prefab]])</f>
        <v>0</v>
      </c>
      <c r="S38" s="114">
        <f>ROUND((Table1[[#This Row],[Total in "Dark" scene]]/SUM(Table1[Total in "Dark" scene]))*100,1)</f>
        <v>0</v>
      </c>
      <c r="T38" s="118">
        <f>Table1[[#This Row],[Total in "Village" scene]]+Table1[[#This Row],[Total in "Castle" scene]]</f>
        <v>20</v>
      </c>
      <c r="U38" s="118">
        <f>ROUND((Table1[[#This Row],[Total in the game]]/SUM(Table1[Total in the game]))*100,1)</f>
        <v>0.5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08">
        <v>2</v>
      </c>
      <c r="J39" s="108">
        <v>25</v>
      </c>
      <c r="K39" s="108">
        <v>0</v>
      </c>
      <c r="L39" s="108">
        <v>0</v>
      </c>
      <c r="M39" s="108" t="s">
        <v>9</v>
      </c>
      <c r="N39" s="115">
        <f>COUNTIF(Table7[Spawner],Table1[[#This Row],[Spawner Prefab]])</f>
        <v>3</v>
      </c>
      <c r="O39" s="115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17">
        <f>ROUND((Table1[[#This Row],[Total in "Castle" scene]]/SUM(Table1[Total in "Castle" scene]))*100,1)</f>
        <v>0</v>
      </c>
      <c r="R39" s="115">
        <f>COUNTIF(Table20[Spawner],Table1[[#This Row],[Spawner Prefab]])</f>
        <v>0</v>
      </c>
      <c r="S39" s="115">
        <f>ROUND((Table1[[#This Row],[Total in "Dark" scene]]/SUM(Table1[Total in "Dark" scene]))*100,1)</f>
        <v>0</v>
      </c>
      <c r="T39" s="117">
        <f>Table1[[#This Row],[Total in "Village" scene]]+Table1[[#This Row],[Total in "Castle" scene]]</f>
        <v>3</v>
      </c>
      <c r="U39" s="117">
        <f>ROUND((Table1[[#This Row],[Total in the game]]/SUM(Table1[Total in the game]))*100,1)</f>
        <v>0.1</v>
      </c>
    </row>
    <row r="40" spans="4:21" x14ac:dyDescent="0.25">
      <c r="D40" s="79" t="s">
        <v>74</v>
      </c>
      <c r="E40" s="79" t="s">
        <v>16</v>
      </c>
      <c r="F40" s="79" t="s">
        <v>6</v>
      </c>
      <c r="G40" s="110">
        <v>210</v>
      </c>
      <c r="H40" s="110">
        <v>210</v>
      </c>
      <c r="I40" s="109">
        <v>15</v>
      </c>
      <c r="J40" s="109">
        <v>55</v>
      </c>
      <c r="K40" s="109">
        <v>1</v>
      </c>
      <c r="L40" s="109">
        <v>1</v>
      </c>
      <c r="M40" s="109" t="s">
        <v>9</v>
      </c>
      <c r="N40" s="114">
        <f>COUNTIF(Table7[Spawner],Table1[[#This Row],[Spawner Prefab]])</f>
        <v>9</v>
      </c>
      <c r="O40" s="114">
        <f>ROUND((Table1[[#This Row],[Total in "Village" scene]]/SUM(Table1[Total in "Village" scene]))*100,1)</f>
        <v>0.4</v>
      </c>
      <c r="P40" s="118">
        <f>COUNTIF(Table15[Spawner],Table1[[#This Row],[Spawner Prefab]])</f>
        <v>0</v>
      </c>
      <c r="Q40" s="118">
        <f>ROUND((Table1[[#This Row],[Total in "Castle" scene]]/SUM(Table1[Total in "Castle" scene]))*100,1)</f>
        <v>0</v>
      </c>
      <c r="R40" s="114">
        <f>COUNTIF(Table20[Spawner],Table1[[#This Row],[Spawner Prefab]])</f>
        <v>0</v>
      </c>
      <c r="S40" s="114">
        <f>ROUND((Table1[[#This Row],[Total in "Dark" scene]]/SUM(Table1[Total in "Dark" scene]))*100,1)</f>
        <v>0</v>
      </c>
      <c r="T40" s="118">
        <f>Table1[[#This Row],[Total in "Village" scene]]+Table1[[#This Row],[Total in "Castle" scene]]</f>
        <v>9</v>
      </c>
      <c r="U40" s="118">
        <f>ROUND((Table1[[#This Row],[Total in the game]]/SUM(Table1[Total in the game]))*100,1)</f>
        <v>0.2</v>
      </c>
    </row>
    <row r="41" spans="4:21" x14ac:dyDescent="0.25">
      <c r="D41" s="79" t="s">
        <v>74</v>
      </c>
      <c r="E41" s="79" t="s">
        <v>271</v>
      </c>
      <c r="F41" s="79" t="s">
        <v>275</v>
      </c>
      <c r="G41" s="111">
        <v>210</v>
      </c>
      <c r="H41" s="111">
        <v>210</v>
      </c>
      <c r="I41" s="108">
        <v>15</v>
      </c>
      <c r="J41" s="108">
        <v>55</v>
      </c>
      <c r="K41" s="108">
        <v>1</v>
      </c>
      <c r="L41" s="108">
        <v>1</v>
      </c>
      <c r="M41" s="108" t="s">
        <v>9</v>
      </c>
      <c r="N41" s="115">
        <f>COUNTIF(Table7[Spawner],Table1[[#This Row],[Spawner Prefab]])</f>
        <v>0</v>
      </c>
      <c r="O41" s="115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17">
        <f>ROUND((Table1[[#This Row],[Total in "Castle" scene]]/SUM(Table1[Total in "Castle" scene]))*100,1)</f>
        <v>0</v>
      </c>
      <c r="R41" s="115">
        <f>COUNTIF(Table20[Spawner],Table1[[#This Row],[Spawner Prefab]])</f>
        <v>0</v>
      </c>
      <c r="S41" s="115">
        <f>ROUND((Table1[[#This Row],[Total in "Dark" scene]]/SUM(Table1[Total in "Dark" scene]))*100,1)</f>
        <v>0</v>
      </c>
      <c r="T41" s="117">
        <f>Table1[[#This Row],[Total in "Village" scene]]+Table1[[#This Row],[Total in "Castle" scene]]</f>
        <v>0</v>
      </c>
      <c r="U41" s="117">
        <f>ROUND((Table1[[#This Row],[Total in the game]]/SUM(Table1[Total in the game]))*100,1)</f>
        <v>0</v>
      </c>
    </row>
    <row r="42" spans="4:21" x14ac:dyDescent="0.25">
      <c r="D42" s="79" t="s">
        <v>125</v>
      </c>
      <c r="E42" s="79" t="s">
        <v>65</v>
      </c>
      <c r="F42" s="79" t="s">
        <v>60</v>
      </c>
      <c r="G42" s="110">
        <v>240</v>
      </c>
      <c r="H42" s="110">
        <v>240</v>
      </c>
      <c r="I42" s="109">
        <v>30</v>
      </c>
      <c r="J42" s="109">
        <v>83</v>
      </c>
      <c r="K42" s="109">
        <v>1</v>
      </c>
      <c r="L42" s="109">
        <v>1</v>
      </c>
      <c r="M42" s="109">
        <v>15</v>
      </c>
      <c r="N42" s="114">
        <f>COUNTIF(Table7[Spawner],Table1[[#This Row],[Spawner Prefab]])</f>
        <v>0</v>
      </c>
      <c r="O42" s="114">
        <f>ROUND((Table1[[#This Row],[Total in "Village" scene]]/SUM(Table1[Total in "Village" scene]))*100,1)</f>
        <v>0</v>
      </c>
      <c r="P42" s="118">
        <f>COUNTIF(Table15[Spawner],Table1[[#This Row],[Spawner Prefab]])</f>
        <v>13</v>
      </c>
      <c r="Q42" s="118">
        <f>ROUND((Table1[[#This Row],[Total in "Castle" scene]]/SUM(Table1[Total in "Castle" scene]))*100,1)</f>
        <v>0.7</v>
      </c>
      <c r="R42" s="114">
        <f>COUNTIF(Table20[Spawner],Table1[[#This Row],[Spawner Prefab]])</f>
        <v>0</v>
      </c>
      <c r="S42" s="114">
        <f>ROUND((Table1[[#This Row],[Total in "Dark" scene]]/SUM(Table1[Total in "Dark" scene]))*100,1)</f>
        <v>0</v>
      </c>
      <c r="T42" s="118">
        <f>Table1[[#This Row],[Total in "Village" scene]]+Table1[[#This Row],[Total in "Castle" scene]]</f>
        <v>13</v>
      </c>
      <c r="U42" s="118">
        <f>ROUND((Table1[[#This Row],[Total in the game]]/SUM(Table1[Total in the game]))*100,1)</f>
        <v>0.3</v>
      </c>
    </row>
    <row r="43" spans="4:21" x14ac:dyDescent="0.25">
      <c r="D43" s="79" t="s">
        <v>125</v>
      </c>
      <c r="E43" s="79" t="s">
        <v>66</v>
      </c>
      <c r="F43" s="79" t="s">
        <v>61</v>
      </c>
      <c r="G43" s="111">
        <v>240</v>
      </c>
      <c r="H43" s="111">
        <v>240</v>
      </c>
      <c r="I43" s="108">
        <v>30</v>
      </c>
      <c r="J43" s="108">
        <v>83</v>
      </c>
      <c r="K43" s="108">
        <v>1</v>
      </c>
      <c r="L43" s="108">
        <v>1</v>
      </c>
      <c r="M43" s="108" t="s">
        <v>9</v>
      </c>
      <c r="N43" s="115">
        <f>COUNTIF(Table7[Spawner],Table1[[#This Row],[Spawner Prefab]])</f>
        <v>0</v>
      </c>
      <c r="O43" s="115">
        <f>ROUND((Table1[[#This Row],[Total in "Village" scene]]/SUM(Table1[Total in "Village" scene]))*100,1)</f>
        <v>0</v>
      </c>
      <c r="P43" s="117">
        <f>COUNTIF(Table15[Spawner],Table1[[#This Row],[Spawner Prefab]])</f>
        <v>1</v>
      </c>
      <c r="Q43" s="117">
        <f>ROUND((Table1[[#This Row],[Total in "Castle" scene]]/SUM(Table1[Total in "Castle" scene]))*100,1)</f>
        <v>0.1</v>
      </c>
      <c r="R43" s="115">
        <f>COUNTIF(Table20[Spawner],Table1[[#This Row],[Spawner Prefab]])</f>
        <v>0</v>
      </c>
      <c r="S43" s="115">
        <f>ROUND((Table1[[#This Row],[Total in "Dark" scene]]/SUM(Table1[Total in "Dark" scene]))*100,1)</f>
        <v>0</v>
      </c>
      <c r="T43" s="117">
        <f>Table1[[#This Row],[Total in "Village" scene]]+Table1[[#This Row],[Total in "Castle" scene]]</f>
        <v>1</v>
      </c>
      <c r="U43" s="117">
        <f>ROUND((Table1[[#This Row],[Total in the game]]/SUM(Table1[Total in the game]))*100,1)</f>
        <v>0</v>
      </c>
    </row>
    <row r="44" spans="4:21" x14ac:dyDescent="0.25">
      <c r="D44" s="86" t="s">
        <v>107</v>
      </c>
      <c r="E44" s="86" t="s">
        <v>102</v>
      </c>
      <c r="F44" s="86" t="s">
        <v>101</v>
      </c>
      <c r="G44" s="110">
        <v>200</v>
      </c>
      <c r="H44" s="110">
        <v>200</v>
      </c>
      <c r="I44" s="109">
        <v>3</v>
      </c>
      <c r="J44" s="109">
        <v>50</v>
      </c>
      <c r="K44" s="109">
        <v>0</v>
      </c>
      <c r="L44" s="109">
        <v>0</v>
      </c>
      <c r="M44" s="109" t="s">
        <v>9</v>
      </c>
      <c r="N44" s="114">
        <f>COUNTIF(Table7[Spawner],Table1[[#This Row],[Spawner Prefab]])</f>
        <v>48</v>
      </c>
      <c r="O44" s="114">
        <f>ROUND((Table1[[#This Row],[Total in "Village" scene]]/SUM(Table1[Total in "Village" scene]))*100,1)</f>
        <v>1.9</v>
      </c>
      <c r="P44" s="118">
        <f>COUNTIF(Table15[Spawner],Table1[[#This Row],[Spawner Prefab]])</f>
        <v>11</v>
      </c>
      <c r="Q44" s="118">
        <f>ROUND((Table1[[#This Row],[Total in "Castle" scene]]/SUM(Table1[Total in "Castle" scene]))*100,1)</f>
        <v>0.6</v>
      </c>
      <c r="R44" s="114">
        <f>COUNTIF(Table20[Spawner],Table1[[#This Row],[Spawner Prefab]])</f>
        <v>0</v>
      </c>
      <c r="S44" s="114">
        <f>ROUND((Table1[[#This Row],[Total in "Dark" scene]]/SUM(Table1[Total in "Dark" scene]))*100,1)</f>
        <v>0</v>
      </c>
      <c r="T44" s="118">
        <f>Table1[[#This Row],[Total in "Village" scene]]+Table1[[#This Row],[Total in "Castle" scene]]</f>
        <v>59</v>
      </c>
      <c r="U44" s="118">
        <f>ROUND((Table1[[#This Row],[Total in the game]]/SUM(Table1[Total in the game]))*100,1)</f>
        <v>1.3</v>
      </c>
    </row>
    <row r="45" spans="4:21" x14ac:dyDescent="0.25">
      <c r="D45" s="79" t="s">
        <v>585</v>
      </c>
      <c r="E45" s="79" t="s">
        <v>586</v>
      </c>
      <c r="F45" s="79" t="s">
        <v>587</v>
      </c>
      <c r="G45" s="111">
        <v>120</v>
      </c>
      <c r="H45" s="111">
        <v>120</v>
      </c>
      <c r="I45" s="108">
        <v>15</v>
      </c>
      <c r="J45" s="108">
        <v>50</v>
      </c>
      <c r="K45" s="108">
        <v>0</v>
      </c>
      <c r="L45" s="108">
        <v>0</v>
      </c>
      <c r="M45" s="108" t="s">
        <v>9</v>
      </c>
      <c r="N45" s="115">
        <f>COUNTIF(Table7[Spawner],Table1[[#This Row],[Spawner Prefab]])</f>
        <v>74</v>
      </c>
      <c r="O45" s="115">
        <f>ROUND((Table1[[#This Row],[Total in "Village" scene]]/SUM(Table1[Total in "Village" scene]))*100,1)</f>
        <v>2.9</v>
      </c>
      <c r="P45" s="117">
        <f>COUNTIF(Table15[Spawner],Table1[[#This Row],[Spawner Prefab]])</f>
        <v>43</v>
      </c>
      <c r="Q45" s="117">
        <f>ROUND((Table1[[#This Row],[Total in "Castle" scene]]/SUM(Table1[Total in "Castle" scene]))*100,1)</f>
        <v>2.2999999999999998</v>
      </c>
      <c r="R45" s="115">
        <f>COUNTIF(Table20[Spawner],Table1[[#This Row],[Spawner Prefab]])</f>
        <v>0</v>
      </c>
      <c r="S45" s="115">
        <f>ROUND((Table1[[#This Row],[Total in "Dark" scene]]/SUM(Table1[Total in "Dark" scene]))*100,1)</f>
        <v>0</v>
      </c>
      <c r="T45" s="117">
        <f>Table1[[#This Row],[Total in "Village" scene]]+Table1[[#This Row],[Total in "Castle" scene]]</f>
        <v>117</v>
      </c>
      <c r="U45" s="117">
        <f>ROUND((Table1[[#This Row],[Total in the game]]/SUM(Table1[Total in the game]))*100,1)</f>
        <v>2.7</v>
      </c>
    </row>
    <row r="46" spans="4:21" x14ac:dyDescent="0.25">
      <c r="D46" s="79" t="s">
        <v>510</v>
      </c>
      <c r="E46" s="79" t="s">
        <v>475</v>
      </c>
      <c r="F46" s="79" t="s">
        <v>476</v>
      </c>
      <c r="G46" s="110">
        <v>300</v>
      </c>
      <c r="H46" s="110">
        <v>300</v>
      </c>
      <c r="I46" s="109">
        <v>45</v>
      </c>
      <c r="J46" s="109">
        <v>105</v>
      </c>
      <c r="K46" s="109">
        <v>2</v>
      </c>
      <c r="L46" s="109">
        <v>0</v>
      </c>
      <c r="M46" s="109">
        <v>40</v>
      </c>
      <c r="N46" s="114">
        <f>COUNTIF(Table7[Spawner],Table1[[#This Row],[Spawner Prefab]])</f>
        <v>0</v>
      </c>
      <c r="O46" s="114">
        <f>ROUND((Table1[[#This Row],[Total in "Village" scene]]/SUM(Table1[Total in "Village" scene]))*100,1)</f>
        <v>0</v>
      </c>
      <c r="P46" s="118">
        <f>COUNTIF(Table15[Spawner],Table1[[#This Row],[Spawner Prefab]])</f>
        <v>12</v>
      </c>
      <c r="Q46" s="118">
        <f>ROUND((Table1[[#This Row],[Total in "Castle" scene]]/SUM(Table1[Total in "Castle" scene]))*100,1)</f>
        <v>0.7</v>
      </c>
      <c r="R46" s="114">
        <f>COUNTIF(Table20[Spawner],Table1[[#This Row],[Spawner Prefab]])</f>
        <v>0</v>
      </c>
      <c r="S46" s="114">
        <f>ROUND((Table1[[#This Row],[Total in "Dark" scene]]/SUM(Table1[Total in "Dark" scene]))*100,1)</f>
        <v>0</v>
      </c>
      <c r="T46" s="118">
        <f>Table1[[#This Row],[Total in "Village" scene]]+Table1[[#This Row],[Total in "Castle" scene]]</f>
        <v>12</v>
      </c>
      <c r="U46" s="118">
        <f>ROUND((Table1[[#This Row],[Total in the game]]/SUM(Table1[Total in the game]))*100,1)</f>
        <v>0.3</v>
      </c>
    </row>
    <row r="47" spans="4:21" x14ac:dyDescent="0.25">
      <c r="D47" s="79" t="s">
        <v>75</v>
      </c>
      <c r="E47" s="79" t="s">
        <v>10</v>
      </c>
      <c r="F47" s="79" t="s">
        <v>417</v>
      </c>
      <c r="G47" s="111">
        <v>240</v>
      </c>
      <c r="H47" s="111">
        <v>240</v>
      </c>
      <c r="I47" s="108">
        <v>15</v>
      </c>
      <c r="J47" s="108">
        <v>75</v>
      </c>
      <c r="K47" s="108">
        <v>0</v>
      </c>
      <c r="L47" s="108">
        <v>0</v>
      </c>
      <c r="M47" s="108" t="s">
        <v>9</v>
      </c>
      <c r="N47" s="115">
        <f>COUNTIF(Table7[Spawner],Table1[[#This Row],[Spawner Prefab]])</f>
        <v>4</v>
      </c>
      <c r="O47" s="115">
        <f>ROUND((Table1[[#This Row],[Total in "Village" scene]]/SUM(Table1[Total in "Village" scene]))*100,1)</f>
        <v>0.2</v>
      </c>
      <c r="P47" s="117">
        <f>COUNTIF(Table15[Spawner],Table1[[#This Row],[Spawner Prefab]])</f>
        <v>6</v>
      </c>
      <c r="Q47" s="117">
        <f>ROUND((Table1[[#This Row],[Total in "Castle" scene]]/SUM(Table1[Total in "Castle" scene]))*100,1)</f>
        <v>0.3</v>
      </c>
      <c r="R47" s="115">
        <f>COUNTIF(Table20[Spawner],Table1[[#This Row],[Spawner Prefab]])</f>
        <v>0</v>
      </c>
      <c r="S47" s="115">
        <f>ROUND((Table1[[#This Row],[Total in "Dark" scene]]/SUM(Table1[Total in "Dark" scene]))*100,1)</f>
        <v>0</v>
      </c>
      <c r="T47" s="117">
        <f>Table1[[#This Row],[Total in "Village" scene]]+Table1[[#This Row],[Total in "Castle" scene]]</f>
        <v>10</v>
      </c>
      <c r="U47" s="117">
        <f>ROUND((Table1[[#This Row],[Total in the game]]/SUM(Table1[Total in the game]))*100,1)</f>
        <v>0.2</v>
      </c>
    </row>
    <row r="48" spans="4:21" x14ac:dyDescent="0.25">
      <c r="D48" s="79" t="s">
        <v>108</v>
      </c>
      <c r="E48" s="79" t="s">
        <v>51</v>
      </c>
      <c r="F48" s="79" t="s">
        <v>486</v>
      </c>
      <c r="G48" s="110">
        <v>220</v>
      </c>
      <c r="H48" s="110">
        <v>220</v>
      </c>
      <c r="I48" s="109">
        <v>20</v>
      </c>
      <c r="J48" s="109">
        <v>50</v>
      </c>
      <c r="K48" s="109">
        <v>0</v>
      </c>
      <c r="L48" s="109">
        <v>0</v>
      </c>
      <c r="M48" s="109">
        <v>10</v>
      </c>
      <c r="N48" s="114">
        <f>COUNTIF(Table7[Spawner],Table1[[#This Row],[Spawner Prefab]])</f>
        <v>24</v>
      </c>
      <c r="O48" s="114">
        <f>ROUND((Table1[[#This Row],[Total in "Village" scene]]/SUM(Table1[Total in "Village" scene]))*100,1)</f>
        <v>0.9</v>
      </c>
      <c r="P48" s="118">
        <f>COUNTIF(Table15[Spawner],Table1[[#This Row],[Spawner Prefab]])</f>
        <v>5</v>
      </c>
      <c r="Q48" s="118">
        <f>ROUND((Table1[[#This Row],[Total in "Castle" scene]]/SUM(Table1[Total in "Castle" scene]))*100,1)</f>
        <v>0.3</v>
      </c>
      <c r="R48" s="114">
        <f>COUNTIF(Table20[Spawner],Table1[[#This Row],[Spawner Prefab]])</f>
        <v>0</v>
      </c>
      <c r="S48" s="114">
        <f>ROUND((Table1[[#This Row],[Total in "Dark" scene]]/SUM(Table1[Total in "Dark" scene]))*100,1)</f>
        <v>0</v>
      </c>
      <c r="T48" s="118">
        <f>Table1[[#This Row],[Total in "Village" scene]]+Table1[[#This Row],[Total in "Castle" scene]]</f>
        <v>29</v>
      </c>
      <c r="U48" s="118">
        <f>ROUND((Table1[[#This Row],[Total in the game]]/SUM(Table1[Total in the game]))*100,1)</f>
        <v>0.7</v>
      </c>
    </row>
    <row r="49" spans="4:21" x14ac:dyDescent="0.25">
      <c r="D49" s="79" t="s">
        <v>109</v>
      </c>
      <c r="E49" s="79" t="s">
        <v>52</v>
      </c>
      <c r="F49" s="79" t="s">
        <v>487</v>
      </c>
      <c r="G49" s="111">
        <v>240</v>
      </c>
      <c r="H49" s="111">
        <v>240</v>
      </c>
      <c r="I49" s="108">
        <v>40</v>
      </c>
      <c r="J49" s="108">
        <v>55</v>
      </c>
      <c r="K49" s="108">
        <v>1</v>
      </c>
      <c r="L49" s="108">
        <v>1</v>
      </c>
      <c r="M49" s="108">
        <v>20</v>
      </c>
      <c r="N49" s="115">
        <f>COUNTIF(Table7[Spawner],Table1[[#This Row],[Spawner Prefab]])</f>
        <v>14</v>
      </c>
      <c r="O49" s="115">
        <f>ROUND((Table1[[#This Row],[Total in "Village" scene]]/SUM(Table1[Total in "Village" scene]))*100,1)</f>
        <v>0.5</v>
      </c>
      <c r="P49" s="117">
        <f>COUNTIF(Table15[Spawner],Table1[[#This Row],[Spawner Prefab]])</f>
        <v>4</v>
      </c>
      <c r="Q49" s="117">
        <f>ROUND((Table1[[#This Row],[Total in "Castle" scene]]/SUM(Table1[Total in "Castle" scene]))*100,1)</f>
        <v>0.2</v>
      </c>
      <c r="R49" s="115">
        <f>COUNTIF(Table20[Spawner],Table1[[#This Row],[Spawner Prefab]])</f>
        <v>0</v>
      </c>
      <c r="S49" s="115">
        <f>ROUND((Table1[[#This Row],[Total in "Dark" scene]]/SUM(Table1[Total in "Dark" scene]))*100,1)</f>
        <v>0</v>
      </c>
      <c r="T49" s="117">
        <f>Table1[[#This Row],[Total in "Village" scene]]+Table1[[#This Row],[Total in "Castle" scene]]</f>
        <v>18</v>
      </c>
      <c r="U49" s="117">
        <f>ROUND((Table1[[#This Row],[Total in the game]]/SUM(Table1[Total in the game]))*100,1)</f>
        <v>0.4</v>
      </c>
    </row>
    <row r="50" spans="4:21" x14ac:dyDescent="0.25">
      <c r="D50" s="79" t="s">
        <v>110</v>
      </c>
      <c r="E50" s="79" t="s">
        <v>53</v>
      </c>
      <c r="F50" s="79" t="s">
        <v>488</v>
      </c>
      <c r="G50" s="110">
        <v>260</v>
      </c>
      <c r="H50" s="110">
        <v>260</v>
      </c>
      <c r="I50" s="109">
        <v>80</v>
      </c>
      <c r="J50" s="109">
        <v>105</v>
      </c>
      <c r="K50" s="109">
        <v>2</v>
      </c>
      <c r="L50" s="109">
        <v>2</v>
      </c>
      <c r="M50" s="109">
        <v>40</v>
      </c>
      <c r="N50" s="114">
        <f>COUNTIF(Table7[Spawner],Table1[[#This Row],[Spawner Prefab]])</f>
        <v>10</v>
      </c>
      <c r="O50" s="114">
        <f>ROUND((Table1[[#This Row],[Total in "Village" scene]]/SUM(Table1[Total in "Village" scene]))*100,1)</f>
        <v>0.4</v>
      </c>
      <c r="P50" s="118">
        <f>COUNTIF(Table15[Spawner],Table1[[#This Row],[Spawner Prefab]])</f>
        <v>4</v>
      </c>
      <c r="Q50" s="118">
        <f>ROUND((Table1[[#This Row],[Total in "Castle" scene]]/SUM(Table1[Total in "Castle" scene]))*100,1)</f>
        <v>0.2</v>
      </c>
      <c r="R50" s="114">
        <f>COUNTIF(Table20[Spawner],Table1[[#This Row],[Spawner Prefab]])</f>
        <v>0</v>
      </c>
      <c r="S50" s="114">
        <f>ROUND((Table1[[#This Row],[Total in "Dark" scene]]/SUM(Table1[Total in "Dark" scene]))*100,1)</f>
        <v>0</v>
      </c>
      <c r="T50" s="118">
        <f>Table1[[#This Row],[Total in "Village" scene]]+Table1[[#This Row],[Total in "Castle" scene]]</f>
        <v>14</v>
      </c>
      <c r="U50" s="118">
        <f>ROUND((Table1[[#This Row],[Total in the game]]/SUM(Table1[Total in the game]))*100,1)</f>
        <v>0.3</v>
      </c>
    </row>
    <row r="51" spans="4:21" x14ac:dyDescent="0.25">
      <c r="D51" s="79" t="s">
        <v>111</v>
      </c>
      <c r="E51" s="79" t="s">
        <v>54</v>
      </c>
      <c r="F51" s="79" t="s">
        <v>489</v>
      </c>
      <c r="G51" s="111">
        <v>280</v>
      </c>
      <c r="H51" s="111">
        <v>280</v>
      </c>
      <c r="I51" s="108">
        <v>100</v>
      </c>
      <c r="J51" s="108">
        <v>143</v>
      </c>
      <c r="K51" s="108">
        <v>3</v>
      </c>
      <c r="L51" s="108">
        <v>3</v>
      </c>
      <c r="M51" s="108">
        <v>50</v>
      </c>
      <c r="N51" s="115">
        <f>COUNTIF(Table7[Spawner],Table1[[#This Row],[Spawner Prefab]])</f>
        <v>17</v>
      </c>
      <c r="O51" s="115">
        <f>ROUND((Table1[[#This Row],[Total in "Village" scene]]/SUM(Table1[Total in "Village" scene]))*100,1)</f>
        <v>0.7</v>
      </c>
      <c r="P51" s="117">
        <f>COUNTIF(Table15[Spawner],Table1[[#This Row],[Spawner Prefab]])</f>
        <v>7</v>
      </c>
      <c r="Q51" s="117">
        <f>ROUND((Table1[[#This Row],[Total in "Castle" scene]]/SUM(Table1[Total in "Castle" scene]))*100,1)</f>
        <v>0.4</v>
      </c>
      <c r="R51" s="115">
        <f>COUNTIF(Table20[Spawner],Table1[[#This Row],[Spawner Prefab]])</f>
        <v>0</v>
      </c>
      <c r="S51" s="115">
        <f>ROUND((Table1[[#This Row],[Total in "Dark" scene]]/SUM(Table1[Total in "Dark" scene]))*100,1)</f>
        <v>0</v>
      </c>
      <c r="T51" s="117">
        <f>Table1[[#This Row],[Total in "Village" scene]]+Table1[[#This Row],[Total in "Castle" scene]]</f>
        <v>24</v>
      </c>
      <c r="U51" s="117">
        <f>ROUND((Table1[[#This Row],[Total in the game]]/SUM(Table1[Total in the game]))*100,1)</f>
        <v>0.5</v>
      </c>
    </row>
    <row r="52" spans="4:21" x14ac:dyDescent="0.25">
      <c r="D52" s="79" t="s">
        <v>112</v>
      </c>
      <c r="E52" s="79" t="s">
        <v>55</v>
      </c>
      <c r="F52" s="79" t="s">
        <v>490</v>
      </c>
      <c r="G52" s="110">
        <v>300</v>
      </c>
      <c r="H52" s="110">
        <v>300</v>
      </c>
      <c r="I52" s="109">
        <v>120</v>
      </c>
      <c r="J52" s="109">
        <v>195</v>
      </c>
      <c r="K52" s="109">
        <v>4</v>
      </c>
      <c r="L52" s="109">
        <v>4</v>
      </c>
      <c r="M52" s="109">
        <v>60</v>
      </c>
      <c r="N52" s="114">
        <f>COUNTIF(Table7[Spawner],Table1[[#This Row],[Spawner Prefab]])</f>
        <v>7</v>
      </c>
      <c r="O52" s="114">
        <f>ROUND((Table1[[#This Row],[Total in "Village" scene]]/SUM(Table1[Total in "Village" scene]))*100,1)</f>
        <v>0.3</v>
      </c>
      <c r="P52" s="118">
        <f>COUNTIF(Table15[Spawner],Table1[[#This Row],[Spawner Prefab]])</f>
        <v>3</v>
      </c>
      <c r="Q52" s="118">
        <f>ROUND((Table1[[#This Row],[Total in "Castle" scene]]/SUM(Table1[Total in "Castle" scene]))*100,1)</f>
        <v>0.2</v>
      </c>
      <c r="R52" s="114">
        <f>COUNTIF(Table20[Spawner],Table1[[#This Row],[Spawner Prefab]])</f>
        <v>0</v>
      </c>
      <c r="S52" s="114">
        <f>ROUND((Table1[[#This Row],[Total in "Dark" scene]]/SUM(Table1[Total in "Dark" scene]))*100,1)</f>
        <v>0</v>
      </c>
      <c r="T52" s="118">
        <f>Table1[[#This Row],[Total in "Village" scene]]+Table1[[#This Row],[Total in "Castle" scene]]</f>
        <v>10</v>
      </c>
      <c r="U52" s="118">
        <f>ROUND((Table1[[#This Row],[Total in the game]]/SUM(Table1[Total in the game]))*100,1)</f>
        <v>0.2</v>
      </c>
    </row>
    <row r="53" spans="4:21" x14ac:dyDescent="0.25">
      <c r="D53" s="79" t="s">
        <v>441</v>
      </c>
      <c r="E53" s="79" t="s">
        <v>574</v>
      </c>
      <c r="F53" s="79" t="s">
        <v>575</v>
      </c>
      <c r="G53" s="111">
        <v>140</v>
      </c>
      <c r="H53" s="111">
        <v>140</v>
      </c>
      <c r="I53" s="108">
        <v>30</v>
      </c>
      <c r="J53" s="108">
        <v>55</v>
      </c>
      <c r="K53" s="108">
        <v>1</v>
      </c>
      <c r="L53" s="108">
        <v>1</v>
      </c>
      <c r="M53" s="108" t="s">
        <v>9</v>
      </c>
      <c r="N53" s="115">
        <f>COUNTIF(Table7[Spawner],Table1[[#This Row],[Spawner Prefab]])</f>
        <v>17</v>
      </c>
      <c r="O53" s="115">
        <f>ROUND((Table1[[#This Row],[Total in "Village" scene]]/SUM(Table1[Total in "Village" scene]))*100,1)</f>
        <v>0.7</v>
      </c>
      <c r="P53" s="117">
        <f>COUNTIF(Table15[Spawner],Table1[[#This Row],[Spawner Prefab]])</f>
        <v>0</v>
      </c>
      <c r="Q53" s="117">
        <f>ROUND((Table1[[#This Row],[Total in "Castle" scene]]/SUM(Table1[Total in "Castle" scene]))*100,1)</f>
        <v>0</v>
      </c>
      <c r="R53" s="115">
        <f>COUNTIF(Table20[Spawner],Table1[[#This Row],[Spawner Prefab]])</f>
        <v>0</v>
      </c>
      <c r="S53" s="115">
        <f>ROUND((Table1[[#This Row],[Total in "Dark" scene]]/SUM(Table1[Total in "Dark" scene]))*100,1)</f>
        <v>0</v>
      </c>
      <c r="T53" s="117">
        <f>Table1[[#This Row],[Total in "Village" scene]]+Table1[[#This Row],[Total in "Castle" scene]]</f>
        <v>17</v>
      </c>
      <c r="U53" s="117">
        <f>ROUND((Table1[[#This Row],[Total in the game]]/SUM(Table1[Total in the game]))*100,1)</f>
        <v>0.4</v>
      </c>
    </row>
    <row r="54" spans="4:21" x14ac:dyDescent="0.25">
      <c r="D54" s="79" t="s">
        <v>441</v>
      </c>
      <c r="E54" s="79" t="s">
        <v>426</v>
      </c>
      <c r="F54" s="79" t="s">
        <v>427</v>
      </c>
      <c r="G54" s="110">
        <v>140</v>
      </c>
      <c r="H54" s="110">
        <v>140</v>
      </c>
      <c r="I54" s="109">
        <v>30</v>
      </c>
      <c r="J54" s="109">
        <v>55</v>
      </c>
      <c r="K54" s="109">
        <v>1</v>
      </c>
      <c r="L54" s="109">
        <v>1</v>
      </c>
      <c r="M54" s="109" t="s">
        <v>9</v>
      </c>
      <c r="N54" s="114">
        <f>COUNTIF(Table7[Spawner],Table1[[#This Row],[Spawner Prefab]])</f>
        <v>6</v>
      </c>
      <c r="O54" s="11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18">
        <f>ROUND((Table1[[#This Row],[Total in "Castle" scene]]/SUM(Table1[Total in "Castle" scene]))*100,1)</f>
        <v>0.7</v>
      </c>
      <c r="R54" s="114">
        <f>COUNTIF(Table20[Spawner],Table1[[#This Row],[Spawner Prefab]])</f>
        <v>0</v>
      </c>
      <c r="S54" s="114">
        <f>ROUND((Table1[[#This Row],[Total in "Dark" scene]]/SUM(Table1[Total in "Dark" scene]))*100,1)</f>
        <v>0</v>
      </c>
      <c r="T54" s="118">
        <f>Table1[[#This Row],[Total in "Village" scene]]+Table1[[#This Row],[Total in "Castle" scene]]</f>
        <v>18</v>
      </c>
      <c r="U54" s="118">
        <f>ROUND((Table1[[#This Row],[Total in the game]]/SUM(Table1[Total in the game]))*100,1)</f>
        <v>0.4</v>
      </c>
    </row>
    <row r="55" spans="4:21" x14ac:dyDescent="0.25">
      <c r="D55" s="79" t="s">
        <v>442</v>
      </c>
      <c r="E55" s="79" t="s">
        <v>428</v>
      </c>
      <c r="F55" s="79" t="s">
        <v>429</v>
      </c>
      <c r="G55" s="111">
        <v>140</v>
      </c>
      <c r="H55" s="111">
        <v>140</v>
      </c>
      <c r="I55" s="108">
        <v>6</v>
      </c>
      <c r="J55" s="108">
        <v>25</v>
      </c>
      <c r="K55" s="108">
        <v>0</v>
      </c>
      <c r="L55" s="108">
        <v>0</v>
      </c>
      <c r="M55" s="108" t="s">
        <v>9</v>
      </c>
      <c r="N55" s="115">
        <f>COUNTIF(Table7[Spawner],Table1[[#This Row],[Spawner Prefab]])</f>
        <v>21</v>
      </c>
      <c r="O55" s="115">
        <f>ROUND((Table1[[#This Row],[Total in "Village" scene]]/SUM(Table1[Total in "Village" scene]))*100,1)</f>
        <v>0.8</v>
      </c>
      <c r="P55" s="117">
        <f>COUNTIF(Table15[Spawner],Table1[[#This Row],[Spawner Prefab]])</f>
        <v>16</v>
      </c>
      <c r="Q55" s="117">
        <f>ROUND((Table1[[#This Row],[Total in "Castle" scene]]/SUM(Table1[Total in "Castle" scene]))*100,1)</f>
        <v>0.9</v>
      </c>
      <c r="R55" s="115">
        <f>COUNTIF(Table20[Spawner],Table1[[#This Row],[Spawner Prefab]])</f>
        <v>0</v>
      </c>
      <c r="S55" s="115">
        <f>ROUND((Table1[[#This Row],[Total in "Dark" scene]]/SUM(Table1[Total in "Dark" scene]))*100,1)</f>
        <v>0</v>
      </c>
      <c r="T55" s="117">
        <f>Table1[[#This Row],[Total in "Village" scene]]+Table1[[#This Row],[Total in "Castle" scene]]</f>
        <v>37</v>
      </c>
      <c r="U55" s="117">
        <f>ROUND((Table1[[#This Row],[Total in the game]]/SUM(Table1[Total in the game]))*100,1)</f>
        <v>0.8</v>
      </c>
    </row>
    <row r="56" spans="4:21" ht="15" customHeight="1" x14ac:dyDescent="0.25">
      <c r="D56" s="79" t="s">
        <v>126</v>
      </c>
      <c r="E56" s="79" t="s">
        <v>67</v>
      </c>
      <c r="F56" s="79" t="s">
        <v>62</v>
      </c>
      <c r="G56" s="110">
        <v>100</v>
      </c>
      <c r="H56" s="110">
        <v>100</v>
      </c>
      <c r="I56" s="109">
        <v>2</v>
      </c>
      <c r="J56" s="109">
        <v>25</v>
      </c>
      <c r="K56" s="109">
        <v>0</v>
      </c>
      <c r="L56" s="109">
        <v>0</v>
      </c>
      <c r="M56" s="109" t="s">
        <v>9</v>
      </c>
      <c r="N56" s="114">
        <f>COUNTIF(Table7[Spawner],Table1[[#This Row],[Spawner Prefab]])</f>
        <v>8</v>
      </c>
      <c r="O56" s="114">
        <f>ROUND((Table1[[#This Row],[Total in "Village" scene]]/SUM(Table1[Total in "Village" scene]))*100,1)</f>
        <v>0.3</v>
      </c>
      <c r="P56" s="118">
        <f>COUNTIF(Table15[Spawner],Table1[[#This Row],[Spawner Prefab]])</f>
        <v>1</v>
      </c>
      <c r="Q56" s="118">
        <f>ROUND((Table1[[#This Row],[Total in "Castle" scene]]/SUM(Table1[Total in "Castle" scene]))*100,1)</f>
        <v>0.1</v>
      </c>
      <c r="R56" s="114">
        <f>COUNTIF(Table20[Spawner],Table1[[#This Row],[Spawner Prefab]])</f>
        <v>0</v>
      </c>
      <c r="S56" s="114">
        <f>ROUND((Table1[[#This Row],[Total in "Dark" scene]]/SUM(Table1[Total in "Dark" scene]))*100,1)</f>
        <v>0</v>
      </c>
      <c r="T56" s="118">
        <f>Table1[[#This Row],[Total in "Village" scene]]+Table1[[#This Row],[Total in "Castle" scene]]</f>
        <v>9</v>
      </c>
      <c r="U56" s="118">
        <f>ROUND((Table1[[#This Row],[Total in the game]]/SUM(Table1[Total in the game]))*100,1)</f>
        <v>0.2</v>
      </c>
    </row>
    <row r="57" spans="4:21" x14ac:dyDescent="0.25">
      <c r="D57" s="79" t="s">
        <v>126</v>
      </c>
      <c r="E57" s="79" t="s">
        <v>418</v>
      </c>
      <c r="F57" s="79" t="s">
        <v>62</v>
      </c>
      <c r="G57" s="111">
        <v>100</v>
      </c>
      <c r="H57" s="111">
        <v>100</v>
      </c>
      <c r="I57" s="108">
        <v>2</v>
      </c>
      <c r="J57" s="108">
        <v>25</v>
      </c>
      <c r="K57" s="108">
        <v>0</v>
      </c>
      <c r="L57" s="108">
        <v>0</v>
      </c>
      <c r="M57" s="108" t="s">
        <v>9</v>
      </c>
      <c r="N57" s="115">
        <f>COUNTIF(Table7[Spawner],Table1[[#This Row],[Spawner Prefab]])</f>
        <v>0</v>
      </c>
      <c r="O57" s="115">
        <f>ROUND((Table1[[#This Row],[Total in "Village" scene]]/SUM(Table1[Total in "Village" scene]))*100,1)</f>
        <v>0</v>
      </c>
      <c r="P57" s="117">
        <f>COUNTIF(Table15[Spawner],Table1[[#This Row],[Spawner Prefab]])</f>
        <v>84</v>
      </c>
      <c r="Q57" s="117">
        <f>ROUND((Table1[[#This Row],[Total in "Castle" scene]]/SUM(Table1[Total in "Castle" scene]))*100,1)</f>
        <v>4.5999999999999996</v>
      </c>
      <c r="R57" s="115">
        <f>COUNTIF(Table20[Spawner],Table1[[#This Row],[Spawner Prefab]])</f>
        <v>0</v>
      </c>
      <c r="S57" s="115">
        <f>ROUND((Table1[[#This Row],[Total in "Dark" scene]]/SUM(Table1[Total in "Dark" scene]))*100,1)</f>
        <v>0</v>
      </c>
      <c r="T57" s="117">
        <f>Table1[[#This Row],[Total in "Village" scene]]+Table1[[#This Row],[Total in "Castle" scene]]</f>
        <v>84</v>
      </c>
      <c r="U57" s="117">
        <f>ROUND((Table1[[#This Row],[Total in the game]]/SUM(Table1[Total in the game]))*100,1)</f>
        <v>1.9</v>
      </c>
    </row>
    <row r="58" spans="4:21" x14ac:dyDescent="0.25">
      <c r="D58" s="79" t="s">
        <v>126</v>
      </c>
      <c r="E58" s="79" t="s">
        <v>359</v>
      </c>
      <c r="F58" s="79" t="s">
        <v>360</v>
      </c>
      <c r="G58" s="110">
        <v>140</v>
      </c>
      <c r="H58" s="110">
        <v>140</v>
      </c>
      <c r="I58" s="109">
        <v>2</v>
      </c>
      <c r="J58" s="109">
        <v>25</v>
      </c>
      <c r="K58" s="109">
        <v>0</v>
      </c>
      <c r="L58" s="109">
        <v>0</v>
      </c>
      <c r="M58" s="109" t="s">
        <v>9</v>
      </c>
      <c r="N58" s="114">
        <f>COUNTIF(Table7[Spawner],Table1[[#This Row],[Spawner Prefab]])</f>
        <v>0</v>
      </c>
      <c r="O58" s="114">
        <f>ROUND((Table1[[#This Row],[Total in "Village" scene]]/SUM(Table1[Total in "Village" scene]))*100,1)</f>
        <v>0</v>
      </c>
      <c r="P58" s="118">
        <f>COUNTIF(Table15[Spawner],Table1[[#This Row],[Spawner Prefab]])</f>
        <v>0</v>
      </c>
      <c r="Q58" s="118">
        <f>ROUND((Table1[[#This Row],[Total in "Castle" scene]]/SUM(Table1[Total in "Castle" scene]))*100,1)</f>
        <v>0</v>
      </c>
      <c r="R58" s="114">
        <f>COUNTIF(Table20[Spawner],Table1[[#This Row],[Spawner Prefab]])</f>
        <v>0</v>
      </c>
      <c r="S58" s="114">
        <f>ROUND((Table1[[#This Row],[Total in "Dark" scene]]/SUM(Table1[Total in "Dark" scene]))*100,1)</f>
        <v>0</v>
      </c>
      <c r="T58" s="118">
        <f>Table1[[#This Row],[Total in "Village" scene]]+Table1[[#This Row],[Total in "Castle" scene]]</f>
        <v>0</v>
      </c>
      <c r="U58" s="118">
        <f>ROUND((Table1[[#This Row],[Total in the game]]/SUM(Table1[Total in the game]))*100,1)</f>
        <v>0</v>
      </c>
    </row>
    <row r="59" spans="4:21" x14ac:dyDescent="0.25">
      <c r="D59" s="79" t="s">
        <v>127</v>
      </c>
      <c r="E59" s="79" t="s">
        <v>68</v>
      </c>
      <c r="F59" s="79" t="s">
        <v>63</v>
      </c>
      <c r="G59" s="111">
        <v>100</v>
      </c>
      <c r="H59" s="111">
        <v>100</v>
      </c>
      <c r="I59" s="108">
        <v>2</v>
      </c>
      <c r="J59" s="108">
        <v>25</v>
      </c>
      <c r="K59" s="108">
        <v>0</v>
      </c>
      <c r="L59" s="108">
        <v>0</v>
      </c>
      <c r="M59" s="108" t="s">
        <v>9</v>
      </c>
      <c r="N59" s="115">
        <f>COUNTIF(Table7[Spawner],Table1[[#This Row],[Spawner Prefab]])</f>
        <v>0</v>
      </c>
      <c r="O59" s="115">
        <f>ROUND((Table1[[#This Row],[Total in "Village" scene]]/SUM(Table1[Total in "Village" scene]))*100,1)</f>
        <v>0</v>
      </c>
      <c r="P59" s="117">
        <f>COUNTIF(Table15[Spawner],Table1[[#This Row],[Spawner Prefab]])</f>
        <v>2</v>
      </c>
      <c r="Q59" s="117">
        <f>ROUND((Table1[[#This Row],[Total in "Castle" scene]]/SUM(Table1[Total in "Castle" scene]))*100,1)</f>
        <v>0.1</v>
      </c>
      <c r="R59" s="115">
        <f>COUNTIF(Table20[Spawner],Table1[[#This Row],[Spawner Prefab]])</f>
        <v>0</v>
      </c>
      <c r="S59" s="115">
        <f>ROUND((Table1[[#This Row],[Total in "Dark" scene]]/SUM(Table1[Total in "Dark" scene]))*100,1)</f>
        <v>0</v>
      </c>
      <c r="T59" s="117">
        <f>Table1[[#This Row],[Total in "Village" scene]]+Table1[[#This Row],[Total in "Castle" scene]]</f>
        <v>2</v>
      </c>
      <c r="U59" s="117">
        <f>ROUND((Table1[[#This Row],[Total in the game]]/SUM(Table1[Total in the game]))*100,1)</f>
        <v>0</v>
      </c>
    </row>
    <row r="60" spans="4:21" x14ac:dyDescent="0.25">
      <c r="D60" s="79" t="s">
        <v>128</v>
      </c>
      <c r="E60" s="79" t="s">
        <v>69</v>
      </c>
      <c r="F60" s="79" t="s">
        <v>64</v>
      </c>
      <c r="G60" s="110">
        <v>100</v>
      </c>
      <c r="H60" s="110">
        <v>100</v>
      </c>
      <c r="I60" s="109">
        <v>2</v>
      </c>
      <c r="J60" s="109">
        <v>25</v>
      </c>
      <c r="K60" s="109">
        <v>0</v>
      </c>
      <c r="L60" s="109">
        <v>0</v>
      </c>
      <c r="M60" s="109" t="s">
        <v>9</v>
      </c>
      <c r="N60" s="114">
        <f>COUNTIF(Table7[Spawner],Table1[[#This Row],[Spawner Prefab]])</f>
        <v>0</v>
      </c>
      <c r="O60" s="114">
        <f>ROUND((Table1[[#This Row],[Total in "Village" scene]]/SUM(Table1[Total in "Village" scene]))*100,1)</f>
        <v>0</v>
      </c>
      <c r="P60" s="118">
        <f>COUNTIF(Table15[Spawner],Table1[[#This Row],[Spawner Prefab]])</f>
        <v>1</v>
      </c>
      <c r="Q60" s="118">
        <f>ROUND((Table1[[#This Row],[Total in "Castle" scene]]/SUM(Table1[Total in "Castle" scene]))*100,1)</f>
        <v>0.1</v>
      </c>
      <c r="R60" s="114">
        <f>COUNTIF(Table20[Spawner],Table1[[#This Row],[Spawner Prefab]])</f>
        <v>0</v>
      </c>
      <c r="S60" s="114">
        <f>ROUND((Table1[[#This Row],[Total in "Dark" scene]]/SUM(Table1[Total in "Dark" scene]))*100,1)</f>
        <v>0</v>
      </c>
      <c r="T60" s="118">
        <f>Table1[[#This Row],[Total in "Village" scene]]+Table1[[#This Row],[Total in "Castle" scene]]</f>
        <v>1</v>
      </c>
      <c r="U60" s="118">
        <f>ROUND((Table1[[#This Row],[Total in the game]]/SUM(Table1[Total in the game]))*100,1)</f>
        <v>0</v>
      </c>
    </row>
    <row r="61" spans="4:21" x14ac:dyDescent="0.25">
      <c r="D61" s="79" t="s">
        <v>430</v>
      </c>
      <c r="E61" s="79" t="s">
        <v>431</v>
      </c>
      <c r="F61" s="79" t="s">
        <v>432</v>
      </c>
      <c r="G61" s="111">
        <v>140</v>
      </c>
      <c r="H61" s="111">
        <v>140</v>
      </c>
      <c r="I61" s="108">
        <v>6</v>
      </c>
      <c r="J61" s="108">
        <v>50</v>
      </c>
      <c r="K61" s="108">
        <v>0</v>
      </c>
      <c r="L61" s="108">
        <v>0</v>
      </c>
      <c r="M61" s="108" t="s">
        <v>9</v>
      </c>
      <c r="N61" s="115">
        <f>COUNTIF(Table7[Spawner],Table1[[#This Row],[Spawner Prefab]])</f>
        <v>39</v>
      </c>
      <c r="O61" s="115">
        <f>ROUND((Table1[[#This Row],[Total in "Village" scene]]/SUM(Table1[Total in "Village" scene]))*100,1)</f>
        <v>1.5</v>
      </c>
      <c r="P61" s="117">
        <f>COUNTIF(Table15[Spawner],Table1[[#This Row],[Spawner Prefab]])</f>
        <v>1</v>
      </c>
      <c r="Q61" s="117">
        <f>ROUND((Table1[[#This Row],[Total in "Castle" scene]]/SUM(Table1[Total in "Castle" scene]))*100,1)</f>
        <v>0.1</v>
      </c>
      <c r="R61" s="115">
        <f>COUNTIF(Table20[Spawner],Table1[[#This Row],[Spawner Prefab]])</f>
        <v>0</v>
      </c>
      <c r="S61" s="115">
        <f>ROUND((Table1[[#This Row],[Total in "Dark" scene]]/SUM(Table1[Total in "Dark" scene]))*100,1)</f>
        <v>0</v>
      </c>
      <c r="T61" s="117">
        <f>Table1[[#This Row],[Total in "Village" scene]]+Table1[[#This Row],[Total in "Castle" scene]]</f>
        <v>40</v>
      </c>
      <c r="U61" s="117">
        <f>ROUND((Table1[[#This Row],[Total in the game]]/SUM(Table1[Total in the game]))*100,1)</f>
        <v>0.9</v>
      </c>
    </row>
    <row r="62" spans="4:21" x14ac:dyDescent="0.25">
      <c r="D62" s="79" t="s">
        <v>113</v>
      </c>
      <c r="E62" s="79" t="s">
        <v>50</v>
      </c>
      <c r="F62" s="79" t="s">
        <v>28</v>
      </c>
      <c r="G62" s="110">
        <v>5000</v>
      </c>
      <c r="H62" s="110">
        <v>5000</v>
      </c>
      <c r="I62" s="109">
        <v>70</v>
      </c>
      <c r="J62" s="109">
        <v>75</v>
      </c>
      <c r="K62" s="109">
        <v>0</v>
      </c>
      <c r="L62" s="109">
        <v>0</v>
      </c>
      <c r="M62" s="109" t="s">
        <v>9</v>
      </c>
      <c r="N62" s="114">
        <f>COUNTIF(Table7[Spawner],Table1[[#This Row],[Spawner Prefab]])</f>
        <v>18</v>
      </c>
      <c r="O62" s="114">
        <f>ROUND((Table1[[#This Row],[Total in "Village" scene]]/SUM(Table1[Total in "Village" scene]))*100,1)</f>
        <v>0.7</v>
      </c>
      <c r="P62" s="118">
        <f>COUNTIF(Table15[Spawner],Table1[[#This Row],[Spawner Prefab]])</f>
        <v>19</v>
      </c>
      <c r="Q62" s="118">
        <f>ROUND((Table1[[#This Row],[Total in "Castle" scene]]/SUM(Table1[Total in "Castle" scene]))*100,1)</f>
        <v>1</v>
      </c>
      <c r="R62" s="114">
        <f>COUNTIF(Table20[Spawner],Table1[[#This Row],[Spawner Prefab]])</f>
        <v>0</v>
      </c>
      <c r="S62" s="114">
        <f>ROUND((Table1[[#This Row],[Total in "Dark" scene]]/SUM(Table1[Total in "Dark" scene]))*100,1)</f>
        <v>0</v>
      </c>
      <c r="T62" s="118">
        <f>Table1[[#This Row],[Total in "Village" scene]]+Table1[[#This Row],[Total in "Castle" scene]]</f>
        <v>37</v>
      </c>
      <c r="U62" s="118">
        <f>ROUND((Table1[[#This Row],[Total in the game]]/SUM(Table1[Total in the game]))*100,1)</f>
        <v>0.8</v>
      </c>
    </row>
    <row r="63" spans="4:21" x14ac:dyDescent="0.25">
      <c r="D63" s="79" t="s">
        <v>113</v>
      </c>
      <c r="E63" s="79" t="s">
        <v>576</v>
      </c>
      <c r="F63" s="79" t="s">
        <v>577</v>
      </c>
      <c r="G63" s="111">
        <v>5000</v>
      </c>
      <c r="H63" s="111">
        <v>5000</v>
      </c>
      <c r="I63" s="108">
        <v>70</v>
      </c>
      <c r="J63" s="108">
        <v>75</v>
      </c>
      <c r="K63" s="108">
        <v>0</v>
      </c>
      <c r="L63" s="108">
        <v>0</v>
      </c>
      <c r="M63" s="108" t="s">
        <v>9</v>
      </c>
      <c r="N63" s="115">
        <f>COUNTIF(Table7[Spawner],Table1[[#This Row],[Spawner Prefab]])</f>
        <v>0</v>
      </c>
      <c r="O63" s="115">
        <f>ROUND((Table1[[#This Row],[Total in "Village" scene]]/SUM(Table1[Total in "Village" scene]))*100,1)</f>
        <v>0</v>
      </c>
      <c r="P63" s="117">
        <f>COUNTIF(Table15[Spawner],Table1[[#This Row],[Spawner Prefab]])</f>
        <v>0</v>
      </c>
      <c r="Q63" s="117">
        <f>ROUND((Table1[[#This Row],[Total in "Castle" scene]]/SUM(Table1[Total in "Castle" scene]))*100,1)</f>
        <v>0</v>
      </c>
      <c r="R63" s="115">
        <f>COUNTIF(Table20[Spawner],Table1[[#This Row],[Spawner Prefab]])</f>
        <v>0</v>
      </c>
      <c r="S63" s="115">
        <f>ROUND((Table1[[#This Row],[Total in "Dark" scene]]/SUM(Table1[Total in "Dark" scene]))*100,1)</f>
        <v>0</v>
      </c>
      <c r="T63" s="117">
        <f>Table1[[#This Row],[Total in "Village" scene]]+Table1[[#This Row],[Total in "Castle" scene]]</f>
        <v>0</v>
      </c>
      <c r="U63" s="117">
        <f>ROUND((Table1[[#This Row],[Total in the game]]/SUM(Table1[Total in the game]))*100,1)</f>
        <v>0</v>
      </c>
    </row>
    <row r="64" spans="4:21" x14ac:dyDescent="0.25">
      <c r="D64" s="79" t="s">
        <v>588</v>
      </c>
      <c r="E64" s="79" t="s">
        <v>589</v>
      </c>
      <c r="F64" s="79" t="s">
        <v>590</v>
      </c>
      <c r="G64" s="110">
        <v>5000</v>
      </c>
      <c r="H64" s="110">
        <v>5000</v>
      </c>
      <c r="I64" s="109">
        <v>0</v>
      </c>
      <c r="J64" s="109">
        <v>25</v>
      </c>
      <c r="K64" s="109">
        <v>0</v>
      </c>
      <c r="L64" s="109">
        <v>0</v>
      </c>
      <c r="M64" s="109" t="s">
        <v>9</v>
      </c>
      <c r="N64" s="114">
        <f>COUNTIF(Table7[Spawner],Table1[[#This Row],[Spawner Prefab]])</f>
        <v>29</v>
      </c>
      <c r="O64" s="114">
        <f>ROUND((Table1[[#This Row],[Total in "Village" scene]]/SUM(Table1[Total in "Village" scene]))*100,1)</f>
        <v>1.1000000000000001</v>
      </c>
      <c r="P64" s="118">
        <f>COUNTIF(Table15[Spawner],Table1[[#This Row],[Spawner Prefab]])</f>
        <v>0</v>
      </c>
      <c r="Q64" s="118">
        <f>ROUND((Table1[[#This Row],[Total in "Castle" scene]]/SUM(Table1[Total in "Castle" scene]))*100,1)</f>
        <v>0</v>
      </c>
      <c r="R64" s="114">
        <f>COUNTIF(Table20[Spawner],Table1[[#This Row],[Spawner Prefab]])</f>
        <v>0</v>
      </c>
      <c r="S64" s="114">
        <f>ROUND((Table1[[#This Row],[Total in "Dark" scene]]/SUM(Table1[Total in "Dark" scene]))*100,1)</f>
        <v>0</v>
      </c>
      <c r="T64" s="118">
        <f>Table1[[#This Row],[Total in "Village" scene]]+Table1[[#This Row],[Total in "Castle" scene]]</f>
        <v>29</v>
      </c>
      <c r="U64" s="118">
        <f>ROUND((Table1[[#This Row],[Total in the game]]/SUM(Table1[Total in the game]))*100,1)</f>
        <v>0.7</v>
      </c>
    </row>
    <row r="65" spans="4:21" x14ac:dyDescent="0.25">
      <c r="D65" s="79" t="s">
        <v>85</v>
      </c>
      <c r="E65" s="79" t="s">
        <v>21</v>
      </c>
      <c r="F65" s="79" t="s">
        <v>20</v>
      </c>
      <c r="G65" s="111">
        <v>260</v>
      </c>
      <c r="H65" s="111">
        <v>260</v>
      </c>
      <c r="I65" s="108">
        <v>20</v>
      </c>
      <c r="J65" s="108">
        <v>28</v>
      </c>
      <c r="K65" s="108">
        <v>1</v>
      </c>
      <c r="L65" s="108">
        <v>1</v>
      </c>
      <c r="M65" s="108" t="s">
        <v>9</v>
      </c>
      <c r="N65" s="115">
        <f>COUNTIF(Table7[Spawner],Table1[[#This Row],[Spawner Prefab]])</f>
        <v>0</v>
      </c>
      <c r="O65" s="115">
        <f>ROUND((Table1[[#This Row],[Total in "Village" scene]]/SUM(Table1[Total in "Village" scene]))*100,1)</f>
        <v>0</v>
      </c>
      <c r="P65" s="117">
        <f>COUNTIF(Table15[Spawner],Table1[[#This Row],[Spawner Prefab]])</f>
        <v>0</v>
      </c>
      <c r="Q65" s="117">
        <f>ROUND((Table1[[#This Row],[Total in "Castle" scene]]/SUM(Table1[Total in "Castle" scene]))*100,1)</f>
        <v>0</v>
      </c>
      <c r="R65" s="115">
        <f>COUNTIF(Table20[Spawner],Table1[[#This Row],[Spawner Prefab]])</f>
        <v>0</v>
      </c>
      <c r="S65" s="115">
        <f>ROUND((Table1[[#This Row],[Total in "Dark" scene]]/SUM(Table1[Total in "Dark" scene]))*100,1)</f>
        <v>0</v>
      </c>
      <c r="T65" s="117">
        <f>Table1[[#This Row],[Total in "Village" scene]]+Table1[[#This Row],[Total in "Castle" scene]]</f>
        <v>0</v>
      </c>
      <c r="U65" s="117">
        <f>ROUND((Table1[[#This Row],[Total in the game]]/SUM(Table1[Total in the game]))*100,1)</f>
        <v>0</v>
      </c>
    </row>
    <row r="66" spans="4:21" x14ac:dyDescent="0.25">
      <c r="D66" s="85" t="s">
        <v>114</v>
      </c>
      <c r="E66" s="85" t="s">
        <v>43</v>
      </c>
      <c r="F66" s="85" t="s">
        <v>37</v>
      </c>
      <c r="G66" s="110">
        <v>250</v>
      </c>
      <c r="H66" s="110">
        <v>250</v>
      </c>
      <c r="I66" s="109">
        <v>3</v>
      </c>
      <c r="J66" s="109">
        <v>95</v>
      </c>
      <c r="K66" s="109">
        <v>3</v>
      </c>
      <c r="L66" s="109">
        <v>3</v>
      </c>
      <c r="M66" s="109">
        <v>5</v>
      </c>
      <c r="N66" s="114">
        <f>COUNTIF(Table7[Spawner],Table1[[#This Row],[Spawner Prefab]])</f>
        <v>109</v>
      </c>
      <c r="O66" s="114">
        <f>ROUND((Table1[[#This Row],[Total in "Village" scene]]/SUM(Table1[Total in "Village" scene]))*100,1)</f>
        <v>4.3</v>
      </c>
      <c r="P66" s="118">
        <f>COUNTIF(Table15[Spawner],Table1[[#This Row],[Spawner Prefab]])</f>
        <v>28</v>
      </c>
      <c r="Q66" s="118">
        <f>ROUND((Table1[[#This Row],[Total in "Castle" scene]]/SUM(Table1[Total in "Castle" scene]))*100,1)</f>
        <v>1.5</v>
      </c>
      <c r="R66" s="114">
        <f>COUNTIF(Table20[Spawner],Table1[[#This Row],[Spawner Prefab]])</f>
        <v>0</v>
      </c>
      <c r="S66" s="114">
        <f>ROUND((Table1[[#This Row],[Total in "Dark" scene]]/SUM(Table1[Total in "Dark" scene]))*100,1)</f>
        <v>0</v>
      </c>
      <c r="T66" s="118">
        <f>Table1[[#This Row],[Total in "Village" scene]]+Table1[[#This Row],[Total in "Castle" scene]]</f>
        <v>137</v>
      </c>
      <c r="U66" s="118">
        <f>ROUND((Table1[[#This Row],[Total in the game]]/SUM(Table1[Total in the game]))*100,1)</f>
        <v>3.1</v>
      </c>
    </row>
    <row r="67" spans="4:21" x14ac:dyDescent="0.25">
      <c r="D67" s="79" t="s">
        <v>114</v>
      </c>
      <c r="E67" s="79" t="s">
        <v>272</v>
      </c>
      <c r="F67" s="79" t="s">
        <v>276</v>
      </c>
      <c r="G67" s="111">
        <v>250</v>
      </c>
      <c r="H67" s="111">
        <v>250</v>
      </c>
      <c r="I67" s="108">
        <v>3</v>
      </c>
      <c r="J67" s="108">
        <v>95</v>
      </c>
      <c r="K67" s="108">
        <v>3</v>
      </c>
      <c r="L67" s="108">
        <v>3</v>
      </c>
      <c r="M67" s="108">
        <v>7</v>
      </c>
      <c r="N67" s="115">
        <f>COUNTIF(Table7[Spawner],Table1[[#This Row],[Spawner Prefab]])</f>
        <v>2</v>
      </c>
      <c r="O67" s="115">
        <f>ROUND((Table1[[#This Row],[Total in "Village" scene]]/SUM(Table1[Total in "Village" scene]))*100,1)</f>
        <v>0.1</v>
      </c>
      <c r="P67" s="117">
        <f>COUNTIF(Table15[Spawner],Table1[[#This Row],[Spawner Prefab]])</f>
        <v>0</v>
      </c>
      <c r="Q67" s="117">
        <f>ROUND((Table1[[#This Row],[Total in "Castle" scene]]/SUM(Table1[Total in "Castle" scene]))*100,1)</f>
        <v>0</v>
      </c>
      <c r="R67" s="115">
        <f>COUNTIF(Table20[Spawner],Table1[[#This Row],[Spawner Prefab]])</f>
        <v>0</v>
      </c>
      <c r="S67" s="115">
        <f>ROUND((Table1[[#This Row],[Total in "Dark" scene]]/SUM(Table1[Total in "Dark" scene]))*100,1)</f>
        <v>0</v>
      </c>
      <c r="T67" s="117">
        <f>Table1[[#This Row],[Total in "Village" scene]]+Table1[[#This Row],[Total in "Castle" scene]]</f>
        <v>2</v>
      </c>
      <c r="U67" s="117">
        <f>ROUND((Table1[[#This Row],[Total in the game]]/SUM(Table1[Total in the game]))*100,1)</f>
        <v>0</v>
      </c>
    </row>
    <row r="68" spans="4:21" x14ac:dyDescent="0.25">
      <c r="D68" s="79" t="s">
        <v>115</v>
      </c>
      <c r="E68" s="79" t="s">
        <v>44</v>
      </c>
      <c r="F68" s="79" t="s">
        <v>38</v>
      </c>
      <c r="G68" s="110">
        <v>300</v>
      </c>
      <c r="H68" s="110">
        <v>300</v>
      </c>
      <c r="I68" s="109">
        <v>4</v>
      </c>
      <c r="J68" s="109">
        <v>195</v>
      </c>
      <c r="K68" s="109">
        <v>4</v>
      </c>
      <c r="L68" s="109">
        <v>4</v>
      </c>
      <c r="M68" s="109">
        <v>11</v>
      </c>
      <c r="N68" s="114">
        <f>COUNTIF(Table7[Spawner],Table1[[#This Row],[Spawner Prefab]])</f>
        <v>48</v>
      </c>
      <c r="O68" s="114">
        <f>ROUND((Table1[[#This Row],[Total in "Village" scene]]/SUM(Table1[Total in "Village" scene]))*100,1)</f>
        <v>1.9</v>
      </c>
      <c r="P68" s="118">
        <f>COUNTIF(Table15[Spawner],Table1[[#This Row],[Spawner Prefab]])</f>
        <v>15</v>
      </c>
      <c r="Q68" s="118">
        <f>ROUND((Table1[[#This Row],[Total in "Castle" scene]]/SUM(Table1[Total in "Castle" scene]))*100,1)</f>
        <v>0.8</v>
      </c>
      <c r="R68" s="114">
        <f>COUNTIF(Table20[Spawner],Table1[[#This Row],[Spawner Prefab]])</f>
        <v>0</v>
      </c>
      <c r="S68" s="114">
        <f>ROUND((Table1[[#This Row],[Total in "Dark" scene]]/SUM(Table1[Total in "Dark" scene]))*100,1)</f>
        <v>0</v>
      </c>
      <c r="T68" s="118">
        <f>Table1[[#This Row],[Total in "Village" scene]]+Table1[[#This Row],[Total in "Castle" scene]]</f>
        <v>63</v>
      </c>
      <c r="U68" s="118">
        <f>ROUND((Table1[[#This Row],[Total in the game]]/SUM(Table1[Total in the game]))*100,1)</f>
        <v>1.4</v>
      </c>
    </row>
    <row r="69" spans="4:21" x14ac:dyDescent="0.25">
      <c r="D69" s="79" t="s">
        <v>115</v>
      </c>
      <c r="E69" s="79" t="s">
        <v>273</v>
      </c>
      <c r="F69" s="79" t="s">
        <v>277</v>
      </c>
      <c r="G69" s="111">
        <v>300</v>
      </c>
      <c r="H69" s="111">
        <v>300</v>
      </c>
      <c r="I69" s="108">
        <v>4</v>
      </c>
      <c r="J69" s="108">
        <v>195</v>
      </c>
      <c r="K69" s="108">
        <v>4</v>
      </c>
      <c r="L69" s="108">
        <v>4</v>
      </c>
      <c r="M69" s="108">
        <v>11</v>
      </c>
      <c r="N69" s="115">
        <f>COUNTIF(Table7[Spawner],Table1[[#This Row],[Spawner Prefab]])</f>
        <v>15</v>
      </c>
      <c r="O69" s="115">
        <f>ROUND((Table1[[#This Row],[Total in "Village" scene]]/SUM(Table1[Total in "Village" scene]))*100,1)</f>
        <v>0.6</v>
      </c>
      <c r="P69" s="117">
        <f>COUNTIF(Table15[Spawner],Table1[[#This Row],[Spawner Prefab]])</f>
        <v>0</v>
      </c>
      <c r="Q69" s="117">
        <f>ROUND((Table1[[#This Row],[Total in "Castle" scene]]/SUM(Table1[Total in "Castle" scene]))*100,1)</f>
        <v>0</v>
      </c>
      <c r="R69" s="115">
        <f>COUNTIF(Table20[Spawner],Table1[[#This Row],[Spawner Prefab]])</f>
        <v>0</v>
      </c>
      <c r="S69" s="115">
        <f>ROUND((Table1[[#This Row],[Total in "Dark" scene]]/SUM(Table1[Total in "Dark" scene]))*100,1)</f>
        <v>0</v>
      </c>
      <c r="T69" s="117">
        <f>Table1[[#This Row],[Total in "Village" scene]]+Table1[[#This Row],[Total in "Castle" scene]]</f>
        <v>15</v>
      </c>
      <c r="U69" s="117">
        <f>ROUND((Table1[[#This Row],[Total in the game]]/SUM(Table1[Total in the game]))*100,1)</f>
        <v>0.3</v>
      </c>
    </row>
    <row r="70" spans="4:21" x14ac:dyDescent="0.25">
      <c r="D70" s="79" t="s">
        <v>116</v>
      </c>
      <c r="E70" s="79" t="s">
        <v>274</v>
      </c>
      <c r="F70" s="79" t="s">
        <v>278</v>
      </c>
      <c r="G70" s="110">
        <v>340</v>
      </c>
      <c r="H70" s="110">
        <v>340</v>
      </c>
      <c r="I70" s="109">
        <v>5</v>
      </c>
      <c r="J70" s="109">
        <v>263</v>
      </c>
      <c r="K70" s="109">
        <v>5</v>
      </c>
      <c r="L70" s="109">
        <v>5</v>
      </c>
      <c r="M70" s="109">
        <v>21</v>
      </c>
      <c r="N70" s="114">
        <f>COUNTIF(Table7[Spawner],Table1[[#This Row],[Spawner Prefab]])</f>
        <v>37</v>
      </c>
      <c r="O70" s="114">
        <f>ROUND((Table1[[#This Row],[Total in "Village" scene]]/SUM(Table1[Total in "Village" scene]))*100,1)</f>
        <v>1.5</v>
      </c>
      <c r="P70" s="118">
        <f>COUNTIF(Table15[Spawner],Table1[[#This Row],[Spawner Prefab]])</f>
        <v>18</v>
      </c>
      <c r="Q70" s="118">
        <f>ROUND((Table1[[#This Row],[Total in "Castle" scene]]/SUM(Table1[Total in "Castle" scene]))*100,1)</f>
        <v>1</v>
      </c>
      <c r="R70" s="114">
        <f>COUNTIF(Table20[Spawner],Table1[[#This Row],[Spawner Prefab]])</f>
        <v>0</v>
      </c>
      <c r="S70" s="114">
        <f>ROUND((Table1[[#This Row],[Total in "Dark" scene]]/SUM(Table1[Total in "Dark" scene]))*100,1)</f>
        <v>0</v>
      </c>
      <c r="T70" s="118">
        <f>Table1[[#This Row],[Total in "Village" scene]]+Table1[[#This Row],[Total in "Castle" scene]]</f>
        <v>55</v>
      </c>
      <c r="U70" s="118">
        <f>ROUND((Table1[[#This Row],[Total in the game]]/SUM(Table1[Total in the game]))*100,1)</f>
        <v>1.3</v>
      </c>
    </row>
    <row r="71" spans="4:21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08">
        <v>5</v>
      </c>
      <c r="J71" s="108">
        <v>263</v>
      </c>
      <c r="K71" s="108">
        <v>5</v>
      </c>
      <c r="L71" s="108">
        <v>5</v>
      </c>
      <c r="M71" s="108">
        <v>21</v>
      </c>
      <c r="N71" s="115">
        <f>COUNTIF(Table7[Spawner],Table1[[#This Row],[Spawner Prefab]])</f>
        <v>16</v>
      </c>
      <c r="O71" s="115">
        <f>ROUND((Table1[[#This Row],[Total in "Village" scene]]/SUM(Table1[Total in "Village" scene]))*100,1)</f>
        <v>0.6</v>
      </c>
      <c r="P71" s="117">
        <f>COUNTIF(Table15[Spawner],Table1[[#This Row],[Spawner Prefab]])</f>
        <v>3</v>
      </c>
      <c r="Q71" s="117">
        <f>ROUND((Table1[[#This Row],[Total in "Castle" scene]]/SUM(Table1[Total in "Castle" scene]))*100,1)</f>
        <v>0.2</v>
      </c>
      <c r="R71" s="115">
        <f>COUNTIF(Table20[Spawner],Table1[[#This Row],[Spawner Prefab]])</f>
        <v>0</v>
      </c>
      <c r="S71" s="115">
        <f>ROUND((Table1[[#This Row],[Total in "Dark" scene]]/SUM(Table1[Total in "Dark" scene]))*100,1)</f>
        <v>0</v>
      </c>
      <c r="T71" s="117">
        <f>Table1[[#This Row],[Total in "Village" scene]]+Table1[[#This Row],[Total in "Castle" scene]]</f>
        <v>19</v>
      </c>
      <c r="U71" s="117">
        <f>ROUND((Table1[[#This Row],[Total in the game]]/SUM(Table1[Total in the game]))*100,1)</f>
        <v>0.4</v>
      </c>
    </row>
    <row r="72" spans="4:21" x14ac:dyDescent="0.25">
      <c r="D72" s="79" t="s">
        <v>377</v>
      </c>
      <c r="E72" s="79" t="s">
        <v>621</v>
      </c>
      <c r="F72" s="79" t="s">
        <v>622</v>
      </c>
      <c r="G72" s="110">
        <v>210</v>
      </c>
      <c r="H72" s="110">
        <v>210</v>
      </c>
      <c r="I72" s="109">
        <v>10</v>
      </c>
      <c r="J72" s="109">
        <v>83</v>
      </c>
      <c r="K72" s="109">
        <v>1</v>
      </c>
      <c r="L72" s="109">
        <v>1</v>
      </c>
      <c r="M72" s="109" t="s">
        <v>9</v>
      </c>
      <c r="N72" s="114">
        <f>COUNTIF(Table7[Spawner],Table1[[#This Row],[Spawner Prefab]])</f>
        <v>6</v>
      </c>
      <c r="O72" s="114">
        <f>ROUND((Table1[[#This Row],[Total in "Village" scene]]/SUM(Table1[Total in "Village" scene]))*100,1)</f>
        <v>0.2</v>
      </c>
      <c r="P72" s="118">
        <f>COUNTIF(Table15[Spawner],Table1[[#This Row],[Spawner Prefab]])</f>
        <v>0</v>
      </c>
      <c r="Q72" s="118">
        <f>ROUND((Table1[[#This Row],[Total in "Castle" scene]]/SUM(Table1[Total in "Castle" scene]))*100,1)</f>
        <v>0</v>
      </c>
      <c r="R72" s="114">
        <f>COUNTIF(Table20[Spawner],Table1[[#This Row],[Spawner Prefab]])</f>
        <v>0</v>
      </c>
      <c r="S72" s="114">
        <f>ROUND((Table1[[#This Row],[Total in "Dark" scene]]/SUM(Table1[Total in "Dark" scene]))*100,1)</f>
        <v>0</v>
      </c>
      <c r="T72" s="118">
        <f>Table1[[#This Row],[Total in "Village" scene]]+Table1[[#This Row],[Total in "Castle" scene]]</f>
        <v>6</v>
      </c>
      <c r="U72" s="118">
        <f>ROUND((Table1[[#This Row],[Total in the game]]/SUM(Table1[Total in the game]))*100,1)</f>
        <v>0.1</v>
      </c>
    </row>
    <row r="73" spans="4:21" x14ac:dyDescent="0.25">
      <c r="D73" s="79" t="s">
        <v>377</v>
      </c>
      <c r="E73" s="79" t="s">
        <v>280</v>
      </c>
      <c r="F73" s="79" t="s">
        <v>289</v>
      </c>
      <c r="G73" s="111">
        <v>210</v>
      </c>
      <c r="H73" s="111">
        <v>210</v>
      </c>
      <c r="I73" s="108">
        <v>10</v>
      </c>
      <c r="J73" s="108">
        <v>83</v>
      </c>
      <c r="K73" s="108">
        <v>1</v>
      </c>
      <c r="L73" s="108">
        <v>1</v>
      </c>
      <c r="M73" s="108" t="s">
        <v>9</v>
      </c>
      <c r="N73" s="115">
        <f>COUNTIF(Table7[Spawner],Table1[[#This Row],[Spawner Prefab]])</f>
        <v>3</v>
      </c>
      <c r="O73" s="115">
        <f>ROUND((Table1[[#This Row],[Total in "Village" scene]]/SUM(Table1[Total in "Village" scene]))*100,1)</f>
        <v>0.1</v>
      </c>
      <c r="P73" s="117">
        <f>COUNTIF(Table15[Spawner],Table1[[#This Row],[Spawner Prefab]])</f>
        <v>0</v>
      </c>
      <c r="Q73" s="117">
        <f>ROUND((Table1[[#This Row],[Total in "Castle" scene]]/SUM(Table1[Total in "Castle" scene]))*100,1)</f>
        <v>0</v>
      </c>
      <c r="R73" s="115">
        <f>COUNTIF(Table20[Spawner],Table1[[#This Row],[Spawner Prefab]])</f>
        <v>0</v>
      </c>
      <c r="S73" s="115">
        <f>ROUND((Table1[[#This Row],[Total in "Dark" scene]]/SUM(Table1[Total in "Dark" scene]))*100,1)</f>
        <v>0</v>
      </c>
      <c r="T73" s="117">
        <f>Table1[[#This Row],[Total in "Village" scene]]+Table1[[#This Row],[Total in "Castle" scene]]</f>
        <v>3</v>
      </c>
      <c r="U73" s="117">
        <f>ROUND((Table1[[#This Row],[Total in the game]]/SUM(Table1[Total in the game]))*100,1)</f>
        <v>0.1</v>
      </c>
    </row>
    <row r="74" spans="4:21" x14ac:dyDescent="0.25">
      <c r="D74" s="79" t="s">
        <v>511</v>
      </c>
      <c r="E74" s="79" t="s">
        <v>509</v>
      </c>
      <c r="F74" s="79" t="s">
        <v>512</v>
      </c>
      <c r="G74" s="110">
        <v>300</v>
      </c>
      <c r="H74" s="110">
        <v>300</v>
      </c>
      <c r="I74" s="109">
        <v>200</v>
      </c>
      <c r="J74" s="109">
        <v>83</v>
      </c>
      <c r="K74" s="109">
        <v>1</v>
      </c>
      <c r="L74" s="109">
        <v>1</v>
      </c>
      <c r="M74" s="109">
        <v>25</v>
      </c>
      <c r="N74" s="114">
        <f>COUNTIF(Table7[Spawner],Table1[[#This Row],[Spawner Prefab]])</f>
        <v>1</v>
      </c>
      <c r="O74" s="114">
        <f>ROUND((Table1[[#This Row],[Total in "Village" scene]]/SUM(Table1[Total in "Village" scene]))*100,1)</f>
        <v>0</v>
      </c>
      <c r="P74" s="118">
        <f>COUNTIF(Table15[Spawner],Table1[[#This Row],[Spawner Prefab]])</f>
        <v>3</v>
      </c>
      <c r="Q74" s="118">
        <f>ROUND((Table1[[#This Row],[Total in "Castle" scene]]/SUM(Table1[Total in "Castle" scene]))*100,1)</f>
        <v>0.2</v>
      </c>
      <c r="R74" s="114">
        <f>COUNTIF(Table20[Spawner],Table1[[#This Row],[Spawner Prefab]])</f>
        <v>0</v>
      </c>
      <c r="S74" s="114">
        <f>ROUND((Table1[[#This Row],[Total in "Dark" scene]]/SUM(Table1[Total in "Dark" scene]))*100,1)</f>
        <v>0</v>
      </c>
      <c r="T74" s="118">
        <f>Table1[[#This Row],[Total in "Village" scene]]+Table1[[#This Row],[Total in "Castle" scene]]</f>
        <v>4</v>
      </c>
      <c r="U74" s="118">
        <f>ROUND((Table1[[#This Row],[Total in the game]]/SUM(Table1[Total in the game]))*100,1)</f>
        <v>0.1</v>
      </c>
    </row>
    <row r="75" spans="4:21" x14ac:dyDescent="0.25">
      <c r="D75" s="79" t="s">
        <v>86</v>
      </c>
      <c r="E75" s="79" t="s">
        <v>129</v>
      </c>
      <c r="F75" s="79" t="s">
        <v>22</v>
      </c>
      <c r="G75" s="111">
        <v>500</v>
      </c>
      <c r="H75" s="111">
        <v>500</v>
      </c>
      <c r="I75" s="108">
        <v>0</v>
      </c>
      <c r="J75" s="108">
        <v>75</v>
      </c>
      <c r="K75" s="108">
        <v>0</v>
      </c>
      <c r="L75" s="108">
        <v>0</v>
      </c>
      <c r="M75" s="108" t="s">
        <v>9</v>
      </c>
      <c r="N75" s="115">
        <f>COUNTIF(Table7[Spawner],Table1[[#This Row],[Spawner Prefab]])</f>
        <v>21</v>
      </c>
      <c r="O75" s="115">
        <f>ROUND((Table1[[#This Row],[Total in "Village" scene]]/SUM(Table1[Total in "Village" scene]))*100,1)</f>
        <v>0.8</v>
      </c>
      <c r="P75" s="117">
        <f>COUNTIF(Table15[Spawner],Table1[[#This Row],[Spawner Prefab]])</f>
        <v>36</v>
      </c>
      <c r="Q75" s="117">
        <f>ROUND((Table1[[#This Row],[Total in "Castle" scene]]/SUM(Table1[Total in "Castle" scene]))*100,1)</f>
        <v>2</v>
      </c>
      <c r="R75" s="115">
        <f>COUNTIF(Table20[Spawner],Table1[[#This Row],[Spawner Prefab]])</f>
        <v>0</v>
      </c>
      <c r="S75" s="115">
        <f>ROUND((Table1[[#This Row],[Total in "Dark" scene]]/SUM(Table1[Total in "Dark" scene]))*100,1)</f>
        <v>0</v>
      </c>
      <c r="T75" s="117">
        <f>Table1[[#This Row],[Total in "Village" scene]]+Table1[[#This Row],[Total in "Castle" scene]]</f>
        <v>57</v>
      </c>
      <c r="U75" s="117">
        <f>ROUND((Table1[[#This Row],[Total in the game]]/SUM(Table1[Total in the game]))*100,1)</f>
        <v>1.3</v>
      </c>
    </row>
    <row r="76" spans="4:21" x14ac:dyDescent="0.25">
      <c r="D76" s="79" t="s">
        <v>617</v>
      </c>
      <c r="E76" s="79" t="s">
        <v>618</v>
      </c>
      <c r="F76" s="79" t="s">
        <v>619</v>
      </c>
      <c r="G76" s="110">
        <v>500</v>
      </c>
      <c r="H76" s="110">
        <v>500</v>
      </c>
      <c r="I76" s="109">
        <v>0</v>
      </c>
      <c r="J76" s="109">
        <v>25</v>
      </c>
      <c r="K76" s="109">
        <v>0</v>
      </c>
      <c r="L76" s="109">
        <v>0</v>
      </c>
      <c r="M76" s="109" t="s">
        <v>9</v>
      </c>
      <c r="N76" s="114">
        <f>COUNTIF(Table7[Spawner],Table1[[#This Row],[Spawner Prefab]])</f>
        <v>0</v>
      </c>
      <c r="O76" s="114">
        <f>ROUND((Table1[[#This Row],[Total in "Village" scene]]/SUM(Table1[Total in "Village" scene]))*100,1)</f>
        <v>0</v>
      </c>
      <c r="P76" s="118">
        <f>COUNTIF(Table15[Spawner],Table1[[#This Row],[Spawner Prefab]])</f>
        <v>0</v>
      </c>
      <c r="Q76" s="118">
        <f>ROUND((Table1[[#This Row],[Total in "Castle" scene]]/SUM(Table1[Total in "Castle" scene]))*100,1)</f>
        <v>0</v>
      </c>
      <c r="R76" s="114">
        <f>COUNTIF(Table20[Spawner],Table1[[#This Row],[Spawner Prefab]])</f>
        <v>0</v>
      </c>
      <c r="S76" s="114">
        <f>ROUND((Table1[[#This Row],[Total in "Dark" scene]]/SUM(Table1[Total in "Dark" scene]))*100,1)</f>
        <v>0</v>
      </c>
      <c r="T76" s="118">
        <f>Table1[[#This Row],[Total in "Village" scene]]+Table1[[#This Row],[Total in "Castle" scene]]</f>
        <v>0</v>
      </c>
      <c r="U76" s="118">
        <f>ROUND((Table1[[#This Row],[Total in the game]]/SUM(Table1[Total in the game]))*100,1)</f>
        <v>0</v>
      </c>
    </row>
    <row r="77" spans="4:21" x14ac:dyDescent="0.25">
      <c r="D77" s="79" t="s">
        <v>443</v>
      </c>
      <c r="E77" s="79" t="s">
        <v>444</v>
      </c>
      <c r="F77" s="79" t="s">
        <v>552</v>
      </c>
      <c r="G77" s="111">
        <v>200</v>
      </c>
      <c r="H77" s="111">
        <v>200</v>
      </c>
      <c r="I77" s="108">
        <v>20</v>
      </c>
      <c r="J77" s="108">
        <v>50</v>
      </c>
      <c r="K77" s="108">
        <v>0</v>
      </c>
      <c r="L77" s="108">
        <v>0</v>
      </c>
      <c r="M77" s="108" t="s">
        <v>9</v>
      </c>
      <c r="N77" s="115">
        <f>COUNTIF(Table7[Spawner],Table1[[#This Row],[Spawner Prefab]])</f>
        <v>6</v>
      </c>
      <c r="O77" s="115">
        <f>ROUND((Table1[[#This Row],[Total in "Village" scene]]/SUM(Table1[Total in "Village" scene]))*100,1)</f>
        <v>0.2</v>
      </c>
      <c r="P77" s="117">
        <f>COUNTIF(Table15[Spawner],Table1[[#This Row],[Spawner Prefab]])</f>
        <v>0</v>
      </c>
      <c r="Q77" s="117">
        <f>ROUND((Table1[[#This Row],[Total in "Castle" scene]]/SUM(Table1[Total in "Castle" scene]))*100,1)</f>
        <v>0</v>
      </c>
      <c r="R77" s="115">
        <f>COUNTIF(Table20[Spawner],Table1[[#This Row],[Spawner Prefab]])</f>
        <v>0</v>
      </c>
      <c r="S77" s="115">
        <f>ROUND((Table1[[#This Row],[Total in "Dark" scene]]/SUM(Table1[Total in "Dark" scene]))*100,1)</f>
        <v>0</v>
      </c>
      <c r="T77" s="117">
        <f>Table1[[#This Row],[Total in "Village" scene]]+Table1[[#This Row],[Total in "Castle" scene]]</f>
        <v>6</v>
      </c>
      <c r="U77" s="117">
        <f>ROUND((Table1[[#This Row],[Total in the game]]/SUM(Table1[Total in the game]))*100,1)</f>
        <v>0.1</v>
      </c>
    </row>
    <row r="78" spans="4:21" x14ac:dyDescent="0.25">
      <c r="D78" s="79" t="s">
        <v>443</v>
      </c>
      <c r="E78" s="79" t="s">
        <v>624</v>
      </c>
      <c r="F78" s="79" t="s">
        <v>552</v>
      </c>
      <c r="G78" s="110">
        <v>200</v>
      </c>
      <c r="H78" s="110">
        <v>200</v>
      </c>
      <c r="I78" s="109">
        <v>20</v>
      </c>
      <c r="J78" s="109">
        <v>50</v>
      </c>
      <c r="K78" s="109">
        <v>0</v>
      </c>
      <c r="L78" s="109">
        <v>0</v>
      </c>
      <c r="M78" s="109" t="s">
        <v>9</v>
      </c>
      <c r="N78" s="114">
        <f>COUNTIF(Table7[Spawner],Table1[[#This Row],[Spawner Prefab]])</f>
        <v>0</v>
      </c>
      <c r="O78" s="114">
        <f>ROUND((Table1[[#This Row],[Total in "Village" scene]]/SUM(Table1[Total in "Village" scene]))*100,1)</f>
        <v>0</v>
      </c>
      <c r="P78" s="118">
        <f>COUNTIF(Table15[Spawner],Table1[[#This Row],[Spawner Prefab]])</f>
        <v>0</v>
      </c>
      <c r="Q78" s="118">
        <f>ROUND((Table1[[#This Row],[Total in "Castle" scene]]/SUM(Table1[Total in "Castle" scene]))*100,1)</f>
        <v>0</v>
      </c>
      <c r="R78" s="114">
        <f>COUNTIF(Table20[Spawner],Table1[[#This Row],[Spawner Prefab]])</f>
        <v>0</v>
      </c>
      <c r="S78" s="114">
        <f>ROUND((Table1[[#This Row],[Total in "Dark" scene]]/SUM(Table1[Total in "Dark" scene]))*100,1)</f>
        <v>0</v>
      </c>
      <c r="T78" s="118">
        <f>Table1[[#This Row],[Total in "Village" scene]]+Table1[[#This Row],[Total in "Castle" scene]]</f>
        <v>0</v>
      </c>
      <c r="U78" s="118">
        <f>ROUND((Table1[[#This Row],[Total in the game]]/SUM(Table1[Total in the game]))*100,1)</f>
        <v>0</v>
      </c>
    </row>
    <row r="79" spans="4:21" x14ac:dyDescent="0.25">
      <c r="D79" s="79" t="s">
        <v>591</v>
      </c>
      <c r="E79" s="79" t="s">
        <v>592</v>
      </c>
      <c r="F79" s="79" t="s">
        <v>593</v>
      </c>
      <c r="G79" s="111">
        <v>200</v>
      </c>
      <c r="H79" s="111">
        <v>200</v>
      </c>
      <c r="I79" s="108">
        <v>15</v>
      </c>
      <c r="J79" s="108">
        <v>50</v>
      </c>
      <c r="K79" s="108">
        <v>0</v>
      </c>
      <c r="L79" s="108">
        <v>0</v>
      </c>
      <c r="M79" s="108" t="s">
        <v>9</v>
      </c>
      <c r="N79" s="115">
        <f>COUNTIF(Table7[Spawner],Table1[[#This Row],[Spawner Prefab]])</f>
        <v>0</v>
      </c>
      <c r="O79" s="115">
        <f>ROUND((Table1[[#This Row],[Total in "Village" scene]]/SUM(Table1[Total in "Village" scene]))*100,1)</f>
        <v>0</v>
      </c>
      <c r="P79" s="117">
        <f>COUNTIF(Table15[Spawner],Table1[[#This Row],[Spawner Prefab]])</f>
        <v>0</v>
      </c>
      <c r="Q79" s="117">
        <f>ROUND((Table1[[#This Row],[Total in "Castle" scene]]/SUM(Table1[Total in "Castle" scene]))*100,1)</f>
        <v>0</v>
      </c>
      <c r="R79" s="115">
        <f>COUNTIF(Table20[Spawner],Table1[[#This Row],[Spawner Prefab]])</f>
        <v>0</v>
      </c>
      <c r="S79" s="115">
        <f>ROUND((Table1[[#This Row],[Total in "Dark" scene]]/SUM(Table1[Total in "Dark" scene]))*100,1)</f>
        <v>0</v>
      </c>
      <c r="T79" s="117">
        <f>Table1[[#This Row],[Total in "Village" scene]]+Table1[[#This Row],[Total in "Castle" scene]]</f>
        <v>0</v>
      </c>
      <c r="U79" s="117">
        <f>ROUND((Table1[[#This Row],[Total in the game]]/SUM(Table1[Total in the game]))*100,1)</f>
        <v>0</v>
      </c>
    </row>
    <row r="80" spans="4:21" x14ac:dyDescent="0.25">
      <c r="D80" s="79" t="s">
        <v>594</v>
      </c>
      <c r="E80" s="79" t="s">
        <v>595</v>
      </c>
      <c r="F80" s="79" t="s">
        <v>596</v>
      </c>
      <c r="G80" s="110">
        <v>120</v>
      </c>
      <c r="H80" s="110">
        <v>120</v>
      </c>
      <c r="I80" s="109">
        <v>50</v>
      </c>
      <c r="J80" s="109">
        <v>110</v>
      </c>
      <c r="K80" s="109">
        <v>3</v>
      </c>
      <c r="L80" s="109">
        <v>3</v>
      </c>
      <c r="M80" s="109" t="s">
        <v>9</v>
      </c>
      <c r="N80" s="114">
        <f>COUNTIF(Table7[Spawner],Table1[[#This Row],[Spawner Prefab]])</f>
        <v>0</v>
      </c>
      <c r="O80" s="11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18">
        <f>ROUND((Table1[[#This Row],[Total in "Castle" scene]]/SUM(Table1[Total in "Castle" scene]))*100,1)</f>
        <v>0</v>
      </c>
      <c r="R80" s="114">
        <f>COUNTIF(Table20[Spawner],Table1[[#This Row],[Spawner Prefab]])</f>
        <v>0</v>
      </c>
      <c r="S80" s="114">
        <f>ROUND((Table1[[#This Row],[Total in "Dark" scene]]/SUM(Table1[Total in "Dark" scene]))*100,1)</f>
        <v>0</v>
      </c>
      <c r="T80" s="118">
        <f>Table1[[#This Row],[Total in "Village" scene]]+Table1[[#This Row],[Total in "Castle" scene]]</f>
        <v>0</v>
      </c>
      <c r="U80" s="118">
        <f>ROUND((Table1[[#This Row],[Total in the game]]/SUM(Table1[Total in the game]))*100,1)</f>
        <v>0</v>
      </c>
    </row>
    <row r="81" spans="4:21" x14ac:dyDescent="0.25">
      <c r="D81" s="79" t="s">
        <v>597</v>
      </c>
      <c r="E81" s="79" t="s">
        <v>598</v>
      </c>
      <c r="F81" s="79" t="s">
        <v>599</v>
      </c>
      <c r="G81" s="111">
        <v>120</v>
      </c>
      <c r="H81" s="111">
        <v>120</v>
      </c>
      <c r="I81" s="108">
        <v>25</v>
      </c>
      <c r="J81" s="108">
        <v>70</v>
      </c>
      <c r="K81" s="108">
        <v>3</v>
      </c>
      <c r="L81" s="108">
        <v>3</v>
      </c>
      <c r="M81" s="108" t="s">
        <v>9</v>
      </c>
      <c r="N81" s="115">
        <f>COUNTIF(Table7[Spawner],Table1[[#This Row],[Spawner Prefab]])</f>
        <v>0</v>
      </c>
      <c r="O81" s="115">
        <f>ROUND((Table1[[#This Row],[Total in "Village" scene]]/SUM(Table1[Total in "Village" scene]))*100,1)</f>
        <v>0</v>
      </c>
      <c r="P81" s="117">
        <f>COUNTIF(Table15[Spawner],Table1[[#This Row],[Spawner Prefab]])</f>
        <v>0</v>
      </c>
      <c r="Q81" s="117">
        <f>ROUND((Table1[[#This Row],[Total in "Castle" scene]]/SUM(Table1[Total in "Castle" scene]))*100,1)</f>
        <v>0</v>
      </c>
      <c r="R81" s="115">
        <f>COUNTIF(Table20[Spawner],Table1[[#This Row],[Spawner Prefab]])</f>
        <v>0</v>
      </c>
      <c r="S81" s="115">
        <f>ROUND((Table1[[#This Row],[Total in "Dark" scene]]/SUM(Table1[Total in "Dark" scene]))*100,1)</f>
        <v>0</v>
      </c>
      <c r="T81" s="117">
        <f>Table1[[#This Row],[Total in "Village" scene]]+Table1[[#This Row],[Total in "Castle" scene]]</f>
        <v>0</v>
      </c>
      <c r="U81" s="117">
        <f>ROUND((Table1[[#This Row],[Total in the game]]/SUM(Table1[Total in the game]))*100,1)</f>
        <v>0</v>
      </c>
    </row>
    <row r="82" spans="4:21" x14ac:dyDescent="0.25">
      <c r="D82" s="79" t="s">
        <v>513</v>
      </c>
      <c r="E82" s="79" t="s">
        <v>482</v>
      </c>
      <c r="F82" s="79" t="s">
        <v>483</v>
      </c>
      <c r="G82" s="110">
        <v>310</v>
      </c>
      <c r="H82" s="110">
        <v>310</v>
      </c>
      <c r="I82" s="109">
        <v>400</v>
      </c>
      <c r="J82" s="109">
        <v>83</v>
      </c>
      <c r="K82" s="109">
        <v>1</v>
      </c>
      <c r="L82" s="109">
        <v>2</v>
      </c>
      <c r="M82" s="109">
        <v>60</v>
      </c>
      <c r="N82" s="114">
        <f>COUNTIF(Table7[Spawner],Table1[[#This Row],[Spawner Prefab]])</f>
        <v>0</v>
      </c>
      <c r="O82" s="114">
        <f>ROUND((Table1[[#This Row],[Total in "Village" scene]]/SUM(Table1[Total in "Village" scene]))*100,1)</f>
        <v>0</v>
      </c>
      <c r="P82" s="118">
        <f>COUNTIF(Table15[Spawner],Table1[[#This Row],[Spawner Prefab]])</f>
        <v>15</v>
      </c>
      <c r="Q82" s="118">
        <f>ROUND((Table1[[#This Row],[Total in "Castle" scene]]/SUM(Table1[Total in "Castle" scene]))*100,1)</f>
        <v>0.8</v>
      </c>
      <c r="R82" s="114">
        <f>COUNTIF(Table20[Spawner],Table1[[#This Row],[Spawner Prefab]])</f>
        <v>0</v>
      </c>
      <c r="S82" s="114">
        <f>ROUND((Table1[[#This Row],[Total in "Dark" scene]]/SUM(Table1[Total in "Dark" scene]))*100,1)</f>
        <v>0</v>
      </c>
      <c r="T82" s="118">
        <f>Table1[[#This Row],[Total in "Village" scene]]+Table1[[#This Row],[Total in "Castle" scene]]</f>
        <v>15</v>
      </c>
      <c r="U82" s="118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1">
        <v>180</v>
      </c>
      <c r="H83" s="111">
        <v>180</v>
      </c>
      <c r="I83" s="108">
        <v>20</v>
      </c>
      <c r="J83" s="108">
        <v>25</v>
      </c>
      <c r="K83" s="108">
        <v>0</v>
      </c>
      <c r="L83" s="108">
        <v>0</v>
      </c>
      <c r="M83" s="108">
        <v>25</v>
      </c>
      <c r="N83" s="115">
        <f>COUNTIF(Table7[Spawner],Table1[[#This Row],[Spawner Prefab]])</f>
        <v>20</v>
      </c>
      <c r="O83" s="115">
        <f>ROUND((Table1[[#This Row],[Total in "Village" scene]]/SUM(Table1[Total in "Village" scene]))*100,1)</f>
        <v>0.8</v>
      </c>
      <c r="P83" s="117">
        <f>COUNTIF(Table15[Spawner],Table1[[#This Row],[Spawner Prefab]])</f>
        <v>0</v>
      </c>
      <c r="Q83" s="117">
        <f>ROUND((Table1[[#This Row],[Total in "Castle" scene]]/SUM(Table1[Total in "Castle" scene]))*100,1)</f>
        <v>0</v>
      </c>
      <c r="R83" s="115">
        <f>COUNTIF(Table20[Spawner],Table1[[#This Row],[Spawner Prefab]])</f>
        <v>0</v>
      </c>
      <c r="S83" s="115">
        <f>ROUND((Table1[[#This Row],[Total in "Dark" scene]]/SUM(Table1[Total in "Dark" scene]))*100,1)</f>
        <v>0</v>
      </c>
      <c r="T83" s="117">
        <f>Table1[[#This Row],[Total in "Village" scene]]+Table1[[#This Row],[Total in "Castle" scene]]</f>
        <v>20</v>
      </c>
      <c r="U83" s="117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10">
        <v>220</v>
      </c>
      <c r="H84" s="110">
        <v>220</v>
      </c>
      <c r="I84" s="109">
        <v>25</v>
      </c>
      <c r="J84" s="109">
        <v>83</v>
      </c>
      <c r="K84" s="109">
        <v>1</v>
      </c>
      <c r="L84" s="109">
        <v>1</v>
      </c>
      <c r="M84" s="109" t="s">
        <v>9</v>
      </c>
      <c r="N84" s="114">
        <f>COUNTIF(Table7[Spawner],Table1[[#This Row],[Spawner Prefab]])</f>
        <v>6</v>
      </c>
      <c r="O84" s="114">
        <f>ROUND((Table1[[#This Row],[Total in "Village" scene]]/SUM(Table1[Total in "Village" scene]))*100,1)</f>
        <v>0.2</v>
      </c>
      <c r="P84" s="118">
        <f>COUNTIF(Table15[Spawner],Table1[[#This Row],[Spawner Prefab]])</f>
        <v>6</v>
      </c>
      <c r="Q84" s="118">
        <f>ROUND((Table1[[#This Row],[Total in "Castle" scene]]/SUM(Table1[Total in "Castle" scene]))*100,1)</f>
        <v>0.3</v>
      </c>
      <c r="R84" s="114">
        <f>COUNTIF(Table20[Spawner],Table1[[#This Row],[Spawner Prefab]])</f>
        <v>0</v>
      </c>
      <c r="S84" s="114">
        <f>ROUND((Table1[[#This Row],[Total in "Dark" scene]]/SUM(Table1[Total in "Dark" scene]))*100,1)</f>
        <v>0</v>
      </c>
      <c r="T84" s="118">
        <f>Table1[[#This Row],[Total in "Village" scene]]+Table1[[#This Row],[Total in "Castle" scene]]</f>
        <v>12</v>
      </c>
      <c r="U84" s="118">
        <f>ROUND((Table1[[#This Row],[Total in the game]]/SUM(Table1[Total in the game]))*100,1)</f>
        <v>0.3</v>
      </c>
    </row>
    <row r="85" spans="4:21" x14ac:dyDescent="0.25">
      <c r="D85" s="79" t="s">
        <v>76</v>
      </c>
      <c r="E85" s="79" t="s">
        <v>17</v>
      </c>
      <c r="F85" s="79" t="s">
        <v>7</v>
      </c>
      <c r="G85" s="111">
        <v>220</v>
      </c>
      <c r="H85" s="111">
        <v>220</v>
      </c>
      <c r="I85" s="108">
        <v>25</v>
      </c>
      <c r="J85" s="108">
        <v>83</v>
      </c>
      <c r="K85" s="108">
        <v>1</v>
      </c>
      <c r="L85" s="108">
        <v>1</v>
      </c>
      <c r="M85" s="108" t="s">
        <v>9</v>
      </c>
      <c r="N85" s="115">
        <f>COUNTIF(Table7[Spawner],Table1[[#This Row],[Spawner Prefab]])</f>
        <v>4</v>
      </c>
      <c r="O85" s="115">
        <f>ROUND((Table1[[#This Row],[Total in "Village" scene]]/SUM(Table1[Total in "Village" scene]))*100,1)</f>
        <v>0.2</v>
      </c>
      <c r="P85" s="117">
        <f>COUNTIF(Table15[Spawner],Table1[[#This Row],[Spawner Prefab]])</f>
        <v>0</v>
      </c>
      <c r="Q85" s="117">
        <f>ROUND((Table1[[#This Row],[Total in "Castle" scene]]/SUM(Table1[Total in "Castle" scene]))*100,1)</f>
        <v>0</v>
      </c>
      <c r="R85" s="115">
        <f>COUNTIF(Table20[Spawner],Table1[[#This Row],[Spawner Prefab]])</f>
        <v>0</v>
      </c>
      <c r="S85" s="115">
        <f>ROUND((Table1[[#This Row],[Total in "Dark" scene]]/SUM(Table1[Total in "Dark" scene]))*100,1)</f>
        <v>0</v>
      </c>
      <c r="T85" s="117">
        <f>Table1[[#This Row],[Total in "Village" scene]]+Table1[[#This Row],[Total in "Castle" scene]]</f>
        <v>4</v>
      </c>
      <c r="U85" s="117">
        <f>ROUND((Table1[[#This Row],[Total in the game]]/SUM(Table1[Total in the game]))*100,1)</f>
        <v>0.1</v>
      </c>
    </row>
    <row r="86" spans="4:21" x14ac:dyDescent="0.25">
      <c r="D86" s="79" t="s">
        <v>88</v>
      </c>
      <c r="E86" s="79" t="s">
        <v>26</v>
      </c>
      <c r="F86" s="79" t="s">
        <v>24</v>
      </c>
      <c r="G86" s="110">
        <v>200</v>
      </c>
      <c r="H86" s="110">
        <v>200</v>
      </c>
      <c r="I86" s="109">
        <v>32</v>
      </c>
      <c r="J86" s="109">
        <v>75</v>
      </c>
      <c r="K86" s="109">
        <v>0</v>
      </c>
      <c r="L86" s="109">
        <v>0</v>
      </c>
      <c r="M86" s="109">
        <v>40</v>
      </c>
      <c r="N86" s="114">
        <f>COUNTIF(Table7[Spawner],Table1[[#This Row],[Spawner Prefab]])</f>
        <v>18</v>
      </c>
      <c r="O86" s="11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18">
        <f>ROUND((Table1[[#This Row],[Total in "Castle" scene]]/SUM(Table1[Total in "Castle" scene]))*100,1)</f>
        <v>1.6</v>
      </c>
      <c r="R86" s="114">
        <f>COUNTIF(Table20[Spawner],Table1[[#This Row],[Spawner Prefab]])</f>
        <v>0</v>
      </c>
      <c r="S86" s="114">
        <f>ROUND((Table1[[#This Row],[Total in "Dark" scene]]/SUM(Table1[Total in "Dark" scene]))*100,1)</f>
        <v>0</v>
      </c>
      <c r="T86" s="118">
        <f>Table1[[#This Row],[Total in "Village" scene]]+Table1[[#This Row],[Total in "Castle" scene]]</f>
        <v>48</v>
      </c>
      <c r="U86" s="118">
        <f>ROUND((Table1[[#This Row],[Total in the game]]/SUM(Table1[Total in the game]))*100,1)</f>
        <v>1.1000000000000001</v>
      </c>
    </row>
    <row r="87" spans="4:21" x14ac:dyDescent="0.25">
      <c r="D87" s="79" t="s">
        <v>88</v>
      </c>
      <c r="E87" s="79" t="s">
        <v>578</v>
      </c>
      <c r="F87" s="79" t="s">
        <v>579</v>
      </c>
      <c r="G87" s="111">
        <v>200</v>
      </c>
      <c r="H87" s="111">
        <v>200</v>
      </c>
      <c r="I87" s="108">
        <v>32</v>
      </c>
      <c r="J87" s="108">
        <v>75</v>
      </c>
      <c r="K87" s="108">
        <v>0</v>
      </c>
      <c r="L87" s="108">
        <v>0</v>
      </c>
      <c r="M87" s="108">
        <v>24</v>
      </c>
      <c r="N87" s="115">
        <f>COUNTIF(Table7[Spawner],Table1[[#This Row],[Spawner Prefab]])</f>
        <v>4</v>
      </c>
      <c r="O87" s="115">
        <f>ROUND((Table1[[#This Row],[Total in "Village" scene]]/SUM(Table1[Total in "Village" scene]))*100,1)</f>
        <v>0.2</v>
      </c>
      <c r="P87" s="117">
        <f>COUNTIF(Table15[Spawner],Table1[[#This Row],[Spawner Prefab]])</f>
        <v>0</v>
      </c>
      <c r="Q87" s="117">
        <f>ROUND((Table1[[#This Row],[Total in "Castle" scene]]/SUM(Table1[Total in "Castle" scene]))*100,1)</f>
        <v>0</v>
      </c>
      <c r="R87" s="115">
        <f>COUNTIF(Table20[Spawner],Table1[[#This Row],[Spawner Prefab]])</f>
        <v>0</v>
      </c>
      <c r="S87" s="115">
        <f>ROUND((Table1[[#This Row],[Total in "Dark" scene]]/SUM(Table1[Total in "Dark" scene]))*100,1)</f>
        <v>0</v>
      </c>
      <c r="T87" s="117">
        <f>Table1[[#This Row],[Total in "Village" scene]]+Table1[[#This Row],[Total in "Castle" scene]]</f>
        <v>4</v>
      </c>
      <c r="U87" s="117">
        <f>ROUND((Table1[[#This Row],[Total in the game]]/SUM(Table1[Total in the game]))*100,1)</f>
        <v>0.1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0">
        <v>170</v>
      </c>
      <c r="H88" s="110">
        <v>170</v>
      </c>
      <c r="I88" s="109">
        <v>10</v>
      </c>
      <c r="J88" s="109">
        <v>70</v>
      </c>
      <c r="K88" s="109">
        <v>2</v>
      </c>
      <c r="L88" s="109">
        <v>2</v>
      </c>
      <c r="M88" s="109">
        <v>5</v>
      </c>
      <c r="N88" s="114">
        <f>COUNTIF(Table7[Spawner],Table1[[#This Row],[Spawner Prefab]])</f>
        <v>39</v>
      </c>
      <c r="O88" s="114">
        <f>ROUND((Table1[[#This Row],[Total in "Village" scene]]/SUM(Table1[Total in "Village" scene]))*100,1)</f>
        <v>1.5</v>
      </c>
      <c r="P88" s="118">
        <f>COUNTIF(Table15[Spawner],Table1[[#This Row],[Spawner Prefab]])</f>
        <v>67</v>
      </c>
      <c r="Q88" s="118">
        <f>ROUND((Table1[[#This Row],[Total in "Castle" scene]]/SUM(Table1[Total in "Castle" scene]))*100,1)</f>
        <v>3.6</v>
      </c>
      <c r="R88" s="114">
        <f>COUNTIF(Table20[Spawner],Table1[[#This Row],[Spawner Prefab]])</f>
        <v>2</v>
      </c>
      <c r="S88" s="114">
        <f>ROUND((Table1[[#This Row],[Total in "Dark" scene]]/SUM(Table1[Total in "Dark" scene]))*100,1)</f>
        <v>66.7</v>
      </c>
      <c r="T88" s="118">
        <f>Table1[[#This Row],[Total in "Village" scene]]+Table1[[#This Row],[Total in "Castle" scene]]</f>
        <v>106</v>
      </c>
      <c r="U88" s="118">
        <f>ROUND((Table1[[#This Row],[Total in the game]]/SUM(Table1[Total in the game]))*100,1)</f>
        <v>2.4</v>
      </c>
    </row>
    <row r="89" spans="4:21" x14ac:dyDescent="0.25">
      <c r="D89" s="79" t="s">
        <v>600</v>
      </c>
      <c r="E89" s="79" t="s">
        <v>601</v>
      </c>
      <c r="F89" s="79" t="s">
        <v>602</v>
      </c>
      <c r="G89" s="111">
        <v>110</v>
      </c>
      <c r="H89" s="111">
        <v>110</v>
      </c>
      <c r="I89" s="108">
        <v>50</v>
      </c>
      <c r="J89" s="108">
        <v>110</v>
      </c>
      <c r="K89" s="108">
        <v>3</v>
      </c>
      <c r="L89" s="108">
        <v>3</v>
      </c>
      <c r="M89" s="108" t="s">
        <v>9</v>
      </c>
      <c r="N89" s="115">
        <f>COUNTIF(Table7[Spawner],Table1[[#This Row],[Spawner Prefab]])</f>
        <v>0</v>
      </c>
      <c r="O89" s="115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17">
        <f>ROUND((Table1[[#This Row],[Total in "Castle" scene]]/SUM(Table1[Total in "Castle" scene]))*100,1)</f>
        <v>0</v>
      </c>
      <c r="R89" s="115">
        <f>COUNTIF(Table20[Spawner],Table1[[#This Row],[Spawner Prefab]])</f>
        <v>0</v>
      </c>
      <c r="S89" s="115">
        <f>ROUND((Table1[[#This Row],[Total in "Dark" scene]]/SUM(Table1[Total in "Dark" scene]))*100,1)</f>
        <v>0</v>
      </c>
      <c r="T89" s="117">
        <f>Table1[[#This Row],[Total in "Village" scene]]+Table1[[#This Row],[Total in "Castle" scene]]</f>
        <v>0</v>
      </c>
      <c r="U89" s="117">
        <f>ROUND((Table1[[#This Row],[Total in the game]]/SUM(Table1[Total in the game]))*100,1)</f>
        <v>0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0">
        <v>280</v>
      </c>
      <c r="H90" s="110">
        <v>280</v>
      </c>
      <c r="I90" s="109">
        <v>20</v>
      </c>
      <c r="J90" s="109">
        <v>75</v>
      </c>
      <c r="K90" s="109">
        <v>0</v>
      </c>
      <c r="L90" s="109">
        <v>0</v>
      </c>
      <c r="M90" s="109">
        <v>13</v>
      </c>
      <c r="N90" s="114">
        <f>COUNTIF(Table7[Spawner],Table1[[#This Row],[Spawner Prefab]])</f>
        <v>0</v>
      </c>
      <c r="O90" s="11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18">
        <f>ROUND((Table1[[#This Row],[Total in "Castle" scene]]/SUM(Table1[Total in "Castle" scene]))*100,1)</f>
        <v>0</v>
      </c>
      <c r="R90" s="114">
        <f>COUNTIF(Table20[Spawner],Table1[[#This Row],[Spawner Prefab]])</f>
        <v>0</v>
      </c>
      <c r="S90" s="114">
        <f>ROUND((Table1[[#This Row],[Total in "Dark" scene]]/SUM(Table1[Total in "Dark" scene]))*100,1)</f>
        <v>0</v>
      </c>
      <c r="T90" s="118">
        <f>Table1[[#This Row],[Total in "Village" scene]]+Table1[[#This Row],[Total in "Castle" scene]]</f>
        <v>0</v>
      </c>
      <c r="U90" s="118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484</v>
      </c>
      <c r="F91" s="79" t="s">
        <v>485</v>
      </c>
      <c r="G91" s="111">
        <v>280</v>
      </c>
      <c r="H91" s="111">
        <v>280</v>
      </c>
      <c r="I91" s="108">
        <v>20</v>
      </c>
      <c r="J91" s="108">
        <v>75</v>
      </c>
      <c r="K91" s="108">
        <v>0</v>
      </c>
      <c r="L91" s="108">
        <v>0</v>
      </c>
      <c r="M91" s="108">
        <v>13</v>
      </c>
      <c r="N91" s="115">
        <f>COUNTIF(Table7[Spawner],Table1[[#This Row],[Spawner Prefab]])</f>
        <v>0</v>
      </c>
      <c r="O91" s="115">
        <f>ROUND((Table1[[#This Row],[Total in "Village" scene]]/SUM(Table1[Total in "Village" scene]))*100,1)</f>
        <v>0</v>
      </c>
      <c r="P91" s="117">
        <f>COUNTIF(Table15[Spawner],Table1[[#This Row],[Spawner Prefab]])</f>
        <v>0</v>
      </c>
      <c r="Q91" s="117">
        <f>ROUND((Table1[[#This Row],[Total in "Castle" scene]]/SUM(Table1[Total in "Castle" scene]))*100,1)</f>
        <v>0</v>
      </c>
      <c r="R91" s="115">
        <f>COUNTIF(Table20[Spawner],Table1[[#This Row],[Spawner Prefab]])</f>
        <v>0</v>
      </c>
      <c r="S91" s="115">
        <f>ROUND((Table1[[#This Row],[Total in "Dark" scene]]/SUM(Table1[Total in "Dark" scene]))*100,1)</f>
        <v>0</v>
      </c>
      <c r="T91" s="117">
        <f>Table1[[#This Row],[Total in "Village" scene]]+Table1[[#This Row],[Total in "Castle" scene]]</f>
        <v>0</v>
      </c>
      <c r="U91" s="117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0">
        <v>2500</v>
      </c>
      <c r="H92" s="110">
        <v>2500</v>
      </c>
      <c r="I92" s="109">
        <v>0</v>
      </c>
      <c r="J92" s="109">
        <v>263</v>
      </c>
      <c r="K92" s="109">
        <v>5</v>
      </c>
      <c r="L92" s="109">
        <v>5</v>
      </c>
      <c r="M92" s="109">
        <v>440</v>
      </c>
      <c r="N92" s="114">
        <f>COUNTIF(Table7[Spawner],Table1[[#This Row],[Spawner Prefab]])</f>
        <v>15</v>
      </c>
      <c r="O92" s="11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18">
        <f>ROUND((Table1[[#This Row],[Total in "Castle" scene]]/SUM(Table1[Total in "Castle" scene]))*100,1)</f>
        <v>0.5</v>
      </c>
      <c r="R92" s="114">
        <f>COUNTIF(Table20[Spawner],Table1[[#This Row],[Spawner Prefab]])</f>
        <v>0</v>
      </c>
      <c r="S92" s="114">
        <f>ROUND((Table1[[#This Row],[Total in "Dark" scene]]/SUM(Table1[Total in "Dark" scene]))*100,1)</f>
        <v>0</v>
      </c>
      <c r="T92" s="118">
        <f>Table1[[#This Row],[Total in "Village" scene]]+Table1[[#This Row],[Total in "Castle" scene]]</f>
        <v>24</v>
      </c>
      <c r="U92" s="118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08">
        <v>0</v>
      </c>
      <c r="J93" s="108">
        <v>263</v>
      </c>
      <c r="K93" s="108">
        <v>5</v>
      </c>
      <c r="L93" s="108">
        <v>5</v>
      </c>
      <c r="M93" s="108">
        <v>440</v>
      </c>
      <c r="N93" s="115">
        <f>COUNTIF(Table7[Spawner],Table1[[#This Row],[Spawner Prefab]])</f>
        <v>9</v>
      </c>
      <c r="O93" s="115">
        <f>ROUND((Table1[[#This Row],[Total in "Village" scene]]/SUM(Table1[Total in "Village" scene]))*100,1)</f>
        <v>0.4</v>
      </c>
      <c r="P93" s="117">
        <f>COUNTIF(Table15[Spawner],Table1[[#This Row],[Spawner Prefab]])</f>
        <v>8</v>
      </c>
      <c r="Q93" s="117">
        <f>ROUND((Table1[[#This Row],[Total in "Castle" scene]]/SUM(Table1[Total in "Castle" scene]))*100,1)</f>
        <v>0.4</v>
      </c>
      <c r="R93" s="115">
        <f>COUNTIF(Table20[Spawner],Table1[[#This Row],[Spawner Prefab]])</f>
        <v>0</v>
      </c>
      <c r="S93" s="115">
        <f>ROUND((Table1[[#This Row],[Total in "Dark" scene]]/SUM(Table1[Total in "Dark" scene]))*100,1)</f>
        <v>0</v>
      </c>
      <c r="T93" s="117">
        <f>Table1[[#This Row],[Total in "Village" scene]]+Table1[[#This Row],[Total in "Castle" scene]]</f>
        <v>17</v>
      </c>
      <c r="U93" s="117">
        <f>ROUND((Table1[[#This Row],[Total in the game]]/SUM(Table1[Total in the game]))*100,1)</f>
        <v>0.4</v>
      </c>
    </row>
    <row r="94" spans="4:21" x14ac:dyDescent="0.25">
      <c r="D94" s="79" t="s">
        <v>120</v>
      </c>
      <c r="E94" s="79" t="s">
        <v>290</v>
      </c>
      <c r="F94" s="79" t="s">
        <v>291</v>
      </c>
      <c r="G94" s="110">
        <v>2000</v>
      </c>
      <c r="H94" s="110">
        <v>2000</v>
      </c>
      <c r="I94" s="109">
        <v>0</v>
      </c>
      <c r="J94" s="109">
        <v>175</v>
      </c>
      <c r="K94" s="109">
        <v>5</v>
      </c>
      <c r="L94" s="109">
        <v>5</v>
      </c>
      <c r="M94" s="109">
        <v>150</v>
      </c>
      <c r="N94" s="114">
        <f>COUNTIF(Table7[Spawner],Table1[[#This Row],[Spawner Prefab]])</f>
        <v>20</v>
      </c>
      <c r="O94" s="114">
        <f>ROUND((Table1[[#This Row],[Total in "Village" scene]]/SUM(Table1[Total in "Village" scene]))*100,1)</f>
        <v>0.8</v>
      </c>
      <c r="P94" s="118">
        <f>COUNTIF(Table15[Spawner],Table1[[#This Row],[Spawner Prefab]])</f>
        <v>11</v>
      </c>
      <c r="Q94" s="118">
        <f>ROUND((Table1[[#This Row],[Total in "Castle" scene]]/SUM(Table1[Total in "Castle" scene]))*100,1)</f>
        <v>0.6</v>
      </c>
      <c r="R94" s="114">
        <f>COUNTIF(Table20[Spawner],Table1[[#This Row],[Spawner Prefab]])</f>
        <v>0</v>
      </c>
      <c r="S94" s="114">
        <f>ROUND((Table1[[#This Row],[Total in "Dark" scene]]/SUM(Table1[Total in "Dark" scene]))*100,1)</f>
        <v>0</v>
      </c>
      <c r="T94" s="118">
        <f>Table1[[#This Row],[Total in "Village" scene]]+Table1[[#This Row],[Total in "Castle" scene]]</f>
        <v>31</v>
      </c>
      <c r="U94" s="118">
        <f>ROUND((Table1[[#This Row],[Total in the game]]/SUM(Table1[Total in the game]))*100,1)</f>
        <v>0.7</v>
      </c>
    </row>
    <row r="95" spans="4:21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08">
        <v>0</v>
      </c>
      <c r="J95" s="108">
        <v>175</v>
      </c>
      <c r="K95" s="108">
        <v>5</v>
      </c>
      <c r="L95" s="108">
        <v>5</v>
      </c>
      <c r="M95" s="108">
        <v>150</v>
      </c>
      <c r="N95" s="115">
        <f>COUNTIF(Table7[Spawner],Table1[[#This Row],[Spawner Prefab]])</f>
        <v>4</v>
      </c>
      <c r="O95" s="115">
        <f>ROUND((Table1[[#This Row],[Total in "Village" scene]]/SUM(Table1[Total in "Village" scene]))*100,1)</f>
        <v>0.2</v>
      </c>
      <c r="P95" s="117">
        <f>COUNTIF(Table15[Spawner],Table1[[#This Row],[Spawner Prefab]])</f>
        <v>3</v>
      </c>
      <c r="Q95" s="117">
        <f>ROUND((Table1[[#This Row],[Total in "Castle" scene]]/SUM(Table1[Total in "Castle" scene]))*100,1)</f>
        <v>0.2</v>
      </c>
      <c r="R95" s="115">
        <f>COUNTIF(Table20[Spawner],Table1[[#This Row],[Spawner Prefab]])</f>
        <v>0</v>
      </c>
      <c r="S95" s="115">
        <f>ROUND((Table1[[#This Row],[Total in "Dark" scene]]/SUM(Table1[Total in "Dark" scene]))*100,1)</f>
        <v>0</v>
      </c>
      <c r="T95" s="117">
        <f>Table1[[#This Row],[Total in "Village" scene]]+Table1[[#This Row],[Total in "Castle" scene]]</f>
        <v>7</v>
      </c>
      <c r="U95" s="117">
        <f>ROUND((Table1[[#This Row],[Total in the game]]/SUM(Table1[Total in the game]))*100,1)</f>
        <v>0.2</v>
      </c>
    </row>
    <row r="96" spans="4:21" x14ac:dyDescent="0.25">
      <c r="D96" s="79" t="s">
        <v>292</v>
      </c>
      <c r="E96" s="79" t="s">
        <v>295</v>
      </c>
      <c r="F96" s="79" t="s">
        <v>296</v>
      </c>
      <c r="G96" s="110">
        <v>1500</v>
      </c>
      <c r="H96" s="110">
        <v>1500</v>
      </c>
      <c r="I96" s="109">
        <v>2</v>
      </c>
      <c r="J96" s="109">
        <v>130</v>
      </c>
      <c r="K96" s="109">
        <v>4</v>
      </c>
      <c r="L96" s="109">
        <v>4</v>
      </c>
      <c r="M96" s="109">
        <v>35</v>
      </c>
      <c r="N96" s="114">
        <f>COUNTIF(Table7[Spawner],Table1[[#This Row],[Spawner Prefab]])</f>
        <v>34</v>
      </c>
      <c r="O96" s="114">
        <f>ROUND((Table1[[#This Row],[Total in "Village" scene]]/SUM(Table1[Total in "Village" scene]))*100,1)</f>
        <v>1.3</v>
      </c>
      <c r="P96" s="118">
        <f>COUNTIF(Table15[Spawner],Table1[[#This Row],[Spawner Prefab]])</f>
        <v>31</v>
      </c>
      <c r="Q96" s="118">
        <f>ROUND((Table1[[#This Row],[Total in "Castle" scene]]/SUM(Table1[Total in "Castle" scene]))*100,1)</f>
        <v>1.7</v>
      </c>
      <c r="R96" s="114">
        <f>COUNTIF(Table20[Spawner],Table1[[#This Row],[Spawner Prefab]])</f>
        <v>0</v>
      </c>
      <c r="S96" s="114">
        <f>ROUND((Table1[[#This Row],[Total in "Dark" scene]]/SUM(Table1[Total in "Dark" scene]))*100,1)</f>
        <v>0</v>
      </c>
      <c r="T96" s="118">
        <f>Table1[[#This Row],[Total in "Village" scene]]+Table1[[#This Row],[Total in "Castle" scene]]</f>
        <v>65</v>
      </c>
      <c r="U96" s="118">
        <f>ROUND((Table1[[#This Row],[Total in the game]]/SUM(Table1[Total in the game]))*100,1)</f>
        <v>1.5</v>
      </c>
    </row>
    <row r="97" spans="4:21" x14ac:dyDescent="0.25">
      <c r="D97" s="79" t="s">
        <v>292</v>
      </c>
      <c r="E97" s="79" t="s">
        <v>293</v>
      </c>
      <c r="F97" s="79" t="s">
        <v>294</v>
      </c>
      <c r="G97" s="111">
        <v>1500</v>
      </c>
      <c r="H97" s="111">
        <v>1500</v>
      </c>
      <c r="I97" s="108">
        <v>2</v>
      </c>
      <c r="J97" s="108">
        <v>130</v>
      </c>
      <c r="K97" s="108">
        <v>4</v>
      </c>
      <c r="L97" s="108">
        <v>4</v>
      </c>
      <c r="M97" s="108">
        <v>35</v>
      </c>
      <c r="N97" s="115">
        <f>COUNTIF(Table7[Spawner],Table1[[#This Row],[Spawner Prefab]])</f>
        <v>33</v>
      </c>
      <c r="O97" s="115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17">
        <f>ROUND((Table1[[#This Row],[Total in "Castle" scene]]/SUM(Table1[Total in "Castle" scene]))*100,1)</f>
        <v>0.3</v>
      </c>
      <c r="R97" s="115">
        <f>COUNTIF(Table20[Spawner],Table1[[#This Row],[Spawner Prefab]])</f>
        <v>0</v>
      </c>
      <c r="S97" s="115">
        <f>ROUND((Table1[[#This Row],[Total in "Dark" scene]]/SUM(Table1[Total in "Dark" scene]))*100,1)</f>
        <v>0</v>
      </c>
      <c r="T97" s="117">
        <f>Table1[[#This Row],[Total in "Village" scene]]+Table1[[#This Row],[Total in "Castle" scene]]</f>
        <v>38</v>
      </c>
      <c r="U97" s="117">
        <f>ROUND((Table1[[#This Row],[Total in the game]]/SUM(Table1[Total in the game]))*100,1)</f>
        <v>0.9</v>
      </c>
    </row>
    <row r="98" spans="4:21" x14ac:dyDescent="0.25">
      <c r="D98" s="79" t="s">
        <v>603</v>
      </c>
      <c r="E98" s="79" t="s">
        <v>604</v>
      </c>
      <c r="F98" s="79" t="s">
        <v>605</v>
      </c>
      <c r="G98" s="110">
        <v>210</v>
      </c>
      <c r="H98" s="110">
        <v>210</v>
      </c>
      <c r="I98" s="109">
        <v>15</v>
      </c>
      <c r="J98" s="109">
        <v>30</v>
      </c>
      <c r="K98" s="109">
        <v>3</v>
      </c>
      <c r="L98" s="109">
        <v>3</v>
      </c>
      <c r="M98" s="109">
        <v>15</v>
      </c>
      <c r="N98" s="114">
        <f>COUNTIF(Table7[Spawner],Table1[[#This Row],[Spawner Prefab]])</f>
        <v>0</v>
      </c>
      <c r="O98" s="11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18">
        <f>ROUND((Table1[[#This Row],[Total in "Castle" scene]]/SUM(Table1[Total in "Castle" scene]))*100,1)</f>
        <v>0</v>
      </c>
      <c r="R98" s="114">
        <f>COUNTIF(Table20[Spawner],Table1[[#This Row],[Spawner Prefab]])</f>
        <v>0</v>
      </c>
      <c r="S98" s="114">
        <f>ROUND((Table1[[#This Row],[Total in "Dark" scene]]/SUM(Table1[Total in "Dark" scene]))*100,1)</f>
        <v>0</v>
      </c>
      <c r="T98" s="118">
        <f>Table1[[#This Row],[Total in "Village" scene]]+Table1[[#This Row],[Total in "Castle" scene]]</f>
        <v>0</v>
      </c>
      <c r="U98" s="118">
        <f>ROUND((Table1[[#This Row],[Total in the game]]/SUM(Table1[Total in the game]))*100,1)</f>
        <v>0</v>
      </c>
    </row>
    <row r="99" spans="4:21" ht="15" customHeight="1" x14ac:dyDescent="0.25">
      <c r="D99" s="79" t="s">
        <v>122</v>
      </c>
      <c r="E99" s="79" t="s">
        <v>297</v>
      </c>
      <c r="F99" s="79" t="s">
        <v>298</v>
      </c>
      <c r="G99" s="111">
        <v>200</v>
      </c>
      <c r="H99" s="111">
        <v>200</v>
      </c>
      <c r="I99" s="108">
        <v>10</v>
      </c>
      <c r="J99" s="108">
        <v>55</v>
      </c>
      <c r="K99" s="108">
        <v>1</v>
      </c>
      <c r="L99" s="108">
        <v>1</v>
      </c>
      <c r="M99" s="108" t="s">
        <v>9</v>
      </c>
      <c r="N99" s="115">
        <f>COUNTIF(Table7[Spawner],Table1[[#This Row],[Spawner Prefab]])</f>
        <v>7</v>
      </c>
      <c r="O99" s="115">
        <f>ROUND((Table1[[#This Row],[Total in "Village" scene]]/SUM(Table1[Total in "Village" scene]))*100,1)</f>
        <v>0.3</v>
      </c>
      <c r="P99" s="117">
        <f>COUNTIF(Table15[Spawner],Table1[[#This Row],[Spawner Prefab]])</f>
        <v>11</v>
      </c>
      <c r="Q99" s="117">
        <f>ROUND((Table1[[#This Row],[Total in "Castle" scene]]/SUM(Table1[Total in "Castle" scene]))*100,1)</f>
        <v>0.6</v>
      </c>
      <c r="R99" s="115">
        <f>COUNTIF(Table20[Spawner],Table1[[#This Row],[Spawner Prefab]])</f>
        <v>0</v>
      </c>
      <c r="S99" s="115">
        <f>ROUND((Table1[[#This Row],[Total in "Dark" scene]]/SUM(Table1[Total in "Dark" scene]))*100,1)</f>
        <v>0</v>
      </c>
      <c r="T99" s="117">
        <f>Table1[[#This Row],[Total in "Village" scene]]+Table1[[#This Row],[Total in "Castle" scene]]</f>
        <v>18</v>
      </c>
      <c r="U99" s="117">
        <f>ROUND((Table1[[#This Row],[Total in the game]]/SUM(Table1[Total in the game]))*100,1)</f>
        <v>0.4</v>
      </c>
    </row>
    <row r="100" spans="4:21" ht="15.75" customHeight="1" x14ac:dyDescent="0.25">
      <c r="D100" s="79" t="s">
        <v>121</v>
      </c>
      <c r="E100" s="79" t="s">
        <v>299</v>
      </c>
      <c r="F100" s="79" t="s">
        <v>300</v>
      </c>
      <c r="G100" s="110">
        <v>140</v>
      </c>
      <c r="H100" s="110">
        <v>140</v>
      </c>
      <c r="I100" s="109">
        <v>6</v>
      </c>
      <c r="J100" s="109">
        <v>25</v>
      </c>
      <c r="K100" s="109">
        <v>0</v>
      </c>
      <c r="L100" s="109">
        <v>0</v>
      </c>
      <c r="M100" s="109" t="s">
        <v>9</v>
      </c>
      <c r="N100" s="114">
        <f>COUNTIF(Table7[Spawner],Table1[[#This Row],[Spawner Prefab]])</f>
        <v>6</v>
      </c>
      <c r="O100" s="114">
        <f>ROUND((Table1[[#This Row],[Total in "Village" scene]]/SUM(Table1[Total in "Village" scene]))*100,1)</f>
        <v>0.2</v>
      </c>
      <c r="P100" s="118">
        <f>COUNTIF(Table15[Spawner],Table1[[#This Row],[Spawner Prefab]])</f>
        <v>18</v>
      </c>
      <c r="Q100" s="118">
        <f>ROUND((Table1[[#This Row],[Total in "Castle" scene]]/SUM(Table1[Total in "Castle" scene]))*100,1)</f>
        <v>1</v>
      </c>
      <c r="R100" s="114">
        <f>COUNTIF(Table20[Spawner],Table1[[#This Row],[Spawner Prefab]])</f>
        <v>0</v>
      </c>
      <c r="S100" s="114">
        <f>ROUND((Table1[[#This Row],[Total in "Dark" scene]]/SUM(Table1[Total in "Dark" scene]))*100,1)</f>
        <v>0</v>
      </c>
      <c r="T100" s="118">
        <f>Table1[[#This Row],[Total in "Village" scene]]+Table1[[#This Row],[Total in "Castle" scene]]</f>
        <v>24</v>
      </c>
      <c r="U100" s="118">
        <f>ROUND((Table1[[#This Row],[Total in the game]]/SUM(Table1[Total in the game]))*100,1)</f>
        <v>0.5</v>
      </c>
    </row>
    <row r="101" spans="4:21" x14ac:dyDescent="0.25">
      <c r="D101" s="79" t="s">
        <v>301</v>
      </c>
      <c r="E101" s="79" t="s">
        <v>302</v>
      </c>
      <c r="F101" s="79" t="s">
        <v>303</v>
      </c>
      <c r="G101" s="111">
        <v>170</v>
      </c>
      <c r="H101" s="111">
        <v>170</v>
      </c>
      <c r="I101" s="108">
        <v>5</v>
      </c>
      <c r="J101" s="108">
        <v>28</v>
      </c>
      <c r="K101" s="108">
        <v>1</v>
      </c>
      <c r="L101" s="108">
        <v>1</v>
      </c>
      <c r="M101" s="108">
        <v>2</v>
      </c>
      <c r="N101" s="115">
        <f>COUNTIF(Table7[Spawner],Table1[[#This Row],[Spawner Prefab]])</f>
        <v>14</v>
      </c>
      <c r="O101" s="115">
        <f>ROUND((Table1[[#This Row],[Total in "Village" scene]]/SUM(Table1[Total in "Village" scene]))*100,1)</f>
        <v>0.5</v>
      </c>
      <c r="P101" s="117">
        <f>COUNTIF(Table15[Spawner],Table1[[#This Row],[Spawner Prefab]])</f>
        <v>18</v>
      </c>
      <c r="Q101" s="117">
        <f>ROUND((Table1[[#This Row],[Total in "Castle" scene]]/SUM(Table1[Total in "Castle" scene]))*100,1)</f>
        <v>1</v>
      </c>
      <c r="R101" s="115">
        <f>COUNTIF(Table20[Spawner],Table1[[#This Row],[Spawner Prefab]])</f>
        <v>0</v>
      </c>
      <c r="S101" s="115">
        <f>ROUND((Table1[[#This Row],[Total in "Dark" scene]]/SUM(Table1[Total in "Dark" scene]))*100,1)</f>
        <v>0</v>
      </c>
      <c r="T101" s="117">
        <f>Table1[[#This Row],[Total in "Village" scene]]+Table1[[#This Row],[Total in "Castle" scene]]</f>
        <v>32</v>
      </c>
      <c r="U101" s="117">
        <f>ROUND((Table1[[#This Row],[Total in the game]]/SUM(Table1[Total in the game]))*100,1)</f>
        <v>0.7</v>
      </c>
    </row>
    <row r="102" spans="4:21" x14ac:dyDescent="0.25">
      <c r="D102" s="79" t="s">
        <v>304</v>
      </c>
      <c r="E102" s="79" t="s">
        <v>305</v>
      </c>
      <c r="F102" s="79" t="s">
        <v>306</v>
      </c>
      <c r="G102" s="110">
        <v>220</v>
      </c>
      <c r="H102" s="110">
        <v>220</v>
      </c>
      <c r="I102" s="109">
        <v>8</v>
      </c>
      <c r="J102" s="109">
        <v>35</v>
      </c>
      <c r="K102" s="109">
        <v>2</v>
      </c>
      <c r="L102" s="109">
        <v>2</v>
      </c>
      <c r="M102" s="109">
        <v>8</v>
      </c>
      <c r="N102" s="114">
        <f>COUNTIF(Table7[Spawner],Table1[[#This Row],[Spawner Prefab]])</f>
        <v>26</v>
      </c>
      <c r="O102" s="114">
        <f>ROUND((Table1[[#This Row],[Total in "Village" scene]]/SUM(Table1[Total in "Village" scene]))*100,1)</f>
        <v>1</v>
      </c>
      <c r="P102" s="118">
        <f>COUNTIF(Table15[Spawner],Table1[[#This Row],[Spawner Prefab]])</f>
        <v>13</v>
      </c>
      <c r="Q102" s="118">
        <f>ROUND((Table1[[#This Row],[Total in "Castle" scene]]/SUM(Table1[Total in "Castle" scene]))*100,1)</f>
        <v>0.7</v>
      </c>
      <c r="R102" s="114">
        <f>COUNTIF(Table20[Spawner],Table1[[#This Row],[Spawner Prefab]])</f>
        <v>0</v>
      </c>
      <c r="S102" s="114">
        <f>ROUND((Table1[[#This Row],[Total in "Dark" scene]]/SUM(Table1[Total in "Dark" scene]))*100,1)</f>
        <v>0</v>
      </c>
      <c r="T102" s="118">
        <f>Table1[[#This Row],[Total in "Village" scene]]+Table1[[#This Row],[Total in "Castle" scene]]</f>
        <v>39</v>
      </c>
      <c r="U102" s="118">
        <f>ROUND((Table1[[#This Row],[Total in the game]]/SUM(Table1[Total in the game]))*100,1)</f>
        <v>0.9</v>
      </c>
    </row>
    <row r="103" spans="4:21" x14ac:dyDescent="0.25">
      <c r="D103" s="79" t="s">
        <v>307</v>
      </c>
      <c r="E103" s="79" t="s">
        <v>308</v>
      </c>
      <c r="F103" s="79" t="s">
        <v>309</v>
      </c>
      <c r="G103" s="111">
        <v>120</v>
      </c>
      <c r="H103" s="111">
        <v>120</v>
      </c>
      <c r="I103" s="108">
        <v>2</v>
      </c>
      <c r="J103" s="108">
        <v>25</v>
      </c>
      <c r="K103" s="108">
        <v>0</v>
      </c>
      <c r="L103" s="108">
        <v>0</v>
      </c>
      <c r="M103" s="108" t="s">
        <v>9</v>
      </c>
      <c r="N103" s="115">
        <f>COUNTIF(Table7[Spawner],Table1[[#This Row],[Spawner Prefab]])</f>
        <v>46</v>
      </c>
      <c r="O103" s="115">
        <f>ROUND((Table1[[#This Row],[Total in "Village" scene]]/SUM(Table1[Total in "Village" scene]))*100,1)</f>
        <v>1.8</v>
      </c>
      <c r="P103" s="117">
        <f>COUNTIF(Table15[Spawner],Table1[[#This Row],[Spawner Prefab]])</f>
        <v>87</v>
      </c>
      <c r="Q103" s="117">
        <f>ROUND((Table1[[#This Row],[Total in "Castle" scene]]/SUM(Table1[Total in "Castle" scene]))*100,1)</f>
        <v>4.7</v>
      </c>
      <c r="R103" s="115">
        <f>COUNTIF(Table20[Spawner],Table1[[#This Row],[Spawner Prefab]])</f>
        <v>0</v>
      </c>
      <c r="S103" s="115">
        <f>ROUND((Table1[[#This Row],[Total in "Dark" scene]]/SUM(Table1[Total in "Dark" scene]))*100,1)</f>
        <v>0</v>
      </c>
      <c r="T103" s="117">
        <f>Table1[[#This Row],[Total in "Village" scene]]+Table1[[#This Row],[Total in "Castle" scene]]</f>
        <v>133</v>
      </c>
      <c r="U103" s="117">
        <f>ROUND((Table1[[#This Row],[Total in the game]]/SUM(Table1[Total in the game]))*100,1)</f>
        <v>3</v>
      </c>
    </row>
    <row r="104" spans="4:21" x14ac:dyDescent="0.25">
      <c r="D104" s="79" t="s">
        <v>307</v>
      </c>
      <c r="E104" s="79" t="s">
        <v>553</v>
      </c>
      <c r="F104" s="79" t="s">
        <v>554</v>
      </c>
      <c r="G104" s="110">
        <v>120</v>
      </c>
      <c r="H104" s="110">
        <v>120</v>
      </c>
      <c r="I104" s="109">
        <v>2</v>
      </c>
      <c r="J104" s="109">
        <v>25</v>
      </c>
      <c r="K104" s="109">
        <v>0</v>
      </c>
      <c r="L104" s="109">
        <v>0</v>
      </c>
      <c r="M104" s="109" t="s">
        <v>9</v>
      </c>
      <c r="N104" s="114">
        <f>COUNTIF(Table7[Spawner],Table1[[#This Row],[Spawner Prefab]])</f>
        <v>1</v>
      </c>
      <c r="O104" s="11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18">
        <f>ROUND((Table1[[#This Row],[Total in "Castle" scene]]/SUM(Table1[Total in "Castle" scene]))*100,1)</f>
        <v>0</v>
      </c>
      <c r="R104" s="114">
        <f>COUNTIF(Table20[Spawner],Table1[[#This Row],[Spawner Prefab]])</f>
        <v>0</v>
      </c>
      <c r="S104" s="114">
        <f>ROUND((Table1[[#This Row],[Total in "Dark" scene]]/SUM(Table1[Total in "Dark" scene]))*100,1)</f>
        <v>0</v>
      </c>
      <c r="T104" s="118">
        <f>Table1[[#This Row],[Total in "Village" scene]]+Table1[[#This Row],[Total in "Castle" scene]]</f>
        <v>1</v>
      </c>
      <c r="U104" s="118">
        <f>ROUND((Table1[[#This Row],[Total in the game]]/SUM(Table1[Total in the game]))*100,1)</f>
        <v>0</v>
      </c>
    </row>
    <row r="105" spans="4:21" x14ac:dyDescent="0.25">
      <c r="D105" s="79" t="s">
        <v>445</v>
      </c>
      <c r="E105" s="79" t="s">
        <v>446</v>
      </c>
      <c r="F105" s="79" t="s">
        <v>447</v>
      </c>
      <c r="G105" s="111">
        <v>280</v>
      </c>
      <c r="H105" s="111">
        <v>280</v>
      </c>
      <c r="I105" s="108">
        <v>20</v>
      </c>
      <c r="J105" s="108">
        <v>70</v>
      </c>
      <c r="K105" s="108">
        <v>2</v>
      </c>
      <c r="L105" s="108">
        <v>2</v>
      </c>
      <c r="M105" s="108" t="s">
        <v>9</v>
      </c>
      <c r="N105" s="115">
        <f>COUNTIF(Table7[Spawner],Table1[[#This Row],[Spawner Prefab]])</f>
        <v>22</v>
      </c>
      <c r="O105" s="115">
        <f>ROUND((Table1[[#This Row],[Total in "Village" scene]]/SUM(Table1[Total in "Village" scene]))*100,1)</f>
        <v>0.9</v>
      </c>
      <c r="P105" s="117">
        <f>COUNTIF(Table15[Spawner],Table1[[#This Row],[Spawner Prefab]])</f>
        <v>7</v>
      </c>
      <c r="Q105" s="117">
        <f>ROUND((Table1[[#This Row],[Total in "Castle" scene]]/SUM(Table1[Total in "Castle" scene]))*100,1)</f>
        <v>0.4</v>
      </c>
      <c r="R105" s="115">
        <f>COUNTIF(Table20[Spawner],Table1[[#This Row],[Spawner Prefab]])</f>
        <v>0</v>
      </c>
      <c r="S105" s="115">
        <f>ROUND((Table1[[#This Row],[Total in "Dark" scene]]/SUM(Table1[Total in "Dark" scene]))*100,1)</f>
        <v>0</v>
      </c>
      <c r="T105" s="117">
        <f>Table1[[#This Row],[Total in "Village" scene]]+Table1[[#This Row],[Total in "Castle" scene]]</f>
        <v>29</v>
      </c>
      <c r="U105" s="117">
        <f>ROUND((Table1[[#This Row],[Total in the game]]/SUM(Table1[Total in the game]))*100,1)</f>
        <v>0.7</v>
      </c>
    </row>
    <row r="106" spans="4:21" x14ac:dyDescent="0.25">
      <c r="D106" s="79" t="s">
        <v>78</v>
      </c>
      <c r="E106" s="79" t="s">
        <v>452</v>
      </c>
      <c r="F106" s="79" t="s">
        <v>474</v>
      </c>
      <c r="G106" s="110">
        <v>220</v>
      </c>
      <c r="H106" s="110">
        <v>220</v>
      </c>
      <c r="I106" s="109">
        <v>15</v>
      </c>
      <c r="J106" s="109">
        <v>75</v>
      </c>
      <c r="K106" s="109">
        <v>0</v>
      </c>
      <c r="L106" s="109">
        <v>0</v>
      </c>
      <c r="M106" s="109" t="s">
        <v>9</v>
      </c>
      <c r="N106" s="114">
        <f>COUNTIF(Table7[Spawner],Table1[[#This Row],[Spawner Prefab]])</f>
        <v>3</v>
      </c>
      <c r="O106" s="114">
        <f>ROUND((Table1[[#This Row],[Total in "Village" scene]]/SUM(Table1[Total in "Village" scene]))*100,1)</f>
        <v>0.1</v>
      </c>
      <c r="P106" s="118">
        <f>COUNTIF(Table15[Spawner],Table1[[#This Row],[Spawner Prefab]])</f>
        <v>0</v>
      </c>
      <c r="Q106" s="118">
        <f>ROUND((Table1[[#This Row],[Total in "Castle" scene]]/SUM(Table1[Total in "Castle" scene]))*100,1)</f>
        <v>0</v>
      </c>
      <c r="R106" s="114">
        <f>COUNTIF(Table20[Spawner],Table1[[#This Row],[Spawner Prefab]])</f>
        <v>0</v>
      </c>
      <c r="S106" s="114">
        <f>ROUND((Table1[[#This Row],[Total in "Dark" scene]]/SUM(Table1[Total in "Dark" scene]))*100,1)</f>
        <v>0</v>
      </c>
      <c r="T106" s="118">
        <f>Table1[[#This Row],[Total in "Village" scene]]+Table1[[#This Row],[Total in "Castle" scene]]</f>
        <v>3</v>
      </c>
      <c r="U106" s="118">
        <f>ROUND((Table1[[#This Row],[Total in the game]]/SUM(Table1[Total in the game]))*100,1)</f>
        <v>0.1</v>
      </c>
    </row>
    <row r="107" spans="4:21" x14ac:dyDescent="0.25">
      <c r="D107" s="79" t="s">
        <v>78</v>
      </c>
      <c r="E107" s="79" t="s">
        <v>312</v>
      </c>
      <c r="F107" s="79" t="s">
        <v>313</v>
      </c>
      <c r="G107" s="111">
        <v>260</v>
      </c>
      <c r="H107" s="111">
        <v>260</v>
      </c>
      <c r="I107" s="108">
        <v>15</v>
      </c>
      <c r="J107" s="108">
        <v>75</v>
      </c>
      <c r="K107" s="108">
        <v>0</v>
      </c>
      <c r="L107" s="108">
        <v>0</v>
      </c>
      <c r="M107" s="108" t="s">
        <v>9</v>
      </c>
      <c r="N107" s="115">
        <f>COUNTIF(Table7[Spawner],Table1[[#This Row],[Spawner Prefab]])</f>
        <v>0</v>
      </c>
      <c r="O107" s="115">
        <f>ROUND((Table1[[#This Row],[Total in "Village" scene]]/SUM(Table1[Total in "Village" scene]))*100,1)</f>
        <v>0</v>
      </c>
      <c r="P107" s="117">
        <f>COUNTIF(Table15[Spawner],Table1[[#This Row],[Spawner Prefab]])</f>
        <v>1</v>
      </c>
      <c r="Q107" s="117">
        <f>ROUND((Table1[[#This Row],[Total in "Castle" scene]]/SUM(Table1[Total in "Castle" scene]))*100,1)</f>
        <v>0.1</v>
      </c>
      <c r="R107" s="115">
        <f>COUNTIF(Table20[Spawner],Table1[[#This Row],[Spawner Prefab]])</f>
        <v>0</v>
      </c>
      <c r="S107" s="115">
        <f>ROUND((Table1[[#This Row],[Total in "Dark" scene]]/SUM(Table1[Total in "Dark" scene]))*100,1)</f>
        <v>0</v>
      </c>
      <c r="T107" s="117">
        <f>Table1[[#This Row],[Total in "Village" scene]]+Table1[[#This Row],[Total in "Castle" scene]]</f>
        <v>1</v>
      </c>
      <c r="U107" s="117">
        <f>ROUND((Table1[[#This Row],[Total in the game]]/SUM(Table1[Total in the game]))*100,1)</f>
        <v>0</v>
      </c>
    </row>
    <row r="108" spans="4:21" x14ac:dyDescent="0.25">
      <c r="D108" s="79" t="s">
        <v>78</v>
      </c>
      <c r="E108" s="79" t="s">
        <v>310</v>
      </c>
      <c r="F108" s="79" t="s">
        <v>311</v>
      </c>
      <c r="G108" s="110">
        <v>260</v>
      </c>
      <c r="H108" s="110">
        <v>260</v>
      </c>
      <c r="I108" s="109">
        <v>15</v>
      </c>
      <c r="J108" s="109">
        <v>75</v>
      </c>
      <c r="K108" s="109">
        <v>0</v>
      </c>
      <c r="L108" s="109">
        <v>0</v>
      </c>
      <c r="M108" s="109" t="s">
        <v>9</v>
      </c>
      <c r="N108" s="114">
        <f>COUNTIF(Table7[Spawner],Table1[[#This Row],[Spawner Prefab]])</f>
        <v>0</v>
      </c>
      <c r="O108" s="114">
        <f>ROUND((Table1[[#This Row],[Total in "Village" scene]]/SUM(Table1[Total in "Village" scene]))*100,1)</f>
        <v>0</v>
      </c>
      <c r="P108" s="118">
        <f>COUNTIF(Table15[Spawner],Table1[[#This Row],[Spawner Prefab]])</f>
        <v>0</v>
      </c>
      <c r="Q108" s="118">
        <f>ROUND((Table1[[#This Row],[Total in "Castle" scene]]/SUM(Table1[Total in "Castle" scene]))*100,1)</f>
        <v>0</v>
      </c>
      <c r="R108" s="114">
        <f>COUNTIF(Table20[Spawner],Table1[[#This Row],[Spawner Prefab]])</f>
        <v>0</v>
      </c>
      <c r="S108" s="114">
        <f>ROUND((Table1[[#This Row],[Total in "Dark" scene]]/SUM(Table1[Total in "Dark" scene]))*100,1)</f>
        <v>0</v>
      </c>
      <c r="T108" s="118">
        <f>Table1[[#This Row],[Total in "Village" scene]]+Table1[[#This Row],[Total in "Castle" scene]]</f>
        <v>0</v>
      </c>
      <c r="U108" s="118">
        <f>ROUND((Table1[[#This Row],[Total in the game]]/SUM(Table1[Total in the game]))*100,1)</f>
        <v>0</v>
      </c>
    </row>
    <row r="109" spans="4:21" x14ac:dyDescent="0.25">
      <c r="D109" s="79" t="s">
        <v>78</v>
      </c>
      <c r="E109" s="79" t="s">
        <v>450</v>
      </c>
      <c r="F109" s="79" t="s">
        <v>451</v>
      </c>
      <c r="G109" s="111">
        <v>220</v>
      </c>
      <c r="H109" s="111">
        <v>220</v>
      </c>
      <c r="I109" s="108">
        <v>15</v>
      </c>
      <c r="J109" s="108">
        <v>75</v>
      </c>
      <c r="K109" s="108">
        <v>0</v>
      </c>
      <c r="L109" s="108">
        <v>0</v>
      </c>
      <c r="M109" s="108" t="s">
        <v>9</v>
      </c>
      <c r="N109" s="115">
        <f>COUNTIF(Table7[Spawner],Table1[[#This Row],[Spawner Prefab]])</f>
        <v>0</v>
      </c>
      <c r="O109" s="115">
        <f>ROUND((Table1[[#This Row],[Total in "Village" scene]]/SUM(Table1[Total in "Village" scene]))*100,1)</f>
        <v>0</v>
      </c>
      <c r="P109" s="117">
        <f>COUNTIF(Table15[Spawner],Table1[[#This Row],[Spawner Prefab]])</f>
        <v>0</v>
      </c>
      <c r="Q109" s="117">
        <f>ROUND((Table1[[#This Row],[Total in "Castle" scene]]/SUM(Table1[Total in "Castle" scene]))*100,1)</f>
        <v>0</v>
      </c>
      <c r="R109" s="115">
        <f>COUNTIF(Table20[Spawner],Table1[[#This Row],[Spawner Prefab]])</f>
        <v>0</v>
      </c>
      <c r="S109" s="115">
        <f>ROUND((Table1[[#This Row],[Total in "Dark" scene]]/SUM(Table1[Total in "Dark" scene]))*100,1)</f>
        <v>0</v>
      </c>
      <c r="T109" s="117">
        <f>Table1[[#This Row],[Total in "Village" scene]]+Table1[[#This Row],[Total in "Castle" scene]]</f>
        <v>0</v>
      </c>
      <c r="U109" s="117">
        <f>ROUND((Table1[[#This Row],[Total in the game]]/SUM(Table1[Total in the game]))*100,1)</f>
        <v>0</v>
      </c>
    </row>
    <row r="110" spans="4:21" x14ac:dyDescent="0.25">
      <c r="D110" s="79" t="s">
        <v>79</v>
      </c>
      <c r="E110" s="79" t="s">
        <v>314</v>
      </c>
      <c r="F110" s="79" t="s">
        <v>315</v>
      </c>
      <c r="G110" s="110">
        <v>200</v>
      </c>
      <c r="H110" s="110">
        <v>200</v>
      </c>
      <c r="I110" s="109">
        <v>7</v>
      </c>
      <c r="J110" s="109">
        <v>75</v>
      </c>
      <c r="K110" s="109">
        <v>0</v>
      </c>
      <c r="L110" s="109">
        <v>0</v>
      </c>
      <c r="M110" s="109" t="s">
        <v>9</v>
      </c>
      <c r="N110" s="114">
        <f>COUNTIF(Table7[Spawner],Table1[[#This Row],[Spawner Prefab]])</f>
        <v>51</v>
      </c>
      <c r="O110" s="114">
        <f>ROUND((Table1[[#This Row],[Total in "Village" scene]]/SUM(Table1[Total in "Village" scene]))*100,1)</f>
        <v>2</v>
      </c>
      <c r="P110" s="118">
        <f>COUNTIF(Table15[Spawner],Table1[[#This Row],[Spawner Prefab]])</f>
        <v>0</v>
      </c>
      <c r="Q110" s="118">
        <f>ROUND((Table1[[#This Row],[Total in "Castle" scene]]/SUM(Table1[Total in "Castle" scene]))*100,1)</f>
        <v>0</v>
      </c>
      <c r="R110" s="114">
        <f>COUNTIF(Table20[Spawner],Table1[[#This Row],[Spawner Prefab]])</f>
        <v>0</v>
      </c>
      <c r="S110" s="114">
        <f>ROUND((Table1[[#This Row],[Total in "Dark" scene]]/SUM(Table1[Total in "Dark" scene]))*100,1)</f>
        <v>0</v>
      </c>
      <c r="T110" s="118">
        <f>Table1[[#This Row],[Total in "Village" scene]]+Table1[[#This Row],[Total in "Castle" scene]]</f>
        <v>51</v>
      </c>
      <c r="U110" s="118">
        <f>ROUND((Table1[[#This Row],[Total in the game]]/SUM(Table1[Total in the game]))*100,1)</f>
        <v>1.2</v>
      </c>
    </row>
    <row r="111" spans="4:21" x14ac:dyDescent="0.25">
      <c r="D111" s="79" t="s">
        <v>79</v>
      </c>
      <c r="E111" s="79" t="s">
        <v>316</v>
      </c>
      <c r="F111" s="79" t="s">
        <v>317</v>
      </c>
      <c r="G111" s="111">
        <v>200</v>
      </c>
      <c r="H111" s="111">
        <v>200</v>
      </c>
      <c r="I111" s="108">
        <v>7</v>
      </c>
      <c r="J111" s="108">
        <v>75</v>
      </c>
      <c r="K111" s="108">
        <v>0</v>
      </c>
      <c r="L111" s="108">
        <v>0</v>
      </c>
      <c r="M111" s="108" t="s">
        <v>9</v>
      </c>
      <c r="N111" s="115">
        <f>COUNTIF(Table7[Spawner],Table1[[#This Row],[Spawner Prefab]])</f>
        <v>0</v>
      </c>
      <c r="O111" s="115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17">
        <f>ROUND((Table1[[#This Row],[Total in "Castle" scene]]/SUM(Table1[Total in "Castle" scene]))*100,1)</f>
        <v>0</v>
      </c>
      <c r="R111" s="115">
        <f>COUNTIF(Table20[Spawner],Table1[[#This Row],[Spawner Prefab]])</f>
        <v>0</v>
      </c>
      <c r="S111" s="115">
        <f>ROUND((Table1[[#This Row],[Total in "Dark" scene]]/SUM(Table1[Total in "Dark" scene]))*100,1)</f>
        <v>0</v>
      </c>
      <c r="T111" s="117">
        <f>Table1[[#This Row],[Total in "Village" scene]]+Table1[[#This Row],[Total in "Castle" scene]]</f>
        <v>0</v>
      </c>
      <c r="U111" s="117">
        <f>ROUND((Table1[[#This Row],[Total in the game]]/SUM(Table1[Total in the game]))*100,1)</f>
        <v>0</v>
      </c>
    </row>
    <row r="112" spans="4:21" x14ac:dyDescent="0.25">
      <c r="D112" s="79" t="s">
        <v>318</v>
      </c>
      <c r="E112" s="79" t="s">
        <v>319</v>
      </c>
      <c r="F112" s="79" t="s">
        <v>320</v>
      </c>
      <c r="G112" s="110">
        <v>300</v>
      </c>
      <c r="H112" s="110">
        <v>300</v>
      </c>
      <c r="I112" s="109">
        <v>30</v>
      </c>
      <c r="J112" s="109">
        <v>105</v>
      </c>
      <c r="K112" s="109">
        <v>2</v>
      </c>
      <c r="L112" s="109">
        <v>2</v>
      </c>
      <c r="M112" s="109" t="s">
        <v>9</v>
      </c>
      <c r="N112" s="114">
        <f>COUNTIF(Table7[Spawner],Table1[[#This Row],[Spawner Prefab]])</f>
        <v>0</v>
      </c>
      <c r="O112" s="114">
        <f>ROUND((Table1[[#This Row],[Total in "Village" scene]]/SUM(Table1[Total in "Village" scene]))*100,1)</f>
        <v>0</v>
      </c>
      <c r="P112" s="118">
        <f>COUNTIF(Table15[Spawner],Table1[[#This Row],[Spawner Prefab]])</f>
        <v>2</v>
      </c>
      <c r="Q112" s="118">
        <f>ROUND((Table1[[#This Row],[Total in "Castle" scene]]/SUM(Table1[Total in "Castle" scene]))*100,1)</f>
        <v>0.1</v>
      </c>
      <c r="R112" s="114">
        <f>COUNTIF(Table20[Spawner],Table1[[#This Row],[Spawner Prefab]])</f>
        <v>0</v>
      </c>
      <c r="S112" s="114">
        <f>ROUND((Table1[[#This Row],[Total in "Dark" scene]]/SUM(Table1[Total in "Dark" scene]))*100,1)</f>
        <v>0</v>
      </c>
      <c r="T112" s="118">
        <f>Table1[[#This Row],[Total in "Village" scene]]+Table1[[#This Row],[Total in "Castle" scene]]</f>
        <v>2</v>
      </c>
      <c r="U112" s="118">
        <f>ROUND((Table1[[#This Row],[Total in the game]]/SUM(Table1[Total in the game]))*100,1)</f>
        <v>0</v>
      </c>
    </row>
    <row r="113" spans="4:21" x14ac:dyDescent="0.25">
      <c r="D113" s="79" t="s">
        <v>606</v>
      </c>
      <c r="E113" s="79" t="s">
        <v>607</v>
      </c>
      <c r="F113" s="79" t="s">
        <v>608</v>
      </c>
      <c r="G113" s="111">
        <v>120</v>
      </c>
      <c r="H113" s="111">
        <v>120</v>
      </c>
      <c r="I113" s="108">
        <v>5</v>
      </c>
      <c r="J113" s="108">
        <v>30</v>
      </c>
      <c r="K113" s="108">
        <v>0</v>
      </c>
      <c r="L113" s="108">
        <v>0</v>
      </c>
      <c r="M113" s="108" t="s">
        <v>9</v>
      </c>
      <c r="N113" s="115">
        <f>COUNTIF(Table7[Spawner],Table1[[#This Row],[Spawner Prefab]])</f>
        <v>0</v>
      </c>
      <c r="O113" s="115">
        <f>ROUND((Table1[[#This Row],[Total in "Village" scene]]/SUM(Table1[Total in "Village" scene]))*100,1)</f>
        <v>0</v>
      </c>
      <c r="P113" s="117">
        <f>COUNTIF(Table15[Spawner],Table1[[#This Row],[Spawner Prefab]])</f>
        <v>0</v>
      </c>
      <c r="Q113" s="117">
        <f>ROUND((Table1[[#This Row],[Total in "Castle" scene]]/SUM(Table1[Total in "Castle" scene]))*100,1)</f>
        <v>0</v>
      </c>
      <c r="R113" s="115">
        <f>COUNTIF(Table20[Spawner],Table1[[#This Row],[Spawner Prefab]])</f>
        <v>0</v>
      </c>
      <c r="S113" s="115">
        <f>ROUND((Table1[[#This Row],[Total in "Dark" scene]]/SUM(Table1[Total in "Dark" scene]))*100,1)</f>
        <v>0</v>
      </c>
      <c r="T113" s="117">
        <f>Table1[[#This Row],[Total in "Village" scene]]+Table1[[#This Row],[Total in "Castle" scene]]</f>
        <v>0</v>
      </c>
      <c r="U113" s="117">
        <f>ROUND((Table1[[#This Row],[Total in the game]]/SUM(Table1[Total in the game]))*100,1)</f>
        <v>0</v>
      </c>
    </row>
    <row r="114" spans="4:21" x14ac:dyDescent="0.25">
      <c r="D114" s="79" t="s">
        <v>609</v>
      </c>
      <c r="E114" s="79" t="s">
        <v>610</v>
      </c>
      <c r="F114" s="79" t="s">
        <v>611</v>
      </c>
      <c r="G114" s="110">
        <v>120</v>
      </c>
      <c r="H114" s="110">
        <v>120</v>
      </c>
      <c r="I114" s="109">
        <v>50</v>
      </c>
      <c r="J114" s="109">
        <v>70</v>
      </c>
      <c r="K114" s="109">
        <v>4</v>
      </c>
      <c r="L114" s="109">
        <v>4</v>
      </c>
      <c r="M114" s="109">
        <v>50</v>
      </c>
      <c r="N114" s="114">
        <f>COUNTIF(Table7[Spawner],Table1[[#This Row],[Spawner Prefab]])</f>
        <v>0</v>
      </c>
      <c r="O114" s="11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18">
        <f>ROUND((Table1[[#This Row],[Total in "Castle" scene]]/SUM(Table1[Total in "Castle" scene]))*100,1)</f>
        <v>0</v>
      </c>
      <c r="R114" s="114">
        <f>COUNTIF(Table20[Spawner],Table1[[#This Row],[Spawner Prefab]])</f>
        <v>0</v>
      </c>
      <c r="S114" s="114">
        <f>ROUND((Table1[[#This Row],[Total in "Dark" scene]]/SUM(Table1[Total in "Dark" scene]))*100,1)</f>
        <v>0</v>
      </c>
      <c r="T114" s="118">
        <f>Table1[[#This Row],[Total in "Village" scene]]+Table1[[#This Row],[Total in "Castle" scene]]</f>
        <v>0</v>
      </c>
      <c r="U114" s="118">
        <f>ROUND((Table1[[#This Row],[Total in the game]]/SUM(Table1[Total in the game]))*100,1)</f>
        <v>0</v>
      </c>
    </row>
    <row r="115" spans="4:21" x14ac:dyDescent="0.25">
      <c r="D115" s="79" t="s">
        <v>80</v>
      </c>
      <c r="E115" s="79" t="s">
        <v>323</v>
      </c>
      <c r="F115" s="79" t="s">
        <v>324</v>
      </c>
      <c r="G115" s="111">
        <v>310</v>
      </c>
      <c r="H115" s="111">
        <v>310</v>
      </c>
      <c r="I115" s="108">
        <v>50</v>
      </c>
      <c r="J115" s="108">
        <v>70</v>
      </c>
      <c r="K115" s="108">
        <v>2</v>
      </c>
      <c r="L115" s="108">
        <v>1</v>
      </c>
      <c r="M115" s="108">
        <v>55</v>
      </c>
      <c r="N115" s="115">
        <f>COUNTIF(Table7[Spawner],Table1[[#This Row],[Spawner Prefab]])</f>
        <v>0</v>
      </c>
      <c r="O115" s="115">
        <f>ROUND((Table1[[#This Row],[Total in "Village" scene]]/SUM(Table1[Total in "Village" scene]))*100,1)</f>
        <v>0</v>
      </c>
      <c r="P115" s="117">
        <f>COUNTIF(Table15[Spawner],Table1[[#This Row],[Spawner Prefab]])</f>
        <v>5</v>
      </c>
      <c r="Q115" s="117">
        <f>ROUND((Table1[[#This Row],[Total in "Castle" scene]]/SUM(Table1[Total in "Castle" scene]))*100,1)</f>
        <v>0.3</v>
      </c>
      <c r="R115" s="115">
        <f>COUNTIF(Table20[Spawner],Table1[[#This Row],[Spawner Prefab]])</f>
        <v>0</v>
      </c>
      <c r="S115" s="115">
        <f>ROUND((Table1[[#This Row],[Total in "Dark" scene]]/SUM(Table1[Total in "Dark" scene]))*100,1)</f>
        <v>0</v>
      </c>
      <c r="T115" s="117">
        <f>Table1[[#This Row],[Total in "Village" scene]]+Table1[[#This Row],[Total in "Castle" scene]]</f>
        <v>5</v>
      </c>
      <c r="U115" s="117">
        <f>ROUND((Table1[[#This Row],[Total in the game]]/SUM(Table1[Total in the game]))*100,1)</f>
        <v>0.1</v>
      </c>
    </row>
    <row r="116" spans="4:21" x14ac:dyDescent="0.25">
      <c r="D116" s="79" t="s">
        <v>80</v>
      </c>
      <c r="E116" s="79" t="s">
        <v>321</v>
      </c>
      <c r="F116" s="79" t="s">
        <v>322</v>
      </c>
      <c r="G116" s="110">
        <v>310</v>
      </c>
      <c r="H116" s="110">
        <v>310</v>
      </c>
      <c r="I116" s="109">
        <v>50</v>
      </c>
      <c r="J116" s="109">
        <v>70</v>
      </c>
      <c r="K116" s="109">
        <v>2</v>
      </c>
      <c r="L116" s="109">
        <v>1</v>
      </c>
      <c r="M116" s="109">
        <v>55</v>
      </c>
      <c r="N116" s="114">
        <f>COUNTIF(Table7[Spawner],Table1[[#This Row],[Spawner Prefab]])</f>
        <v>0</v>
      </c>
      <c r="O116" s="114">
        <f>ROUND((Table1[[#This Row],[Total in "Village" scene]]/SUM(Table1[Total in "Village" scene]))*100,1)</f>
        <v>0</v>
      </c>
      <c r="P116" s="118">
        <f>COUNTIF(Table15[Spawner],Table1[[#This Row],[Spawner Prefab]])</f>
        <v>3</v>
      </c>
      <c r="Q116" s="118">
        <f>ROUND((Table1[[#This Row],[Total in "Castle" scene]]/SUM(Table1[Total in "Castle" scene]))*100,1)</f>
        <v>0.2</v>
      </c>
      <c r="R116" s="114">
        <f>COUNTIF(Table20[Spawner],Table1[[#This Row],[Spawner Prefab]])</f>
        <v>0</v>
      </c>
      <c r="S116" s="114">
        <f>ROUND((Table1[[#This Row],[Total in "Dark" scene]]/SUM(Table1[Total in "Dark" scene]))*100,1)</f>
        <v>0</v>
      </c>
      <c r="T116" s="118">
        <f>Table1[[#This Row],[Total in "Village" scene]]+Table1[[#This Row],[Total in "Castle" scene]]</f>
        <v>3</v>
      </c>
      <c r="U116" s="118">
        <f>ROUND((Table1[[#This Row],[Total in the game]]/SUM(Table1[Total in the game]))*100,1)</f>
        <v>0.1</v>
      </c>
    </row>
    <row r="117" spans="4:21" x14ac:dyDescent="0.25">
      <c r="D117" s="79" t="s">
        <v>80</v>
      </c>
      <c r="E117" s="79" t="s">
        <v>325</v>
      </c>
      <c r="F117" s="79" t="s">
        <v>326</v>
      </c>
      <c r="G117" s="111">
        <v>310</v>
      </c>
      <c r="H117" s="111">
        <v>310</v>
      </c>
      <c r="I117" s="108">
        <v>50</v>
      </c>
      <c r="J117" s="108">
        <v>70</v>
      </c>
      <c r="K117" s="108">
        <v>2</v>
      </c>
      <c r="L117" s="108">
        <v>1</v>
      </c>
      <c r="M117" s="108">
        <v>40</v>
      </c>
      <c r="N117" s="115">
        <f>COUNTIF(Table7[Spawner],Table1[[#This Row],[Spawner Prefab]])</f>
        <v>0</v>
      </c>
      <c r="O117" s="115">
        <f>ROUND((Table1[[#This Row],[Total in "Village" scene]]/SUM(Table1[Total in "Village" scene]))*100,1)</f>
        <v>0</v>
      </c>
      <c r="P117" s="117">
        <f>COUNTIF(Table15[Spawner],Table1[[#This Row],[Spawner Prefab]])</f>
        <v>0</v>
      </c>
      <c r="Q117" s="117">
        <f>ROUND((Table1[[#This Row],[Total in "Castle" scene]]/SUM(Table1[Total in "Castle" scene]))*100,1)</f>
        <v>0</v>
      </c>
      <c r="R117" s="115">
        <f>COUNTIF(Table20[Spawner],Table1[[#This Row],[Spawner Prefab]])</f>
        <v>0</v>
      </c>
      <c r="S117" s="115">
        <f>ROUND((Table1[[#This Row],[Total in "Dark" scene]]/SUM(Table1[Total in "Dark" scene]))*100,1)</f>
        <v>0</v>
      </c>
      <c r="T117" s="117">
        <f>Table1[[#This Row],[Total in "Village" scene]]+Table1[[#This Row],[Total in "Castle" scene]]</f>
        <v>0</v>
      </c>
      <c r="U117" s="117">
        <f>ROUND((Table1[[#This Row],[Total in the game]]/SUM(Table1[Total in the game]))*100,1)</f>
        <v>0</v>
      </c>
    </row>
    <row r="118" spans="4:21" x14ac:dyDescent="0.25">
      <c r="D118" s="79" t="s">
        <v>89</v>
      </c>
      <c r="E118" s="79" t="s">
        <v>327</v>
      </c>
      <c r="F118" s="79" t="s">
        <v>328</v>
      </c>
      <c r="G118" s="110">
        <v>180</v>
      </c>
      <c r="H118" s="110">
        <v>180</v>
      </c>
      <c r="I118" s="109">
        <v>30</v>
      </c>
      <c r="J118" s="109">
        <v>75</v>
      </c>
      <c r="K118" s="109">
        <v>0</v>
      </c>
      <c r="L118" s="109">
        <v>0</v>
      </c>
      <c r="M118" s="109">
        <v>5</v>
      </c>
      <c r="N118" s="114">
        <f>COUNTIF(Table7[Spawner],Table1[[#This Row],[Spawner Prefab]])</f>
        <v>14</v>
      </c>
      <c r="O118" s="114">
        <f>ROUND((Table1[[#This Row],[Total in "Village" scene]]/SUM(Table1[Total in "Village" scene]))*100,1)</f>
        <v>0.5</v>
      </c>
      <c r="P118" s="118">
        <f>COUNTIF(Table15[Spawner],Table1[[#This Row],[Spawner Prefab]])</f>
        <v>19</v>
      </c>
      <c r="Q118" s="118">
        <f>ROUND((Table1[[#This Row],[Total in "Castle" scene]]/SUM(Table1[Total in "Castle" scene]))*100,1)</f>
        <v>1</v>
      </c>
      <c r="R118" s="114">
        <f>COUNTIF(Table20[Spawner],Table1[[#This Row],[Spawner Prefab]])</f>
        <v>0</v>
      </c>
      <c r="S118" s="114">
        <f>ROUND((Table1[[#This Row],[Total in "Dark" scene]]/SUM(Table1[Total in "Dark" scene]))*100,1)</f>
        <v>0</v>
      </c>
      <c r="T118" s="118">
        <f>Table1[[#This Row],[Total in "Village" scene]]+Table1[[#This Row],[Total in "Castle" scene]]</f>
        <v>33</v>
      </c>
      <c r="U118" s="118">
        <f>ROUND((Table1[[#This Row],[Total in the game]]/SUM(Table1[Total in the game]))*100,1)</f>
        <v>0.8</v>
      </c>
    </row>
    <row r="119" spans="4:21" x14ac:dyDescent="0.25">
      <c r="D119" s="79" t="s">
        <v>329</v>
      </c>
      <c r="E119" s="79" t="s">
        <v>330</v>
      </c>
      <c r="F119" s="79" t="s">
        <v>331</v>
      </c>
      <c r="G119" s="111">
        <v>170</v>
      </c>
      <c r="H119" s="111">
        <v>170</v>
      </c>
      <c r="I119" s="108">
        <v>20</v>
      </c>
      <c r="J119" s="108">
        <v>70</v>
      </c>
      <c r="K119" s="108">
        <v>2</v>
      </c>
      <c r="L119" s="108">
        <v>2</v>
      </c>
      <c r="M119" s="108">
        <v>10</v>
      </c>
      <c r="N119" s="115">
        <f>COUNTIF(Table7[Spawner],Table1[[#This Row],[Spawner Prefab]])</f>
        <v>10</v>
      </c>
      <c r="O119" s="115">
        <f>ROUND((Table1[[#This Row],[Total in "Village" scene]]/SUM(Table1[Total in "Village" scene]))*100,1)</f>
        <v>0.4</v>
      </c>
      <c r="P119" s="117">
        <f>COUNTIF(Table15[Spawner],Table1[[#This Row],[Spawner Prefab]])</f>
        <v>21</v>
      </c>
      <c r="Q119" s="117">
        <f>ROUND((Table1[[#This Row],[Total in "Castle" scene]]/SUM(Table1[Total in "Castle" scene]))*100,1)</f>
        <v>1.1000000000000001</v>
      </c>
      <c r="R119" s="115">
        <f>COUNTIF(Table20[Spawner],Table1[[#This Row],[Spawner Prefab]])</f>
        <v>0</v>
      </c>
      <c r="S119" s="115">
        <f>ROUND((Table1[[#This Row],[Total in "Dark" scene]]/SUM(Table1[Total in "Dark" scene]))*100,1)</f>
        <v>0</v>
      </c>
      <c r="T119" s="117">
        <f>Table1[[#This Row],[Total in "Village" scene]]+Table1[[#This Row],[Total in "Castle" scene]]</f>
        <v>31</v>
      </c>
      <c r="U119" s="117">
        <f>ROUND((Table1[[#This Row],[Total in the game]]/SUM(Table1[Total in the game]))*100,1)</f>
        <v>0.7</v>
      </c>
    </row>
    <row r="120" spans="4:21" x14ac:dyDescent="0.25">
      <c r="D120" s="79" t="s">
        <v>81</v>
      </c>
      <c r="E120" s="79" t="s">
        <v>332</v>
      </c>
      <c r="F120" s="79" t="s">
        <v>333</v>
      </c>
      <c r="G120" s="110">
        <v>170</v>
      </c>
      <c r="H120" s="110">
        <v>170</v>
      </c>
      <c r="I120" s="109">
        <v>20</v>
      </c>
      <c r="J120" s="109">
        <v>70</v>
      </c>
      <c r="K120" s="109">
        <v>2</v>
      </c>
      <c r="L120" s="109">
        <v>2</v>
      </c>
      <c r="M120" s="109">
        <v>25</v>
      </c>
      <c r="N120" s="114">
        <f>COUNTIF(Table7[Spawner],Table1[[#This Row],[Spawner Prefab]])</f>
        <v>65</v>
      </c>
      <c r="O120" s="114">
        <f>ROUND((Table1[[#This Row],[Total in "Village" scene]]/SUM(Table1[Total in "Village" scene]))*100,1)</f>
        <v>2.6</v>
      </c>
      <c r="P120" s="118">
        <f>COUNTIF(Table15[Spawner],Table1[[#This Row],[Spawner Prefab]])</f>
        <v>38</v>
      </c>
      <c r="Q120" s="118">
        <f>ROUND((Table1[[#This Row],[Total in "Castle" scene]]/SUM(Table1[Total in "Castle" scene]))*100,1)</f>
        <v>2.1</v>
      </c>
      <c r="R120" s="114">
        <f>COUNTIF(Table20[Spawner],Table1[[#This Row],[Spawner Prefab]])</f>
        <v>0</v>
      </c>
      <c r="S120" s="114">
        <f>ROUND((Table1[[#This Row],[Total in "Dark" scene]]/SUM(Table1[Total in "Dark" scene]))*100,1)</f>
        <v>0</v>
      </c>
      <c r="T120" s="118">
        <f>Table1[[#This Row],[Total in "Village" scene]]+Table1[[#This Row],[Total in "Castle" scene]]</f>
        <v>103</v>
      </c>
      <c r="U120" s="118">
        <f>ROUND((Table1[[#This Row],[Total in the game]]/SUM(Table1[Total in the game]))*100,1)</f>
        <v>2.2999999999999998</v>
      </c>
    </row>
    <row r="121" spans="4:21" x14ac:dyDescent="0.25">
      <c r="D121" s="79" t="s">
        <v>82</v>
      </c>
      <c r="E121" s="79" t="s">
        <v>334</v>
      </c>
      <c r="F121" s="79" t="s">
        <v>335</v>
      </c>
      <c r="G121" s="111">
        <v>150</v>
      </c>
      <c r="H121" s="111">
        <v>150</v>
      </c>
      <c r="I121" s="108">
        <v>4</v>
      </c>
      <c r="J121" s="108">
        <v>25</v>
      </c>
      <c r="K121" s="108">
        <v>0</v>
      </c>
      <c r="L121" s="108">
        <v>0</v>
      </c>
      <c r="M121" s="108" t="s">
        <v>9</v>
      </c>
      <c r="N121" s="115">
        <f>COUNTIF(Table7[Spawner],Table1[[#This Row],[Spawner Prefab]])</f>
        <v>227</v>
      </c>
      <c r="O121" s="115">
        <f>ROUND((Table1[[#This Row],[Total in "Village" scene]]/SUM(Table1[Total in "Village" scene]))*100,1)</f>
        <v>8.9</v>
      </c>
      <c r="P121" s="117">
        <f>COUNTIF(Table15[Spawner],Table1[[#This Row],[Spawner Prefab]])</f>
        <v>127</v>
      </c>
      <c r="Q121" s="117">
        <f>ROUND((Table1[[#This Row],[Total in "Castle" scene]]/SUM(Table1[Total in "Castle" scene]))*100,1)</f>
        <v>6.9</v>
      </c>
      <c r="R121" s="115">
        <f>COUNTIF(Table20[Spawner],Table1[[#This Row],[Spawner Prefab]])</f>
        <v>0</v>
      </c>
      <c r="S121" s="115">
        <f>ROUND((Table1[[#This Row],[Total in "Dark" scene]]/SUM(Table1[Total in "Dark" scene]))*100,1)</f>
        <v>0</v>
      </c>
      <c r="T121" s="117">
        <f>Table1[[#This Row],[Total in "Village" scene]]+Table1[[#This Row],[Total in "Castle" scene]]</f>
        <v>354</v>
      </c>
      <c r="U121" s="117">
        <f>ROUND((Table1[[#This Row],[Total in the game]]/SUM(Table1[Total in the game]))*100,1)</f>
        <v>8.1</v>
      </c>
    </row>
    <row r="122" spans="4:21" x14ac:dyDescent="0.25">
      <c r="D122" s="79" t="s">
        <v>82</v>
      </c>
      <c r="E122" s="79" t="s">
        <v>336</v>
      </c>
      <c r="F122" s="79" t="s">
        <v>337</v>
      </c>
      <c r="G122" s="110">
        <v>150</v>
      </c>
      <c r="H122" s="110">
        <v>150</v>
      </c>
      <c r="I122" s="109">
        <v>4</v>
      </c>
      <c r="J122" s="109">
        <v>25</v>
      </c>
      <c r="K122" s="109">
        <v>0</v>
      </c>
      <c r="L122" s="109">
        <v>0</v>
      </c>
      <c r="M122" s="109" t="s">
        <v>9</v>
      </c>
      <c r="N122" s="114">
        <f>COUNTIF(Table7[Spawner],Table1[[#This Row],[Spawner Prefab]])</f>
        <v>29</v>
      </c>
      <c r="O122" s="114">
        <f>ROUND((Table1[[#This Row],[Total in "Village" scene]]/SUM(Table1[Total in "Village" scene]))*100,1)</f>
        <v>1.1000000000000001</v>
      </c>
      <c r="P122" s="118">
        <f>COUNTIF(Table15[Spawner],Table1[[#This Row],[Spawner Prefab]])</f>
        <v>78</v>
      </c>
      <c r="Q122" s="118">
        <f>ROUND((Table1[[#This Row],[Total in "Castle" scene]]/SUM(Table1[Total in "Castle" scene]))*100,1)</f>
        <v>4.2</v>
      </c>
      <c r="R122" s="114">
        <f>COUNTIF(Table20[Spawner],Table1[[#This Row],[Spawner Prefab]])</f>
        <v>0</v>
      </c>
      <c r="S122" s="114">
        <f>ROUND((Table1[[#This Row],[Total in "Dark" scene]]/SUM(Table1[Total in "Dark" scene]))*100,1)</f>
        <v>0</v>
      </c>
      <c r="T122" s="118">
        <f>Table1[[#This Row],[Total in "Village" scene]]+Table1[[#This Row],[Total in "Castle" scene]]</f>
        <v>107</v>
      </c>
      <c r="U122" s="118">
        <f>ROUND((Table1[[#This Row],[Total in the game]]/SUM(Table1[Total in the game]))*100,1)</f>
        <v>2.4</v>
      </c>
    </row>
    <row r="123" spans="4:21" x14ac:dyDescent="0.25">
      <c r="D123" s="79" t="s">
        <v>123</v>
      </c>
      <c r="E123" s="79" t="s">
        <v>339</v>
      </c>
      <c r="F123" s="79" t="s">
        <v>338</v>
      </c>
      <c r="G123" s="111">
        <v>180</v>
      </c>
      <c r="H123" s="111">
        <v>180</v>
      </c>
      <c r="I123" s="108">
        <v>3</v>
      </c>
      <c r="J123" s="108">
        <v>25</v>
      </c>
      <c r="K123" s="108">
        <v>0</v>
      </c>
      <c r="L123" s="108">
        <v>0</v>
      </c>
      <c r="M123" s="108" t="s">
        <v>9</v>
      </c>
      <c r="N123" s="115">
        <f>COUNTIF(Table7[Spawner],Table1[[#This Row],[Spawner Prefab]])</f>
        <v>34</v>
      </c>
      <c r="O123" s="115">
        <f>ROUND((Table1[[#This Row],[Total in "Village" scene]]/SUM(Table1[Total in "Village" scene]))*100,1)</f>
        <v>1.3</v>
      </c>
      <c r="P123" s="117">
        <f>COUNTIF(Table15[Spawner],Table1[[#This Row],[Spawner Prefab]])</f>
        <v>0</v>
      </c>
      <c r="Q123" s="117">
        <f>ROUND((Table1[[#This Row],[Total in "Castle" scene]]/SUM(Table1[Total in "Castle" scene]))*100,1)</f>
        <v>0</v>
      </c>
      <c r="R123" s="115">
        <f>COUNTIF(Table20[Spawner],Table1[[#This Row],[Spawner Prefab]])</f>
        <v>0</v>
      </c>
      <c r="S123" s="115">
        <f>ROUND((Table1[[#This Row],[Total in "Dark" scene]]/SUM(Table1[Total in "Dark" scene]))*100,1)</f>
        <v>0</v>
      </c>
      <c r="T123" s="117">
        <f>Table1[[#This Row],[Total in "Village" scene]]+Table1[[#This Row],[Total in "Castle" scene]]</f>
        <v>34</v>
      </c>
      <c r="U123" s="117">
        <f>ROUND((Table1[[#This Row],[Total in the game]]/SUM(Table1[Total in the game]))*100,1)</f>
        <v>0.8</v>
      </c>
    </row>
    <row r="124" spans="4:21" x14ac:dyDescent="0.25">
      <c r="D124" s="79" t="s">
        <v>555</v>
      </c>
      <c r="E124" s="79" t="s">
        <v>514</v>
      </c>
      <c r="F124" s="79" t="s">
        <v>515</v>
      </c>
      <c r="G124" s="110">
        <v>180</v>
      </c>
      <c r="H124" s="110">
        <v>180</v>
      </c>
      <c r="I124" s="109">
        <v>100</v>
      </c>
      <c r="J124" s="109">
        <v>95</v>
      </c>
      <c r="K124" s="109">
        <v>3</v>
      </c>
      <c r="L124" s="109">
        <v>3</v>
      </c>
      <c r="M124" s="109">
        <v>25</v>
      </c>
      <c r="N124" s="114">
        <f>COUNTIF(Table7[Spawner],Table1[[#This Row],[Spawner Prefab]])</f>
        <v>0</v>
      </c>
      <c r="O124" s="114">
        <f>ROUND((Table1[[#This Row],[Total in "Village" scene]]/SUM(Table1[Total in "Village" scene]))*100,1)</f>
        <v>0</v>
      </c>
      <c r="P124" s="118">
        <f>COUNTIF(Table15[Spawner],Table1[[#This Row],[Spawner Prefab]])</f>
        <v>48</v>
      </c>
      <c r="Q124" s="118">
        <f>ROUND((Table1[[#This Row],[Total in "Castle" scene]]/SUM(Table1[Total in "Castle" scene]))*100,1)</f>
        <v>2.6</v>
      </c>
      <c r="R124" s="114">
        <f>COUNTIF(Table20[Spawner],Table1[[#This Row],[Spawner Prefab]])</f>
        <v>0</v>
      </c>
      <c r="S124" s="114">
        <f>ROUND((Table1[[#This Row],[Total in "Dark" scene]]/SUM(Table1[Total in "Dark" scene]))*100,1)</f>
        <v>0</v>
      </c>
      <c r="T124" s="118">
        <f>Table1[[#This Row],[Total in "Village" scene]]+Table1[[#This Row],[Total in "Castle" scene]]</f>
        <v>48</v>
      </c>
      <c r="U124" s="118">
        <f>ROUND((Table1[[#This Row],[Total in the game]]/SUM(Table1[Total in the game]))*100,1)</f>
        <v>1.1000000000000001</v>
      </c>
    </row>
    <row r="125" spans="4:21" x14ac:dyDescent="0.25">
      <c r="D125" s="79" t="s">
        <v>556</v>
      </c>
      <c r="E125" s="79" t="s">
        <v>516</v>
      </c>
      <c r="F125" s="79" t="s">
        <v>517</v>
      </c>
      <c r="G125" s="111">
        <v>120</v>
      </c>
      <c r="H125" s="111">
        <v>120</v>
      </c>
      <c r="I125" s="108">
        <v>35</v>
      </c>
      <c r="J125" s="108">
        <v>35</v>
      </c>
      <c r="K125" s="108">
        <v>2</v>
      </c>
      <c r="L125" s="108">
        <v>2</v>
      </c>
      <c r="M125" s="108" t="s">
        <v>9</v>
      </c>
      <c r="N125" s="115">
        <f>COUNTIF(Table7[Spawner],Table1[[#This Row],[Spawner Prefab]])</f>
        <v>0</v>
      </c>
      <c r="O125" s="115">
        <f>ROUND((Table1[[#This Row],[Total in "Village" scene]]/SUM(Table1[Total in "Village" scene]))*100,1)</f>
        <v>0</v>
      </c>
      <c r="P125" s="117">
        <f>COUNTIF(Table15[Spawner],Table1[[#This Row],[Spawner Prefab]])</f>
        <v>61</v>
      </c>
      <c r="Q125" s="117">
        <f>ROUND((Table1[[#This Row],[Total in "Castle" scene]]/SUM(Table1[Total in "Castle" scene]))*100,1)</f>
        <v>3.3</v>
      </c>
      <c r="R125" s="115">
        <f>COUNTIF(Table20[Spawner],Table1[[#This Row],[Spawner Prefab]])</f>
        <v>0</v>
      </c>
      <c r="S125" s="115">
        <f>ROUND((Table1[[#This Row],[Total in "Dark" scene]]/SUM(Table1[Total in "Dark" scene]))*100,1)</f>
        <v>0</v>
      </c>
      <c r="T125" s="117">
        <f>Table1[[#This Row],[Total in "Village" scene]]+Table1[[#This Row],[Total in "Castle" scene]]</f>
        <v>61</v>
      </c>
      <c r="U125" s="117">
        <f>ROUND((Table1[[#This Row],[Total in the game]]/SUM(Table1[Total in the game]))*100,1)</f>
        <v>1.4</v>
      </c>
    </row>
    <row r="126" spans="4:21" x14ac:dyDescent="0.25">
      <c r="D126" s="79" t="s">
        <v>356</v>
      </c>
      <c r="E126" s="79" t="s">
        <v>357</v>
      </c>
      <c r="F126" s="79" t="s">
        <v>358</v>
      </c>
      <c r="G126" s="110">
        <v>420</v>
      </c>
      <c r="H126" s="110">
        <v>420</v>
      </c>
      <c r="I126" s="109">
        <v>300</v>
      </c>
      <c r="J126" s="109">
        <v>83</v>
      </c>
      <c r="K126" s="109">
        <v>1</v>
      </c>
      <c r="L126" s="109">
        <v>2</v>
      </c>
      <c r="M126" s="109">
        <v>60</v>
      </c>
      <c r="N126" s="114">
        <f>COUNTIF(Table7[Spawner],Table1[[#This Row],[Spawner Prefab]])</f>
        <v>15</v>
      </c>
      <c r="O126" s="114">
        <f>ROUND((Table1[[#This Row],[Total in "Village" scene]]/SUM(Table1[Total in "Village" scene]))*100,1)</f>
        <v>0.6</v>
      </c>
      <c r="P126" s="118">
        <f>COUNTIF(Table15[Spawner],Table1[[#This Row],[Spawner Prefab]])</f>
        <v>0</v>
      </c>
      <c r="Q126" s="118">
        <f>ROUND((Table1[[#This Row],[Total in "Castle" scene]]/SUM(Table1[Total in "Castle" scene]))*100,1)</f>
        <v>0</v>
      </c>
      <c r="R126" s="114">
        <f>COUNTIF(Table20[Spawner],Table1[[#This Row],[Spawner Prefab]])</f>
        <v>0</v>
      </c>
      <c r="S126" s="114">
        <f>ROUND((Table1[[#This Row],[Total in "Dark" scene]]/SUM(Table1[Total in "Dark" scene]))*100,1)</f>
        <v>0</v>
      </c>
      <c r="T126" s="118">
        <f>Table1[[#This Row],[Total in "Village" scene]]+Table1[[#This Row],[Total in "Castle" scene]]</f>
        <v>15</v>
      </c>
      <c r="U126" s="118">
        <f>ROUND((Table1[[#This Row],[Total in the game]]/SUM(Table1[Total in the game]))*100,1)</f>
        <v>0.3</v>
      </c>
    </row>
    <row r="127" spans="4:21" x14ac:dyDescent="0.25">
      <c r="D127" s="79" t="s">
        <v>83</v>
      </c>
      <c r="E127" s="79" t="s">
        <v>361</v>
      </c>
      <c r="F127" s="79" t="s">
        <v>362</v>
      </c>
      <c r="G127" s="111">
        <v>220</v>
      </c>
      <c r="H127" s="111">
        <v>220</v>
      </c>
      <c r="I127" s="108">
        <v>15</v>
      </c>
      <c r="J127" s="108">
        <v>50</v>
      </c>
      <c r="K127" s="108">
        <v>0</v>
      </c>
      <c r="L127" s="108">
        <v>0</v>
      </c>
      <c r="M127" s="108" t="s">
        <v>9</v>
      </c>
      <c r="N127" s="115">
        <f>COUNTIF(Table7[Spawner],Table1[[#This Row],[Spawner Prefab]])</f>
        <v>31</v>
      </c>
      <c r="O127" s="115">
        <f>ROUND((Table1[[#This Row],[Total in "Village" scene]]/SUM(Table1[Total in "Village" scene]))*100,1)</f>
        <v>1.2</v>
      </c>
      <c r="P127" s="117">
        <f>COUNTIF(Table15[Spawner],Table1[[#This Row],[Spawner Prefab]])</f>
        <v>5</v>
      </c>
      <c r="Q127" s="117">
        <f>ROUND((Table1[[#This Row],[Total in "Castle" scene]]/SUM(Table1[Total in "Castle" scene]))*100,1)</f>
        <v>0.3</v>
      </c>
      <c r="R127" s="115">
        <f>COUNTIF(Table20[Spawner],Table1[[#This Row],[Spawner Prefab]])</f>
        <v>0</v>
      </c>
      <c r="S127" s="115">
        <f>ROUND((Table1[[#This Row],[Total in "Dark" scene]]/SUM(Table1[Total in "Dark" scene]))*100,1)</f>
        <v>0</v>
      </c>
      <c r="T127" s="117">
        <f>Table1[[#This Row],[Total in "Village" scene]]+Table1[[#This Row],[Total in "Castle" scene]]</f>
        <v>36</v>
      </c>
      <c r="U127" s="117">
        <f>ROUND((Table1[[#This Row],[Total in the game]]/SUM(Table1[Total in the game]))*100,1)</f>
        <v>0.8</v>
      </c>
    </row>
    <row r="128" spans="4:21" x14ac:dyDescent="0.25">
      <c r="D128" s="79" t="s">
        <v>83</v>
      </c>
      <c r="E128" s="79" t="s">
        <v>419</v>
      </c>
      <c r="F128" s="79" t="s">
        <v>362</v>
      </c>
      <c r="G128" s="110">
        <v>120</v>
      </c>
      <c r="H128" s="110">
        <v>120</v>
      </c>
      <c r="I128" s="109">
        <v>15</v>
      </c>
      <c r="J128" s="109">
        <v>50</v>
      </c>
      <c r="K128" s="109">
        <v>0</v>
      </c>
      <c r="L128" s="109">
        <v>0</v>
      </c>
      <c r="M128" s="109" t="s">
        <v>9</v>
      </c>
      <c r="N128" s="114">
        <f>COUNTIF(Table7[Spawner],Table1[[#This Row],[Spawner Prefab]])</f>
        <v>12</v>
      </c>
      <c r="O128" s="114">
        <f>ROUND((Table1[[#This Row],[Total in "Village" scene]]/SUM(Table1[Total in "Village" scene]))*100,1)</f>
        <v>0.5</v>
      </c>
      <c r="P128" s="118">
        <f>COUNTIF(Table15[Spawner],Table1[[#This Row],[Spawner Prefab]])</f>
        <v>12</v>
      </c>
      <c r="Q128" s="118">
        <f>ROUND((Table1[[#This Row],[Total in "Castle" scene]]/SUM(Table1[Total in "Castle" scene]))*100,1)</f>
        <v>0.7</v>
      </c>
      <c r="R128" s="114">
        <f>COUNTIF(Table20[Spawner],Table1[[#This Row],[Spawner Prefab]])</f>
        <v>0</v>
      </c>
      <c r="S128" s="114">
        <f>ROUND((Table1[[#This Row],[Total in "Dark" scene]]/SUM(Table1[Total in "Dark" scene]))*100,1)</f>
        <v>0</v>
      </c>
      <c r="T128" s="118">
        <f>Table1[[#This Row],[Total in "Village" scene]]+Table1[[#This Row],[Total in "Castle" scene]]</f>
        <v>24</v>
      </c>
      <c r="U128" s="118">
        <f>ROUND((Table1[[#This Row],[Total in the game]]/SUM(Table1[Total in the game]))*100,1)</f>
        <v>0.5</v>
      </c>
    </row>
    <row r="129" spans="4:21" x14ac:dyDescent="0.25">
      <c r="D129" s="79" t="s">
        <v>83</v>
      </c>
      <c r="E129" s="79" t="s">
        <v>363</v>
      </c>
      <c r="F129" s="79" t="s">
        <v>364</v>
      </c>
      <c r="G129" s="111">
        <v>220</v>
      </c>
      <c r="H129" s="111">
        <v>220</v>
      </c>
      <c r="I129" s="108">
        <v>15</v>
      </c>
      <c r="J129" s="108">
        <v>50</v>
      </c>
      <c r="K129" s="108">
        <v>0</v>
      </c>
      <c r="L129" s="108">
        <v>0</v>
      </c>
      <c r="M129" s="108" t="s">
        <v>9</v>
      </c>
      <c r="N129" s="115">
        <f>COUNTIF(Table7[Spawner],Table1[[#This Row],[Spawner Prefab]])</f>
        <v>9</v>
      </c>
      <c r="O129" s="115">
        <f>ROUND((Table1[[#This Row],[Total in "Village" scene]]/SUM(Table1[Total in "Village" scene]))*100,1)</f>
        <v>0.4</v>
      </c>
      <c r="P129" s="117">
        <f>COUNTIF(Table15[Spawner],Table1[[#This Row],[Spawner Prefab]])</f>
        <v>0</v>
      </c>
      <c r="Q129" s="117">
        <f>ROUND((Table1[[#This Row],[Total in "Castle" scene]]/SUM(Table1[Total in "Castle" scene]))*100,1)</f>
        <v>0</v>
      </c>
      <c r="R129" s="115">
        <f>COUNTIF(Table20[Spawner],Table1[[#This Row],[Spawner Prefab]])</f>
        <v>0</v>
      </c>
      <c r="S129" s="115">
        <f>ROUND((Table1[[#This Row],[Total in "Dark" scene]]/SUM(Table1[Total in "Dark" scene]))*100,1)</f>
        <v>0</v>
      </c>
      <c r="T129" s="117">
        <f>Table1[[#This Row],[Total in "Village" scene]]+Table1[[#This Row],[Total in "Castle" scene]]</f>
        <v>9</v>
      </c>
      <c r="U129" s="117">
        <f>ROUND((Table1[[#This Row],[Total in the game]]/SUM(Table1[Total in the game]))*100,1)</f>
        <v>0.2</v>
      </c>
    </row>
    <row r="130" spans="4:21" x14ac:dyDescent="0.25">
      <c r="D130" s="79" t="s">
        <v>84</v>
      </c>
      <c r="E130" s="79" t="s">
        <v>497</v>
      </c>
      <c r="F130" s="79" t="s">
        <v>518</v>
      </c>
      <c r="G130" s="110">
        <v>220</v>
      </c>
      <c r="H130" s="110">
        <v>220</v>
      </c>
      <c r="I130" s="109">
        <v>15</v>
      </c>
      <c r="J130" s="109">
        <v>50</v>
      </c>
      <c r="K130" s="109">
        <v>0</v>
      </c>
      <c r="L130" s="109">
        <v>0</v>
      </c>
      <c r="M130" s="109" t="s">
        <v>9</v>
      </c>
      <c r="N130" s="114">
        <f>COUNTIF(Table7[Spawner],Table1[[#This Row],[Spawner Prefab]])</f>
        <v>8</v>
      </c>
      <c r="O130" s="114">
        <f>ROUND((Table1[[#This Row],[Total in "Village" scene]]/SUM(Table1[Total in "Village" scene]))*100,1)</f>
        <v>0.3</v>
      </c>
      <c r="P130" s="118">
        <f>COUNTIF(Table15[Spawner],Table1[[#This Row],[Spawner Prefab]])</f>
        <v>0</v>
      </c>
      <c r="Q130" s="118">
        <f>ROUND((Table1[[#This Row],[Total in "Castle" scene]]/SUM(Table1[Total in "Castle" scene]))*100,1)</f>
        <v>0</v>
      </c>
      <c r="R130" s="114">
        <f>COUNTIF(Table20[Spawner],Table1[[#This Row],[Spawner Prefab]])</f>
        <v>0</v>
      </c>
      <c r="S130" s="114">
        <f>ROUND((Table1[[#This Row],[Total in "Dark" scene]]/SUM(Table1[Total in "Dark" scene]))*100,1)</f>
        <v>0</v>
      </c>
      <c r="T130" s="118">
        <f>Table1[[#This Row],[Total in "Village" scene]]+Table1[[#This Row],[Total in "Castle" scene]]</f>
        <v>8</v>
      </c>
      <c r="U130" s="118">
        <f>ROUND((Table1[[#This Row],[Total in the game]]/SUM(Table1[Total in the game]))*100,1)</f>
        <v>0.2</v>
      </c>
    </row>
    <row r="131" spans="4:21" x14ac:dyDescent="0.25">
      <c r="D131" s="79" t="s">
        <v>84</v>
      </c>
      <c r="E131" s="79" t="s">
        <v>365</v>
      </c>
      <c r="F131" s="79" t="s">
        <v>366</v>
      </c>
      <c r="G131" s="111">
        <v>220</v>
      </c>
      <c r="H131" s="111">
        <v>220</v>
      </c>
      <c r="I131" s="108">
        <v>15</v>
      </c>
      <c r="J131" s="108">
        <v>50</v>
      </c>
      <c r="K131" s="108">
        <v>0</v>
      </c>
      <c r="L131" s="108">
        <v>0</v>
      </c>
      <c r="M131" s="108" t="s">
        <v>9</v>
      </c>
      <c r="N131" s="115">
        <f>COUNTIF(Table7[Spawner],Table1[[#This Row],[Spawner Prefab]])</f>
        <v>3</v>
      </c>
      <c r="O131" s="115">
        <f>ROUND((Table1[[#This Row],[Total in "Village" scene]]/SUM(Table1[Total in "Village" scene]))*100,1)</f>
        <v>0.1</v>
      </c>
      <c r="P131" s="117">
        <f>COUNTIF(Table15[Spawner],Table1[[#This Row],[Spawner Prefab]])</f>
        <v>0</v>
      </c>
      <c r="Q131" s="117">
        <f>ROUND((Table1[[#This Row],[Total in "Castle" scene]]/SUM(Table1[Total in "Castle" scene]))*100,1)</f>
        <v>0</v>
      </c>
      <c r="R131" s="115">
        <f>COUNTIF(Table20[Spawner],Table1[[#This Row],[Spawner Prefab]])</f>
        <v>0</v>
      </c>
      <c r="S131" s="115">
        <f>ROUND((Table1[[#This Row],[Total in "Dark" scene]]/SUM(Table1[Total in "Dark" scene]))*100,1)</f>
        <v>0</v>
      </c>
      <c r="T131" s="117">
        <f>Table1[[#This Row],[Total in "Village" scene]]+Table1[[#This Row],[Total in "Castle" scene]]</f>
        <v>3</v>
      </c>
      <c r="U131" s="117">
        <f>ROUND((Table1[[#This Row],[Total in the game]]/SUM(Table1[Total in the game]))*100,1)</f>
        <v>0.1</v>
      </c>
    </row>
    <row r="132" spans="4:21" x14ac:dyDescent="0.25">
      <c r="D132" s="79" t="s">
        <v>84</v>
      </c>
      <c r="E132" s="79" t="s">
        <v>495</v>
      </c>
      <c r="F132" s="79" t="s">
        <v>496</v>
      </c>
      <c r="G132" s="110">
        <v>220</v>
      </c>
      <c r="H132" s="110">
        <v>220</v>
      </c>
      <c r="I132" s="109">
        <v>15</v>
      </c>
      <c r="J132" s="109">
        <v>50</v>
      </c>
      <c r="K132" s="109">
        <v>0</v>
      </c>
      <c r="L132" s="109">
        <v>0</v>
      </c>
      <c r="M132" s="109" t="s">
        <v>9</v>
      </c>
      <c r="N132" s="114">
        <f>COUNTIF(Table7[Spawner],Table1[[#This Row],[Spawner Prefab]])</f>
        <v>2</v>
      </c>
      <c r="O132" s="114">
        <f>ROUND((Table1[[#This Row],[Total in "Village" scene]]/SUM(Table1[Total in "Village" scene]))*100,1)</f>
        <v>0.1</v>
      </c>
      <c r="P132" s="118">
        <f>COUNTIF(Table15[Spawner],Table1[[#This Row],[Spawner Prefab]])</f>
        <v>0</v>
      </c>
      <c r="Q132" s="118">
        <f>ROUND((Table1[[#This Row],[Total in "Castle" scene]]/SUM(Table1[Total in "Castle" scene]))*100,1)</f>
        <v>0</v>
      </c>
      <c r="R132" s="114">
        <f>COUNTIF(Table20[Spawner],Table1[[#This Row],[Spawner Prefab]])</f>
        <v>0</v>
      </c>
      <c r="S132" s="114">
        <f>ROUND((Table1[[#This Row],[Total in "Dark" scene]]/SUM(Table1[Total in "Dark" scene]))*100,1)</f>
        <v>0</v>
      </c>
      <c r="T132" s="118">
        <f>Table1[[#This Row],[Total in "Village" scene]]+Table1[[#This Row],[Total in "Castle" scene]]</f>
        <v>2</v>
      </c>
      <c r="U132" s="118">
        <f>ROUND((Table1[[#This Row],[Total in the game]]/SUM(Table1[Total in the game]))*100,1)</f>
        <v>0</v>
      </c>
    </row>
    <row r="133" spans="4:21" x14ac:dyDescent="0.25">
      <c r="D133" s="79" t="s">
        <v>84</v>
      </c>
      <c r="E133" s="79" t="s">
        <v>367</v>
      </c>
      <c r="F133" s="79" t="s">
        <v>368</v>
      </c>
      <c r="G133" s="111">
        <v>220</v>
      </c>
      <c r="H133" s="111">
        <v>220</v>
      </c>
      <c r="I133" s="108">
        <v>15</v>
      </c>
      <c r="J133" s="108">
        <v>50</v>
      </c>
      <c r="K133" s="108">
        <v>0</v>
      </c>
      <c r="L133" s="108">
        <v>0</v>
      </c>
      <c r="M133" s="108" t="s">
        <v>9</v>
      </c>
      <c r="N133" s="115">
        <f>COUNTIF(Table7[Spawner],Table1[[#This Row],[Spawner Prefab]])</f>
        <v>1</v>
      </c>
      <c r="O133" s="115">
        <f>ROUND((Table1[[#This Row],[Total in "Village" scene]]/SUM(Table1[Total in "Village" scene]))*100,1)</f>
        <v>0</v>
      </c>
      <c r="P133" s="117">
        <f>COUNTIF(Table15[Spawner],Table1[[#This Row],[Spawner Prefab]])</f>
        <v>0</v>
      </c>
      <c r="Q133" s="117">
        <f>ROUND((Table1[[#This Row],[Total in "Castle" scene]]/SUM(Table1[Total in "Castle" scene]))*100,1)</f>
        <v>0</v>
      </c>
      <c r="R133" s="115">
        <f>COUNTIF(Table20[Spawner],Table1[[#This Row],[Spawner Prefab]])</f>
        <v>0</v>
      </c>
      <c r="S133" s="115">
        <f>ROUND((Table1[[#This Row],[Total in "Dark" scene]]/SUM(Table1[Total in "Dark" scene]))*100,1)</f>
        <v>0</v>
      </c>
      <c r="T133" s="117">
        <f>Table1[[#This Row],[Total in "Village" scene]]+Table1[[#This Row],[Total in "Castle" scene]]</f>
        <v>1</v>
      </c>
      <c r="U133" s="117">
        <f>ROUND((Table1[[#This Row],[Total in the game]]/SUM(Table1[Total in the game]))*100,1)</f>
        <v>0</v>
      </c>
    </row>
    <row r="134" spans="4:21" x14ac:dyDescent="0.25">
      <c r="D134" s="79" t="s">
        <v>623</v>
      </c>
      <c r="E134" s="79" t="s">
        <v>612</v>
      </c>
      <c r="F134" s="79" t="s">
        <v>613</v>
      </c>
      <c r="G134" s="110">
        <v>120</v>
      </c>
      <c r="H134" s="110">
        <v>120</v>
      </c>
      <c r="I134" s="109">
        <v>15</v>
      </c>
      <c r="J134" s="109">
        <v>50</v>
      </c>
      <c r="K134" s="109">
        <v>0</v>
      </c>
      <c r="L134" s="109">
        <v>0</v>
      </c>
      <c r="M134" s="109" t="s">
        <v>9</v>
      </c>
      <c r="N134" s="114">
        <f>COUNTIF(Table7[Spawner],Table1[[#This Row],[Spawner Prefab]])</f>
        <v>0</v>
      </c>
      <c r="O134" s="114">
        <f>ROUND((Table1[[#This Row],[Total in "Village" scene]]/SUM(Table1[Total in "Village" scene]))*100,1)</f>
        <v>0</v>
      </c>
      <c r="P134" s="118">
        <f>COUNTIF(Table15[Spawner],Table1[[#This Row],[Spawner Prefab]])</f>
        <v>0</v>
      </c>
      <c r="Q134" s="118">
        <f>ROUND((Table1[[#This Row],[Total in "Castle" scene]]/SUM(Table1[Total in "Castle" scene]))*100,1)</f>
        <v>0</v>
      </c>
      <c r="R134" s="114">
        <f>COUNTIF(Table20[Spawner],Table1[[#This Row],[Spawner Prefab]])</f>
        <v>0</v>
      </c>
      <c r="S134" s="114">
        <f>ROUND((Table1[[#This Row],[Total in "Dark" scene]]/SUM(Table1[Total in "Dark" scene]))*100,1)</f>
        <v>0</v>
      </c>
      <c r="T134" s="118">
        <f>Table1[[#This Row],[Total in "Village" scene]]+Table1[[#This Row],[Total in "Castle" scene]]</f>
        <v>0</v>
      </c>
      <c r="U134" s="118">
        <f>ROUND((Table1[[#This Row],[Total in the game]]/SUM(Table1[Total in the game]))*100,1)</f>
        <v>0</v>
      </c>
    </row>
    <row r="135" spans="4:21" x14ac:dyDescent="0.25">
      <c r="D135" s="79" t="s">
        <v>124</v>
      </c>
      <c r="E135" s="79" t="s">
        <v>369</v>
      </c>
      <c r="F135" s="79" t="s">
        <v>557</v>
      </c>
      <c r="G135" s="111">
        <v>300</v>
      </c>
      <c r="H135" s="111">
        <v>300</v>
      </c>
      <c r="I135" s="108">
        <v>20</v>
      </c>
      <c r="J135" s="108">
        <v>50</v>
      </c>
      <c r="K135" s="108">
        <v>0</v>
      </c>
      <c r="L135" s="108">
        <v>0</v>
      </c>
      <c r="M135" s="108">
        <v>35</v>
      </c>
      <c r="N135" s="115">
        <f>COUNTIF(Table7[Spawner],Table1[[#This Row],[Spawner Prefab]])</f>
        <v>20</v>
      </c>
      <c r="O135" s="115">
        <f>ROUND((Table1[[#This Row],[Total in "Village" scene]]/SUM(Table1[Total in "Village" scene]))*100,1)</f>
        <v>0.8</v>
      </c>
      <c r="P135" s="117">
        <f>COUNTIF(Table15[Spawner],Table1[[#This Row],[Spawner Prefab]])</f>
        <v>0</v>
      </c>
      <c r="Q135" s="117">
        <f>ROUND((Table1[[#This Row],[Total in "Castle" scene]]/SUM(Table1[Total in "Castle" scene]))*100,1)</f>
        <v>0</v>
      </c>
      <c r="R135" s="115">
        <f>COUNTIF(Table20[Spawner],Table1[[#This Row],[Spawner Prefab]])</f>
        <v>0</v>
      </c>
      <c r="S135" s="115">
        <f>ROUND((Table1[[#This Row],[Total in "Dark" scene]]/SUM(Table1[Total in "Dark" scene]))*100,1)</f>
        <v>0</v>
      </c>
      <c r="T135" s="117">
        <f>Table1[[#This Row],[Total in "Village" scene]]+Table1[[#This Row],[Total in "Castle" scene]]</f>
        <v>20</v>
      </c>
      <c r="U135" s="117">
        <f>ROUND((Table1[[#This Row],[Total in the game]]/SUM(Table1[Total in the game]))*100,1)</f>
        <v>0.5</v>
      </c>
    </row>
    <row r="136" spans="4:21" x14ac:dyDescent="0.25">
      <c r="D136" s="79" t="s">
        <v>614</v>
      </c>
      <c r="E136" s="79" t="s">
        <v>615</v>
      </c>
      <c r="F136" s="79" t="s">
        <v>616</v>
      </c>
      <c r="G136" s="110">
        <v>120</v>
      </c>
      <c r="H136" s="110">
        <v>120</v>
      </c>
      <c r="I136" s="109">
        <v>30</v>
      </c>
      <c r="J136" s="109">
        <v>105</v>
      </c>
      <c r="K136" s="109">
        <v>0</v>
      </c>
      <c r="L136" s="109">
        <v>0</v>
      </c>
      <c r="M136" s="109" t="s">
        <v>9</v>
      </c>
      <c r="N136" s="114">
        <f>COUNTIF(Table7[Spawner],Table1[[#This Row],[Spawner Prefab]])</f>
        <v>0</v>
      </c>
      <c r="O136" s="114">
        <f>ROUND((Table1[[#This Row],[Total in "Village" scene]]/SUM(Table1[Total in "Village" scene]))*100,1)</f>
        <v>0</v>
      </c>
      <c r="P136" s="118">
        <f>COUNTIF(Table15[Spawner],Table1[[#This Row],[Spawner Prefab]])</f>
        <v>0</v>
      </c>
      <c r="Q136" s="118">
        <f>ROUND((Table1[[#This Row],[Total in "Castle" scene]]/SUM(Table1[Total in "Castle" scene]))*100,1)</f>
        <v>0</v>
      </c>
      <c r="R136" s="114">
        <f>COUNTIF(Table20[Spawner],Table1[[#This Row],[Spawner Prefab]])</f>
        <v>0</v>
      </c>
      <c r="S136" s="114">
        <f>ROUND((Table1[[#This Row],[Total in "Dark" scene]]/SUM(Table1[Total in "Dark" scene]))*100,1)</f>
        <v>0</v>
      </c>
      <c r="T136" s="118">
        <f>Table1[[#This Row],[Total in "Village" scene]]+Table1[[#This Row],[Total in "Castle" scene]]</f>
        <v>0</v>
      </c>
      <c r="U136" s="118">
        <f>ROUND((Table1[[#This Row],[Total in the game]]/SUM(Table1[Total in the game]))*100,1)</f>
        <v>0</v>
      </c>
    </row>
    <row r="137" spans="4:21" x14ac:dyDescent="0.25">
      <c r="D137" s="79" t="s">
        <v>90</v>
      </c>
      <c r="E137" s="79" t="s">
        <v>420</v>
      </c>
      <c r="F137" s="79" t="s">
        <v>371</v>
      </c>
      <c r="G137" s="111">
        <v>200</v>
      </c>
      <c r="H137" s="111">
        <v>200</v>
      </c>
      <c r="I137" s="108">
        <v>8</v>
      </c>
      <c r="J137" s="108">
        <v>75</v>
      </c>
      <c r="K137" s="108">
        <v>0</v>
      </c>
      <c r="L137" s="108">
        <v>0</v>
      </c>
      <c r="M137" s="108" t="s">
        <v>9</v>
      </c>
      <c r="N137" s="115">
        <f>COUNTIF(Table7[Spawner],Table1[[#This Row],[Spawner Prefab]])</f>
        <v>111</v>
      </c>
      <c r="O137" s="115">
        <f>ROUND((Table1[[#This Row],[Total in "Village" scene]]/SUM(Table1[Total in "Village" scene]))*100,1)</f>
        <v>4.4000000000000004</v>
      </c>
      <c r="P137" s="117">
        <f>COUNTIF(Table15[Spawner],Table1[[#This Row],[Spawner Prefab]])</f>
        <v>17</v>
      </c>
      <c r="Q137" s="117">
        <f>ROUND((Table1[[#This Row],[Total in "Castle" scene]]/SUM(Table1[Total in "Castle" scene]))*100,1)</f>
        <v>0.9</v>
      </c>
      <c r="R137" s="115">
        <f>COUNTIF(Table20[Spawner],Table1[[#This Row],[Spawner Prefab]])</f>
        <v>0</v>
      </c>
      <c r="S137" s="115">
        <f>ROUND((Table1[[#This Row],[Total in "Dark" scene]]/SUM(Table1[Total in "Dark" scene]))*100,1)</f>
        <v>0</v>
      </c>
      <c r="T137" s="117">
        <f>Table1[[#This Row],[Total in "Village" scene]]+Table1[[#This Row],[Total in "Castle" scene]]</f>
        <v>128</v>
      </c>
      <c r="U137" s="117">
        <f>ROUND((Table1[[#This Row],[Total in the game]]/SUM(Table1[Total in the game]))*100,1)</f>
        <v>2.9</v>
      </c>
    </row>
    <row r="138" spans="4:21" x14ac:dyDescent="0.25">
      <c r="D138" s="86" t="s">
        <v>90</v>
      </c>
      <c r="E138" s="86" t="s">
        <v>370</v>
      </c>
      <c r="F138" s="86" t="s">
        <v>371</v>
      </c>
      <c r="G138" s="110">
        <v>200</v>
      </c>
      <c r="H138" s="110">
        <v>200</v>
      </c>
      <c r="I138" s="109">
        <v>8</v>
      </c>
      <c r="J138" s="109">
        <v>75</v>
      </c>
      <c r="K138" s="109">
        <v>0</v>
      </c>
      <c r="L138" s="109">
        <v>0</v>
      </c>
      <c r="M138" s="109" t="s">
        <v>9</v>
      </c>
      <c r="N138" s="114">
        <f>COUNTIF(Table7[Spawner],Table1[[#This Row],[Spawner Prefab]])</f>
        <v>4</v>
      </c>
      <c r="O138" s="114">
        <f>ROUND((Table1[[#This Row],[Total in "Village" scene]]/SUM(Table1[Total in "Village" scene]))*100,1)</f>
        <v>0.2</v>
      </c>
      <c r="P138" s="118">
        <f>COUNTIF(Table15[Spawner],Table1[[#This Row],[Spawner Prefab]])</f>
        <v>0</v>
      </c>
      <c r="Q138" s="118">
        <f>ROUND((Table1[[#This Row],[Total in "Castle" scene]]/SUM(Table1[Total in "Castle" scene]))*100,1)</f>
        <v>0</v>
      </c>
      <c r="R138" s="114">
        <f>COUNTIF(Table20[Spawner],Table1[[#This Row],[Spawner Prefab]])</f>
        <v>0</v>
      </c>
      <c r="S138" s="114">
        <f>ROUND((Table1[[#This Row],[Total in "Dark" scene]]/SUM(Table1[Total in "Dark" scene]))*100,1)</f>
        <v>0</v>
      </c>
      <c r="T138" s="118">
        <f>Table1[[#This Row],[Total in "Village" scene]]+Table1[[#This Row],[Total in "Castle" scene]]</f>
        <v>4</v>
      </c>
      <c r="U138" s="118">
        <f>ROUND((Table1[[#This Row],[Total in the game]]/SUM(Table1[Total in the game]))*100,1)</f>
        <v>0.1</v>
      </c>
    </row>
    <row r="139" spans="4:21" x14ac:dyDescent="0.25">
      <c r="D139" s="79" t="s">
        <v>90</v>
      </c>
      <c r="E139" s="79" t="s">
        <v>374</v>
      </c>
      <c r="F139" s="79" t="s">
        <v>375</v>
      </c>
      <c r="G139" s="111">
        <v>200</v>
      </c>
      <c r="H139" s="111">
        <v>200</v>
      </c>
      <c r="I139" s="108">
        <v>8</v>
      </c>
      <c r="J139" s="108">
        <v>75</v>
      </c>
      <c r="K139" s="108">
        <v>0</v>
      </c>
      <c r="L139" s="108">
        <v>0</v>
      </c>
      <c r="M139" s="108" t="s">
        <v>9</v>
      </c>
      <c r="N139" s="115">
        <f>COUNTIF(Table7[Spawner],Table1[[#This Row],[Spawner Prefab]])</f>
        <v>1</v>
      </c>
      <c r="O139" s="115">
        <f>ROUND((Table1[[#This Row],[Total in "Village" scene]]/SUM(Table1[Total in "Village" scene]))*100,1)</f>
        <v>0</v>
      </c>
      <c r="P139" s="117">
        <f>COUNTIF(Table15[Spawner],Table1[[#This Row],[Spawner Prefab]])</f>
        <v>0</v>
      </c>
      <c r="Q139" s="117">
        <f>ROUND((Table1[[#This Row],[Total in "Castle" scene]]/SUM(Table1[Total in "Castle" scene]))*100,1)</f>
        <v>0</v>
      </c>
      <c r="R139" s="115">
        <f>COUNTIF(Table20[Spawner],Table1[[#This Row],[Spawner Prefab]])</f>
        <v>0</v>
      </c>
      <c r="S139" s="115">
        <f>ROUND((Table1[[#This Row],[Total in "Dark" scene]]/SUM(Table1[Total in "Dark" scene]))*100,1)</f>
        <v>0</v>
      </c>
      <c r="T139" s="117">
        <f>Table1[[#This Row],[Total in "Village" scene]]+Table1[[#This Row],[Total in "Castle" scene]]</f>
        <v>1</v>
      </c>
      <c r="U139" s="117">
        <f>ROUND((Table1[[#This Row],[Total in the game]]/SUM(Table1[Total in the game]))*100,1)</f>
        <v>0</v>
      </c>
    </row>
    <row r="140" spans="4:21" x14ac:dyDescent="0.25">
      <c r="D140" s="79" t="s">
        <v>90</v>
      </c>
      <c r="E140" s="79" t="s">
        <v>491</v>
      </c>
      <c r="F140" s="79" t="s">
        <v>492</v>
      </c>
      <c r="G140" s="110">
        <v>200</v>
      </c>
      <c r="H140" s="110">
        <v>200</v>
      </c>
      <c r="I140" s="109">
        <v>8</v>
      </c>
      <c r="J140" s="109">
        <v>75</v>
      </c>
      <c r="K140" s="109">
        <v>0</v>
      </c>
      <c r="L140" s="109">
        <v>0</v>
      </c>
      <c r="M140" s="109" t="s">
        <v>9</v>
      </c>
      <c r="N140" s="114">
        <f>COUNTIF(Table7[Spawner],Table1[[#This Row],[Spawner Prefab]])</f>
        <v>0</v>
      </c>
      <c r="O140" s="114">
        <f>ROUND((Table1[[#This Row],[Total in "Village" scene]]/SUM(Table1[Total in "Village" scene]))*100,1)</f>
        <v>0</v>
      </c>
      <c r="P140" s="118">
        <f>COUNTIF(Table15[Spawner],Table1[[#This Row],[Spawner Prefab]])</f>
        <v>163</v>
      </c>
      <c r="Q140" s="118">
        <f>ROUND((Table1[[#This Row],[Total in "Castle" scene]]/SUM(Table1[Total in "Castle" scene]))*100,1)</f>
        <v>8.9</v>
      </c>
      <c r="R140" s="114">
        <f>COUNTIF(Table20[Spawner],Table1[[#This Row],[Spawner Prefab]])</f>
        <v>0</v>
      </c>
      <c r="S140" s="114">
        <f>ROUND((Table1[[#This Row],[Total in "Dark" scene]]/SUM(Table1[Total in "Dark" scene]))*100,1)</f>
        <v>0</v>
      </c>
      <c r="T140" s="118">
        <f>Table1[[#This Row],[Total in "Village" scene]]+Table1[[#This Row],[Total in "Castle" scene]]</f>
        <v>163</v>
      </c>
      <c r="U140" s="118">
        <f>ROUND((Table1[[#This Row],[Total in the game]]/SUM(Table1[Total in the game]))*100,1)</f>
        <v>3.7</v>
      </c>
    </row>
    <row r="141" spans="4:21" x14ac:dyDescent="0.25">
      <c r="D141" s="79" t="s">
        <v>90</v>
      </c>
      <c r="E141" s="79" t="s">
        <v>494</v>
      </c>
      <c r="F141" s="79" t="s">
        <v>492</v>
      </c>
      <c r="G141" s="111">
        <v>200</v>
      </c>
      <c r="H141" s="111">
        <v>200</v>
      </c>
      <c r="I141" s="108">
        <v>8</v>
      </c>
      <c r="J141" s="108">
        <v>75</v>
      </c>
      <c r="K141" s="108">
        <v>0</v>
      </c>
      <c r="L141" s="108">
        <v>0</v>
      </c>
      <c r="M141" s="108" t="s">
        <v>9</v>
      </c>
      <c r="N141" s="115">
        <f>COUNTIF(Table7[Spawner],Table1[[#This Row],[Spawner Prefab]])</f>
        <v>0</v>
      </c>
      <c r="O141" s="115">
        <f>ROUND((Table1[[#This Row],[Total in "Village" scene]]/SUM(Table1[Total in "Village" scene]))*100,1)</f>
        <v>0</v>
      </c>
      <c r="P141" s="117">
        <f>COUNTIF(Table15[Spawner],Table1[[#This Row],[Spawner Prefab]])</f>
        <v>17</v>
      </c>
      <c r="Q141" s="117">
        <f>ROUND((Table1[[#This Row],[Total in "Castle" scene]]/SUM(Table1[Total in "Castle" scene]))*100,1)</f>
        <v>0.9</v>
      </c>
      <c r="R141" s="115">
        <f>COUNTIF(Table20[Spawner],Table1[[#This Row],[Spawner Prefab]])</f>
        <v>0</v>
      </c>
      <c r="S141" s="115">
        <f>ROUND((Table1[[#This Row],[Total in "Dark" scene]]/SUM(Table1[Total in "Dark" scene]))*100,1)</f>
        <v>0</v>
      </c>
      <c r="T141" s="117">
        <f>Table1[[#This Row],[Total in "Village" scene]]+Table1[[#This Row],[Total in "Castle" scene]]</f>
        <v>17</v>
      </c>
      <c r="U141" s="117">
        <f>ROUND((Table1[[#This Row],[Total in the game]]/SUM(Table1[Total in the game]))*100,1)</f>
        <v>0.4</v>
      </c>
    </row>
    <row r="142" spans="4:21" x14ac:dyDescent="0.25">
      <c r="D142" s="79" t="s">
        <v>90</v>
      </c>
      <c r="E142" s="79" t="s">
        <v>493</v>
      </c>
      <c r="F142" s="79" t="s">
        <v>492</v>
      </c>
      <c r="G142" s="110">
        <v>200</v>
      </c>
      <c r="H142" s="110">
        <v>200</v>
      </c>
      <c r="I142" s="109">
        <v>8</v>
      </c>
      <c r="J142" s="109">
        <v>75</v>
      </c>
      <c r="K142" s="109">
        <v>0</v>
      </c>
      <c r="L142" s="109">
        <v>0</v>
      </c>
      <c r="M142" s="109" t="s">
        <v>9</v>
      </c>
      <c r="N142" s="114">
        <f>COUNTIF(Table7[Spawner],Table1[[#This Row],[Spawner Prefab]])</f>
        <v>0</v>
      </c>
      <c r="O142" s="114">
        <f>ROUND((Table1[[#This Row],[Total in "Village" scene]]/SUM(Table1[Total in "Village" scene]))*100,1)</f>
        <v>0</v>
      </c>
      <c r="P142" s="118">
        <f>COUNTIF(Table15[Spawner],Table1[[#This Row],[Spawner Prefab]])</f>
        <v>11</v>
      </c>
      <c r="Q142" s="118">
        <f>ROUND((Table1[[#This Row],[Total in "Castle" scene]]/SUM(Table1[Total in "Castle" scene]))*100,1)</f>
        <v>0.6</v>
      </c>
      <c r="R142" s="114">
        <f>COUNTIF(Table20[Spawner],Table1[[#This Row],[Spawner Prefab]])</f>
        <v>0</v>
      </c>
      <c r="S142" s="114">
        <f>ROUND((Table1[[#This Row],[Total in "Dark" scene]]/SUM(Table1[Total in "Dark" scene]))*100,1)</f>
        <v>0</v>
      </c>
      <c r="T142" s="118">
        <f>Table1[[#This Row],[Total in "Village" scene]]+Table1[[#This Row],[Total in "Castle" scene]]</f>
        <v>11</v>
      </c>
      <c r="U142" s="118">
        <f>ROUND((Table1[[#This Row],[Total in the game]]/SUM(Table1[Total in the game]))*100,1)</f>
        <v>0.3</v>
      </c>
    </row>
    <row r="143" spans="4:21" x14ac:dyDescent="0.25">
      <c r="D143" s="79" t="s">
        <v>90</v>
      </c>
      <c r="E143" s="79" t="s">
        <v>372</v>
      </c>
      <c r="F143" s="79" t="s">
        <v>373</v>
      </c>
      <c r="G143" s="111">
        <v>200</v>
      </c>
      <c r="H143" s="111">
        <v>200</v>
      </c>
      <c r="I143" s="108">
        <v>8</v>
      </c>
      <c r="J143" s="108">
        <v>75</v>
      </c>
      <c r="K143" s="108">
        <v>0</v>
      </c>
      <c r="L143" s="108">
        <v>0</v>
      </c>
      <c r="M143" s="108" t="s">
        <v>9</v>
      </c>
      <c r="N143" s="115">
        <f>COUNTIF(Table7[Spawner],Table1[[#This Row],[Spawner Prefab]])</f>
        <v>0</v>
      </c>
      <c r="O143" s="115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17">
        <f>ROUND((Table1[[#This Row],[Total in "Castle" scene]]/SUM(Table1[Total in "Castle" scene]))*100,1)</f>
        <v>0</v>
      </c>
      <c r="R143" s="115">
        <f>COUNTIF(Table20[Spawner],Table1[[#This Row],[Spawner Prefab]])</f>
        <v>0</v>
      </c>
      <c r="S143" s="115">
        <f>ROUND((Table1[[#This Row],[Total in "Dark" scene]]/SUM(Table1[Total in "Dark" scene]))*100,1)</f>
        <v>0</v>
      </c>
      <c r="T143" s="117">
        <f>Table1[[#This Row],[Total in "Village" scene]]+Table1[[#This Row],[Total in "Castle" scene]]</f>
        <v>0</v>
      </c>
      <c r="U143" s="117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opLeftCell="A31" workbookViewId="0">
      <selection activeCell="AA62" sqref="AA6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672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87"/>
      <c r="Q48" s="88"/>
      <c r="R48" s="88"/>
      <c r="S48" s="88"/>
      <c r="T48" s="88"/>
      <c r="U48" s="88"/>
      <c r="V48" s="88"/>
      <c r="W48" s="88"/>
      <c r="X48" s="88"/>
      <c r="Y48" s="88"/>
      <c r="Z48" s="89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0"/>
      <c r="Q49" t="s">
        <v>637</v>
      </c>
      <c r="R49" s="23"/>
      <c r="S49" s="23" t="s">
        <v>638</v>
      </c>
      <c r="T49" s="23"/>
      <c r="U49" s="23" t="s">
        <v>639</v>
      </c>
      <c r="V49" s="23"/>
      <c r="W49" s="23" t="s">
        <v>635</v>
      </c>
      <c r="X49" s="23" t="s">
        <v>634</v>
      </c>
      <c r="Y49" s="23" t="s">
        <v>636</v>
      </c>
      <c r="Z49" s="91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0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1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0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1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0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1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0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1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0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1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0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1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0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1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0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1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0"/>
      <c r="Q58" s="15">
        <f t="shared" si="7"/>
        <v>14.1</v>
      </c>
      <c r="R58" s="95"/>
      <c r="S58" s="36">
        <f t="shared" si="10"/>
        <v>9.9999999999999645E-2</v>
      </c>
      <c r="T58" s="23"/>
      <c r="U58" s="23">
        <f t="shared" si="8"/>
        <v>2.5999999999999996</v>
      </c>
      <c r="V58" s="23"/>
      <c r="W58" s="15">
        <v>522</v>
      </c>
      <c r="X58" s="15">
        <v>3.9</v>
      </c>
      <c r="Y58" s="15">
        <v>9.5</v>
      </c>
      <c r="Z58" s="91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0"/>
      <c r="Q59" s="16">
        <f t="shared" si="7"/>
        <v>15.2</v>
      </c>
      <c r="R59" s="95"/>
      <c r="S59" s="18">
        <f t="shared" si="10"/>
        <v>1.0999999999999996</v>
      </c>
      <c r="T59" s="23"/>
      <c r="U59" s="23">
        <f t="shared" si="8"/>
        <v>1.6000000000000014</v>
      </c>
      <c r="V59" s="23"/>
      <c r="W59" s="16">
        <v>680</v>
      </c>
      <c r="X59" s="16">
        <v>4.7</v>
      </c>
      <c r="Y59" s="16">
        <v>9.5</v>
      </c>
      <c r="Z59" s="91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0"/>
      <c r="Q60" s="23"/>
      <c r="R60" s="23"/>
      <c r="S60" s="23"/>
      <c r="T60" s="23"/>
      <c r="U60" s="23"/>
      <c r="V60" s="23"/>
      <c r="W60" s="23"/>
      <c r="X60" s="23"/>
      <c r="Y60" s="23"/>
      <c r="Z60" s="91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4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7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564</v>
      </c>
      <c r="G7" t="s">
        <v>566</v>
      </c>
      <c r="H7" t="s">
        <v>565</v>
      </c>
      <c r="I7" t="s">
        <v>567</v>
      </c>
    </row>
    <row r="8" spans="2:13" x14ac:dyDescent="0.25">
      <c r="B8" t="s">
        <v>568</v>
      </c>
      <c r="C8" t="s">
        <v>265</v>
      </c>
      <c r="D8" t="s">
        <v>563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569</v>
      </c>
      <c r="C9" t="s">
        <v>522</v>
      </c>
      <c r="D9" t="s">
        <v>563</v>
      </c>
      <c r="E9">
        <f ca="1">DATA_SCENES_UNITY_1!BG6+DATA_SCENES_UNITY_1!BO6+DATA_SCENES_UNITY_1!BW6+DATA_SCENES_UNITY_1!CE6</f>
        <v>117540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C10" t="s">
        <v>562</v>
      </c>
      <c r="D10" t="s">
        <v>563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467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473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472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524</v>
      </c>
      <c r="E8">
        <f ca="1">DATA_SCENES_UNITY_1!BG6</f>
        <v>21936</v>
      </c>
      <c r="F8">
        <v>0</v>
      </c>
      <c r="M8" s="1"/>
    </row>
    <row r="9" spans="3:13" x14ac:dyDescent="0.25">
      <c r="C9" t="s">
        <v>522</v>
      </c>
      <c r="D9" t="s">
        <v>559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522</v>
      </c>
      <c r="D10" t="s">
        <v>560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522</v>
      </c>
      <c r="D11" t="s">
        <v>544</v>
      </c>
      <c r="E11">
        <f ca="1">DATA_SCENES_UNITY_1!CE6</f>
        <v>56440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660</v>
      </c>
      <c r="E8">
        <f ca="1">DATA_SCENES_UNITY_1!CM6</f>
        <v>501</v>
      </c>
      <c r="F8">
        <v>0</v>
      </c>
      <c r="M8" s="1"/>
    </row>
    <row r="9" spans="3:13" x14ac:dyDescent="0.25">
      <c r="C9" t="s">
        <v>522</v>
      </c>
      <c r="D9" t="s">
        <v>662</v>
      </c>
      <c r="E9">
        <f ca="1">DATA_SCENES_UNITY_1!CU6</f>
        <v>501</v>
      </c>
      <c r="F9">
        <f ca="1">ROUNDUP(E8*0.1,0)</f>
        <v>51</v>
      </c>
    </row>
    <row r="10" spans="3:13" x14ac:dyDescent="0.25">
      <c r="C10" t="s">
        <v>522</v>
      </c>
      <c r="D10" s="107" t="s">
        <v>664</v>
      </c>
      <c r="E10" s="107">
        <f ca="1">DATA_SCENES_UNITY_1!DC6</f>
        <v>501</v>
      </c>
      <c r="F10" s="107">
        <f t="shared" ref="F10:F11" ca="1" si="0">ROUNDUP(E9*0.1,0)</f>
        <v>51</v>
      </c>
    </row>
    <row r="11" spans="3:13" x14ac:dyDescent="0.25">
      <c r="C11" t="s">
        <v>522</v>
      </c>
      <c r="D11" s="107" t="s">
        <v>665</v>
      </c>
      <c r="E11" s="107">
        <f ca="1">DATA_SCENES_UNITY_1!DK6</f>
        <v>501</v>
      </c>
      <c r="F11" s="107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tabSelected="1" topLeftCell="A19" workbookViewId="0">
      <selection activeCell="H31" sqref="H31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67"/>
  <sheetViews>
    <sheetView topLeftCell="DA1" workbookViewId="0">
      <selection activeCell="DE30" sqref="DE3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3"/>
    </row>
    <row r="4" spans="2:120" x14ac:dyDescent="0.25">
      <c r="B4" s="1" t="s">
        <v>268</v>
      </c>
      <c r="C4" s="1" t="s">
        <v>265</v>
      </c>
      <c r="F4" s="81"/>
      <c r="G4" s="81"/>
      <c r="J4" s="1" t="s">
        <v>268</v>
      </c>
      <c r="K4" s="1" t="s">
        <v>265</v>
      </c>
      <c r="N4" s="81"/>
      <c r="O4" s="81"/>
      <c r="R4" s="1" t="s">
        <v>268</v>
      </c>
      <c r="S4" s="1" t="s">
        <v>265</v>
      </c>
      <c r="V4" s="81"/>
      <c r="W4" s="81"/>
      <c r="Z4" s="1" t="s">
        <v>268</v>
      </c>
      <c r="AA4" s="1" t="s">
        <v>265</v>
      </c>
      <c r="AD4" s="81"/>
      <c r="AE4" s="81"/>
      <c r="AH4" s="1" t="s">
        <v>268</v>
      </c>
      <c r="AI4" s="1" t="s">
        <v>265</v>
      </c>
      <c r="AL4" s="81"/>
      <c r="AM4" s="81"/>
      <c r="AP4" s="1" t="s">
        <v>268</v>
      </c>
      <c r="AQ4" s="1" t="s">
        <v>265</v>
      </c>
      <c r="AT4" s="81"/>
      <c r="AU4" s="81"/>
      <c r="AX4" s="1" t="s">
        <v>268</v>
      </c>
      <c r="AY4" s="1" t="s">
        <v>265</v>
      </c>
      <c r="BB4" s="81"/>
      <c r="BC4" s="81"/>
      <c r="BF4" s="1" t="s">
        <v>268</v>
      </c>
      <c r="BG4" s="1" t="s">
        <v>522</v>
      </c>
      <c r="BJ4" s="81"/>
      <c r="BK4" s="81"/>
      <c r="BN4" s="1" t="s">
        <v>268</v>
      </c>
      <c r="BO4" s="1" t="s">
        <v>522</v>
      </c>
      <c r="BR4" s="81"/>
      <c r="BS4" s="81"/>
      <c r="BV4" s="1" t="s">
        <v>268</v>
      </c>
      <c r="BW4" s="1" t="s">
        <v>522</v>
      </c>
      <c r="BZ4" s="81"/>
      <c r="CA4" s="81"/>
      <c r="CD4" s="1" t="s">
        <v>268</v>
      </c>
      <c r="CE4" s="1" t="s">
        <v>522</v>
      </c>
      <c r="CH4" s="81"/>
      <c r="CI4" s="81"/>
      <c r="CL4" s="1" t="s">
        <v>268</v>
      </c>
      <c r="CM4" s="1" t="s">
        <v>562</v>
      </c>
      <c r="CP4" s="81"/>
      <c r="CQ4" s="81"/>
      <c r="CT4" s="1" t="s">
        <v>268</v>
      </c>
      <c r="CU4" s="1" t="s">
        <v>562</v>
      </c>
      <c r="CX4" s="81"/>
      <c r="CY4" s="81"/>
      <c r="DB4" s="1" t="s">
        <v>268</v>
      </c>
      <c r="DC4" s="1" t="s">
        <v>562</v>
      </c>
      <c r="DF4" s="81"/>
      <c r="DG4" s="81"/>
      <c r="DJ4" s="1" t="s">
        <v>268</v>
      </c>
      <c r="DK4" s="1" t="s">
        <v>562</v>
      </c>
      <c r="DN4" s="81"/>
      <c r="DO4" s="81"/>
    </row>
    <row r="5" spans="2:120" x14ac:dyDescent="0.25">
      <c r="B5" s="1" t="s">
        <v>221</v>
      </c>
      <c r="C5" s="1" t="s">
        <v>386</v>
      </c>
      <c r="E5" s="1" t="s">
        <v>501</v>
      </c>
      <c r="F5" s="1">
        <v>201</v>
      </c>
      <c r="G5" s="1">
        <v>108</v>
      </c>
      <c r="H5" s="1" t="s">
        <v>502</v>
      </c>
      <c r="J5" s="1" t="s">
        <v>221</v>
      </c>
      <c r="K5" s="1" t="s">
        <v>387</v>
      </c>
      <c r="M5" s="1" t="s">
        <v>501</v>
      </c>
      <c r="N5" s="1">
        <v>90</v>
      </c>
      <c r="O5" s="1">
        <v>120</v>
      </c>
      <c r="P5" s="1" t="s">
        <v>502</v>
      </c>
      <c r="R5" s="1" t="s">
        <v>221</v>
      </c>
      <c r="S5" s="1" t="s">
        <v>456</v>
      </c>
      <c r="U5" s="1" t="s">
        <v>501</v>
      </c>
      <c r="V5" s="1">
        <v>60</v>
      </c>
      <c r="W5" s="1">
        <v>120</v>
      </c>
      <c r="X5" s="1" t="s">
        <v>502</v>
      </c>
      <c r="Z5" s="1" t="s">
        <v>221</v>
      </c>
      <c r="AA5" s="1" t="s">
        <v>398</v>
      </c>
      <c r="AC5" s="1" t="s">
        <v>501</v>
      </c>
      <c r="AD5" s="1">
        <v>170</v>
      </c>
      <c r="AE5" s="1">
        <v>120</v>
      </c>
      <c r="AF5" s="1" t="s">
        <v>502</v>
      </c>
      <c r="AH5" s="1" t="s">
        <v>221</v>
      </c>
      <c r="AI5" s="1" t="s">
        <v>403</v>
      </c>
      <c r="AK5" s="1" t="s">
        <v>501</v>
      </c>
      <c r="AL5" s="1">
        <v>150</v>
      </c>
      <c r="AM5" s="1">
        <v>30</v>
      </c>
      <c r="AN5" s="1" t="s">
        <v>502</v>
      </c>
      <c r="AP5" s="1" t="s">
        <v>221</v>
      </c>
      <c r="AQ5" s="1" t="s">
        <v>631</v>
      </c>
      <c r="AS5" s="1" t="s">
        <v>501</v>
      </c>
      <c r="AT5" s="1">
        <v>220</v>
      </c>
      <c r="AU5" s="1">
        <v>110</v>
      </c>
      <c r="AV5" s="1" t="s">
        <v>502</v>
      </c>
      <c r="AX5" s="1" t="s">
        <v>221</v>
      </c>
      <c r="AY5" s="1" t="s">
        <v>632</v>
      </c>
      <c r="BA5" s="1" t="s">
        <v>501</v>
      </c>
      <c r="BB5" s="1">
        <v>200</v>
      </c>
      <c r="BC5" s="1">
        <v>115</v>
      </c>
      <c r="BD5" s="1" t="s">
        <v>502</v>
      </c>
      <c r="BF5" s="1" t="s">
        <v>221</v>
      </c>
      <c r="BG5" s="1" t="s">
        <v>523</v>
      </c>
      <c r="BI5" s="1" t="s">
        <v>501</v>
      </c>
      <c r="BJ5" s="1">
        <v>190</v>
      </c>
      <c r="BK5" s="1">
        <v>120</v>
      </c>
      <c r="BL5" s="1" t="s">
        <v>502</v>
      </c>
      <c r="BN5" s="1" t="s">
        <v>221</v>
      </c>
      <c r="BO5" s="1" t="s">
        <v>536</v>
      </c>
      <c r="BQ5" s="1" t="s">
        <v>501</v>
      </c>
      <c r="BR5" s="1">
        <v>190</v>
      </c>
      <c r="BS5" s="1">
        <v>60</v>
      </c>
      <c r="BT5" s="1" t="s">
        <v>502</v>
      </c>
      <c r="BV5" s="1" t="s">
        <v>221</v>
      </c>
      <c r="BW5" s="1" t="s">
        <v>540</v>
      </c>
      <c r="BY5" s="1" t="s">
        <v>501</v>
      </c>
      <c r="BZ5" s="1">
        <v>200</v>
      </c>
      <c r="CA5" s="1">
        <v>70</v>
      </c>
      <c r="CB5" s="1" t="s">
        <v>502</v>
      </c>
      <c r="CD5" s="1" t="s">
        <v>221</v>
      </c>
      <c r="CE5" s="1" t="s">
        <v>561</v>
      </c>
      <c r="CG5" s="1" t="s">
        <v>501</v>
      </c>
      <c r="CH5" s="1">
        <v>390</v>
      </c>
      <c r="CI5" s="1">
        <v>230</v>
      </c>
      <c r="CJ5" s="1" t="s">
        <v>502</v>
      </c>
      <c r="CL5" s="1" t="s">
        <v>221</v>
      </c>
      <c r="CM5" s="1" t="s">
        <v>659</v>
      </c>
      <c r="CO5" s="1" t="s">
        <v>501</v>
      </c>
      <c r="CP5" s="1">
        <v>390</v>
      </c>
      <c r="CQ5" s="1">
        <v>230</v>
      </c>
      <c r="CR5" s="1" t="s">
        <v>502</v>
      </c>
      <c r="CT5" s="1" t="s">
        <v>221</v>
      </c>
      <c r="CU5" s="1" t="s">
        <v>661</v>
      </c>
      <c r="CW5" s="1" t="s">
        <v>501</v>
      </c>
      <c r="CX5" s="1">
        <v>390</v>
      </c>
      <c r="CY5" s="1">
        <v>230</v>
      </c>
      <c r="CZ5" s="1" t="s">
        <v>502</v>
      </c>
      <c r="DB5" s="1" t="s">
        <v>221</v>
      </c>
      <c r="DC5" s="1" t="s">
        <v>666</v>
      </c>
      <c r="DE5" s="1" t="s">
        <v>501</v>
      </c>
      <c r="DF5" s="1">
        <v>390</v>
      </c>
      <c r="DG5" s="1">
        <v>230</v>
      </c>
      <c r="DH5" s="1" t="s">
        <v>502</v>
      </c>
      <c r="DJ5" s="1" t="s">
        <v>221</v>
      </c>
      <c r="DK5" s="1" t="s">
        <v>667</v>
      </c>
      <c r="DM5" s="1" t="s">
        <v>501</v>
      </c>
      <c r="DN5" s="1">
        <v>390</v>
      </c>
      <c r="DO5" s="1">
        <v>230</v>
      </c>
      <c r="DP5" s="1" t="s">
        <v>502</v>
      </c>
    </row>
    <row r="6" spans="2:120" x14ac:dyDescent="0.25">
      <c r="B6" s="1" t="s">
        <v>222</v>
      </c>
      <c r="C6" s="72">
        <f ca="1">ROUNDUP(SUM(Table245[total xp]),0)</f>
        <v>46206</v>
      </c>
      <c r="E6" s="1" t="s">
        <v>503</v>
      </c>
      <c r="F6" s="1">
        <f ca="1">ROUND(C6/(F5*G5),1)</f>
        <v>2.1</v>
      </c>
      <c r="G6" s="1" t="s">
        <v>504</v>
      </c>
      <c r="J6" s="1" t="s">
        <v>222</v>
      </c>
      <c r="K6" s="72">
        <f ca="1">ROUNDUP(SUM(Table3[total xp]),0)</f>
        <v>12547</v>
      </c>
      <c r="M6" s="1" t="s">
        <v>503</v>
      </c>
      <c r="N6" s="1">
        <f ca="1">ROUND(K6/(N5*O5),1)</f>
        <v>1.2</v>
      </c>
      <c r="O6" s="1" t="s">
        <v>504</v>
      </c>
      <c r="R6" s="1" t="s">
        <v>222</v>
      </c>
      <c r="S6" s="72">
        <f>ROUNDUP(SUM(Table39[total xp]),0)</f>
        <v>8000</v>
      </c>
      <c r="U6" s="1" t="s">
        <v>503</v>
      </c>
      <c r="V6" s="1">
        <f>ROUND(S6/(V5*W5),1)</f>
        <v>1.1000000000000001</v>
      </c>
      <c r="W6" s="1" t="s">
        <v>504</v>
      </c>
      <c r="Z6" s="1" t="s">
        <v>222</v>
      </c>
      <c r="AA6" s="72">
        <f ca="1">ROUNDUP(SUM(Table2[total xp]),0)</f>
        <v>28163</v>
      </c>
      <c r="AC6" s="1" t="s">
        <v>503</v>
      </c>
      <c r="AD6" s="1">
        <f ca="1">ROUND(AA6/(AD5*AE5),1)</f>
        <v>1.4</v>
      </c>
      <c r="AE6" s="1" t="s">
        <v>504</v>
      </c>
      <c r="AH6" s="1" t="s">
        <v>222</v>
      </c>
      <c r="AI6" s="72">
        <f ca="1">ROUNDUP(SUM(Table6[total xp]),0)</f>
        <v>13195</v>
      </c>
      <c r="AK6" s="1" t="s">
        <v>503</v>
      </c>
      <c r="AL6" s="1">
        <f ca="1">ROUND(AI6/(AL5*AM5),1)</f>
        <v>2.9</v>
      </c>
      <c r="AM6" s="1" t="s">
        <v>504</v>
      </c>
      <c r="AP6" s="1" t="s">
        <v>222</v>
      </c>
      <c r="AQ6" s="72">
        <f ca="1">ROUNDUP(SUM(Table610[total xp]),0)</f>
        <v>12442</v>
      </c>
      <c r="AS6" s="1" t="s">
        <v>503</v>
      </c>
      <c r="AT6" s="1">
        <f ca="1">ROUND(AQ6/(AT5*AU5),1)</f>
        <v>0.5</v>
      </c>
      <c r="AU6" s="1" t="s">
        <v>504</v>
      </c>
      <c r="AX6" s="1" t="s">
        <v>222</v>
      </c>
      <c r="AY6" s="72">
        <f ca="1">ROUNDUP(SUM(Table61011[total xp]),0)</f>
        <v>39172</v>
      </c>
      <c r="BA6" s="1" t="s">
        <v>503</v>
      </c>
      <c r="BB6" s="1">
        <f ca="1">ROUND(AY6/(BB5*BC5),1)</f>
        <v>1.7</v>
      </c>
      <c r="BC6" s="1" t="s">
        <v>504</v>
      </c>
      <c r="BF6" s="1" t="s">
        <v>222</v>
      </c>
      <c r="BG6" s="72">
        <f ca="1">ROUNDUP(SUM(Table11[total xp]),0)</f>
        <v>21936</v>
      </c>
      <c r="BI6" s="1" t="s">
        <v>503</v>
      </c>
      <c r="BJ6" s="1">
        <f ca="1">ROUND(BG6/(BJ5*BK5),1)</f>
        <v>1</v>
      </c>
      <c r="BK6" s="1" t="s">
        <v>504</v>
      </c>
      <c r="BN6" s="1" t="s">
        <v>222</v>
      </c>
      <c r="BO6" s="72">
        <f ca="1">ROUNDUP(SUM(Table12[total xp]),0)</f>
        <v>11988</v>
      </c>
      <c r="BQ6" s="1" t="s">
        <v>503</v>
      </c>
      <c r="BR6" s="1">
        <f ca="1">ROUND(BO6/(BR5*BS5),1)</f>
        <v>1.1000000000000001</v>
      </c>
      <c r="BS6" s="1" t="s">
        <v>504</v>
      </c>
      <c r="BV6" s="1" t="s">
        <v>222</v>
      </c>
      <c r="BW6" s="72">
        <f ca="1">ROUNDUP(SUM(Table13[total xp]),0)</f>
        <v>27176</v>
      </c>
      <c r="BY6" s="1" t="s">
        <v>503</v>
      </c>
      <c r="BZ6" s="1">
        <f ca="1">ROUND(BW6/(BZ5*CA5),1)</f>
        <v>1.9</v>
      </c>
      <c r="CA6" s="1" t="s">
        <v>504</v>
      </c>
      <c r="CD6" s="1" t="s">
        <v>222</v>
      </c>
      <c r="CE6" s="72">
        <f ca="1">ROUNDUP(SUM(Table14[total xp]),0)</f>
        <v>56440</v>
      </c>
      <c r="CG6" s="1" t="s">
        <v>503</v>
      </c>
      <c r="CH6" s="1">
        <f ca="1">ROUND(CE6/(CH5*CI5),1)</f>
        <v>0.6</v>
      </c>
      <c r="CI6" s="1" t="s">
        <v>504</v>
      </c>
      <c r="CL6" s="1" t="s">
        <v>222</v>
      </c>
      <c r="CM6" s="72">
        <f ca="1">ROUNDUP(SUM(Table18[total xp]),0)</f>
        <v>501</v>
      </c>
      <c r="CO6" s="1" t="s">
        <v>503</v>
      </c>
      <c r="CP6" s="1">
        <f ca="1">ROUND(CM6/(CP5*CQ5),1)</f>
        <v>0</v>
      </c>
      <c r="CQ6" s="1" t="s">
        <v>504</v>
      </c>
      <c r="CT6" s="1" t="s">
        <v>222</v>
      </c>
      <c r="CU6" s="72">
        <f ca="1">ROUNDUP(SUM(Table1820[total xp]),0)</f>
        <v>501</v>
      </c>
      <c r="CW6" s="1" t="s">
        <v>503</v>
      </c>
      <c r="CX6" s="1">
        <f ca="1">ROUND(CU6/(CX5*CY5),1)</f>
        <v>0</v>
      </c>
      <c r="CY6" s="1" t="s">
        <v>504</v>
      </c>
      <c r="DB6" s="1" t="s">
        <v>222</v>
      </c>
      <c r="DC6" s="72">
        <f ca="1">ROUNDUP(SUM(Table182023[total xp]),0)</f>
        <v>501</v>
      </c>
      <c r="DE6" s="1" t="s">
        <v>503</v>
      </c>
      <c r="DF6" s="1">
        <f ca="1">ROUND(DC6/(DF5*DG5),1)</f>
        <v>0</v>
      </c>
      <c r="DG6" s="1" t="s">
        <v>504</v>
      </c>
      <c r="DJ6" s="1" t="s">
        <v>222</v>
      </c>
      <c r="DK6" s="72">
        <f ca="1">ROUNDUP(SUM(Table18202324[total xp]),0)</f>
        <v>501</v>
      </c>
      <c r="DM6" s="1" t="s">
        <v>503</v>
      </c>
      <c r="DN6" s="1">
        <f ca="1">ROUND(DK6/(DN5*DO5),1)</f>
        <v>0</v>
      </c>
      <c r="DO6" s="1" t="s">
        <v>504</v>
      </c>
    </row>
    <row r="7" spans="2:120" x14ac:dyDescent="0.25">
      <c r="B7" s="1" t="s">
        <v>345</v>
      </c>
      <c r="C7" s="72">
        <f>COUNTA(Table245[spawner_sku])</f>
        <v>659</v>
      </c>
      <c r="E7" s="1" t="s">
        <v>505</v>
      </c>
      <c r="F7" s="1">
        <f>ROUND(C7/(F5*G5),4)</f>
        <v>3.04E-2</v>
      </c>
      <c r="G7" s="1" t="s">
        <v>506</v>
      </c>
      <c r="J7" s="1" t="s">
        <v>345</v>
      </c>
      <c r="K7" s="72">
        <f>COUNTA(Table3[spawner_sku])</f>
        <v>174</v>
      </c>
      <c r="M7" s="1" t="s">
        <v>505</v>
      </c>
      <c r="N7" s="1">
        <f>ROUND(K7/(N5*O5),4)</f>
        <v>1.61E-2</v>
      </c>
      <c r="O7" s="1" t="s">
        <v>506</v>
      </c>
      <c r="R7" s="1" t="s">
        <v>345</v>
      </c>
      <c r="S7" s="72">
        <f>COUNTA(Table39[spawner_sku])</f>
        <v>80</v>
      </c>
      <c r="U7" s="1" t="s">
        <v>505</v>
      </c>
      <c r="V7" s="1">
        <f>ROUND(S7/(V5*W5),4)</f>
        <v>1.11E-2</v>
      </c>
      <c r="W7" s="1" t="s">
        <v>506</v>
      </c>
      <c r="Z7" s="1" t="s">
        <v>345</v>
      </c>
      <c r="AA7" s="72">
        <f>COUNTA(Table2[spawner_sku])</f>
        <v>408</v>
      </c>
      <c r="AC7" s="1" t="s">
        <v>505</v>
      </c>
      <c r="AD7" s="1">
        <f>ROUND(AA7/(AD5*AE5),4)</f>
        <v>0.02</v>
      </c>
      <c r="AE7" s="1" t="s">
        <v>506</v>
      </c>
      <c r="AH7" s="1" t="s">
        <v>345</v>
      </c>
      <c r="AI7" s="72">
        <f>COUNTA(Table6[spawner_sku])</f>
        <v>160</v>
      </c>
      <c r="AK7" s="1" t="s">
        <v>505</v>
      </c>
      <c r="AL7" s="1">
        <f>ROUND(AI7/(AL5*AM5),4)</f>
        <v>3.56E-2</v>
      </c>
      <c r="AM7" s="1" t="s">
        <v>506</v>
      </c>
      <c r="AP7" s="1" t="s">
        <v>345</v>
      </c>
      <c r="AQ7" s="72">
        <f>COUNTA(Table610[spawner_sku])</f>
        <v>187</v>
      </c>
      <c r="AS7" s="1" t="s">
        <v>505</v>
      </c>
      <c r="AT7" s="1">
        <f>ROUND(AQ7/(AT5*AU5),4)</f>
        <v>7.7000000000000002E-3</v>
      </c>
      <c r="AU7" s="1" t="s">
        <v>506</v>
      </c>
      <c r="AX7" s="1" t="s">
        <v>345</v>
      </c>
      <c r="AY7" s="72">
        <f>COUNTA(Table61011[spawner_sku])</f>
        <v>484</v>
      </c>
      <c r="BA7" s="1" t="s">
        <v>505</v>
      </c>
      <c r="BB7" s="1">
        <f>ROUND(AY7/(BB5*BC5),4)</f>
        <v>2.1000000000000001E-2</v>
      </c>
      <c r="BC7" s="1" t="s">
        <v>506</v>
      </c>
      <c r="BF7" s="1" t="s">
        <v>345</v>
      </c>
      <c r="BG7" s="72">
        <f>COUNTA(Table11[spawner_sku])</f>
        <v>330</v>
      </c>
      <c r="BI7" s="1" t="s">
        <v>505</v>
      </c>
      <c r="BJ7" s="1">
        <f>ROUND(BG7/(BJ5*BK5),4)</f>
        <v>1.4500000000000001E-2</v>
      </c>
      <c r="BK7" s="1" t="s">
        <v>506</v>
      </c>
      <c r="BN7" s="1" t="s">
        <v>345</v>
      </c>
      <c r="BO7" s="72">
        <f>COUNTA(Table12[spawner_sku])</f>
        <v>197</v>
      </c>
      <c r="BQ7" s="1" t="s">
        <v>505</v>
      </c>
      <c r="BR7" s="1">
        <f>ROUND(BO7/(BR5*BS5),4)</f>
        <v>1.7299999999999999E-2</v>
      </c>
      <c r="BS7" s="1" t="s">
        <v>506</v>
      </c>
      <c r="BV7" s="1" t="s">
        <v>345</v>
      </c>
      <c r="BW7" s="72">
        <f>COUNTA(Table13[spawner_sku])</f>
        <v>341</v>
      </c>
      <c r="BY7" s="1" t="s">
        <v>505</v>
      </c>
      <c r="BZ7" s="1">
        <f>ROUND(BW7/(BZ5*CA5),4)</f>
        <v>2.4400000000000002E-2</v>
      </c>
      <c r="CA7" s="1" t="s">
        <v>506</v>
      </c>
      <c r="CD7" s="1" t="s">
        <v>345</v>
      </c>
      <c r="CE7" s="72">
        <f>COUNTA(Table14[spawner_sku])</f>
        <v>846</v>
      </c>
      <c r="CG7" s="1" t="s">
        <v>505</v>
      </c>
      <c r="CH7" s="1">
        <f>ROUND(CE7/(CH5*CI5),4)</f>
        <v>9.4000000000000004E-3</v>
      </c>
      <c r="CI7" s="1" t="s">
        <v>506</v>
      </c>
      <c r="CL7" s="1" t="s">
        <v>345</v>
      </c>
      <c r="CM7" s="72">
        <f>COUNTA(Table18[spawner_sku])</f>
        <v>4</v>
      </c>
      <c r="CO7" s="1" t="s">
        <v>505</v>
      </c>
      <c r="CP7" s="1">
        <f>ROUND(CM7/(CP5*CQ5),4)</f>
        <v>0</v>
      </c>
      <c r="CQ7" s="1" t="s">
        <v>506</v>
      </c>
      <c r="CT7" s="1" t="s">
        <v>345</v>
      </c>
      <c r="CU7" s="72">
        <f>COUNTA(Table1820[spawner_sku])</f>
        <v>4</v>
      </c>
      <c r="CW7" s="1" t="s">
        <v>505</v>
      </c>
      <c r="CX7" s="1">
        <f>ROUND(CU7/(CX5*CY5),4)</f>
        <v>0</v>
      </c>
      <c r="CY7" s="1" t="s">
        <v>506</v>
      </c>
      <c r="DB7" s="1" t="s">
        <v>345</v>
      </c>
      <c r="DC7" s="72">
        <f>COUNTA(Table182023[spawner_sku])</f>
        <v>4</v>
      </c>
      <c r="DE7" s="1" t="s">
        <v>505</v>
      </c>
      <c r="DF7" s="1">
        <f>ROUND(DC7/(DF5*DG5),4)</f>
        <v>0</v>
      </c>
      <c r="DG7" s="1" t="s">
        <v>506</v>
      </c>
      <c r="DJ7" s="1" t="s">
        <v>345</v>
      </c>
      <c r="DK7" s="72">
        <f>COUNTA(Table18202324[spawner_sku])</f>
        <v>4</v>
      </c>
      <c r="DM7" s="1" t="s">
        <v>505</v>
      </c>
      <c r="DN7" s="1">
        <f>ROUND(DK7/(DN5*DO5),4)</f>
        <v>0</v>
      </c>
      <c r="DO7" s="1" t="s">
        <v>506</v>
      </c>
    </row>
    <row r="8" spans="2:120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  <c r="CL8" s="1" t="s">
        <v>350</v>
      </c>
      <c r="CM8" s="75">
        <f>COUNTIF(Table14[Aggressive],"yes")</f>
        <v>270</v>
      </c>
      <c r="CT8" s="1" t="s">
        <v>350</v>
      </c>
      <c r="CU8" s="75">
        <f>COUNTIF(Table1820[Aggressive],"yes")</f>
        <v>4</v>
      </c>
      <c r="DB8" s="1" t="s">
        <v>350</v>
      </c>
      <c r="DC8" s="75">
        <f>COUNTIF(Table182023[Aggressive],"yes")</f>
        <v>4</v>
      </c>
      <c r="DJ8" s="1" t="s">
        <v>350</v>
      </c>
      <c r="DK8" s="75">
        <f>COUNTIF(Table18202324[Aggressive],"yes")</f>
        <v>4</v>
      </c>
    </row>
    <row r="9" spans="2:120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  <c r="CL9" s="1" t="s">
        <v>351</v>
      </c>
      <c r="CM9" s="75">
        <f>COUNTIF(Table18[Aggressive],"no")</f>
        <v>0</v>
      </c>
      <c r="CT9" s="1" t="s">
        <v>351</v>
      </c>
      <c r="CU9" s="75">
        <f>COUNTIF(Table1820[Aggressive],"no")</f>
        <v>0</v>
      </c>
      <c r="DB9" s="1" t="s">
        <v>351</v>
      </c>
      <c r="DC9" s="75">
        <f>COUNTIF(Table182023[Aggressive],"no")</f>
        <v>0</v>
      </c>
      <c r="DJ9" s="1" t="s">
        <v>351</v>
      </c>
      <c r="DK9" s="75">
        <f>COUNTIF(Table18202324[Aggressive],"no")</f>
        <v>0</v>
      </c>
    </row>
    <row r="11" spans="2:120" x14ac:dyDescent="0.25">
      <c r="B11" s="1" t="s">
        <v>346</v>
      </c>
      <c r="C11" s="72">
        <f>SUM(Table245[entity_spawned (AVG)])</f>
        <v>1032</v>
      </c>
      <c r="E11" s="1" t="s">
        <v>507</v>
      </c>
      <c r="F11" s="1">
        <f>ROUND(C11/(F5*G5),4)</f>
        <v>4.7500000000000001E-2</v>
      </c>
      <c r="G11" s="1" t="s">
        <v>508</v>
      </c>
      <c r="J11" s="1" t="s">
        <v>346</v>
      </c>
      <c r="K11" s="72">
        <f>SUM(Table3[entity_spawned (AVG)])</f>
        <v>332</v>
      </c>
      <c r="M11" s="1" t="s">
        <v>507</v>
      </c>
      <c r="N11" s="1">
        <f>ROUND(K11/(N5*O5),4)</f>
        <v>3.0700000000000002E-2</v>
      </c>
      <c r="O11" s="1" t="s">
        <v>508</v>
      </c>
      <c r="R11" s="1" t="s">
        <v>346</v>
      </c>
      <c r="S11" s="72">
        <f>SUM(Table39[entity_spawned (AVG)])</f>
        <v>116</v>
      </c>
      <c r="U11" s="1" t="s">
        <v>507</v>
      </c>
      <c r="V11" s="1">
        <f>ROUND(S11/(V5*W5),4)</f>
        <v>1.61E-2</v>
      </c>
      <c r="W11" s="1" t="s">
        <v>508</v>
      </c>
      <c r="Z11" s="1" t="s">
        <v>346</v>
      </c>
      <c r="AA11" s="72">
        <f>SUM(Table2[entity_spawned (AVG)])</f>
        <v>615</v>
      </c>
      <c r="AC11" s="1" t="s">
        <v>507</v>
      </c>
      <c r="AD11" s="1">
        <f>ROUND(AA11/(AD5*AE5),4)</f>
        <v>3.0099999999999998E-2</v>
      </c>
      <c r="AE11" s="1" t="s">
        <v>508</v>
      </c>
      <c r="AH11" s="1" t="s">
        <v>346</v>
      </c>
      <c r="AI11" s="72">
        <f>SUM(Table6[entity_spawned (AVG)])</f>
        <v>281</v>
      </c>
      <c r="AK11" s="1" t="s">
        <v>507</v>
      </c>
      <c r="AL11" s="1">
        <f>ROUND(AI11/(AL5*AM5),4)</f>
        <v>6.2399999999999997E-2</v>
      </c>
      <c r="AM11" s="1" t="s">
        <v>508</v>
      </c>
      <c r="AP11" s="1" t="s">
        <v>346</v>
      </c>
      <c r="AQ11" s="72">
        <f>SUM(Table610[entity_spawned (AVG)])</f>
        <v>270</v>
      </c>
      <c r="AS11" s="1" t="s">
        <v>507</v>
      </c>
      <c r="AT11" s="1">
        <f>ROUND(AQ11/(AT5*AU5),4)</f>
        <v>1.12E-2</v>
      </c>
      <c r="AU11" s="1" t="s">
        <v>508</v>
      </c>
      <c r="AX11" s="1" t="s">
        <v>346</v>
      </c>
      <c r="AY11" s="72">
        <f>SUM(Table61011[entity_spawned (AVG)])</f>
        <v>799</v>
      </c>
      <c r="BA11" s="1" t="s">
        <v>507</v>
      </c>
      <c r="BB11" s="1">
        <f>ROUND(AY11/(BB5*BC5),4)</f>
        <v>3.4700000000000002E-2</v>
      </c>
      <c r="BC11" s="1" t="s">
        <v>508</v>
      </c>
      <c r="BF11" s="1" t="s">
        <v>346</v>
      </c>
      <c r="BG11" s="72">
        <f>SUM(Table11[entity_spawned (AVG)])</f>
        <v>473</v>
      </c>
      <c r="BI11" s="1" t="s">
        <v>507</v>
      </c>
      <c r="BJ11" s="1">
        <f>ROUND(BG11/(BJ5*BK5),4)</f>
        <v>2.07E-2</v>
      </c>
      <c r="BK11" s="1" t="s">
        <v>508</v>
      </c>
      <c r="BN11" s="1" t="s">
        <v>346</v>
      </c>
      <c r="BO11" s="72">
        <f>SUM(Table12[entity_spawned (AVG)])</f>
        <v>352</v>
      </c>
      <c r="BQ11" s="1" t="s">
        <v>507</v>
      </c>
      <c r="BR11" s="1">
        <f>ROUND(BO11/(BR5*BS5),4)</f>
        <v>3.09E-2</v>
      </c>
      <c r="BS11" s="1" t="s">
        <v>508</v>
      </c>
      <c r="BV11" s="1" t="s">
        <v>346</v>
      </c>
      <c r="BW11" s="72">
        <f>SUM(Table13[entity_spawned (AVG)])</f>
        <v>678</v>
      </c>
      <c r="BY11" s="1" t="s">
        <v>507</v>
      </c>
      <c r="BZ11" s="1">
        <f>ROUND(BW11/(BZ5*CA5),4)</f>
        <v>4.8399999999999999E-2</v>
      </c>
      <c r="CA11" s="1" t="s">
        <v>508</v>
      </c>
      <c r="CD11" s="1" t="s">
        <v>346</v>
      </c>
      <c r="CE11" s="72">
        <f>SUM(Table14[entity_spawned (AVG)])</f>
        <v>1593</v>
      </c>
      <c r="CG11" s="1" t="s">
        <v>507</v>
      </c>
      <c r="CH11" s="1">
        <f>ROUND(CE11/(CH5*CI5),4)</f>
        <v>1.78E-2</v>
      </c>
      <c r="CI11" s="1" t="s">
        <v>508</v>
      </c>
      <c r="CL11" s="1" t="s">
        <v>346</v>
      </c>
      <c r="CM11" s="72">
        <f>SUM(Table18[entity_spawned (AVG)])</f>
        <v>10</v>
      </c>
      <c r="CO11" s="1" t="s">
        <v>507</v>
      </c>
      <c r="CP11" s="1">
        <f>ROUND(CM11/(CP5*CQ5),4)</f>
        <v>1E-4</v>
      </c>
      <c r="CQ11" s="1" t="s">
        <v>508</v>
      </c>
      <c r="CT11" s="1" t="s">
        <v>346</v>
      </c>
      <c r="CU11" s="72">
        <f>SUM(Table1820[entity_spawned (AVG)])</f>
        <v>10</v>
      </c>
      <c r="CW11" s="1" t="s">
        <v>507</v>
      </c>
      <c r="CX11" s="1">
        <f>ROUND(CU11/(CX5*CY5),4)</f>
        <v>1E-4</v>
      </c>
      <c r="CY11" s="1" t="s">
        <v>508</v>
      </c>
      <c r="DB11" s="1" t="s">
        <v>346</v>
      </c>
      <c r="DC11" s="72">
        <f>SUM(Table182023[entity_spawned (AVG)])</f>
        <v>10</v>
      </c>
      <c r="DE11" s="1" t="s">
        <v>507</v>
      </c>
      <c r="DF11" s="1">
        <f>ROUND(DC11/(DF5*DG5),4)</f>
        <v>1E-4</v>
      </c>
      <c r="DG11" s="1" t="s">
        <v>508</v>
      </c>
      <c r="DJ11" s="1" t="s">
        <v>346</v>
      </c>
      <c r="DK11" s="72">
        <f>SUM(Table18202324[entity_spawned (AVG)])</f>
        <v>10</v>
      </c>
      <c r="DM11" s="1" t="s">
        <v>507</v>
      </c>
      <c r="DN11" s="1">
        <f>ROUND(DK11/(DN5*DO5),4)</f>
        <v>1E-4</v>
      </c>
      <c r="DO11" s="1" t="s">
        <v>508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532</v>
      </c>
      <c r="C13" s="72" t="str">
        <f>CONCATENATE(ROUND(((COUNTIF(Table245[activating_chance],"=100"))/C7)*100,0),"%")</f>
        <v>73%</v>
      </c>
      <c r="J13" s="1" t="s">
        <v>532</v>
      </c>
      <c r="K13" s="72" t="str">
        <f>CONCATENATE(ROUND(((COUNTIF(Table3[activating_chance],"=100"))/K7)*100,0),"%")</f>
        <v>78%</v>
      </c>
      <c r="R13" s="1" t="s">
        <v>532</v>
      </c>
      <c r="S13" s="72" t="str">
        <f>CONCATENATE(ROUND(((COUNTIF(Table39[activating_chance],"=100"))/S7)*100,0),"%")</f>
        <v>84%</v>
      </c>
      <c r="Z13" s="1" t="s">
        <v>532</v>
      </c>
      <c r="AA13" s="72" t="str">
        <f>CONCATENATE(ROUND(((COUNTIF(Table2[activating_chance],"=100"))/AA7)*100,0),"%")</f>
        <v>81%</v>
      </c>
      <c r="AH13" s="1" t="s">
        <v>532</v>
      </c>
      <c r="AI13" s="72" t="str">
        <f>CONCATENATE(ROUND(((COUNTIF(Table6[activating_chance],"=100"))/AI7)*100,0),"%")</f>
        <v>89%</v>
      </c>
      <c r="AP13" s="1" t="s">
        <v>532</v>
      </c>
      <c r="AQ13" s="72" t="str">
        <f>CONCATENATE(ROUND(((COUNTIF(Table610[activating_chance],"=100"))/AQ7)*100,0),"%")</f>
        <v>85%</v>
      </c>
      <c r="AX13" s="1" t="s">
        <v>532</v>
      </c>
      <c r="AY13" s="72" t="str">
        <f>CONCATENATE(ROUND(((COUNTIF(Table61011[activating_chance],"=100"))/AY7)*100,0),"%")</f>
        <v>85%</v>
      </c>
      <c r="BF13" s="1" t="s">
        <v>532</v>
      </c>
      <c r="BG13" s="72" t="str">
        <f>CONCATENATE(ROUND(((COUNTIF(Table11[activating_chance],"=100"))/BG7)*100,0),"%")</f>
        <v>72%</v>
      </c>
      <c r="BN13" s="1" t="s">
        <v>532</v>
      </c>
      <c r="BO13" s="72" t="str">
        <f>CONCATENATE(ROUND(((COUNTIF(Table12[activating_chance],"=100"))/BO7)*100,0),"%")</f>
        <v>70%</v>
      </c>
      <c r="BV13" s="1" t="s">
        <v>532</v>
      </c>
      <c r="BW13" s="72" t="str">
        <f>CONCATENATE(ROUND(((COUNTIF(Table13[activating_chance],"=100"))/BW7)*100,0),"%")</f>
        <v>71%</v>
      </c>
      <c r="CD13" s="1" t="s">
        <v>532</v>
      </c>
      <c r="CE13" s="72" t="str">
        <f>CONCATENATE(ROUND(((COUNTIF(Table14[activating_chance],"=100"))/CE7)*100,0),"%")</f>
        <v>75%</v>
      </c>
      <c r="CL13" s="1" t="s">
        <v>532</v>
      </c>
      <c r="CM13" s="72" t="str">
        <f>CONCATENATE(ROUND(((COUNTIF(Table18[activating_chance],"=100"))/CM7)*100,0),"%")</f>
        <v>50%</v>
      </c>
      <c r="CT13" s="1" t="s">
        <v>532</v>
      </c>
      <c r="CU13" s="72" t="str">
        <f>CONCATENATE(ROUND(((COUNTIF(Table1820[activating_chance],"=100"))/CU7)*100,0),"%")</f>
        <v>50%</v>
      </c>
      <c r="DB13" s="1" t="s">
        <v>532</v>
      </c>
      <c r="DC13" s="72" t="str">
        <f>CONCATENATE(ROUND(((COUNTIF(Table182023[activating_chance],"=100"))/DC7)*100,0),"%")</f>
        <v>50%</v>
      </c>
      <c r="DJ13" s="1" t="s">
        <v>532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533</v>
      </c>
      <c r="C14" s="72" t="str">
        <f>CONCATENATE(ROUND((((COUNTIFS(Table245[activating_chance],"&lt;100",Table245[activating_chance],"&gt;=75")))/C7)*100,0),"%")</f>
        <v>15%</v>
      </c>
      <c r="J14" s="1" t="s">
        <v>533</v>
      </c>
      <c r="K14" s="72" t="str">
        <f>CONCATENATE(ROUND((((COUNTIFS(Table3[activating_chance],"&lt;100",Table3[activating_chance],"&gt;=75")))/K7)*100,0),"%")</f>
        <v>9%</v>
      </c>
      <c r="R14" s="1" t="s">
        <v>533</v>
      </c>
      <c r="S14" s="72" t="str">
        <f>CONCATENATE(ROUND((((COUNTIFS(Table39[activating_chance],"&lt;100",Table39[activating_chance],"&gt;=75")))/S7)*100,0),"%")</f>
        <v>5%</v>
      </c>
      <c r="Z14" s="1" t="s">
        <v>533</v>
      </c>
      <c r="AA14" s="72" t="str">
        <f>CONCATENATE(ROUND((((COUNTIFS(Table2[activating_chance],"&lt;100",Table2[activating_chance],"&gt;=75")))/AA7)*100,0),"%")</f>
        <v>13%</v>
      </c>
      <c r="AH14" s="1" t="s">
        <v>533</v>
      </c>
      <c r="AI14" s="72" t="str">
        <f>CONCATENATE(ROUND((((COUNTIFS(Table6[activating_chance],"&lt;100",Table6[activating_chance],"&gt;=75")))/AI7)*100,0),"%")</f>
        <v>6%</v>
      </c>
      <c r="AP14" s="1" t="s">
        <v>533</v>
      </c>
      <c r="AQ14" s="72" t="str">
        <f>CONCATENATE(ROUND((((COUNTIFS(Table610[activating_chance],"&lt;100",Table610[activating_chance],"&gt;=75")))/AQ7)*100,0),"%")</f>
        <v>1%</v>
      </c>
      <c r="AX14" s="1" t="s">
        <v>533</v>
      </c>
      <c r="AY14" s="72" t="str">
        <f>CONCATENATE(ROUND((((COUNTIFS(Table61011[activating_chance],"&lt;100",Table61011[activating_chance],"&gt;=75")))/AY7)*100,0),"%")</f>
        <v>9%</v>
      </c>
      <c r="BF14" s="1" t="s">
        <v>533</v>
      </c>
      <c r="BG14" s="72" t="str">
        <f>CONCATENATE(ROUND((((COUNTIFS(Table11[activating_chance],"&lt;100",Table11[activating_chance],"&gt;=75")))/BG7)*100,0),"%")</f>
        <v>10%</v>
      </c>
      <c r="BN14" s="1" t="s">
        <v>533</v>
      </c>
      <c r="BO14" s="72" t="str">
        <f>CONCATENATE(ROUND((((COUNTIFS(Table12[activating_chance],"&lt;100",Table12[activating_chance],"&gt;=75")))/BO7)*100,0),"%")</f>
        <v>18%</v>
      </c>
      <c r="BV14" s="1" t="s">
        <v>533</v>
      </c>
      <c r="BW14" s="72" t="str">
        <f>CONCATENATE(ROUND((((COUNTIFS(Table13[activating_chance],"&lt;100",Table13[activating_chance],"&gt;=75")))/BW7)*100,0),"%")</f>
        <v>19%</v>
      </c>
      <c r="CD14" s="1" t="s">
        <v>533</v>
      </c>
      <c r="CE14" s="72" t="str">
        <f>CONCATENATE(ROUND((((COUNTIFS(Table14[activating_chance],"&lt;100",Table14[activating_chance],"&gt;=75")))/CE7)*100,0),"%")</f>
        <v>11%</v>
      </c>
      <c r="CL14" s="1" t="s">
        <v>533</v>
      </c>
      <c r="CM14" s="72" t="str">
        <f>CONCATENATE(ROUND((((COUNTIFS(Table18[activating_chance],"&lt;100",Table18[activating_chance],"&gt;=75")))/CM7)*100,0),"%")</f>
        <v>25%</v>
      </c>
      <c r="CT14" s="1" t="s">
        <v>533</v>
      </c>
      <c r="CU14" s="72" t="str">
        <f>CONCATENATE(ROUND((((COUNTIFS(Table1820[activating_chance],"&lt;100",Table1820[activating_chance],"&gt;=75")))/CU7)*100,0),"%")</f>
        <v>25%</v>
      </c>
      <c r="DB14" s="1" t="s">
        <v>533</v>
      </c>
      <c r="DC14" s="72" t="str">
        <f>CONCATENATE(ROUND((((COUNTIFS(Table182023[activating_chance],"&lt;100",Table182023[activating_chance],"&gt;=75")))/DC7)*100,0),"%")</f>
        <v>25%</v>
      </c>
      <c r="DJ14" s="1" t="s">
        <v>533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534</v>
      </c>
      <c r="C15" s="1" t="str">
        <f>CONCATENATE(ROUND((((COUNTIFS(Table245[activating_chance],"&lt;75",Table245[activating_chance],"&gt;=25")))/C7)*100,0),"%")</f>
        <v>10%</v>
      </c>
      <c r="J15" s="1" t="s">
        <v>534</v>
      </c>
      <c r="K15" s="1" t="str">
        <f>CONCATENATE(ROUND((((COUNTIFS(Table3[activating_chance],"&lt;75",Table3[activating_chance],"&gt;=25")))/K7)*100,0),"%")</f>
        <v>12%</v>
      </c>
      <c r="R15" s="1" t="s">
        <v>534</v>
      </c>
      <c r="S15" s="1" t="str">
        <f>CONCATENATE(ROUND((((COUNTIFS(Table39[activating_chance],"&lt;75",Table39[activating_chance],"&gt;=25")))/S7)*100,0),"%")</f>
        <v>11%</v>
      </c>
      <c r="Z15" s="1" t="s">
        <v>534</v>
      </c>
      <c r="AA15" s="1" t="str">
        <f>CONCATENATE(ROUND((((COUNTIFS(Table2[activating_chance],"&lt;75",Table2[activating_chance],"&gt;=25")))/AA7)*100,0),"%")</f>
        <v>6%</v>
      </c>
      <c r="AH15" s="1" t="s">
        <v>534</v>
      </c>
      <c r="AI15" s="1" t="str">
        <f>CONCATENATE(ROUND((((COUNTIFS(Table6[activating_chance],"&lt;75",Table6[activating_chance],"&gt;=25")))/AI7)*100,0),"%")</f>
        <v>5%</v>
      </c>
      <c r="AP15" s="1" t="s">
        <v>534</v>
      </c>
      <c r="AQ15" s="1" t="str">
        <f>CONCATENATE(ROUND((((COUNTIFS(Table610[activating_chance],"&lt;75",Table610[activating_chance],"&gt;=25")))/AQ7)*100,0),"%")</f>
        <v>14%</v>
      </c>
      <c r="AX15" s="1" t="s">
        <v>534</v>
      </c>
      <c r="AY15" s="1" t="str">
        <f>CONCATENATE(ROUND((((COUNTIFS(Table61011[activating_chance],"&lt;75",Table61011[activating_chance],"&gt;=25")))/AY7)*100,0),"%")</f>
        <v>5%</v>
      </c>
      <c r="BF15" s="1" t="s">
        <v>534</v>
      </c>
      <c r="BG15" s="1" t="str">
        <f>CONCATENATE(ROUND((((COUNTIFS(Table11[activating_chance],"&lt;75",Table11[activating_chance],"&gt;=25")))/BG7)*100,0),"%")</f>
        <v>14%</v>
      </c>
      <c r="BN15" s="1" t="s">
        <v>534</v>
      </c>
      <c r="BO15" s="1" t="str">
        <f>CONCATENATE(ROUND((((COUNTIFS(Table12[activating_chance],"&lt;75",Table12[activating_chance],"&gt;=25")))/BO7)*100,0),"%")</f>
        <v>12%</v>
      </c>
      <c r="BV15" s="1" t="s">
        <v>534</v>
      </c>
      <c r="BW15" s="1" t="str">
        <f>CONCATENATE(ROUND((((COUNTIFS(Table13[activating_chance],"&lt;75",Table13[activating_chance],"&gt;=25")))/BW7)*100,0),"%")</f>
        <v>7%</v>
      </c>
      <c r="CD15" s="1" t="s">
        <v>534</v>
      </c>
      <c r="CE15" s="1" t="str">
        <f>CONCATENATE(ROUND((((COUNTIFS(Table14[activating_chance],"&lt;75",Table14[activating_chance],"&gt;=25")))/CE7)*100,0),"%")</f>
        <v>11%</v>
      </c>
      <c r="CL15" s="1" t="s">
        <v>534</v>
      </c>
      <c r="CM15" s="1" t="str">
        <f>CONCATENATE(ROUND((((COUNTIFS(Table18[activating_chance],"&lt;75",Table18[activating_chance],"&gt;=25")))/CM7)*100,0),"%")</f>
        <v>25%</v>
      </c>
      <c r="CT15" s="1" t="s">
        <v>534</v>
      </c>
      <c r="CU15" s="1" t="str">
        <f>CONCATENATE(ROUND((((COUNTIFS(Table1820[activating_chance],"&lt;75",Table1820[activating_chance],"&gt;=25")))/CU7)*100,0),"%")</f>
        <v>25%</v>
      </c>
      <c r="DB15" s="1" t="s">
        <v>534</v>
      </c>
      <c r="DC15" s="1" t="str">
        <f>CONCATENATE(ROUND((((COUNTIFS(Table182023[activating_chance],"&lt;75",Table182023[activating_chance],"&gt;=25")))/DC7)*100,0),"%")</f>
        <v>25%</v>
      </c>
      <c r="DJ15" s="1" t="s">
        <v>534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535</v>
      </c>
      <c r="C16" s="1" t="str">
        <f>CONCATENATE(ROUND((((COUNTIFS(Table245[activating_chance],"&gt;1",Table245[activating_chance],"&lt;25")))/C7)*100,0),"%")</f>
        <v>1%</v>
      </c>
      <c r="J16" s="1" t="s">
        <v>535</v>
      </c>
      <c r="K16" s="1" t="str">
        <f>CONCATENATE(ROUND((((COUNTIFS(Table3[activating_chance],"&gt;1",Table3[activating_chance],"&lt;25")))/K7)*100,0),"%")</f>
        <v>1%</v>
      </c>
      <c r="R16" s="1" t="s">
        <v>535</v>
      </c>
      <c r="S16" s="1" t="str">
        <f>CONCATENATE(ROUND((((COUNTIFS(Table39[activating_chance],"&gt;1",Table39[activating_chance],"&lt;25")))/S7)*100,0),"%")</f>
        <v>0%</v>
      </c>
      <c r="Z16" s="1" t="s">
        <v>535</v>
      </c>
      <c r="AA16" s="1" t="str">
        <f>CONCATENATE(ROUND((((COUNTIFS(Table2[activating_chance],"&gt;1",Table2[activating_chance],"&lt;25")))/AA7)*100,0),"%")</f>
        <v>1%</v>
      </c>
      <c r="AH16" s="1" t="s">
        <v>535</v>
      </c>
      <c r="AI16" s="1" t="str">
        <f>CONCATENATE(ROUND((((COUNTIFS(Table6[activating_chance],"&gt;1",Table6[activating_chance],"&lt;25")))/AI7)*100,0),"%")</f>
        <v>0%</v>
      </c>
      <c r="AP16" s="1" t="s">
        <v>535</v>
      </c>
      <c r="AQ16" s="1" t="str">
        <f>CONCATENATE(ROUND((((COUNTIFS(Table610[activating_chance],"&gt;1",Table610[activating_chance],"&lt;25")))/AQ7)*100,0),"%")</f>
        <v>0%</v>
      </c>
      <c r="AX16" s="1" t="s">
        <v>535</v>
      </c>
      <c r="AY16" s="1" t="str">
        <f>CONCATENATE(ROUND((((COUNTIFS(Table61011[activating_chance],"&gt;1",Table61011[activating_chance],"&lt;25")))/AY7)*100,0),"%")</f>
        <v>1%</v>
      </c>
      <c r="BF16" s="1" t="s">
        <v>535</v>
      </c>
      <c r="BG16" s="1" t="str">
        <f>CONCATENATE(ROUND((((COUNTIFS(Table11[activating_chance],"&gt;1",Table11[activating_chance],"&lt;25")))/BG7)*100,0),"%")</f>
        <v>5%</v>
      </c>
      <c r="BN16" s="1" t="s">
        <v>535</v>
      </c>
      <c r="BO16" s="1" t="str">
        <f>CONCATENATE(ROUND((((COUNTIFS(Table12[activating_chance],"&gt;1",Table12[activating_chance],"&lt;25")))/BO7)*100,0),"%")</f>
        <v>1%</v>
      </c>
      <c r="BV16" s="1" t="s">
        <v>535</v>
      </c>
      <c r="BW16" s="1" t="str">
        <f>CONCATENATE(ROUND((((COUNTIFS(Table13[activating_chance],"&gt;1",Table13[activating_chance],"&lt;25")))/BW7)*100,0),"%")</f>
        <v>4%</v>
      </c>
      <c r="CD16" s="1" t="s">
        <v>535</v>
      </c>
      <c r="CE16" s="1" t="str">
        <f>CONCATENATE(ROUND((((COUNTIFS(Table14[activating_chance],"&gt;1",Table14[activating_chance],"&lt;25")))/CE7)*100,0),"%")</f>
        <v>3%</v>
      </c>
      <c r="CL16" s="1" t="s">
        <v>535</v>
      </c>
      <c r="CM16" s="1" t="str">
        <f>CONCATENATE(ROUND((((COUNTIFS(Table18[activating_chance],"&gt;1",Table18[activating_chance],"&lt;25")))/CM7)*100,0),"%")</f>
        <v>0%</v>
      </c>
      <c r="CT16" s="1" t="s">
        <v>535</v>
      </c>
      <c r="CU16" s="1" t="str">
        <f>CONCATENATE(ROUND((((COUNTIFS(Table1820[activating_chance],"&gt;1",Table1820[activating_chance],"&lt;25")))/CU7)*100,0),"%")</f>
        <v>0%</v>
      </c>
      <c r="DB16" s="1" t="s">
        <v>535</v>
      </c>
      <c r="DC16" s="1" t="str">
        <f>CONCATENATE(ROUND((((COUNTIFS(Table182023[activating_chance],"&gt;1",Table182023[activating_chance],"&lt;25")))/DC7)*100,0),"%")</f>
        <v>0%</v>
      </c>
      <c r="DJ16" s="1" t="s">
        <v>535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466</v>
      </c>
      <c r="C18" s="1" t="s">
        <v>404</v>
      </c>
      <c r="J18" s="1" t="s">
        <v>466</v>
      </c>
      <c r="K18" s="1" t="s">
        <v>267</v>
      </c>
      <c r="R18" s="1" t="s">
        <v>466</v>
      </c>
      <c r="S18" s="1" t="s">
        <v>467</v>
      </c>
      <c r="Z18" s="1" t="s">
        <v>466</v>
      </c>
      <c r="AA18" s="1" t="s">
        <v>468</v>
      </c>
      <c r="AH18" s="1" t="s">
        <v>466</v>
      </c>
      <c r="AI18" s="1" t="s">
        <v>469</v>
      </c>
      <c r="AP18" s="1" t="s">
        <v>466</v>
      </c>
      <c r="AQ18" s="1" t="s">
        <v>470</v>
      </c>
      <c r="AX18" s="1" t="s">
        <v>466</v>
      </c>
      <c r="AY18" s="1" t="s">
        <v>471</v>
      </c>
      <c r="BF18" s="1" t="s">
        <v>466</v>
      </c>
      <c r="BG18" s="1" t="s">
        <v>524</v>
      </c>
      <c r="BN18" s="1" t="s">
        <v>466</v>
      </c>
      <c r="BO18" s="1" t="s">
        <v>541</v>
      </c>
      <c r="BV18" s="1" t="s">
        <v>466</v>
      </c>
      <c r="BW18" s="1" t="s">
        <v>470</v>
      </c>
      <c r="CD18" s="1" t="s">
        <v>466</v>
      </c>
      <c r="CE18" s="1" t="s">
        <v>544</v>
      </c>
      <c r="CL18" s="1" t="s">
        <v>466</v>
      </c>
      <c r="CM18" s="1" t="s">
        <v>660</v>
      </c>
      <c r="CT18" s="1" t="s">
        <v>466</v>
      </c>
      <c r="CU18" s="1" t="s">
        <v>662</v>
      </c>
      <c r="DB18" s="1" t="s">
        <v>466</v>
      </c>
      <c r="DC18" s="1" t="s">
        <v>664</v>
      </c>
      <c r="DJ18" s="1" t="s">
        <v>466</v>
      </c>
      <c r="DK18" s="1" t="s">
        <v>665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  <c r="CL21" s="102" t="s">
        <v>223</v>
      </c>
      <c r="CM21" s="102" t="s">
        <v>224</v>
      </c>
      <c r="CN21" s="102" t="s">
        <v>225</v>
      </c>
      <c r="CO21" s="102" t="s">
        <v>226</v>
      </c>
      <c r="CP21" s="102" t="s">
        <v>220</v>
      </c>
      <c r="CQ21" s="102" t="s">
        <v>227</v>
      </c>
      <c r="CR21" s="102" t="s">
        <v>352</v>
      </c>
      <c r="CT21" s="102" t="s">
        <v>223</v>
      </c>
      <c r="CU21" s="102" t="s">
        <v>224</v>
      </c>
      <c r="CV21" s="102" t="s">
        <v>225</v>
      </c>
      <c r="CW21" s="102" t="s">
        <v>226</v>
      </c>
      <c r="CX21" s="102" t="s">
        <v>220</v>
      </c>
      <c r="CY21" s="102" t="s">
        <v>227</v>
      </c>
      <c r="CZ21" s="102" t="s">
        <v>352</v>
      </c>
      <c r="DB21" s="102" t="s">
        <v>223</v>
      </c>
      <c r="DC21" s="102" t="s">
        <v>224</v>
      </c>
      <c r="DD21" s="102" t="s">
        <v>225</v>
      </c>
      <c r="DE21" s="102" t="s">
        <v>226</v>
      </c>
      <c r="DF21" s="102" t="s">
        <v>220</v>
      </c>
      <c r="DG21" s="102" t="s">
        <v>227</v>
      </c>
      <c r="DH21" s="102" t="s">
        <v>352</v>
      </c>
      <c r="DJ21" s="102" t="s">
        <v>223</v>
      </c>
      <c r="DK21" s="102" t="s">
        <v>224</v>
      </c>
      <c r="DL21" s="102" t="s">
        <v>225</v>
      </c>
      <c r="DM21" s="102" t="s">
        <v>226</v>
      </c>
      <c r="DN21" s="102" t="s">
        <v>220</v>
      </c>
      <c r="DO21" s="102" t="s">
        <v>227</v>
      </c>
      <c r="DP21" s="102" t="s">
        <v>352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 s="76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  <c r="CL22" s="97" t="s">
        <v>228</v>
      </c>
      <c r="CM22" s="97">
        <v>3</v>
      </c>
      <c r="CN22" s="96">
        <v>260</v>
      </c>
      <c r="CO22" s="96">
        <v>100</v>
      </c>
      <c r="CP22" s="97">
        <f ca="1">INDIRECT(ADDRESS(11+(MATCH(RIGHT(Table18[[#This Row],[spawner_sku]],LEN(Table18[[#This Row],[spawner_sku]])-FIND("/",Table18[[#This Row],[spawner_sku]])),Table1[Entity Prefab],0)),10,1,1,"Entities"))</f>
        <v>55</v>
      </c>
      <c r="CQ22" s="97">
        <f ca="1">ROUND((Table18[[#This Row],[XP]]*Table18[[#This Row],[entity_spawned (AVG)]])*(Table18[[#This Row],[activating_chance]]/100),0)</f>
        <v>165</v>
      </c>
      <c r="CR22" s="100" t="s">
        <v>349</v>
      </c>
      <c r="CT22" s="97" t="s">
        <v>228</v>
      </c>
      <c r="CU22" s="97">
        <v>3</v>
      </c>
      <c r="CV22" s="96">
        <v>260</v>
      </c>
      <c r="CW22" s="96">
        <v>100</v>
      </c>
      <c r="CX22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2" s="97">
        <f ca="1">ROUND((Table1820[[#This Row],[XP]]*Table1820[[#This Row],[entity_spawned (AVG)]])*(Table1820[[#This Row],[activating_chance]]/100),0)</f>
        <v>165</v>
      </c>
      <c r="CZ22" s="100" t="s">
        <v>349</v>
      </c>
      <c r="DB22" s="97" t="s">
        <v>228</v>
      </c>
      <c r="DC22" s="97">
        <v>3</v>
      </c>
      <c r="DD22" s="96">
        <v>260</v>
      </c>
      <c r="DE22" s="96">
        <v>100</v>
      </c>
      <c r="DF22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7">
        <f ca="1">ROUND((Table182023[[#This Row],[XP]]*Table182023[[#This Row],[entity_spawned (AVG)]])*(Table182023[[#This Row],[activating_chance]]/100),0)</f>
        <v>165</v>
      </c>
      <c r="DH22" s="100" t="s">
        <v>349</v>
      </c>
      <c r="DJ22" s="97" t="s">
        <v>228</v>
      </c>
      <c r="DK22" s="97">
        <v>3</v>
      </c>
      <c r="DL22" s="96">
        <v>260</v>
      </c>
      <c r="DM22" s="96">
        <v>100</v>
      </c>
      <c r="DN22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7">
        <f ca="1">ROUND((Table18202324[[#This Row],[XP]]*Table18202324[[#This Row],[entity_spawned (AVG)]])*(Table18202324[[#This Row],[activating_chance]]/100),0)</f>
        <v>165</v>
      </c>
      <c r="DP22" s="100" t="s">
        <v>349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  <c r="CL23" s="99" t="s">
        <v>228</v>
      </c>
      <c r="CM23" s="99">
        <v>1</v>
      </c>
      <c r="CN23" s="98">
        <v>150</v>
      </c>
      <c r="CO23" s="98">
        <v>80</v>
      </c>
      <c r="CP23" s="99">
        <f ca="1">INDIRECT(ADDRESS(11+(MATCH(RIGHT(Table18[[#This Row],[spawner_sku]],LEN(Table18[[#This Row],[spawner_sku]])-FIND("/",Table18[[#This Row],[spawner_sku]])),Table1[Entity Prefab],0)),10,1,1,"Entities"))</f>
        <v>55</v>
      </c>
      <c r="CQ23" s="99">
        <f ca="1">ROUND((Table18[[#This Row],[XP]]*Table18[[#This Row],[entity_spawned (AVG)]])*(Table18[[#This Row],[activating_chance]]/100),0)</f>
        <v>44</v>
      </c>
      <c r="CR23" s="101" t="s">
        <v>349</v>
      </c>
      <c r="CT23" s="99" t="s">
        <v>228</v>
      </c>
      <c r="CU23" s="99">
        <v>1</v>
      </c>
      <c r="CV23" s="98">
        <v>150</v>
      </c>
      <c r="CW23" s="98">
        <v>80</v>
      </c>
      <c r="CX23" s="99">
        <f ca="1">INDIRECT(ADDRESS(11+(MATCH(RIGHT(Table1820[[#This Row],[spawner_sku]],LEN(Table1820[[#This Row],[spawner_sku]])-FIND("/",Table1820[[#This Row],[spawner_sku]])),Table1[Entity Prefab],0)),10,1,1,"Entities"))</f>
        <v>55</v>
      </c>
      <c r="CY23" s="99">
        <f ca="1">ROUND((Table1820[[#This Row],[XP]]*Table1820[[#This Row],[entity_spawned (AVG)]])*(Table1820[[#This Row],[activating_chance]]/100),0)</f>
        <v>44</v>
      </c>
      <c r="CZ23" s="101" t="s">
        <v>349</v>
      </c>
      <c r="DB23" s="99" t="s">
        <v>228</v>
      </c>
      <c r="DC23" s="99">
        <v>1</v>
      </c>
      <c r="DD23" s="98">
        <v>150</v>
      </c>
      <c r="DE23" s="98">
        <v>80</v>
      </c>
      <c r="DF23" s="99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9">
        <f ca="1">ROUND((Table182023[[#This Row],[XP]]*Table182023[[#This Row],[entity_spawned (AVG)]])*(Table182023[[#This Row],[activating_chance]]/100),0)</f>
        <v>44</v>
      </c>
      <c r="DH23" s="101" t="s">
        <v>349</v>
      </c>
      <c r="DJ23" s="99" t="s">
        <v>228</v>
      </c>
      <c r="DK23" s="99">
        <v>1</v>
      </c>
      <c r="DL23" s="98">
        <v>150</v>
      </c>
      <c r="DM23" s="98">
        <v>80</v>
      </c>
      <c r="DN23" s="99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9">
        <f ca="1">ROUND((Table18202324[[#This Row],[XP]]*Table18202324[[#This Row],[entity_spawned (AVG)]])*(Table18202324[[#This Row],[activating_chance]]/100),0)</f>
        <v>44</v>
      </c>
      <c r="DP23" s="101" t="s">
        <v>349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  <c r="CL24" s="97" t="s">
        <v>228</v>
      </c>
      <c r="CM24" s="97">
        <v>1</v>
      </c>
      <c r="CN24" s="96">
        <v>200</v>
      </c>
      <c r="CO24" s="96">
        <v>30</v>
      </c>
      <c r="CP24" s="97">
        <f ca="1">INDIRECT(ADDRESS(11+(MATCH(RIGHT(Table18[[#This Row],[spawner_sku]],LEN(Table18[[#This Row],[spawner_sku]])-FIND("/",Table18[[#This Row],[spawner_sku]])),Table1[Entity Prefab],0)),10,1,1,"Entities"))</f>
        <v>55</v>
      </c>
      <c r="CQ24" s="97">
        <f ca="1">ROUND((Table18[[#This Row],[XP]]*Table18[[#This Row],[entity_spawned (AVG)]])*(Table18[[#This Row],[activating_chance]]/100),0)</f>
        <v>17</v>
      </c>
      <c r="CR24" s="100" t="s">
        <v>349</v>
      </c>
      <c r="CT24" s="97" t="s">
        <v>228</v>
      </c>
      <c r="CU24" s="97">
        <v>1</v>
      </c>
      <c r="CV24" s="96">
        <v>200</v>
      </c>
      <c r="CW24" s="96">
        <v>30</v>
      </c>
      <c r="CX24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4" s="97">
        <f ca="1">ROUND((Table1820[[#This Row],[XP]]*Table1820[[#This Row],[entity_spawned (AVG)]])*(Table1820[[#This Row],[activating_chance]]/100),0)</f>
        <v>17</v>
      </c>
      <c r="CZ24" s="100" t="s">
        <v>349</v>
      </c>
      <c r="DB24" s="97" t="s">
        <v>228</v>
      </c>
      <c r="DC24" s="97">
        <v>1</v>
      </c>
      <c r="DD24" s="96">
        <v>200</v>
      </c>
      <c r="DE24" s="96">
        <v>30</v>
      </c>
      <c r="DF24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7">
        <f ca="1">ROUND((Table182023[[#This Row],[XP]]*Table182023[[#This Row],[entity_spawned (AVG)]])*(Table182023[[#This Row],[activating_chance]]/100),0)</f>
        <v>17</v>
      </c>
      <c r="DH24" s="100" t="s">
        <v>349</v>
      </c>
      <c r="DJ24" s="97" t="s">
        <v>228</v>
      </c>
      <c r="DK24" s="97">
        <v>1</v>
      </c>
      <c r="DL24" s="96">
        <v>200</v>
      </c>
      <c r="DM24" s="96">
        <v>30</v>
      </c>
      <c r="DN24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7">
        <f ca="1">ROUND((Table18202324[[#This Row],[XP]]*Table18202324[[#This Row],[entity_spawned (AVG)]])*(Table18202324[[#This Row],[activating_chance]]/100),0)</f>
        <v>17</v>
      </c>
      <c r="DP24" s="100" t="s">
        <v>349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  <c r="CL25" s="103" t="s">
        <v>228</v>
      </c>
      <c r="CM25" s="103">
        <v>5</v>
      </c>
      <c r="CN25" s="104">
        <v>200</v>
      </c>
      <c r="CO25" s="104">
        <v>100</v>
      </c>
      <c r="CP25" s="103">
        <f ca="1">INDIRECT(ADDRESS(11+(MATCH(RIGHT(Table18[[#This Row],[spawner_sku]],LEN(Table18[[#This Row],[spawner_sku]])-FIND("/",Table18[[#This Row],[spawner_sku]])),Table1[Entity Prefab],0)),10,1,1,"Entities"))</f>
        <v>55</v>
      </c>
      <c r="CQ25" s="103">
        <f ca="1">ROUND((Table18[[#This Row],[XP]]*Table18[[#This Row],[entity_spawned (AVG)]])*(Table18[[#This Row],[activating_chance]]/100),0)</f>
        <v>275</v>
      </c>
      <c r="CR25" s="105" t="s">
        <v>349</v>
      </c>
      <c r="CT25" s="103" t="s">
        <v>228</v>
      </c>
      <c r="CU25" s="103">
        <v>5</v>
      </c>
      <c r="CV25" s="104">
        <v>200</v>
      </c>
      <c r="CW25" s="104">
        <v>100</v>
      </c>
      <c r="CX25" s="103">
        <f ca="1">INDIRECT(ADDRESS(11+(MATCH(RIGHT(Table1820[[#This Row],[spawner_sku]],LEN(Table1820[[#This Row],[spawner_sku]])-FIND("/",Table1820[[#This Row],[spawner_sku]])),Table1[Entity Prefab],0)),10,1,1,"Entities"))</f>
        <v>55</v>
      </c>
      <c r="CY25" s="103">
        <f ca="1">ROUND((Table1820[[#This Row],[XP]]*Table1820[[#This Row],[entity_spawned (AVG)]])*(Table1820[[#This Row],[activating_chance]]/100),0)</f>
        <v>275</v>
      </c>
      <c r="CZ25" s="105" t="s">
        <v>349</v>
      </c>
      <c r="DB25" s="103" t="s">
        <v>228</v>
      </c>
      <c r="DC25" s="103">
        <v>5</v>
      </c>
      <c r="DD25" s="104">
        <v>200</v>
      </c>
      <c r="DE25" s="104">
        <v>100</v>
      </c>
      <c r="DF25" s="103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3">
        <f ca="1">ROUND((Table182023[[#This Row],[XP]]*Table182023[[#This Row],[entity_spawned (AVG)]])*(Table182023[[#This Row],[activating_chance]]/100),0)</f>
        <v>275</v>
      </c>
      <c r="DH25" s="105" t="s">
        <v>349</v>
      </c>
      <c r="DJ25" s="103" t="s">
        <v>228</v>
      </c>
      <c r="DK25" s="103">
        <v>5</v>
      </c>
      <c r="DL25" s="104">
        <v>200</v>
      </c>
      <c r="DM25" s="104">
        <v>100</v>
      </c>
      <c r="DN25" s="10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3">
        <f ca="1">ROUND((Table18202324[[#This Row],[XP]]*Table18202324[[#This Row],[entity_spawned (AVG)]])*(Table18202324[[#This Row],[activating_chance]]/100),0)</f>
        <v>275</v>
      </c>
      <c r="DP25" s="105" t="s">
        <v>349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 s="76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 s="76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457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457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457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 s="76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457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 s="76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 s="76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 s="76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 s="7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457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 s="76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457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477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478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 s="76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 s="76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 s="76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453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453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453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 s="76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453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453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453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453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453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453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453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627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627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 s="76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499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 s="76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499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626</v>
      </c>
      <c r="BG69">
        <v>3</v>
      </c>
      <c r="BH69" s="76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626</v>
      </c>
      <c r="BG70">
        <v>1</v>
      </c>
      <c r="BH70" s="76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 s="76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 s="76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 s="76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 s="76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 s="76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 s="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 s="76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459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 s="76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458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 s="76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458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 s="76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458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 s="76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460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458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 s="76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460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458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 s="76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458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 s="76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478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458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 s="76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478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458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 s="7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479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 s="76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480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 s="76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529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 s="76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 s="76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 s="76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461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 s="76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461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 s="76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537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 s="76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537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 s="76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455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 s="76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455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 s="76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 s="76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 s="76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 s="76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 s="7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 s="76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 s="76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 s="76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453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 s="76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477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453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 s="76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480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477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453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 s="76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480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453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 s="76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480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453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 s="76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453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453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 s="76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453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453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480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 s="7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453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453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480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 s="76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453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627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626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 s="76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529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453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627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626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 s="76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529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627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626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 s="76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626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 s="76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 s="76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 s="76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628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 s="76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628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 s="76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628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 s="7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628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 s="76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628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 s="76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628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 s="76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628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 s="76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628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 s="76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628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 s="76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628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 s="76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628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 s="76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628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 s="76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628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 s="7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628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 s="76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628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 s="76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629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 s="76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629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 s="76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630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 s="76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630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 s="76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630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 s="76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630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 s="76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630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 s="76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630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 s="7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627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 s="76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627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 s="76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627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 s="76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 s="76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 s="76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 s="76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458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499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 s="76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499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 s="76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457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 s="7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457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460</v>
      </c>
      <c r="BG157">
        <v>1</v>
      </c>
      <c r="BH157" s="76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457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460</v>
      </c>
      <c r="BG158">
        <v>1</v>
      </c>
      <c r="BH158" s="76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457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460</v>
      </c>
      <c r="BG159">
        <v>1</v>
      </c>
      <c r="BH159" s="76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457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460</v>
      </c>
      <c r="BG160">
        <v>3</v>
      </c>
      <c r="BH160" s="76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460</v>
      </c>
      <c r="BG161">
        <v>3</v>
      </c>
      <c r="BH161" s="76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626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525</v>
      </c>
      <c r="BG162">
        <v>1</v>
      </c>
      <c r="BH162" s="76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626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525</v>
      </c>
      <c r="BG163">
        <v>1</v>
      </c>
      <c r="BH163" s="76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525</v>
      </c>
      <c r="BG164">
        <v>1</v>
      </c>
      <c r="BH164" s="76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525</v>
      </c>
      <c r="BG165">
        <v>1</v>
      </c>
      <c r="BH165" s="76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525</v>
      </c>
      <c r="BG166">
        <v>1</v>
      </c>
      <c r="BH166" s="7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525</v>
      </c>
      <c r="BG167">
        <v>1</v>
      </c>
      <c r="BH167" s="76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348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525</v>
      </c>
      <c r="BG168">
        <v>1</v>
      </c>
      <c r="BH168" s="76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348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519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525</v>
      </c>
      <c r="BG169">
        <v>1</v>
      </c>
      <c r="BH169" s="76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348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519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525</v>
      </c>
      <c r="BG170">
        <v>1</v>
      </c>
      <c r="BH170" s="76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348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519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525</v>
      </c>
      <c r="BG171">
        <v>2</v>
      </c>
      <c r="BH171" s="76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348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519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525</v>
      </c>
      <c r="BG172">
        <v>2</v>
      </c>
      <c r="BH172" s="76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519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525</v>
      </c>
      <c r="BG173">
        <v>1</v>
      </c>
      <c r="BH173" s="76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525</v>
      </c>
      <c r="BG174">
        <v>1</v>
      </c>
      <c r="BH174" s="76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458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528</v>
      </c>
      <c r="BG175">
        <v>2</v>
      </c>
      <c r="BH175" s="76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458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528</v>
      </c>
      <c r="BG176">
        <v>3</v>
      </c>
      <c r="BH176" s="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528</v>
      </c>
      <c r="BG177">
        <v>3</v>
      </c>
      <c r="BH177" s="76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538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528</v>
      </c>
      <c r="BG178">
        <v>1</v>
      </c>
      <c r="BH178" s="76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538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528</v>
      </c>
      <c r="BG179">
        <v>2</v>
      </c>
      <c r="BH179" s="76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538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528</v>
      </c>
      <c r="BG180">
        <v>3</v>
      </c>
      <c r="BH180" s="76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538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528</v>
      </c>
      <c r="BG181">
        <v>3</v>
      </c>
      <c r="BH181" s="76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538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528</v>
      </c>
      <c r="BG182">
        <v>3</v>
      </c>
      <c r="BH182" s="76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538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528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538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477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539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477</v>
      </c>
      <c r="BG185">
        <v>1</v>
      </c>
      <c r="BH185" s="76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477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477</v>
      </c>
      <c r="BG187">
        <v>1</v>
      </c>
      <c r="BH187" s="76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477</v>
      </c>
      <c r="BG188">
        <v>1</v>
      </c>
      <c r="BH188" s="76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478</v>
      </c>
      <c r="BG189">
        <v>1</v>
      </c>
      <c r="BH189" s="76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479</v>
      </c>
      <c r="BG190">
        <v>1</v>
      </c>
      <c r="BH190" s="76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479</v>
      </c>
      <c r="BG191">
        <v>1</v>
      </c>
      <c r="BH191" s="76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479</v>
      </c>
      <c r="BG192">
        <v>1</v>
      </c>
      <c r="BH192" s="76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480</v>
      </c>
      <c r="BG193">
        <v>1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480</v>
      </c>
      <c r="BG194">
        <v>1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480</v>
      </c>
      <c r="BG195">
        <v>1</v>
      </c>
      <c r="BH195" s="76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481</v>
      </c>
      <c r="BG196">
        <v>1</v>
      </c>
      <c r="BH196" s="7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529</v>
      </c>
      <c r="BG197">
        <v>1</v>
      </c>
      <c r="BH197" s="76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453</v>
      </c>
      <c r="BG198">
        <v>1</v>
      </c>
      <c r="BH198" s="76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453</v>
      </c>
      <c r="BG199">
        <v>1</v>
      </c>
      <c r="BH199" s="76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453</v>
      </c>
      <c r="BG200">
        <v>1</v>
      </c>
      <c r="BH200" s="76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453</v>
      </c>
      <c r="BG201">
        <v>1</v>
      </c>
      <c r="BH201" s="76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453</v>
      </c>
      <c r="BG202">
        <v>1</v>
      </c>
      <c r="BH202" s="76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453</v>
      </c>
      <c r="BG203">
        <v>1</v>
      </c>
      <c r="BH203" s="76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453</v>
      </c>
      <c r="BG204">
        <v>2</v>
      </c>
      <c r="BH204" s="76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626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453</v>
      </c>
      <c r="BG205">
        <v>1</v>
      </c>
      <c r="BH205" s="76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626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453</v>
      </c>
      <c r="BG206">
        <v>1</v>
      </c>
      <c r="BH206" s="7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626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453</v>
      </c>
      <c r="BG207">
        <v>1</v>
      </c>
      <c r="BH207" s="76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626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453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453</v>
      </c>
      <c r="BG209">
        <v>1</v>
      </c>
      <c r="BH209" s="76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453</v>
      </c>
      <c r="BG210">
        <v>2</v>
      </c>
      <c r="BH210" s="76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453</v>
      </c>
      <c r="BG211">
        <v>1</v>
      </c>
      <c r="BH211" s="76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453</v>
      </c>
      <c r="BG212">
        <v>1</v>
      </c>
      <c r="BH212" s="76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453</v>
      </c>
      <c r="BG213">
        <v>1</v>
      </c>
      <c r="BH213" s="76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453</v>
      </c>
      <c r="BG214">
        <v>1</v>
      </c>
      <c r="BH214" s="76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453</v>
      </c>
      <c r="BG215">
        <v>1</v>
      </c>
      <c r="BH215" s="76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453</v>
      </c>
      <c r="BG216">
        <v>1</v>
      </c>
      <c r="BH216" s="7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453</v>
      </c>
      <c r="BG217">
        <v>1</v>
      </c>
      <c r="BH217" s="76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453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453</v>
      </c>
      <c r="BG219">
        <v>1</v>
      </c>
      <c r="BH219" s="76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453</v>
      </c>
      <c r="BG220">
        <v>1</v>
      </c>
      <c r="BH220" s="76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453</v>
      </c>
      <c r="BG221">
        <v>3</v>
      </c>
      <c r="BH221" s="76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453</v>
      </c>
      <c r="BG222">
        <v>1</v>
      </c>
      <c r="BH222" s="76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453</v>
      </c>
      <c r="BG223">
        <v>1</v>
      </c>
      <c r="BH223" s="76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453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453</v>
      </c>
      <c r="BG225">
        <v>1</v>
      </c>
      <c r="BH225" s="76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453</v>
      </c>
      <c r="BG226">
        <v>3</v>
      </c>
      <c r="BH226" s="7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348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453</v>
      </c>
      <c r="BG227">
        <v>1</v>
      </c>
      <c r="BH227" s="76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348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453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348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453</v>
      </c>
      <c r="BG229">
        <v>2</v>
      </c>
      <c r="BH229" s="76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348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453</v>
      </c>
      <c r="BG230">
        <v>1</v>
      </c>
      <c r="BH230" s="76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348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453</v>
      </c>
      <c r="BG231">
        <v>1</v>
      </c>
      <c r="BH231" s="76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348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477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453</v>
      </c>
      <c r="BG232">
        <v>1</v>
      </c>
      <c r="BH232" s="76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348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477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453</v>
      </c>
      <c r="BG233">
        <v>1</v>
      </c>
      <c r="BH233" s="76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348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477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453</v>
      </c>
      <c r="BG234">
        <v>1</v>
      </c>
      <c r="BH234" s="76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348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477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453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477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453</v>
      </c>
      <c r="BG236">
        <v>1</v>
      </c>
      <c r="BH236" s="7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477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453</v>
      </c>
      <c r="BG237">
        <v>1</v>
      </c>
      <c r="BH237" s="76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348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478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453</v>
      </c>
      <c r="BG238">
        <v>1</v>
      </c>
      <c r="BH238" s="76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348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478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453</v>
      </c>
      <c r="BG239">
        <v>1</v>
      </c>
      <c r="BH239" s="76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348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480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453</v>
      </c>
      <c r="BG240">
        <v>2</v>
      </c>
      <c r="BH240" s="76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480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453</v>
      </c>
      <c r="BG241">
        <v>1</v>
      </c>
      <c r="BH241" s="76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481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453</v>
      </c>
      <c r="BG242">
        <v>1</v>
      </c>
      <c r="BH242" s="76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453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453</v>
      </c>
      <c r="BG244">
        <v>1</v>
      </c>
      <c r="BH244" s="76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477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453</v>
      </c>
      <c r="BG245">
        <v>2</v>
      </c>
      <c r="BH245" s="76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477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453</v>
      </c>
      <c r="BG246">
        <v>1</v>
      </c>
      <c r="BH246" s="7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477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453</v>
      </c>
      <c r="BG247">
        <v>1</v>
      </c>
      <c r="BH247" s="76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477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453</v>
      </c>
      <c r="BG248">
        <v>1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477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 s="76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55</v>
      </c>
      <c r="CI249">
        <f ca="1">ROUND((Table14[[#This Row],[XP]]*Table14[[#This Row],[entity_spawned (AVG)]])*(Table14[[#This Row],[activating_chance]]/100),0)</f>
        <v>55</v>
      </c>
      <c r="CJ249" s="73" t="s">
        <v>348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478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 s="76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55</v>
      </c>
      <c r="CI250">
        <f ca="1">ROUND((Table14[[#This Row],[XP]]*Table14[[#This Row],[entity_spawned (AVG)]])*(Table14[[#This Row],[activating_chance]]/100),0)</f>
        <v>55</v>
      </c>
      <c r="CJ250" s="73" t="s">
        <v>348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478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 s="76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525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478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 s="76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525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478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 s="76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525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478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499</v>
      </c>
      <c r="BG254">
        <v>1</v>
      </c>
      <c r="BH254" s="76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525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478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500</v>
      </c>
      <c r="BG255">
        <v>1</v>
      </c>
      <c r="BH255" s="76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525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478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 s="7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525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479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 s="76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525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479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 s="76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525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479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 s="76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525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479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461</v>
      </c>
      <c r="BG260">
        <v>1</v>
      </c>
      <c r="BH260" s="76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525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480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461</v>
      </c>
      <c r="BG261">
        <v>1</v>
      </c>
      <c r="BH261" s="76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525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480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461</v>
      </c>
      <c r="BG262">
        <v>1</v>
      </c>
      <c r="BH262" s="76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525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480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461</v>
      </c>
      <c r="BG263">
        <v>1</v>
      </c>
      <c r="BH263" s="76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525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480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461</v>
      </c>
      <c r="BG264">
        <v>1</v>
      </c>
      <c r="BH264" s="76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525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480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461</v>
      </c>
      <c r="BG265">
        <v>1</v>
      </c>
      <c r="BH265" s="76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525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480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461</v>
      </c>
      <c r="BG266">
        <v>1</v>
      </c>
      <c r="BH266" s="7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525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480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461</v>
      </c>
      <c r="BG267">
        <v>1</v>
      </c>
      <c r="BH267" s="76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525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480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461</v>
      </c>
      <c r="BG268">
        <v>1</v>
      </c>
      <c r="BH268" s="76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525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480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461</v>
      </c>
      <c r="BG269">
        <v>1</v>
      </c>
      <c r="BH269" s="76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525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481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455</v>
      </c>
      <c r="BG270">
        <v>1</v>
      </c>
      <c r="BH270" s="76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525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481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455</v>
      </c>
      <c r="BG271">
        <v>1</v>
      </c>
      <c r="BH271" s="76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525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481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455</v>
      </c>
      <c r="BG272">
        <v>1</v>
      </c>
      <c r="BH272" s="76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525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455</v>
      </c>
      <c r="BG273">
        <v>1</v>
      </c>
      <c r="BH273" s="76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525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 s="76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525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 s="76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525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 s="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525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 s="76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525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 s="76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525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 s="76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525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 s="76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525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 s="76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525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 s="76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525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 s="76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525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349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 s="76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525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349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 s="76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520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525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349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 s="7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538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528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 s="76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538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528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 s="76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538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528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531</v>
      </c>
      <c r="BG289">
        <v>1</v>
      </c>
      <c r="BH289" s="76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538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528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526</v>
      </c>
      <c r="BG290">
        <v>1</v>
      </c>
      <c r="BH290" s="76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538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528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526</v>
      </c>
      <c r="BG291">
        <v>1</v>
      </c>
      <c r="BH291" s="76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538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528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530</v>
      </c>
      <c r="BG292">
        <v>1</v>
      </c>
      <c r="BH292" s="76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528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464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530</v>
      </c>
      <c r="BG293">
        <v>1</v>
      </c>
      <c r="BH293" s="76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528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453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530</v>
      </c>
      <c r="BG294">
        <v>1</v>
      </c>
      <c r="BH294" s="76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528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453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527</v>
      </c>
      <c r="BG295">
        <v>1</v>
      </c>
      <c r="BH295" s="76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528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453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527</v>
      </c>
      <c r="BG296">
        <v>1</v>
      </c>
      <c r="BH296" s="7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528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453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527</v>
      </c>
      <c r="BG297">
        <v>1</v>
      </c>
      <c r="BH297" s="76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528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453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527</v>
      </c>
      <c r="BG298">
        <v>1</v>
      </c>
      <c r="BH298" s="76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528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453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527</v>
      </c>
      <c r="BG299">
        <v>1</v>
      </c>
      <c r="BH299" s="76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528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453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 s="76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528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453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 s="76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528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453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 s="76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528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453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 s="76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528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453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 s="76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528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453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 s="76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528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 s="7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528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453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 s="76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528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 s="76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528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 s="76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528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 s="76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528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453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 s="76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528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453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528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 s="76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528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453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528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453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528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453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528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 s="76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528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453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528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453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 s="76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528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528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453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 s="76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528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453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 s="76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528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453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528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528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 s="76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528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528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453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 s="76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528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453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528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 s="76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528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453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 s="76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528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627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528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627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 s="76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528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627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 s="76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528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627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528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627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528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627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 s="7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528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627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 s="76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528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633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633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 s="76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633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 s="76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 s="76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 s="76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627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498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 s="76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627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498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 s="76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627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498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 s="7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627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499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 s="76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478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627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499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 s="76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480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499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542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480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499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 s="76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542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481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499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499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 s="76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543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481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499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499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499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500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499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499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628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628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628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628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628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629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547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547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547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547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547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547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547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547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547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547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547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547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461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529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461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529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461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529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461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529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461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529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461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529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529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529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529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529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529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349</v>
      </c>
    </row>
    <row r="391" spans="2:88" x14ac:dyDescent="0.25">
      <c r="B391" s="74" t="s">
        <v>477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349</v>
      </c>
    </row>
    <row r="392" spans="2:88" x14ac:dyDescent="0.25">
      <c r="B392" s="74" t="s">
        <v>477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349</v>
      </c>
    </row>
    <row r="393" spans="2:88" x14ac:dyDescent="0.25">
      <c r="B393" s="74" t="s">
        <v>477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477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465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349</v>
      </c>
    </row>
    <row r="395" spans="2:88" x14ac:dyDescent="0.25">
      <c r="B395" s="74" t="s">
        <v>477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465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477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465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477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477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477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455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478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478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478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478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479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349</v>
      </c>
    </row>
    <row r="405" spans="2:88" x14ac:dyDescent="0.25">
      <c r="B405" s="74" t="s">
        <v>479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479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479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458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479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349</v>
      </c>
    </row>
    <row r="409" spans="2:88" x14ac:dyDescent="0.25">
      <c r="B409" s="74" t="s">
        <v>479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458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480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480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349</v>
      </c>
    </row>
    <row r="412" spans="2:88" x14ac:dyDescent="0.25">
      <c r="B412" s="74" t="s">
        <v>481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349</v>
      </c>
    </row>
    <row r="413" spans="2:88" x14ac:dyDescent="0.25">
      <c r="B413" s="74" t="s">
        <v>481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481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349</v>
      </c>
    </row>
    <row r="415" spans="2:88" x14ac:dyDescent="0.25">
      <c r="B415" s="74" t="s">
        <v>453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453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453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453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453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453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349</v>
      </c>
    </row>
    <row r="421" spans="2:88" x14ac:dyDescent="0.25">
      <c r="B421" s="74" t="s">
        <v>453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453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453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453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453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453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453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348</v>
      </c>
    </row>
    <row r="428" spans="2:88" x14ac:dyDescent="0.25">
      <c r="B428" s="74" t="s">
        <v>453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453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520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453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453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453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453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453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453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453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453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453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453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453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453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453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453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453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453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453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348</v>
      </c>
    </row>
    <row r="447" spans="2:88" x14ac:dyDescent="0.25">
      <c r="B447" s="74" t="s">
        <v>453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453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453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453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453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348</v>
      </c>
    </row>
    <row r="452" spans="2:88" x14ac:dyDescent="0.25">
      <c r="B452" s="74" t="s">
        <v>453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546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453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546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453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453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546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453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546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348</v>
      </c>
    </row>
    <row r="457" spans="2:88" x14ac:dyDescent="0.25">
      <c r="B457" s="74" t="s">
        <v>453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453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453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546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453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546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453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453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546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453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546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453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546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627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546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627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546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348</v>
      </c>
    </row>
    <row r="467" spans="2:88" x14ac:dyDescent="0.25">
      <c r="B467" s="74" t="s">
        <v>627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546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627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546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627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546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627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546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627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546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546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545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498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545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498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545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498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545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348</v>
      </c>
    </row>
    <row r="477" spans="2:88" x14ac:dyDescent="0.25">
      <c r="B477" s="74" t="s">
        <v>499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545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499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545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499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545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499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545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499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545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499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545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545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545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545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545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545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545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545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545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545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545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545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545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462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545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462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545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454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462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545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454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462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545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454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463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545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454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463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545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463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545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521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545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545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519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545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545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545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545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545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455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545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455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545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545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545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545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545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545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545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545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545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545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545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545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545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545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545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545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545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545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545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545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545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545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545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545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545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545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545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545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545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545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545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545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545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545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545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545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545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545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545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545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545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545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545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545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545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545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545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545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545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545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545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545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545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545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545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545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545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545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545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545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545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545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545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545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545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545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545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545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545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545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545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545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545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545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545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545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545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545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545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545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545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545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545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545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545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545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545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545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545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545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545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545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545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464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464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464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464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464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464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464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464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464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464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464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464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464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464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464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453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453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453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453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453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453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453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453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453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453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453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453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453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453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453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453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453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453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453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453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453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453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453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453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453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453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453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453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453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453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453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453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453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453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453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453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453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453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453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453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453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453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453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453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453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453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453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453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453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453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453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453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453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453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453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453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453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453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453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453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453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519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453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519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453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453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453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453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453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453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453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453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453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453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453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453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453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453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453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453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453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453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453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453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453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453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453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453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453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453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453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453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453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453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453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453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453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453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453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453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453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453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453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75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75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75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348</v>
      </c>
    </row>
    <row r="729" spans="82:88" x14ac:dyDescent="0.25">
      <c r="CD729" t="s">
        <v>498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55</v>
      </c>
      <c r="CI729">
        <f ca="1">ROUND((Table14[[#This Row],[XP]]*Table14[[#This Row],[entity_spawned (AVG)]])*(Table14[[#This Row],[activating_chance]]/100),0)</f>
        <v>6</v>
      </c>
      <c r="CJ729" s="73" t="s">
        <v>348</v>
      </c>
    </row>
    <row r="730" spans="82:88" x14ac:dyDescent="0.25">
      <c r="CD730" t="s">
        <v>498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55</v>
      </c>
      <c r="CI730">
        <f ca="1">ROUND((Table14[[#This Row],[XP]]*Table14[[#This Row],[entity_spawned (AVG)]])*(Table14[[#This Row],[activating_chance]]/100),0)</f>
        <v>55</v>
      </c>
      <c r="CJ730" s="73" t="s">
        <v>348</v>
      </c>
    </row>
    <row r="731" spans="82:88" x14ac:dyDescent="0.25">
      <c r="CD731" t="s">
        <v>498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55</v>
      </c>
      <c r="CI731">
        <f ca="1">ROUND((Table14[[#This Row],[XP]]*Table14[[#This Row],[entity_spawned (AVG)]])*(Table14[[#This Row],[activating_chance]]/100),0)</f>
        <v>44</v>
      </c>
      <c r="CJ731" s="73" t="s">
        <v>348</v>
      </c>
    </row>
    <row r="732" spans="82:88" x14ac:dyDescent="0.25">
      <c r="CD732" t="s">
        <v>498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55</v>
      </c>
      <c r="CI732">
        <f ca="1">ROUND((Table14[[#This Row],[XP]]*Table14[[#This Row],[entity_spawned (AVG)]])*(Table14[[#This Row],[activating_chance]]/100),0)</f>
        <v>17</v>
      </c>
      <c r="CJ732" s="73" t="s">
        <v>348</v>
      </c>
    </row>
    <row r="733" spans="82:88" x14ac:dyDescent="0.25">
      <c r="CD733" t="s">
        <v>498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55</v>
      </c>
      <c r="CJ733" s="73" t="s">
        <v>348</v>
      </c>
    </row>
    <row r="734" spans="82:88" x14ac:dyDescent="0.25">
      <c r="CD734" t="s">
        <v>498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348</v>
      </c>
    </row>
    <row r="735" spans="82:88" x14ac:dyDescent="0.25">
      <c r="CD735" t="s">
        <v>498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39</v>
      </c>
      <c r="CJ735" s="73" t="s">
        <v>348</v>
      </c>
    </row>
    <row r="736" spans="82:88" x14ac:dyDescent="0.25">
      <c r="CD736" t="s">
        <v>498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348</v>
      </c>
    </row>
    <row r="737" spans="82:88" x14ac:dyDescent="0.25">
      <c r="CD737" t="s">
        <v>498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348</v>
      </c>
    </row>
    <row r="738" spans="82:88" x14ac:dyDescent="0.25">
      <c r="CD738" t="s">
        <v>498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348</v>
      </c>
    </row>
    <row r="739" spans="82:88" x14ac:dyDescent="0.25">
      <c r="CD739" t="s">
        <v>498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348</v>
      </c>
    </row>
    <row r="740" spans="82:88" x14ac:dyDescent="0.25">
      <c r="CD740" t="s">
        <v>498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17</v>
      </c>
      <c r="CJ740" s="73" t="s">
        <v>348</v>
      </c>
    </row>
    <row r="741" spans="82:88" x14ac:dyDescent="0.25">
      <c r="CD741" t="s">
        <v>499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348</v>
      </c>
    </row>
    <row r="742" spans="82:88" x14ac:dyDescent="0.25">
      <c r="CD742" t="s">
        <v>499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499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3</v>
      </c>
      <c r="CJ743" s="73" t="s">
        <v>348</v>
      </c>
    </row>
    <row r="744" spans="82:88" x14ac:dyDescent="0.25">
      <c r="CD744" t="s">
        <v>499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348</v>
      </c>
    </row>
    <row r="745" spans="82:88" x14ac:dyDescent="0.25">
      <c r="CD745" t="s">
        <v>499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3</v>
      </c>
      <c r="CJ745" s="73" t="s">
        <v>348</v>
      </c>
    </row>
    <row r="746" spans="82:88" x14ac:dyDescent="0.25">
      <c r="CD746" t="s">
        <v>499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348</v>
      </c>
    </row>
    <row r="747" spans="82:88" x14ac:dyDescent="0.25">
      <c r="CD747" t="s">
        <v>499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348</v>
      </c>
    </row>
    <row r="748" spans="82:88" x14ac:dyDescent="0.25">
      <c r="CD748" t="s">
        <v>499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348</v>
      </c>
    </row>
    <row r="749" spans="82:88" x14ac:dyDescent="0.25">
      <c r="CD749" t="s">
        <v>499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8</v>
      </c>
      <c r="CJ749" s="73" t="s">
        <v>348</v>
      </c>
    </row>
    <row r="750" spans="82:88" x14ac:dyDescent="0.25">
      <c r="CD750" t="s">
        <v>499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8</v>
      </c>
      <c r="CJ750" s="73" t="s">
        <v>348</v>
      </c>
    </row>
    <row r="751" spans="82:88" x14ac:dyDescent="0.25">
      <c r="CD751" t="s">
        <v>499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348</v>
      </c>
    </row>
    <row r="752" spans="82:88" x14ac:dyDescent="0.25">
      <c r="CD752" t="s">
        <v>499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348</v>
      </c>
    </row>
    <row r="753" spans="82:88" x14ac:dyDescent="0.25">
      <c r="CD753" t="s">
        <v>499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20</v>
      </c>
      <c r="CJ753" s="73" t="s">
        <v>348</v>
      </c>
    </row>
    <row r="754" spans="82:88" x14ac:dyDescent="0.25">
      <c r="CD754" t="s">
        <v>499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20</v>
      </c>
      <c r="CJ754" s="73" t="s">
        <v>348</v>
      </c>
    </row>
    <row r="755" spans="82:88" x14ac:dyDescent="0.25">
      <c r="CD755" t="s">
        <v>499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35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125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50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75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23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15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20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75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150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25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75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40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20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150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100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25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75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35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25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150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60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53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50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50</v>
      </c>
      <c r="CJ804" s="73" t="s">
        <v>348</v>
      </c>
    </row>
    <row r="805" spans="82:88" x14ac:dyDescent="0.25">
      <c r="CD805" t="s">
        <v>458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21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20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20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8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8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25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20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8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8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20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25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25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25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25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8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20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20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20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25</v>
      </c>
      <c r="CJ865" s="73" t="s">
        <v>348</v>
      </c>
    </row>
    <row r="866" spans="82:88" x14ac:dyDescent="0.25">
      <c r="CD866" t="s">
        <v>520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83</v>
      </c>
      <c r="CI866">
        <f ca="1">ROUND((Table14[[#This Row],[XP]]*Table14[[#This Row],[entity_spawned (AVG)]])*(Table14[[#This Row],[activating_chance]]/100),0)</f>
        <v>83</v>
      </c>
      <c r="CJ866" s="73" t="s">
        <v>349</v>
      </c>
    </row>
    <row r="867" spans="82:88" x14ac:dyDescent="0.25">
      <c r="CD867" t="s">
        <v>520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83</v>
      </c>
      <c r="CI867">
        <f ca="1">ROUND((Table14[[#This Row],[XP]]*Table14[[#This Row],[entity_spawned (AVG)]])*(Table14[[#This Row],[activating_chance]]/100),0)</f>
        <v>83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83"/>
  <sheetViews>
    <sheetView workbookViewId="0">
      <selection activeCell="AI16" sqref="AI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416</v>
      </c>
      <c r="T3" t="s">
        <v>416</v>
      </c>
      <c r="AI3" t="s">
        <v>416</v>
      </c>
    </row>
    <row r="4" spans="4:45" x14ac:dyDescent="0.25">
      <c r="D4" s="1" t="s">
        <v>422</v>
      </c>
      <c r="L4" s="1" t="s">
        <v>412</v>
      </c>
      <c r="S4" s="1" t="s">
        <v>548</v>
      </c>
      <c r="AA4" s="1" t="s">
        <v>412</v>
      </c>
      <c r="AH4" s="1" t="s">
        <v>663</v>
      </c>
      <c r="AP4" s="1" t="s">
        <v>412</v>
      </c>
    </row>
    <row r="5" spans="4:45" x14ac:dyDescent="0.25">
      <c r="N5" t="s">
        <v>423</v>
      </c>
      <c r="O5" s="80">
        <v>2500</v>
      </c>
      <c r="AC5" t="s">
        <v>423</v>
      </c>
      <c r="AD5" s="80">
        <v>2500</v>
      </c>
      <c r="AR5" t="s">
        <v>423</v>
      </c>
      <c r="AS5" s="80">
        <v>2500</v>
      </c>
    </row>
    <row r="7" spans="4:45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  <c r="AI7" s="102" t="s">
        <v>409</v>
      </c>
      <c r="AJ7" s="102" t="s">
        <v>410</v>
      </c>
      <c r="AK7" s="102" t="s">
        <v>411</v>
      </c>
      <c r="AN7" s="73" t="s">
        <v>413</v>
      </c>
      <c r="AO7" s="73" t="s">
        <v>414</v>
      </c>
      <c r="AP7" s="73" t="s">
        <v>415</v>
      </c>
    </row>
    <row r="8" spans="4:45" x14ac:dyDescent="0.25">
      <c r="E8" t="s">
        <v>570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</v>
      </c>
      <c r="U8">
        <v>30000</v>
      </c>
      <c r="V8">
        <v>0</v>
      </c>
      <c r="Y8" s="73">
        <v>0</v>
      </c>
      <c r="Z8" s="73">
        <v>0</v>
      </c>
      <c r="AA8">
        <f>COUNTIF(Table15[XP_Min],"="&amp;Y8)</f>
        <v>1552</v>
      </c>
      <c r="AI8" s="97" t="s">
        <v>1</v>
      </c>
      <c r="AJ8" s="97">
        <v>30000</v>
      </c>
      <c r="AK8" s="97">
        <v>0</v>
      </c>
      <c r="AN8" s="73">
        <v>0</v>
      </c>
      <c r="AO8" s="73">
        <v>0</v>
      </c>
      <c r="AP8">
        <f>COUNTIF(Table20[XP_Min],"="&amp;AN8)</f>
        <v>2</v>
      </c>
    </row>
    <row r="9" spans="4:45" x14ac:dyDescent="0.25">
      <c r="E9" t="s">
        <v>570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130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10</v>
      </c>
      <c r="AI9" s="99" t="s">
        <v>130</v>
      </c>
      <c r="AJ9" s="99">
        <v>0</v>
      </c>
      <c r="AK9" s="9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570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130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s="106" t="s">
        <v>130</v>
      </c>
      <c r="AJ10" s="106">
        <v>0</v>
      </c>
      <c r="AK10" s="106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572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270</v>
      </c>
      <c r="U11">
        <v>0</v>
      </c>
      <c r="V11">
        <v>14000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572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332</v>
      </c>
      <c r="U12">
        <v>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572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514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0</v>
      </c>
    </row>
    <row r="14" spans="4:45" x14ac:dyDescent="0.25">
      <c r="E14" t="s">
        <v>572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516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0</v>
      </c>
    </row>
    <row r="15" spans="4:45" x14ac:dyDescent="0.25">
      <c r="E15" t="s">
        <v>572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41</v>
      </c>
      <c r="U15">
        <v>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572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34</v>
      </c>
      <c r="T16" t="s">
        <v>130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0</v>
      </c>
    </row>
    <row r="17" spans="5:42" x14ac:dyDescent="0.25">
      <c r="E17" t="s">
        <v>572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379</v>
      </c>
      <c r="U17">
        <v>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574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40</v>
      </c>
      <c r="T18" t="s">
        <v>493</v>
      </c>
      <c r="U18">
        <v>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0</v>
      </c>
    </row>
    <row r="19" spans="5:42" x14ac:dyDescent="0.25">
      <c r="E19" t="s">
        <v>574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640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0</v>
      </c>
    </row>
    <row r="20" spans="5:42" x14ac:dyDescent="0.25">
      <c r="E20" t="s">
        <v>574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419</v>
      </c>
      <c r="U20">
        <v>0</v>
      </c>
      <c r="V20">
        <v>29000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1</v>
      </c>
    </row>
    <row r="21" spans="5:42" x14ac:dyDescent="0.25">
      <c r="E21" t="s">
        <v>574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308</v>
      </c>
      <c r="U21">
        <v>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0</v>
      </c>
    </row>
    <row r="22" spans="5:42" x14ac:dyDescent="0.25">
      <c r="E22" t="s">
        <v>574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13</v>
      </c>
      <c r="T22" t="s">
        <v>336</v>
      </c>
      <c r="U22">
        <v>0</v>
      </c>
      <c r="V22">
        <v>37000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27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0</v>
      </c>
    </row>
    <row r="23" spans="5:42" x14ac:dyDescent="0.25">
      <c r="E23" t="s">
        <v>574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330</v>
      </c>
      <c r="U23">
        <v>29000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21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0</v>
      </c>
    </row>
    <row r="24" spans="5:42" x14ac:dyDescent="0.25">
      <c r="E24" t="s">
        <v>574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12</v>
      </c>
      <c r="T24" t="s">
        <v>424</v>
      </c>
      <c r="U24">
        <v>38000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0</v>
      </c>
    </row>
    <row r="25" spans="5:42" x14ac:dyDescent="0.25">
      <c r="E25" t="s">
        <v>574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334</v>
      </c>
      <c r="U25">
        <v>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0</v>
      </c>
    </row>
    <row r="26" spans="5:42" x14ac:dyDescent="0.25">
      <c r="E26" t="s">
        <v>574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269</v>
      </c>
      <c r="U26">
        <v>21000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0</v>
      </c>
    </row>
    <row r="27" spans="5:42" x14ac:dyDescent="0.25">
      <c r="E27" t="s">
        <v>574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625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0</v>
      </c>
    </row>
    <row r="28" spans="5:42" x14ac:dyDescent="0.25">
      <c r="E28" t="s">
        <v>574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424</v>
      </c>
      <c r="U28">
        <v>10000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11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574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130</v>
      </c>
      <c r="U29">
        <v>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574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</v>
      </c>
      <c r="U30">
        <v>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574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330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574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302</v>
      </c>
      <c r="U32">
        <v>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574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0</v>
      </c>
      <c r="V33">
        <v>46000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574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270</v>
      </c>
      <c r="U34">
        <v>0</v>
      </c>
      <c r="V34">
        <v>18000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578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334</v>
      </c>
      <c r="U35">
        <v>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578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491</v>
      </c>
      <c r="U36">
        <v>0</v>
      </c>
      <c r="V36">
        <v>28000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578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578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424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334</v>
      </c>
      <c r="U39">
        <v>0</v>
      </c>
      <c r="V39">
        <v>0</v>
      </c>
    </row>
    <row r="40" spans="5:42" x14ac:dyDescent="0.25">
      <c r="E40" t="s">
        <v>11</v>
      </c>
      <c r="F40">
        <v>0</v>
      </c>
      <c r="G40">
        <v>0</v>
      </c>
      <c r="T40" t="s">
        <v>50</v>
      </c>
      <c r="U40">
        <v>0</v>
      </c>
      <c r="V40">
        <v>0</v>
      </c>
    </row>
    <row r="41" spans="5:42" x14ac:dyDescent="0.25">
      <c r="E41" t="s">
        <v>11</v>
      </c>
      <c r="F41">
        <v>0</v>
      </c>
      <c r="G41">
        <v>0</v>
      </c>
      <c r="T41" t="s">
        <v>491</v>
      </c>
      <c r="U41">
        <v>0</v>
      </c>
      <c r="V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43</v>
      </c>
      <c r="U42">
        <v>0</v>
      </c>
      <c r="V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</v>
      </c>
      <c r="U43">
        <v>14000</v>
      </c>
      <c r="V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641</v>
      </c>
      <c r="U44">
        <v>0</v>
      </c>
      <c r="V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424</v>
      </c>
      <c r="U45">
        <v>0</v>
      </c>
      <c r="V45">
        <v>0</v>
      </c>
    </row>
    <row r="46" spans="5:42" x14ac:dyDescent="0.25">
      <c r="E46" t="s">
        <v>0</v>
      </c>
      <c r="F46">
        <v>0</v>
      </c>
      <c r="G46">
        <v>0</v>
      </c>
      <c r="T46" t="s">
        <v>586</v>
      </c>
      <c r="U46">
        <v>0</v>
      </c>
      <c r="V46">
        <v>0</v>
      </c>
    </row>
    <row r="47" spans="5:42" x14ac:dyDescent="0.25">
      <c r="E47" t="s">
        <v>0</v>
      </c>
      <c r="F47">
        <v>0</v>
      </c>
      <c r="G47">
        <v>5400</v>
      </c>
      <c r="T47" t="s">
        <v>129</v>
      </c>
      <c r="U47">
        <v>0</v>
      </c>
      <c r="V47">
        <v>0</v>
      </c>
    </row>
    <row r="48" spans="5:42" x14ac:dyDescent="0.25">
      <c r="E48" t="s">
        <v>0</v>
      </c>
      <c r="F48">
        <v>0</v>
      </c>
      <c r="G48">
        <v>0</v>
      </c>
      <c r="T48" t="s">
        <v>270</v>
      </c>
      <c r="U48">
        <v>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295</v>
      </c>
      <c r="U49">
        <v>0</v>
      </c>
      <c r="V49">
        <v>25000</v>
      </c>
    </row>
    <row r="50" spans="5:22" x14ac:dyDescent="0.25">
      <c r="E50" t="s">
        <v>0</v>
      </c>
      <c r="F50">
        <v>0</v>
      </c>
      <c r="G50">
        <v>0</v>
      </c>
      <c r="T50" t="s">
        <v>41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334</v>
      </c>
      <c r="U51">
        <v>16000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586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40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308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491</v>
      </c>
      <c r="U55">
        <v>0</v>
      </c>
      <c r="V55">
        <v>35000</v>
      </c>
    </row>
    <row r="56" spans="5:22" x14ac:dyDescent="0.25">
      <c r="E56" t="s">
        <v>12</v>
      </c>
      <c r="F56">
        <v>0</v>
      </c>
      <c r="G56">
        <v>0</v>
      </c>
      <c r="T56" t="s">
        <v>270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13000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43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491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491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642</v>
      </c>
      <c r="U61" t="s">
        <v>643</v>
      </c>
    </row>
    <row r="62" spans="5:22" x14ac:dyDescent="0.25">
      <c r="E62" t="s">
        <v>12</v>
      </c>
      <c r="F62">
        <v>17000</v>
      </c>
      <c r="G62">
        <v>0</v>
      </c>
      <c r="T62" t="s">
        <v>308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586</v>
      </c>
      <c r="U63">
        <v>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332</v>
      </c>
      <c r="U64">
        <v>19000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25</v>
      </c>
      <c r="U65">
        <v>0</v>
      </c>
      <c r="V65">
        <v>46000</v>
      </c>
    </row>
    <row r="66" spans="5:22" x14ac:dyDescent="0.25">
      <c r="E66" t="s">
        <v>1</v>
      </c>
      <c r="F66">
        <v>0</v>
      </c>
      <c r="G66">
        <v>0</v>
      </c>
      <c r="T66" t="s">
        <v>514</v>
      </c>
      <c r="U66">
        <v>16000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494</v>
      </c>
      <c r="U67">
        <v>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308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491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41</v>
      </c>
      <c r="U70">
        <v>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129</v>
      </c>
      <c r="U71">
        <v>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308</v>
      </c>
      <c r="U72">
        <v>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332</v>
      </c>
      <c r="U73">
        <v>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58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302</v>
      </c>
      <c r="U75">
        <v>46000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516</v>
      </c>
      <c r="U76">
        <v>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270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334</v>
      </c>
      <c r="U78">
        <v>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40</v>
      </c>
      <c r="U79">
        <v>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270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32000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308</v>
      </c>
      <c r="U82">
        <v>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644</v>
      </c>
      <c r="U83">
        <v>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493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327</v>
      </c>
      <c r="U85">
        <v>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30000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30000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586</v>
      </c>
      <c r="U89">
        <v>15000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334</v>
      </c>
      <c r="U90">
        <v>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418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379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586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130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270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295</v>
      </c>
      <c r="U96">
        <v>0</v>
      </c>
      <c r="V96">
        <v>25000</v>
      </c>
    </row>
    <row r="97" spans="5:22" x14ac:dyDescent="0.25">
      <c r="E97" t="s">
        <v>424</v>
      </c>
      <c r="F97">
        <v>0</v>
      </c>
      <c r="G97">
        <v>0</v>
      </c>
      <c r="T97" t="s">
        <v>334</v>
      </c>
      <c r="U97">
        <v>25000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129</v>
      </c>
      <c r="U98">
        <v>34000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491</v>
      </c>
      <c r="U99">
        <v>0</v>
      </c>
      <c r="V99">
        <v>33000</v>
      </c>
    </row>
    <row r="100" spans="5:22" x14ac:dyDescent="0.25">
      <c r="E100" t="s">
        <v>424</v>
      </c>
      <c r="F100">
        <v>0</v>
      </c>
      <c r="G100">
        <v>0</v>
      </c>
      <c r="T100" t="s">
        <v>586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40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26</v>
      </c>
      <c r="U102">
        <v>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40</v>
      </c>
      <c r="U103">
        <v>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302</v>
      </c>
      <c r="U104">
        <v>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334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1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30000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514</v>
      </c>
      <c r="U108">
        <v>28000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270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41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270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41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645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491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270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625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10</v>
      </c>
      <c r="U117">
        <v>0</v>
      </c>
      <c r="V117">
        <v>25000</v>
      </c>
    </row>
    <row r="118" spans="5:22" x14ac:dyDescent="0.25">
      <c r="E118" t="s">
        <v>424</v>
      </c>
      <c r="F118">
        <v>6500</v>
      </c>
      <c r="G118">
        <v>0</v>
      </c>
      <c r="T118" t="s">
        <v>308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41</v>
      </c>
      <c r="U119">
        <v>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418</v>
      </c>
      <c r="U120">
        <v>24000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418</v>
      </c>
      <c r="U121">
        <v>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30000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514</v>
      </c>
      <c r="U123">
        <v>30000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26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270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65</v>
      </c>
      <c r="U126">
        <v>20000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41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336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16000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130</v>
      </c>
      <c r="U130">
        <v>0</v>
      </c>
      <c r="V130">
        <v>40000</v>
      </c>
    </row>
    <row r="131" spans="5:22" x14ac:dyDescent="0.25">
      <c r="E131" t="s">
        <v>424</v>
      </c>
      <c r="F131">
        <v>0</v>
      </c>
      <c r="G131">
        <v>0</v>
      </c>
      <c r="T131" t="s">
        <v>334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25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642</v>
      </c>
      <c r="U133" t="s">
        <v>643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38000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274</v>
      </c>
      <c r="U136">
        <v>36000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270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130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40</v>
      </c>
      <c r="U139">
        <v>42000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25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491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516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41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130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514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491</v>
      </c>
      <c r="U146">
        <v>0</v>
      </c>
      <c r="V146">
        <v>24000</v>
      </c>
    </row>
    <row r="147" spans="5:22" x14ac:dyDescent="0.25">
      <c r="E147" t="s">
        <v>424</v>
      </c>
      <c r="F147">
        <v>0</v>
      </c>
      <c r="G147">
        <v>0</v>
      </c>
      <c r="T147" t="s">
        <v>336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129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418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130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299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418</v>
      </c>
      <c r="U152">
        <v>26000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270</v>
      </c>
      <c r="U153">
        <v>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336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334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323</v>
      </c>
      <c r="U157">
        <v>30000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305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270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516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270</v>
      </c>
      <c r="U162">
        <v>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270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25000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25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68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625</v>
      </c>
      <c r="U167">
        <v>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270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336</v>
      </c>
      <c r="U169">
        <v>43000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144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295</v>
      </c>
      <c r="U171">
        <v>0</v>
      </c>
      <c r="V171">
        <v>45000</v>
      </c>
    </row>
    <row r="172" spans="5:22" x14ac:dyDescent="0.25">
      <c r="E172" t="s">
        <v>424</v>
      </c>
      <c r="F172">
        <v>0</v>
      </c>
      <c r="G172">
        <v>0</v>
      </c>
      <c r="T172" t="s">
        <v>334</v>
      </c>
      <c r="U172">
        <v>17000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270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30000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270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52</v>
      </c>
      <c r="U176">
        <v>0</v>
      </c>
      <c r="V176">
        <v>14000</v>
      </c>
    </row>
    <row r="177" spans="5:22" x14ac:dyDescent="0.25">
      <c r="E177" t="s">
        <v>424</v>
      </c>
      <c r="F177">
        <v>6000</v>
      </c>
      <c r="G177">
        <v>0</v>
      </c>
      <c r="T177" t="s">
        <v>308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332</v>
      </c>
      <c r="U178">
        <v>22000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130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66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424</v>
      </c>
      <c r="U181">
        <v>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424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424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130</v>
      </c>
      <c r="U184">
        <v>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514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308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516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308</v>
      </c>
      <c r="U188">
        <v>14000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50</v>
      </c>
      <c r="U191">
        <v>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308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334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418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494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424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55</v>
      </c>
      <c r="U197">
        <v>42000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418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308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491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586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308</v>
      </c>
      <c r="U202">
        <v>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334</v>
      </c>
      <c r="U203">
        <v>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312</v>
      </c>
      <c r="U204">
        <v>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270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336</v>
      </c>
      <c r="U206">
        <v>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290</v>
      </c>
      <c r="U207">
        <v>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334</v>
      </c>
      <c r="U208">
        <v>33000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41</v>
      </c>
      <c r="U209">
        <v>12000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269</v>
      </c>
      <c r="U210">
        <v>0</v>
      </c>
      <c r="V210">
        <v>25000</v>
      </c>
    </row>
    <row r="211" spans="5:22" x14ac:dyDescent="0.25">
      <c r="E211" t="s">
        <v>424</v>
      </c>
      <c r="F211">
        <v>0</v>
      </c>
      <c r="G211">
        <v>0</v>
      </c>
      <c r="T211" t="s">
        <v>334</v>
      </c>
      <c r="U211">
        <v>36000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295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514</v>
      </c>
      <c r="U213">
        <v>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334</v>
      </c>
      <c r="U214">
        <v>31000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586</v>
      </c>
      <c r="U215">
        <v>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420</v>
      </c>
      <c r="U217">
        <v>0</v>
      </c>
      <c r="V217">
        <v>45000</v>
      </c>
    </row>
    <row r="218" spans="5:22" x14ac:dyDescent="0.25">
      <c r="E218" t="s">
        <v>424</v>
      </c>
      <c r="F218">
        <v>3500</v>
      </c>
      <c r="G218">
        <v>0</v>
      </c>
      <c r="T218" t="s">
        <v>494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270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332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645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330</v>
      </c>
      <c r="U222">
        <v>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424</v>
      </c>
      <c r="U223">
        <v>19000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586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308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491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586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493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491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270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130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323</v>
      </c>
      <c r="U234">
        <v>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336</v>
      </c>
      <c r="U235">
        <v>0</v>
      </c>
      <c r="V235">
        <v>43000</v>
      </c>
    </row>
    <row r="236" spans="5:22" x14ac:dyDescent="0.25">
      <c r="E236" t="s">
        <v>40</v>
      </c>
      <c r="F236">
        <v>15000</v>
      </c>
      <c r="G236">
        <v>0</v>
      </c>
      <c r="T236" t="s">
        <v>270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424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336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323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418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424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1</v>
      </c>
      <c r="U243">
        <v>23000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494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129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130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130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491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302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26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418</v>
      </c>
      <c r="U251">
        <v>16000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514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491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130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40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645</v>
      </c>
      <c r="U256">
        <v>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302</v>
      </c>
      <c r="U257">
        <v>30000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418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424</v>
      </c>
      <c r="U260">
        <v>38000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308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270</v>
      </c>
      <c r="U262">
        <v>0</v>
      </c>
      <c r="V262">
        <v>40000</v>
      </c>
    </row>
    <row r="263" spans="5:22" x14ac:dyDescent="0.25">
      <c r="E263" t="s">
        <v>40</v>
      </c>
      <c r="F263">
        <v>0</v>
      </c>
      <c r="G263">
        <v>0</v>
      </c>
      <c r="T263" t="s">
        <v>424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516</v>
      </c>
      <c r="U264">
        <v>0</v>
      </c>
      <c r="V264">
        <v>0</v>
      </c>
    </row>
    <row r="265" spans="5:22" x14ac:dyDescent="0.25">
      <c r="E265" t="s">
        <v>40</v>
      </c>
      <c r="F265">
        <v>20000</v>
      </c>
      <c r="G265">
        <v>0</v>
      </c>
      <c r="T265" t="s">
        <v>514</v>
      </c>
      <c r="U265">
        <v>36000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516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424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129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491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475</v>
      </c>
      <c r="U271">
        <v>38000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308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130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491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270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334</v>
      </c>
      <c r="U277">
        <v>25000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625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491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586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418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130</v>
      </c>
      <c r="U282">
        <v>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424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295</v>
      </c>
      <c r="U284">
        <v>0</v>
      </c>
      <c r="V284">
        <v>0</v>
      </c>
    </row>
    <row r="285" spans="5:22" x14ac:dyDescent="0.25">
      <c r="E285" t="s">
        <v>41</v>
      </c>
      <c r="F285">
        <v>0</v>
      </c>
      <c r="G285">
        <v>0</v>
      </c>
      <c r="T285" t="s">
        <v>514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424</v>
      </c>
      <c r="U286">
        <v>40000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26</v>
      </c>
      <c r="U287">
        <v>38000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379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55</v>
      </c>
      <c r="U289">
        <v>42000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308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297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428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334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516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491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46</v>
      </c>
      <c r="U296">
        <v>46000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424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514</v>
      </c>
      <c r="U298">
        <v>37000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336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336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418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424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40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336</v>
      </c>
      <c r="U304">
        <v>29000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424</v>
      </c>
      <c r="U305">
        <v>17000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379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491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646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491</v>
      </c>
      <c r="U309">
        <v>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43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65</v>
      </c>
      <c r="U311">
        <v>18000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130</v>
      </c>
      <c r="U312">
        <v>0</v>
      </c>
      <c r="V312">
        <v>40000</v>
      </c>
    </row>
    <row r="313" spans="5:22" x14ac:dyDescent="0.25">
      <c r="E313" t="s">
        <v>25</v>
      </c>
      <c r="F313">
        <v>0</v>
      </c>
      <c r="G313">
        <v>0</v>
      </c>
      <c r="T313" t="s">
        <v>491</v>
      </c>
      <c r="U313">
        <v>0</v>
      </c>
      <c r="V313">
        <v>24000</v>
      </c>
    </row>
    <row r="314" spans="5:22" x14ac:dyDescent="0.25">
      <c r="E314" t="s">
        <v>25</v>
      </c>
      <c r="F314">
        <v>50000</v>
      </c>
      <c r="G314">
        <v>0</v>
      </c>
      <c r="T314" t="s">
        <v>361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418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424</v>
      </c>
      <c r="U317">
        <v>45000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334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491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361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130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25</v>
      </c>
      <c r="U322">
        <v>0</v>
      </c>
      <c r="V322">
        <v>0</v>
      </c>
    </row>
    <row r="323" spans="5:22" x14ac:dyDescent="0.25">
      <c r="E323" t="s">
        <v>384</v>
      </c>
      <c r="F323">
        <v>0</v>
      </c>
      <c r="G323">
        <v>0</v>
      </c>
      <c r="T323" t="s">
        <v>327</v>
      </c>
      <c r="U323">
        <v>30000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65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308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299</v>
      </c>
      <c r="U326">
        <v>25000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482</v>
      </c>
      <c r="U327">
        <v>15000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47</v>
      </c>
      <c r="U328">
        <v>24000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334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274</v>
      </c>
      <c r="U330">
        <v>38500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332</v>
      </c>
      <c r="U331">
        <v>29000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129</v>
      </c>
      <c r="U332">
        <v>50000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494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424</v>
      </c>
      <c r="U334">
        <v>38000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334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43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50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274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336</v>
      </c>
      <c r="U342">
        <v>0</v>
      </c>
      <c r="V342">
        <v>40000</v>
      </c>
    </row>
    <row r="343" spans="5:22" x14ac:dyDescent="0.25">
      <c r="E343" t="s">
        <v>269</v>
      </c>
      <c r="F343">
        <v>0</v>
      </c>
      <c r="G343">
        <v>0</v>
      </c>
      <c r="T343" t="s">
        <v>308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586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40</v>
      </c>
      <c r="U345">
        <v>44000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65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44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144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491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424</v>
      </c>
      <c r="U350">
        <v>30000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129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549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428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336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418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40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43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102</v>
      </c>
      <c r="U359">
        <v>24000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65</v>
      </c>
      <c r="U360">
        <v>29000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308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42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336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516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270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40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129</v>
      </c>
      <c r="U368">
        <v>38000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491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302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420</v>
      </c>
      <c r="U372">
        <v>23000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41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26</v>
      </c>
      <c r="U374">
        <v>21000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35000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642</v>
      </c>
      <c r="U376" t="s">
        <v>643</v>
      </c>
    </row>
    <row r="377" spans="5:22" x14ac:dyDescent="0.25">
      <c r="E377" t="s">
        <v>269</v>
      </c>
      <c r="F377">
        <v>0</v>
      </c>
      <c r="G377">
        <v>0</v>
      </c>
      <c r="T377" t="s">
        <v>336</v>
      </c>
      <c r="U377">
        <v>0</v>
      </c>
      <c r="V377">
        <v>0</v>
      </c>
    </row>
    <row r="378" spans="5:22" x14ac:dyDescent="0.25">
      <c r="E378" t="s">
        <v>269</v>
      </c>
      <c r="F378">
        <v>0</v>
      </c>
      <c r="G378">
        <v>0</v>
      </c>
      <c r="T378" t="s">
        <v>418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493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295</v>
      </c>
      <c r="U380">
        <v>0</v>
      </c>
      <c r="V380">
        <v>35000</v>
      </c>
    </row>
    <row r="381" spans="5:22" x14ac:dyDescent="0.25">
      <c r="E381" t="s">
        <v>269</v>
      </c>
      <c r="F381">
        <v>0</v>
      </c>
      <c r="G381">
        <v>0</v>
      </c>
      <c r="T381" t="s">
        <v>336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102</v>
      </c>
      <c r="U382">
        <v>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644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302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1</v>
      </c>
      <c r="U385">
        <v>26000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418</v>
      </c>
      <c r="U386">
        <v>14000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644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645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308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336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334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647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297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625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516</v>
      </c>
      <c r="U395">
        <v>0</v>
      </c>
      <c r="V395">
        <v>30000</v>
      </c>
    </row>
    <row r="396" spans="5:22" x14ac:dyDescent="0.25">
      <c r="E396" t="s">
        <v>269</v>
      </c>
      <c r="F396">
        <v>0</v>
      </c>
      <c r="G396">
        <v>0</v>
      </c>
      <c r="T396" t="s">
        <v>54</v>
      </c>
      <c r="U396">
        <v>15000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491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327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10</v>
      </c>
      <c r="U399">
        <v>0</v>
      </c>
      <c r="V399">
        <v>21000</v>
      </c>
    </row>
    <row r="400" spans="5:22" x14ac:dyDescent="0.25">
      <c r="E400" t="s">
        <v>269</v>
      </c>
      <c r="F400">
        <v>0</v>
      </c>
      <c r="G400">
        <v>0</v>
      </c>
      <c r="T400" t="s">
        <v>336</v>
      </c>
      <c r="U400">
        <v>0</v>
      </c>
      <c r="V400">
        <v>31000</v>
      </c>
    </row>
    <row r="401" spans="5:22" x14ac:dyDescent="0.25">
      <c r="E401" t="s">
        <v>269</v>
      </c>
      <c r="F401">
        <v>0</v>
      </c>
      <c r="G401">
        <v>0</v>
      </c>
      <c r="T401" t="s">
        <v>270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491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41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491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625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426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491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516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40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43</v>
      </c>
      <c r="U411">
        <v>18000</v>
      </c>
      <c r="V411">
        <v>0</v>
      </c>
    </row>
    <row r="412" spans="5:22" x14ac:dyDescent="0.25">
      <c r="E412" t="s">
        <v>269</v>
      </c>
      <c r="F412">
        <v>4000</v>
      </c>
      <c r="G412">
        <v>0</v>
      </c>
      <c r="T412" t="s">
        <v>334</v>
      </c>
      <c r="U412">
        <v>0</v>
      </c>
      <c r="V412">
        <v>0</v>
      </c>
    </row>
    <row r="413" spans="5:22" x14ac:dyDescent="0.25">
      <c r="E413" t="s">
        <v>269</v>
      </c>
      <c r="F413">
        <v>0</v>
      </c>
      <c r="G413">
        <v>10000</v>
      </c>
      <c r="T413" t="s">
        <v>295</v>
      </c>
      <c r="U413">
        <v>0</v>
      </c>
      <c r="V413">
        <v>25000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40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130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418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129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65</v>
      </c>
      <c r="U419">
        <v>22000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332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41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336</v>
      </c>
      <c r="U423">
        <v>0</v>
      </c>
      <c r="V423">
        <v>39000</v>
      </c>
    </row>
    <row r="424" spans="5:22" x14ac:dyDescent="0.25">
      <c r="E424" t="s">
        <v>269</v>
      </c>
      <c r="F424">
        <v>0</v>
      </c>
      <c r="G424">
        <v>0</v>
      </c>
      <c r="T424" t="s">
        <v>418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516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308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44</v>
      </c>
      <c r="U427">
        <v>22000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334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336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586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308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130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53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514</v>
      </c>
      <c r="U434">
        <v>0</v>
      </c>
      <c r="V434">
        <v>0</v>
      </c>
    </row>
    <row r="435" spans="5:22" x14ac:dyDescent="0.25">
      <c r="E435" t="s">
        <v>269</v>
      </c>
      <c r="F435">
        <v>0</v>
      </c>
      <c r="G435">
        <v>0</v>
      </c>
      <c r="T435" t="s">
        <v>330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645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308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332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41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514</v>
      </c>
      <c r="U441">
        <v>50000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641</v>
      </c>
      <c r="U442">
        <v>2</v>
      </c>
    </row>
    <row r="443" spans="5:22" x14ac:dyDescent="0.25">
      <c r="E443" t="s">
        <v>269</v>
      </c>
      <c r="F443">
        <v>0</v>
      </c>
      <c r="G443">
        <v>0</v>
      </c>
      <c r="T443" t="s">
        <v>336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418</v>
      </c>
      <c r="U444">
        <v>22000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424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336</v>
      </c>
      <c r="U446">
        <v>38000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308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424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19</v>
      </c>
      <c r="U449">
        <v>0</v>
      </c>
      <c r="V449">
        <v>16000</v>
      </c>
    </row>
    <row r="450" spans="5:22" x14ac:dyDescent="0.25">
      <c r="E450" t="s">
        <v>269</v>
      </c>
      <c r="F450">
        <v>8000</v>
      </c>
      <c r="G450">
        <v>0</v>
      </c>
      <c r="T450" t="s">
        <v>418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516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319</v>
      </c>
      <c r="U452">
        <v>46000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428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418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308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516</v>
      </c>
      <c r="U456">
        <v>0</v>
      </c>
      <c r="V456">
        <v>40000</v>
      </c>
    </row>
    <row r="457" spans="5:22" x14ac:dyDescent="0.25">
      <c r="E457" t="s">
        <v>269</v>
      </c>
      <c r="F457">
        <v>0</v>
      </c>
      <c r="G457">
        <v>16000</v>
      </c>
      <c r="T457" t="s">
        <v>43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336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327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418</v>
      </c>
      <c r="U460">
        <v>22000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</row>
    <row r="462" spans="5:22" x14ac:dyDescent="0.25">
      <c r="E462" t="s">
        <v>269</v>
      </c>
      <c r="F462">
        <v>0</v>
      </c>
      <c r="G462">
        <v>0</v>
      </c>
      <c r="T462" t="s">
        <v>334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428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321</v>
      </c>
      <c r="U464">
        <v>23000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44</v>
      </c>
      <c r="U465">
        <v>29000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583</v>
      </c>
      <c r="U466">
        <v>38000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41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334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424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130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424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41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41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491</v>
      </c>
      <c r="U474">
        <v>0</v>
      </c>
      <c r="V474">
        <v>30000</v>
      </c>
    </row>
    <row r="475" spans="5:22" x14ac:dyDescent="0.25">
      <c r="E475" t="s">
        <v>270</v>
      </c>
      <c r="F475">
        <v>2700</v>
      </c>
      <c r="G475">
        <v>0</v>
      </c>
      <c r="T475" t="s">
        <v>491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274</v>
      </c>
      <c r="U476">
        <v>36000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332</v>
      </c>
      <c r="U477">
        <v>18000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493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418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491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491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424</v>
      </c>
      <c r="U482">
        <v>10000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424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516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334</v>
      </c>
      <c r="U486">
        <v>29000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418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43</v>
      </c>
      <c r="U488">
        <v>18000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327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17000</v>
      </c>
      <c r="T490" t="s">
        <v>334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10</v>
      </c>
      <c r="U491">
        <v>0</v>
      </c>
      <c r="V491">
        <v>17000</v>
      </c>
    </row>
    <row r="492" spans="5:22" x14ac:dyDescent="0.25">
      <c r="E492" t="s">
        <v>270</v>
      </c>
      <c r="F492">
        <v>0</v>
      </c>
      <c r="G492">
        <v>0</v>
      </c>
      <c r="T492" t="s">
        <v>330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302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46</v>
      </c>
      <c r="U494">
        <v>46000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297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274</v>
      </c>
      <c r="U496">
        <v>38500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327</v>
      </c>
      <c r="U497">
        <v>28000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334</v>
      </c>
      <c r="U498">
        <v>22000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549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424</v>
      </c>
      <c r="U500">
        <v>23000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586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625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424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514</v>
      </c>
      <c r="U504">
        <v>37000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18100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334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41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269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299</v>
      </c>
      <c r="U509">
        <v>14000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645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491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336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424</v>
      </c>
      <c r="U513">
        <v>32000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41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336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549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514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379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334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334</v>
      </c>
      <c r="U520">
        <v>19000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418</v>
      </c>
      <c r="U521">
        <v>13000</v>
      </c>
      <c r="V521">
        <v>35000</v>
      </c>
    </row>
    <row r="522" spans="5:22" x14ac:dyDescent="0.25">
      <c r="E522" t="s">
        <v>270</v>
      </c>
      <c r="F522">
        <v>0</v>
      </c>
      <c r="G522">
        <v>17000</v>
      </c>
      <c r="T522" t="s">
        <v>424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516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625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144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25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130</v>
      </c>
      <c r="U527">
        <v>0</v>
      </c>
      <c r="V527">
        <v>30000</v>
      </c>
    </row>
    <row r="528" spans="5:22" x14ac:dyDescent="0.25">
      <c r="E528" t="s">
        <v>270</v>
      </c>
      <c r="F528">
        <v>0</v>
      </c>
      <c r="G528">
        <v>0</v>
      </c>
      <c r="T528" t="s">
        <v>361</v>
      </c>
      <c r="U528">
        <v>22000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26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321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129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50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641</v>
      </c>
      <c r="U533">
        <v>2</v>
      </c>
    </row>
    <row r="534" spans="5:22" x14ac:dyDescent="0.25">
      <c r="E534" t="s">
        <v>270</v>
      </c>
      <c r="F534">
        <v>0</v>
      </c>
      <c r="G534">
        <v>0</v>
      </c>
      <c r="T534" t="s">
        <v>424</v>
      </c>
      <c r="U534">
        <v>35000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424</v>
      </c>
      <c r="U535">
        <v>20000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646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514</v>
      </c>
      <c r="U537">
        <v>25000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648</v>
      </c>
      <c r="U538" t="s">
        <v>649</v>
      </c>
      <c r="V538" t="s">
        <v>650</v>
      </c>
    </row>
    <row r="539" spans="5:22" x14ac:dyDescent="0.25">
      <c r="E539" t="s">
        <v>270</v>
      </c>
      <c r="F539">
        <v>0</v>
      </c>
      <c r="G539">
        <v>0</v>
      </c>
      <c r="T539" t="s">
        <v>426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491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475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334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41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516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424</v>
      </c>
      <c r="U545">
        <v>22000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491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424</v>
      </c>
      <c r="U547">
        <v>38000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336</v>
      </c>
      <c r="U548">
        <v>40000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41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482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130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44</v>
      </c>
      <c r="U552">
        <v>35000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129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41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475</v>
      </c>
      <c r="U555">
        <v>32000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270</v>
      </c>
      <c r="U556">
        <v>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641</v>
      </c>
      <c r="U557">
        <v>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42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491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308</v>
      </c>
      <c r="U560">
        <v>0</v>
      </c>
      <c r="V560">
        <v>0</v>
      </c>
    </row>
    <row r="561" spans="5:22" x14ac:dyDescent="0.25">
      <c r="E561" t="s">
        <v>270</v>
      </c>
      <c r="F561">
        <v>2000</v>
      </c>
      <c r="G561">
        <v>0</v>
      </c>
      <c r="T561" t="s">
        <v>336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40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299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295</v>
      </c>
      <c r="U564">
        <v>0</v>
      </c>
      <c r="V564">
        <v>25000</v>
      </c>
    </row>
    <row r="565" spans="5:22" x14ac:dyDescent="0.25">
      <c r="E565" t="s">
        <v>270</v>
      </c>
      <c r="F565">
        <v>0</v>
      </c>
      <c r="G565">
        <v>0</v>
      </c>
      <c r="T565" t="s">
        <v>336</v>
      </c>
      <c r="U565">
        <v>0</v>
      </c>
      <c r="V565">
        <v>45000</v>
      </c>
    </row>
    <row r="566" spans="5:22" x14ac:dyDescent="0.25">
      <c r="E566" t="s">
        <v>270</v>
      </c>
      <c r="F566">
        <v>0</v>
      </c>
      <c r="G566">
        <v>0</v>
      </c>
      <c r="T566" t="s">
        <v>418</v>
      </c>
      <c r="U566">
        <v>12000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336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334</v>
      </c>
      <c r="U568">
        <v>26000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336</v>
      </c>
      <c r="U569">
        <v>0</v>
      </c>
      <c r="V569">
        <v>35000</v>
      </c>
    </row>
    <row r="570" spans="5:22" x14ac:dyDescent="0.25">
      <c r="E570" t="s">
        <v>270</v>
      </c>
      <c r="F570">
        <v>0</v>
      </c>
      <c r="G570">
        <v>27000</v>
      </c>
      <c r="T570" t="s">
        <v>129</v>
      </c>
      <c r="U570">
        <v>40000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640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332</v>
      </c>
      <c r="U572">
        <v>24000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420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586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491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651</v>
      </c>
      <c r="U576">
        <v>1</v>
      </c>
    </row>
    <row r="577" spans="5:22" x14ac:dyDescent="0.25">
      <c r="E577" t="s">
        <v>270</v>
      </c>
      <c r="F577">
        <v>0</v>
      </c>
      <c r="G577">
        <v>0</v>
      </c>
      <c r="T577" t="s">
        <v>274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308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308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41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642</v>
      </c>
      <c r="U581" t="s">
        <v>643</v>
      </c>
    </row>
    <row r="582" spans="5:22" x14ac:dyDescent="0.25">
      <c r="E582" t="s">
        <v>270</v>
      </c>
      <c r="F582">
        <v>0</v>
      </c>
      <c r="G582">
        <v>0</v>
      </c>
      <c r="T582" t="s">
        <v>26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491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41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269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424</v>
      </c>
      <c r="U586">
        <v>42000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274</v>
      </c>
      <c r="U587">
        <v>36000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327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327</v>
      </c>
      <c r="U589">
        <v>24000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424</v>
      </c>
      <c r="U590">
        <v>40000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41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336</v>
      </c>
      <c r="U592">
        <v>25000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491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334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491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299</v>
      </c>
      <c r="U596">
        <v>25000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130</v>
      </c>
      <c r="U597">
        <v>0</v>
      </c>
      <c r="V597">
        <v>40000</v>
      </c>
    </row>
    <row r="598" spans="5:22" x14ac:dyDescent="0.25">
      <c r="E598" t="s">
        <v>270</v>
      </c>
      <c r="F598">
        <v>0</v>
      </c>
      <c r="G598">
        <v>0</v>
      </c>
      <c r="T598" t="s">
        <v>426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43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334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46</v>
      </c>
      <c r="U601">
        <v>25000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69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330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428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514</v>
      </c>
      <c r="U605">
        <v>40000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514</v>
      </c>
      <c r="U606">
        <v>45000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40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41</v>
      </c>
      <c r="U608">
        <v>18000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493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43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48</v>
      </c>
      <c r="U611">
        <v>20000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424</v>
      </c>
      <c r="U612">
        <v>21000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424</v>
      </c>
      <c r="U613">
        <v>18000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270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43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491</v>
      </c>
      <c r="U617">
        <v>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41</v>
      </c>
      <c r="U618">
        <v>0</v>
      </c>
      <c r="V618">
        <v>0</v>
      </c>
    </row>
    <row r="619" spans="5:22" x14ac:dyDescent="0.25">
      <c r="E619" t="s">
        <v>270</v>
      </c>
      <c r="F619">
        <v>0</v>
      </c>
      <c r="G619">
        <v>0</v>
      </c>
      <c r="T619" t="s">
        <v>586</v>
      </c>
      <c r="U619">
        <v>0</v>
      </c>
      <c r="V619">
        <v>0</v>
      </c>
    </row>
    <row r="620" spans="5:22" x14ac:dyDescent="0.25">
      <c r="E620" t="s">
        <v>270</v>
      </c>
      <c r="F620">
        <v>0</v>
      </c>
      <c r="G620">
        <v>0</v>
      </c>
      <c r="T620" t="s">
        <v>424</v>
      </c>
      <c r="U620">
        <v>0</v>
      </c>
      <c r="V620">
        <v>0</v>
      </c>
    </row>
    <row r="621" spans="5:22" x14ac:dyDescent="0.25">
      <c r="E621" t="s">
        <v>270</v>
      </c>
      <c r="F621">
        <v>0</v>
      </c>
      <c r="G621">
        <v>13000</v>
      </c>
      <c r="T621" t="s">
        <v>424</v>
      </c>
      <c r="U621">
        <v>38000</v>
      </c>
      <c r="V621">
        <v>0</v>
      </c>
    </row>
    <row r="622" spans="5:22" x14ac:dyDescent="0.25">
      <c r="E622" t="s">
        <v>270</v>
      </c>
      <c r="F622">
        <v>0</v>
      </c>
      <c r="G622">
        <v>5000</v>
      </c>
      <c r="T622" t="s">
        <v>327</v>
      </c>
      <c r="U622">
        <v>0</v>
      </c>
      <c r="V622">
        <v>0</v>
      </c>
    </row>
    <row r="623" spans="5:22" x14ac:dyDescent="0.25">
      <c r="E623" t="s">
        <v>270</v>
      </c>
      <c r="F623">
        <v>0</v>
      </c>
      <c r="G623">
        <v>0</v>
      </c>
      <c r="T623" t="s">
        <v>308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516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491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424</v>
      </c>
      <c r="U626">
        <v>32000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334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130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625</v>
      </c>
      <c r="U629">
        <v>0</v>
      </c>
      <c r="V629">
        <v>0</v>
      </c>
    </row>
    <row r="630" spans="5:22" x14ac:dyDescent="0.25">
      <c r="E630" t="s">
        <v>270</v>
      </c>
      <c r="F630">
        <v>0</v>
      </c>
      <c r="G630">
        <v>0</v>
      </c>
      <c r="T630" t="s">
        <v>130</v>
      </c>
      <c r="U630">
        <v>0</v>
      </c>
      <c r="V630">
        <v>30000</v>
      </c>
    </row>
    <row r="631" spans="5:22" x14ac:dyDescent="0.25">
      <c r="E631" t="s">
        <v>270</v>
      </c>
      <c r="F631">
        <v>0</v>
      </c>
      <c r="G631">
        <v>0</v>
      </c>
      <c r="T631" t="s">
        <v>652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270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130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41</v>
      </c>
      <c r="U634">
        <v>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295</v>
      </c>
      <c r="U635">
        <v>0</v>
      </c>
      <c r="V635">
        <v>40000</v>
      </c>
    </row>
    <row r="636" spans="5:22" x14ac:dyDescent="0.25">
      <c r="E636" t="s">
        <v>270</v>
      </c>
      <c r="F636">
        <v>0</v>
      </c>
      <c r="G636">
        <v>0</v>
      </c>
      <c r="T636" t="s">
        <v>482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424</v>
      </c>
      <c r="U637">
        <v>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493</v>
      </c>
      <c r="U638">
        <v>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491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274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270</v>
      </c>
      <c r="U641">
        <v>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424</v>
      </c>
      <c r="U642">
        <v>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44</v>
      </c>
      <c r="U643">
        <v>25000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516</v>
      </c>
      <c r="U644">
        <v>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491</v>
      </c>
      <c r="U645">
        <v>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41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418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44</v>
      </c>
      <c r="U648">
        <v>20000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40</v>
      </c>
      <c r="U649">
        <v>26000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491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424</v>
      </c>
      <c r="U651">
        <v>38000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129</v>
      </c>
      <c r="U652">
        <v>36000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418</v>
      </c>
      <c r="U653">
        <v>0</v>
      </c>
      <c r="V653">
        <v>45000</v>
      </c>
    </row>
    <row r="654" spans="5:22" x14ac:dyDescent="0.25">
      <c r="E654" t="s">
        <v>270</v>
      </c>
      <c r="F654">
        <v>0</v>
      </c>
      <c r="G654">
        <v>0</v>
      </c>
      <c r="T654" t="s">
        <v>424</v>
      </c>
      <c r="U654">
        <v>32000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644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269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491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19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274</v>
      </c>
      <c r="U659">
        <v>32000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50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269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41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482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130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491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424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40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334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50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336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334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491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491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40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129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47</v>
      </c>
      <c r="U676">
        <v>37000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44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586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491</v>
      </c>
      <c r="U679">
        <v>0</v>
      </c>
      <c r="V679">
        <v>28000</v>
      </c>
    </row>
    <row r="680" spans="5:22" x14ac:dyDescent="0.25">
      <c r="E680" t="s">
        <v>270</v>
      </c>
      <c r="F680">
        <v>0</v>
      </c>
      <c r="G680">
        <v>0</v>
      </c>
      <c r="T680" t="s">
        <v>55</v>
      </c>
      <c r="U680">
        <v>35000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270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424</v>
      </c>
      <c r="U682">
        <v>38000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308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305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653</v>
      </c>
      <c r="U686" t="s">
        <v>654</v>
      </c>
    </row>
    <row r="687" spans="5:22" x14ac:dyDescent="0.25">
      <c r="E687" t="s">
        <v>270</v>
      </c>
      <c r="F687">
        <v>0</v>
      </c>
      <c r="G687">
        <v>0</v>
      </c>
      <c r="T687" t="s">
        <v>12</v>
      </c>
      <c r="U687">
        <v>35000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270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514</v>
      </c>
      <c r="U689">
        <v>30000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52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270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26</v>
      </c>
      <c r="U693">
        <v>17000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644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426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382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514</v>
      </c>
      <c r="U698">
        <v>12000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40</v>
      </c>
      <c r="U699">
        <v>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295</v>
      </c>
      <c r="U700">
        <v>30000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102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334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308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40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26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129</v>
      </c>
      <c r="U706">
        <v>30000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334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270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549</v>
      </c>
      <c r="U709">
        <v>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270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424</v>
      </c>
      <c r="U711">
        <v>11000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428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270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43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334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424</v>
      </c>
      <c r="U716">
        <v>35000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482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102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334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334</v>
      </c>
      <c r="U720">
        <v>22000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640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424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144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424</v>
      </c>
      <c r="U724">
        <v>50000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491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334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327</v>
      </c>
      <c r="U729">
        <v>22000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625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12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334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270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482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645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32000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651</v>
      </c>
      <c r="U738">
        <v>1</v>
      </c>
    </row>
    <row r="739" spans="5:22" x14ac:dyDescent="0.25">
      <c r="E739" t="s">
        <v>270</v>
      </c>
      <c r="F739">
        <v>0</v>
      </c>
      <c r="G739">
        <v>0</v>
      </c>
      <c r="T739" t="s">
        <v>270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446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26</v>
      </c>
      <c r="U741">
        <v>30000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129</v>
      </c>
      <c r="U742">
        <v>40000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334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</v>
      </c>
      <c r="U744">
        <v>0</v>
      </c>
      <c r="V744">
        <v>45000</v>
      </c>
    </row>
    <row r="745" spans="5:22" x14ac:dyDescent="0.25">
      <c r="E745" t="s">
        <v>270</v>
      </c>
      <c r="F745">
        <v>0</v>
      </c>
      <c r="G745">
        <v>0</v>
      </c>
      <c r="T745" t="s">
        <v>516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420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293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482</v>
      </c>
      <c r="U749">
        <v>30000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270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334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494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336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270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129</v>
      </c>
      <c r="U755">
        <v>50000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586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586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40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43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491</v>
      </c>
      <c r="U761">
        <v>0</v>
      </c>
      <c r="V761">
        <v>31000</v>
      </c>
    </row>
    <row r="762" spans="5:22" x14ac:dyDescent="0.25">
      <c r="E762" t="s">
        <v>270</v>
      </c>
      <c r="F762">
        <v>0</v>
      </c>
      <c r="G762">
        <v>0</v>
      </c>
      <c r="T762" t="s">
        <v>446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51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330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424</v>
      </c>
      <c r="U765">
        <v>42000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514</v>
      </c>
      <c r="U766">
        <v>45000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426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299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418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336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330</v>
      </c>
      <c r="U771">
        <v>31000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274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290</v>
      </c>
      <c r="U773">
        <v>26000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514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516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334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334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41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424</v>
      </c>
      <c r="U779">
        <v>35000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290</v>
      </c>
      <c r="U780">
        <v>40000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1</v>
      </c>
      <c r="U781">
        <v>22000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336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586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334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308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290</v>
      </c>
      <c r="U786">
        <v>14000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40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26</v>
      </c>
      <c r="U788">
        <v>30000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295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50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641</v>
      </c>
      <c r="U791">
        <v>2</v>
      </c>
    </row>
    <row r="792" spans="5:22" x14ac:dyDescent="0.25">
      <c r="E792" t="s">
        <v>270</v>
      </c>
      <c r="F792">
        <v>4000</v>
      </c>
      <c r="G792">
        <v>0</v>
      </c>
      <c r="T792" t="s">
        <v>44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418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549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129</v>
      </c>
      <c r="U795">
        <v>20000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297</v>
      </c>
      <c r="U796">
        <v>0</v>
      </c>
      <c r="V796">
        <v>45000</v>
      </c>
    </row>
    <row r="797" spans="5:22" x14ac:dyDescent="0.25">
      <c r="E797" t="s">
        <v>270</v>
      </c>
      <c r="F797">
        <v>0</v>
      </c>
      <c r="G797">
        <v>0</v>
      </c>
      <c r="T797" t="s">
        <v>41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428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297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295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308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491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270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334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40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65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129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625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295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327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424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50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379</v>
      </c>
      <c r="U814">
        <v>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51</v>
      </c>
      <c r="U815">
        <v>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625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475</v>
      </c>
      <c r="U817">
        <v>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420</v>
      </c>
      <c r="U818">
        <v>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424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379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514</v>
      </c>
      <c r="U821">
        <v>37000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129</v>
      </c>
      <c r="U822">
        <v>20000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336</v>
      </c>
      <c r="U823">
        <v>0</v>
      </c>
      <c r="V823">
        <v>40000</v>
      </c>
    </row>
    <row r="824" spans="5:22" x14ac:dyDescent="0.25">
      <c r="E824" t="s">
        <v>270</v>
      </c>
      <c r="F824">
        <v>0</v>
      </c>
      <c r="G824">
        <v>0</v>
      </c>
      <c r="T824" t="s">
        <v>65</v>
      </c>
      <c r="U824">
        <v>35000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651</v>
      </c>
      <c r="U825">
        <v>1</v>
      </c>
    </row>
    <row r="826" spans="5:22" x14ac:dyDescent="0.25">
      <c r="E826" t="s">
        <v>270</v>
      </c>
      <c r="F826">
        <v>0</v>
      </c>
      <c r="G826">
        <v>0</v>
      </c>
      <c r="T826" t="s">
        <v>491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491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491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297</v>
      </c>
      <c r="U829">
        <v>35000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41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270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334</v>
      </c>
      <c r="U832">
        <v>23000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40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130</v>
      </c>
      <c r="U834">
        <v>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270</v>
      </c>
      <c r="U835">
        <v>0</v>
      </c>
      <c r="V835">
        <v>40000</v>
      </c>
    </row>
    <row r="836" spans="5:22" x14ac:dyDescent="0.25">
      <c r="E836" t="s">
        <v>270</v>
      </c>
      <c r="F836">
        <v>0</v>
      </c>
      <c r="G836">
        <v>0</v>
      </c>
      <c r="T836" t="s">
        <v>428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586</v>
      </c>
      <c r="U837">
        <v>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648</v>
      </c>
      <c r="U838" t="s">
        <v>649</v>
      </c>
      <c r="V838" t="s">
        <v>650</v>
      </c>
    </row>
    <row r="839" spans="5:22" x14ac:dyDescent="0.25">
      <c r="E839" t="s">
        <v>270</v>
      </c>
      <c r="F839">
        <v>0</v>
      </c>
      <c r="G839">
        <v>0</v>
      </c>
      <c r="T839" t="s">
        <v>418</v>
      </c>
      <c r="U839">
        <v>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54</v>
      </c>
      <c r="U840">
        <v>38000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424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361</v>
      </c>
      <c r="U842">
        <v>19000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516</v>
      </c>
      <c r="U843">
        <v>0</v>
      </c>
      <c r="V843">
        <v>40000</v>
      </c>
    </row>
    <row r="844" spans="5:22" x14ac:dyDescent="0.25">
      <c r="E844" t="s">
        <v>270</v>
      </c>
      <c r="F844">
        <v>0</v>
      </c>
      <c r="G844">
        <v>0</v>
      </c>
      <c r="T844" t="s">
        <v>302</v>
      </c>
      <c r="U844">
        <v>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645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625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270</v>
      </c>
      <c r="U847">
        <v>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330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334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47</v>
      </c>
      <c r="U850">
        <v>42000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41</v>
      </c>
      <c r="U851">
        <v>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491</v>
      </c>
      <c r="U852">
        <v>0</v>
      </c>
      <c r="V852">
        <v>28000</v>
      </c>
    </row>
    <row r="853" spans="5:22" x14ac:dyDescent="0.25">
      <c r="E853" t="s">
        <v>97</v>
      </c>
      <c r="F853">
        <v>0</v>
      </c>
      <c r="G853">
        <v>0</v>
      </c>
      <c r="T853" t="s">
        <v>41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336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332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302</v>
      </c>
      <c r="U857">
        <v>28000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514</v>
      </c>
      <c r="U858">
        <v>37000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308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491</v>
      </c>
      <c r="U860">
        <v>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25</v>
      </c>
      <c r="U861">
        <v>0</v>
      </c>
      <c r="V861">
        <v>46000</v>
      </c>
    </row>
    <row r="862" spans="5:22" x14ac:dyDescent="0.25">
      <c r="E862" t="s">
        <v>97</v>
      </c>
      <c r="F862">
        <v>0</v>
      </c>
      <c r="G862">
        <v>0</v>
      </c>
      <c r="T862" t="s">
        <v>25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336</v>
      </c>
      <c r="U863">
        <v>37000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625</v>
      </c>
      <c r="U864">
        <v>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645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332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295</v>
      </c>
      <c r="U867">
        <v>0</v>
      </c>
      <c r="V867">
        <v>25000</v>
      </c>
    </row>
    <row r="868" spans="5:22" x14ac:dyDescent="0.25">
      <c r="E868" t="s">
        <v>97</v>
      </c>
      <c r="F868">
        <v>0</v>
      </c>
      <c r="G868">
        <v>20000</v>
      </c>
      <c r="T868" t="s">
        <v>336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308</v>
      </c>
      <c r="U869">
        <v>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491</v>
      </c>
      <c r="U870">
        <v>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130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583</v>
      </c>
      <c r="U872">
        <v>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424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491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308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491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424</v>
      </c>
      <c r="U877">
        <v>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491</v>
      </c>
      <c r="U878">
        <v>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26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418</v>
      </c>
      <c r="U880">
        <v>18000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491</v>
      </c>
      <c r="U881">
        <v>0</v>
      </c>
      <c r="V881">
        <v>26000</v>
      </c>
    </row>
    <row r="882" spans="5:22" x14ac:dyDescent="0.25">
      <c r="E882" t="s">
        <v>97</v>
      </c>
      <c r="F882">
        <v>0</v>
      </c>
      <c r="G882">
        <v>22000</v>
      </c>
      <c r="T882" t="s">
        <v>41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40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491</v>
      </c>
      <c r="U884">
        <v>0</v>
      </c>
      <c r="V884">
        <v>31000</v>
      </c>
    </row>
    <row r="885" spans="5:22" x14ac:dyDescent="0.25">
      <c r="E885" t="s">
        <v>97</v>
      </c>
      <c r="F885">
        <v>9000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491</v>
      </c>
      <c r="U886">
        <v>0</v>
      </c>
      <c r="V886">
        <v>45000</v>
      </c>
    </row>
    <row r="887" spans="5:22" x14ac:dyDescent="0.25">
      <c r="E887" t="s">
        <v>97</v>
      </c>
      <c r="F887">
        <v>0</v>
      </c>
      <c r="G887">
        <v>0</v>
      </c>
      <c r="T887" t="s">
        <v>424</v>
      </c>
      <c r="U887">
        <v>12000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653</v>
      </c>
      <c r="U888" t="s">
        <v>654</v>
      </c>
    </row>
    <row r="889" spans="5:22" x14ac:dyDescent="0.25">
      <c r="E889" t="s">
        <v>97</v>
      </c>
      <c r="F889">
        <v>0</v>
      </c>
      <c r="G889">
        <v>0</v>
      </c>
      <c r="T889" t="s">
        <v>625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491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41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491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308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418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295</v>
      </c>
      <c r="U895">
        <v>20000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330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308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491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295</v>
      </c>
      <c r="U899">
        <v>20000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642</v>
      </c>
      <c r="U900" t="s">
        <v>643</v>
      </c>
    </row>
    <row r="901" spans="5:22" x14ac:dyDescent="0.25">
      <c r="E901" t="s">
        <v>97</v>
      </c>
      <c r="F901">
        <v>7000</v>
      </c>
      <c r="G901">
        <v>0</v>
      </c>
      <c r="T901" t="s">
        <v>516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514</v>
      </c>
      <c r="U902">
        <v>33000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270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270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305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424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336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42000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475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12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53</v>
      </c>
      <c r="U911">
        <v>18000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334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336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130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330</v>
      </c>
      <c r="U915">
        <v>45000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41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514</v>
      </c>
      <c r="U917">
        <v>24000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494</v>
      </c>
      <c r="U918">
        <v>0</v>
      </c>
      <c r="V918">
        <v>30000</v>
      </c>
    </row>
    <row r="919" spans="5:22" x14ac:dyDescent="0.25">
      <c r="E919" t="s">
        <v>97</v>
      </c>
      <c r="F919">
        <v>0</v>
      </c>
      <c r="G919">
        <v>0</v>
      </c>
      <c r="T919" t="s">
        <v>25</v>
      </c>
      <c r="U919">
        <v>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419</v>
      </c>
      <c r="U920">
        <v>0</v>
      </c>
      <c r="V920">
        <v>25000</v>
      </c>
    </row>
    <row r="921" spans="5:22" x14ac:dyDescent="0.25">
      <c r="E921" t="s">
        <v>97</v>
      </c>
      <c r="F921">
        <v>0</v>
      </c>
      <c r="G921">
        <v>23000</v>
      </c>
      <c r="T921" t="s">
        <v>130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336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334</v>
      </c>
      <c r="U923">
        <v>20000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270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102</v>
      </c>
      <c r="U926">
        <v>20000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420</v>
      </c>
      <c r="U927">
        <v>0</v>
      </c>
      <c r="V927">
        <v>45000</v>
      </c>
    </row>
    <row r="928" spans="5:22" x14ac:dyDescent="0.25">
      <c r="E928" t="s">
        <v>98</v>
      </c>
      <c r="F928">
        <v>0</v>
      </c>
      <c r="G928">
        <v>0</v>
      </c>
      <c r="T928" t="s">
        <v>420</v>
      </c>
      <c r="U928">
        <v>0</v>
      </c>
      <c r="V928">
        <v>38000</v>
      </c>
    </row>
    <row r="929" spans="5:22" x14ac:dyDescent="0.25">
      <c r="E929" t="s">
        <v>98</v>
      </c>
      <c r="F929">
        <v>0</v>
      </c>
      <c r="G929">
        <v>25000</v>
      </c>
      <c r="T929" t="s">
        <v>41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424</v>
      </c>
      <c r="U930">
        <v>40000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493</v>
      </c>
      <c r="U931">
        <v>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54</v>
      </c>
      <c r="U932">
        <v>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130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494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270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446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475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549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336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424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40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297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336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491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40</v>
      </c>
      <c r="U945">
        <v>17000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514</v>
      </c>
      <c r="U946">
        <v>37000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491</v>
      </c>
      <c r="U947">
        <v>0</v>
      </c>
      <c r="V947">
        <v>33000</v>
      </c>
    </row>
    <row r="948" spans="5:22" x14ac:dyDescent="0.25">
      <c r="E948" t="s">
        <v>98</v>
      </c>
      <c r="F948">
        <v>4000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424</v>
      </c>
      <c r="U949">
        <v>35000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491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586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334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40</v>
      </c>
      <c r="U953">
        <v>14000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418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41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270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41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491</v>
      </c>
      <c r="U958">
        <v>0</v>
      </c>
      <c r="V958">
        <v>33000</v>
      </c>
    </row>
    <row r="959" spans="5:22" x14ac:dyDescent="0.25">
      <c r="E959" t="s">
        <v>98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379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645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332</v>
      </c>
      <c r="U962">
        <v>21000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424</v>
      </c>
      <c r="U963">
        <v>32000</v>
      </c>
      <c r="V963">
        <v>0</v>
      </c>
    </row>
    <row r="964" spans="5:22" x14ac:dyDescent="0.25">
      <c r="E964" t="s">
        <v>99</v>
      </c>
      <c r="F964">
        <v>0</v>
      </c>
      <c r="G964">
        <v>4000</v>
      </c>
      <c r="T964" t="s">
        <v>418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308</v>
      </c>
      <c r="U965">
        <v>17000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418</v>
      </c>
      <c r="U966">
        <v>17000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336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419</v>
      </c>
      <c r="U969">
        <v>0</v>
      </c>
      <c r="V969">
        <v>20000</v>
      </c>
    </row>
    <row r="970" spans="5:22" x14ac:dyDescent="0.25">
      <c r="E970" t="s">
        <v>99</v>
      </c>
      <c r="F970">
        <v>0</v>
      </c>
      <c r="G970">
        <v>0</v>
      </c>
      <c r="T970" t="s">
        <v>26</v>
      </c>
      <c r="U970">
        <v>35000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418</v>
      </c>
      <c r="U972">
        <v>0</v>
      </c>
      <c r="V972">
        <v>0</v>
      </c>
    </row>
    <row r="973" spans="5:22" x14ac:dyDescent="0.25">
      <c r="E973" t="s">
        <v>99</v>
      </c>
      <c r="F973">
        <v>0</v>
      </c>
      <c r="G973">
        <v>0</v>
      </c>
      <c r="T973" t="s">
        <v>41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424</v>
      </c>
      <c r="U974">
        <v>38000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516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293</v>
      </c>
      <c r="U976">
        <v>0</v>
      </c>
      <c r="V976">
        <v>45000</v>
      </c>
    </row>
    <row r="977" spans="5:22" x14ac:dyDescent="0.25">
      <c r="E977" t="s">
        <v>99</v>
      </c>
      <c r="F977">
        <v>0</v>
      </c>
      <c r="G977">
        <v>0</v>
      </c>
      <c r="T977" t="s">
        <v>332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41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42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516</v>
      </c>
      <c r="U980">
        <v>0</v>
      </c>
      <c r="V980">
        <v>40000</v>
      </c>
    </row>
    <row r="981" spans="5:22" x14ac:dyDescent="0.25">
      <c r="E981" t="s">
        <v>100</v>
      </c>
      <c r="F981">
        <v>0</v>
      </c>
      <c r="G981">
        <v>0</v>
      </c>
      <c r="T981" t="s">
        <v>43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40</v>
      </c>
      <c r="U982">
        <v>41000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640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336</v>
      </c>
      <c r="U984">
        <v>34000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424</v>
      </c>
      <c r="U985">
        <v>25000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</v>
      </c>
      <c r="U986">
        <v>17000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446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645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420</v>
      </c>
      <c r="U989">
        <v>20000</v>
      </c>
      <c r="V989">
        <v>46000</v>
      </c>
    </row>
    <row r="990" spans="5:22" x14ac:dyDescent="0.25">
      <c r="E990" t="s">
        <v>16</v>
      </c>
      <c r="F990">
        <v>0</v>
      </c>
      <c r="G990">
        <v>0</v>
      </c>
      <c r="T990" t="s">
        <v>336</v>
      </c>
      <c r="U990">
        <v>32000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549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41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308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424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43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334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41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424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334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270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327</v>
      </c>
      <c r="U1001">
        <v>18000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516</v>
      </c>
      <c r="U1002">
        <v>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299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308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270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419</v>
      </c>
      <c r="U1006">
        <v>0</v>
      </c>
      <c r="V1006">
        <v>27000</v>
      </c>
    </row>
    <row r="1007" spans="5:22" x14ac:dyDescent="0.25">
      <c r="E1007" t="s">
        <v>102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41</v>
      </c>
      <c r="U1008">
        <v>20000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424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418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516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491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334</v>
      </c>
      <c r="U1013">
        <v>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102</v>
      </c>
      <c r="F1015">
        <v>0</v>
      </c>
      <c r="G1015">
        <v>0</v>
      </c>
      <c r="T1015" t="s">
        <v>305</v>
      </c>
      <c r="U1015">
        <v>18000</v>
      </c>
      <c r="V1015">
        <v>40000</v>
      </c>
    </row>
    <row r="1016" spans="5:22" x14ac:dyDescent="0.25">
      <c r="E1016" t="s">
        <v>102</v>
      </c>
      <c r="F1016">
        <v>0</v>
      </c>
      <c r="G1016">
        <v>0</v>
      </c>
      <c r="T1016" t="s">
        <v>379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334</v>
      </c>
      <c r="U1017">
        <v>27000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645</v>
      </c>
      <c r="U1018">
        <v>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40</v>
      </c>
      <c r="U1019">
        <v>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1</v>
      </c>
      <c r="U1020">
        <v>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491</v>
      </c>
      <c r="U1021">
        <v>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336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327</v>
      </c>
      <c r="U1023">
        <v>20000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43</v>
      </c>
      <c r="U1024">
        <v>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491</v>
      </c>
      <c r="U1025">
        <v>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270</v>
      </c>
      <c r="U1026">
        <v>15000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332</v>
      </c>
      <c r="U1027">
        <v>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424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295</v>
      </c>
      <c r="U1029">
        <v>0</v>
      </c>
      <c r="V1029">
        <v>45000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482</v>
      </c>
      <c r="U1030">
        <v>45000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424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332</v>
      </c>
      <c r="U1032">
        <v>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323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516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491</v>
      </c>
      <c r="U1035">
        <v>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419</v>
      </c>
      <c r="U1036">
        <v>0</v>
      </c>
      <c r="V1036">
        <v>31000</v>
      </c>
    </row>
    <row r="1037" spans="5:22" x14ac:dyDescent="0.25">
      <c r="E1037" t="s">
        <v>102</v>
      </c>
      <c r="F1037">
        <v>0</v>
      </c>
      <c r="G1037">
        <v>0</v>
      </c>
      <c r="T1037" t="s">
        <v>299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491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336</v>
      </c>
      <c r="U1039">
        <v>27000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332</v>
      </c>
      <c r="U1040">
        <v>17000</v>
      </c>
      <c r="V1040">
        <v>0</v>
      </c>
    </row>
    <row r="1041" spans="5:22" x14ac:dyDescent="0.25">
      <c r="E1041" t="s">
        <v>586</v>
      </c>
      <c r="F1041">
        <v>0</v>
      </c>
      <c r="G1041">
        <v>0</v>
      </c>
      <c r="T1041" t="s">
        <v>424</v>
      </c>
      <c r="U1041">
        <v>45000</v>
      </c>
      <c r="V1041">
        <v>0</v>
      </c>
    </row>
    <row r="1042" spans="5:22" x14ac:dyDescent="0.25">
      <c r="E1042" t="s">
        <v>586</v>
      </c>
      <c r="F1042">
        <v>0</v>
      </c>
      <c r="G1042">
        <v>0</v>
      </c>
      <c r="T1042" t="s">
        <v>45</v>
      </c>
      <c r="U1042">
        <v>0</v>
      </c>
      <c r="V1042">
        <v>0</v>
      </c>
    </row>
    <row r="1043" spans="5:22" x14ac:dyDescent="0.25">
      <c r="E1043" t="s">
        <v>586</v>
      </c>
      <c r="F1043">
        <v>0</v>
      </c>
      <c r="G1043">
        <v>0</v>
      </c>
      <c r="T1043" t="s">
        <v>549</v>
      </c>
      <c r="U1043">
        <v>0</v>
      </c>
      <c r="V1043">
        <v>0</v>
      </c>
    </row>
    <row r="1044" spans="5:22" x14ac:dyDescent="0.25">
      <c r="E1044" t="s">
        <v>586</v>
      </c>
      <c r="F1044">
        <v>0</v>
      </c>
      <c r="G1044">
        <v>0</v>
      </c>
      <c r="T1044" t="s">
        <v>424</v>
      </c>
      <c r="U1044">
        <v>0</v>
      </c>
      <c r="V1044">
        <v>0</v>
      </c>
    </row>
    <row r="1045" spans="5:22" x14ac:dyDescent="0.25">
      <c r="E1045" t="s">
        <v>586</v>
      </c>
      <c r="F1045">
        <v>0</v>
      </c>
      <c r="G1045">
        <v>0</v>
      </c>
      <c r="T1045" t="s">
        <v>424</v>
      </c>
      <c r="U1045">
        <v>40000</v>
      </c>
      <c r="V1045">
        <v>0</v>
      </c>
    </row>
    <row r="1046" spans="5:22" x14ac:dyDescent="0.25">
      <c r="E1046" t="s">
        <v>586</v>
      </c>
      <c r="F1046">
        <v>0</v>
      </c>
      <c r="G1046">
        <v>0</v>
      </c>
      <c r="T1046" t="s">
        <v>290</v>
      </c>
      <c r="U1046">
        <v>26000</v>
      </c>
      <c r="V1046">
        <v>0</v>
      </c>
    </row>
    <row r="1047" spans="5:22" x14ac:dyDescent="0.25">
      <c r="E1047" t="s">
        <v>586</v>
      </c>
      <c r="F1047">
        <v>0</v>
      </c>
      <c r="G1047">
        <v>0</v>
      </c>
      <c r="T1047" t="s">
        <v>299</v>
      </c>
      <c r="U1047">
        <v>0</v>
      </c>
      <c r="V1047">
        <v>0</v>
      </c>
    </row>
    <row r="1048" spans="5:22" x14ac:dyDescent="0.25">
      <c r="E1048" t="s">
        <v>586</v>
      </c>
      <c r="F1048">
        <v>0</v>
      </c>
      <c r="G1048">
        <v>0</v>
      </c>
      <c r="T1048" t="s">
        <v>290</v>
      </c>
      <c r="U1048">
        <v>26000</v>
      </c>
      <c r="V1048">
        <v>0</v>
      </c>
    </row>
    <row r="1049" spans="5:22" x14ac:dyDescent="0.25">
      <c r="E1049" t="s">
        <v>586</v>
      </c>
      <c r="F1049">
        <v>0</v>
      </c>
      <c r="G1049">
        <v>0</v>
      </c>
      <c r="T1049" t="s">
        <v>653</v>
      </c>
      <c r="U1049" t="s">
        <v>654</v>
      </c>
    </row>
    <row r="1050" spans="5:22" x14ac:dyDescent="0.25">
      <c r="E1050" t="s">
        <v>586</v>
      </c>
      <c r="F1050">
        <v>0</v>
      </c>
      <c r="G1050">
        <v>0</v>
      </c>
      <c r="T1050" t="s">
        <v>334</v>
      </c>
      <c r="U1050">
        <v>0</v>
      </c>
      <c r="V1050">
        <v>0</v>
      </c>
    </row>
    <row r="1051" spans="5:22" x14ac:dyDescent="0.25">
      <c r="E1051" t="s">
        <v>586</v>
      </c>
      <c r="F1051">
        <v>0</v>
      </c>
      <c r="G1051">
        <v>0</v>
      </c>
      <c r="T1051" t="s">
        <v>45</v>
      </c>
      <c r="U1051">
        <v>0</v>
      </c>
      <c r="V1051">
        <v>0</v>
      </c>
    </row>
    <row r="1052" spans="5:22" x14ac:dyDescent="0.25">
      <c r="E1052" t="s">
        <v>586</v>
      </c>
      <c r="F1052">
        <v>0</v>
      </c>
      <c r="G1052">
        <v>0</v>
      </c>
      <c r="T1052" t="s">
        <v>491</v>
      </c>
      <c r="U1052">
        <v>0</v>
      </c>
      <c r="V1052">
        <v>0</v>
      </c>
    </row>
    <row r="1053" spans="5:22" x14ac:dyDescent="0.25">
      <c r="E1053" t="s">
        <v>586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586</v>
      </c>
      <c r="F1054">
        <v>0</v>
      </c>
      <c r="G1054">
        <v>0</v>
      </c>
      <c r="T1054" t="s">
        <v>418</v>
      </c>
      <c r="U1054">
        <v>0</v>
      </c>
      <c r="V1054">
        <v>0</v>
      </c>
    </row>
    <row r="1055" spans="5:22" x14ac:dyDescent="0.25">
      <c r="E1055" t="s">
        <v>586</v>
      </c>
      <c r="F1055">
        <v>0</v>
      </c>
      <c r="G1055">
        <v>0</v>
      </c>
      <c r="T1055" t="s">
        <v>418</v>
      </c>
      <c r="U1055">
        <v>0</v>
      </c>
      <c r="V1055">
        <v>0</v>
      </c>
    </row>
    <row r="1056" spans="5:22" x14ac:dyDescent="0.25">
      <c r="E1056" t="s">
        <v>586</v>
      </c>
      <c r="F1056">
        <v>0</v>
      </c>
      <c r="G1056">
        <v>0</v>
      </c>
      <c r="T1056" t="s">
        <v>129</v>
      </c>
      <c r="U1056">
        <v>0</v>
      </c>
      <c r="V1056">
        <v>0</v>
      </c>
    </row>
    <row r="1057" spans="5:22" x14ac:dyDescent="0.25">
      <c r="E1057" t="s">
        <v>586</v>
      </c>
      <c r="F1057">
        <v>0</v>
      </c>
      <c r="G1057">
        <v>0</v>
      </c>
      <c r="T1057" t="s">
        <v>516</v>
      </c>
      <c r="U1057">
        <v>0</v>
      </c>
      <c r="V1057">
        <v>32000</v>
      </c>
    </row>
    <row r="1058" spans="5:22" x14ac:dyDescent="0.25">
      <c r="E1058" t="s">
        <v>586</v>
      </c>
      <c r="F1058">
        <v>0</v>
      </c>
      <c r="G1058">
        <v>0</v>
      </c>
      <c r="T1058" t="s">
        <v>51</v>
      </c>
      <c r="U1058">
        <v>0</v>
      </c>
      <c r="V1058">
        <v>0</v>
      </c>
    </row>
    <row r="1059" spans="5:22" x14ac:dyDescent="0.25">
      <c r="E1059" t="s">
        <v>586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586</v>
      </c>
      <c r="F1060">
        <v>0</v>
      </c>
      <c r="G1060">
        <v>0</v>
      </c>
      <c r="T1060" t="s">
        <v>418</v>
      </c>
      <c r="U1060">
        <v>30000</v>
      </c>
      <c r="V1060">
        <v>0</v>
      </c>
    </row>
    <row r="1061" spans="5:22" x14ac:dyDescent="0.25">
      <c r="E1061" t="s">
        <v>586</v>
      </c>
      <c r="F1061">
        <v>0</v>
      </c>
      <c r="G1061">
        <v>0</v>
      </c>
      <c r="T1061" t="s">
        <v>332</v>
      </c>
      <c r="U1061">
        <v>0</v>
      </c>
      <c r="V1061">
        <v>0</v>
      </c>
    </row>
    <row r="1062" spans="5:22" x14ac:dyDescent="0.25">
      <c r="E1062" t="s">
        <v>586</v>
      </c>
      <c r="F1062">
        <v>0</v>
      </c>
      <c r="G1062">
        <v>0</v>
      </c>
      <c r="T1062" t="s">
        <v>334</v>
      </c>
      <c r="U1062">
        <v>0</v>
      </c>
      <c r="V1062">
        <v>0</v>
      </c>
    </row>
    <row r="1063" spans="5:22" x14ac:dyDescent="0.25">
      <c r="E1063" t="s">
        <v>586</v>
      </c>
      <c r="F1063">
        <v>0</v>
      </c>
      <c r="G1063">
        <v>0</v>
      </c>
      <c r="T1063" t="s">
        <v>516</v>
      </c>
      <c r="U1063">
        <v>0</v>
      </c>
      <c r="V1063">
        <v>40000</v>
      </c>
    </row>
    <row r="1064" spans="5:22" x14ac:dyDescent="0.25">
      <c r="E1064" t="s">
        <v>586</v>
      </c>
      <c r="F1064">
        <v>0</v>
      </c>
      <c r="G1064">
        <v>0</v>
      </c>
      <c r="T1064" t="s">
        <v>491</v>
      </c>
      <c r="U1064">
        <v>0</v>
      </c>
      <c r="V1064">
        <v>0</v>
      </c>
    </row>
    <row r="1065" spans="5:22" x14ac:dyDescent="0.25">
      <c r="E1065" t="s">
        <v>586</v>
      </c>
      <c r="F1065">
        <v>0</v>
      </c>
      <c r="G1065">
        <v>0</v>
      </c>
      <c r="T1065" t="s">
        <v>274</v>
      </c>
      <c r="U1065">
        <v>36000</v>
      </c>
      <c r="V1065">
        <v>0</v>
      </c>
    </row>
    <row r="1066" spans="5:22" x14ac:dyDescent="0.25">
      <c r="E1066" t="s">
        <v>586</v>
      </c>
      <c r="F1066">
        <v>0</v>
      </c>
      <c r="G1066">
        <v>0</v>
      </c>
      <c r="T1066" t="s">
        <v>516</v>
      </c>
      <c r="U1066">
        <v>0</v>
      </c>
      <c r="V1066">
        <v>0</v>
      </c>
    </row>
    <row r="1067" spans="5:22" x14ac:dyDescent="0.25">
      <c r="E1067" t="s">
        <v>586</v>
      </c>
      <c r="F1067">
        <v>0</v>
      </c>
      <c r="G1067">
        <v>0</v>
      </c>
      <c r="T1067" t="s">
        <v>491</v>
      </c>
      <c r="U1067">
        <v>0</v>
      </c>
      <c r="V1067">
        <v>0</v>
      </c>
    </row>
    <row r="1068" spans="5:22" x14ac:dyDescent="0.25">
      <c r="E1068" t="s">
        <v>586</v>
      </c>
      <c r="F1068">
        <v>0</v>
      </c>
      <c r="G1068">
        <v>0</v>
      </c>
      <c r="T1068" t="s">
        <v>516</v>
      </c>
      <c r="U1068">
        <v>30000</v>
      </c>
      <c r="V1068">
        <v>0</v>
      </c>
    </row>
    <row r="1069" spans="5:22" x14ac:dyDescent="0.25">
      <c r="E1069" t="s">
        <v>586</v>
      </c>
      <c r="F1069">
        <v>0</v>
      </c>
      <c r="G1069">
        <v>0</v>
      </c>
      <c r="T1069" t="s">
        <v>321</v>
      </c>
      <c r="U1069">
        <v>25000</v>
      </c>
      <c r="V1069">
        <v>0</v>
      </c>
    </row>
    <row r="1070" spans="5:22" x14ac:dyDescent="0.25">
      <c r="E1070" t="s">
        <v>586</v>
      </c>
      <c r="F1070">
        <v>0</v>
      </c>
      <c r="G1070">
        <v>0</v>
      </c>
      <c r="T1070" t="s">
        <v>586</v>
      </c>
      <c r="U1070">
        <v>0</v>
      </c>
      <c r="V1070">
        <v>0</v>
      </c>
    </row>
    <row r="1071" spans="5:22" x14ac:dyDescent="0.25">
      <c r="E1071" t="s">
        <v>586</v>
      </c>
      <c r="F1071">
        <v>0</v>
      </c>
      <c r="G1071">
        <v>0</v>
      </c>
      <c r="T1071" t="s">
        <v>334</v>
      </c>
      <c r="U1071">
        <v>0</v>
      </c>
      <c r="V1071">
        <v>0</v>
      </c>
    </row>
    <row r="1072" spans="5:22" x14ac:dyDescent="0.25">
      <c r="E1072" t="s">
        <v>586</v>
      </c>
      <c r="F1072">
        <v>0</v>
      </c>
      <c r="G1072">
        <v>0</v>
      </c>
      <c r="T1072" t="s">
        <v>491</v>
      </c>
      <c r="U1072">
        <v>0</v>
      </c>
      <c r="V1072">
        <v>0</v>
      </c>
    </row>
    <row r="1073" spans="5:22" x14ac:dyDescent="0.25">
      <c r="E1073" t="s">
        <v>586</v>
      </c>
      <c r="F1073">
        <v>0</v>
      </c>
      <c r="G1073">
        <v>0</v>
      </c>
      <c r="T1073" t="s">
        <v>336</v>
      </c>
      <c r="U1073">
        <v>36000</v>
      </c>
      <c r="V1073">
        <v>0</v>
      </c>
    </row>
    <row r="1074" spans="5:22" x14ac:dyDescent="0.25">
      <c r="E1074" t="s">
        <v>586</v>
      </c>
      <c r="F1074">
        <v>0</v>
      </c>
      <c r="G1074">
        <v>0</v>
      </c>
      <c r="T1074" t="s">
        <v>308</v>
      </c>
      <c r="U1074">
        <v>0</v>
      </c>
      <c r="V1074">
        <v>0</v>
      </c>
    </row>
    <row r="1075" spans="5:22" x14ac:dyDescent="0.25">
      <c r="E1075" t="s">
        <v>586</v>
      </c>
      <c r="F1075">
        <v>0</v>
      </c>
      <c r="G1075">
        <v>0</v>
      </c>
      <c r="T1075" t="s">
        <v>334</v>
      </c>
      <c r="U1075">
        <v>0</v>
      </c>
      <c r="V1075">
        <v>0</v>
      </c>
    </row>
    <row r="1076" spans="5:22" x14ac:dyDescent="0.25">
      <c r="E1076" t="s">
        <v>586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586</v>
      </c>
      <c r="F1077">
        <v>0</v>
      </c>
      <c r="G1077">
        <v>0</v>
      </c>
      <c r="T1077" t="s">
        <v>516</v>
      </c>
      <c r="U1077">
        <v>0</v>
      </c>
      <c r="V1077">
        <v>32000</v>
      </c>
    </row>
    <row r="1078" spans="5:22" x14ac:dyDescent="0.25">
      <c r="E1078" t="s">
        <v>586</v>
      </c>
      <c r="F1078">
        <v>0</v>
      </c>
      <c r="G1078">
        <v>0</v>
      </c>
      <c r="T1078" t="s">
        <v>642</v>
      </c>
      <c r="U1078" t="s">
        <v>643</v>
      </c>
    </row>
    <row r="1079" spans="5:22" x14ac:dyDescent="0.25">
      <c r="E1079" t="s">
        <v>586</v>
      </c>
      <c r="F1079">
        <v>0</v>
      </c>
      <c r="G1079">
        <v>0</v>
      </c>
      <c r="T1079" t="s">
        <v>43</v>
      </c>
      <c r="U1079">
        <v>0</v>
      </c>
      <c r="V1079">
        <v>0</v>
      </c>
    </row>
    <row r="1080" spans="5:22" x14ac:dyDescent="0.25">
      <c r="E1080" t="s">
        <v>586</v>
      </c>
      <c r="F1080">
        <v>0</v>
      </c>
      <c r="G1080">
        <v>0</v>
      </c>
      <c r="T1080" t="s">
        <v>302</v>
      </c>
      <c r="U1080">
        <v>0</v>
      </c>
      <c r="V1080">
        <v>0</v>
      </c>
    </row>
    <row r="1081" spans="5:22" x14ac:dyDescent="0.25">
      <c r="E1081" t="s">
        <v>586</v>
      </c>
      <c r="F1081">
        <v>0</v>
      </c>
      <c r="G1081">
        <v>0</v>
      </c>
      <c r="T1081" t="s">
        <v>491</v>
      </c>
      <c r="U1081">
        <v>0</v>
      </c>
      <c r="V1081">
        <v>0</v>
      </c>
    </row>
    <row r="1082" spans="5:22" x14ac:dyDescent="0.25">
      <c r="E1082" t="s">
        <v>586</v>
      </c>
      <c r="F1082">
        <v>0</v>
      </c>
      <c r="G1082">
        <v>0</v>
      </c>
      <c r="T1082" t="s">
        <v>336</v>
      </c>
      <c r="U1082">
        <v>0</v>
      </c>
      <c r="V1082">
        <v>0</v>
      </c>
    </row>
    <row r="1083" spans="5:22" x14ac:dyDescent="0.25">
      <c r="E1083" t="s">
        <v>586</v>
      </c>
      <c r="F1083">
        <v>0</v>
      </c>
      <c r="G1083">
        <v>0</v>
      </c>
      <c r="T1083" t="s">
        <v>270</v>
      </c>
      <c r="U1083">
        <v>0</v>
      </c>
      <c r="V1083">
        <v>0</v>
      </c>
    </row>
    <row r="1084" spans="5:22" x14ac:dyDescent="0.25">
      <c r="E1084" t="s">
        <v>586</v>
      </c>
      <c r="F1084">
        <v>0</v>
      </c>
      <c r="G1084">
        <v>0</v>
      </c>
      <c r="T1084" t="s">
        <v>334</v>
      </c>
      <c r="U1084">
        <v>0</v>
      </c>
      <c r="V1084">
        <v>25000</v>
      </c>
    </row>
    <row r="1085" spans="5:22" x14ac:dyDescent="0.25">
      <c r="E1085" t="s">
        <v>586</v>
      </c>
      <c r="F1085">
        <v>0</v>
      </c>
      <c r="G1085">
        <v>0</v>
      </c>
      <c r="T1085" t="s">
        <v>41</v>
      </c>
      <c r="U1085">
        <v>0</v>
      </c>
      <c r="V1085">
        <v>0</v>
      </c>
    </row>
    <row r="1086" spans="5:22" x14ac:dyDescent="0.25">
      <c r="E1086" t="s">
        <v>586</v>
      </c>
      <c r="F1086">
        <v>0</v>
      </c>
      <c r="G1086">
        <v>0</v>
      </c>
      <c r="T1086" t="s">
        <v>332</v>
      </c>
      <c r="U1086">
        <v>0</v>
      </c>
      <c r="V1086">
        <v>0</v>
      </c>
    </row>
    <row r="1087" spans="5:22" x14ac:dyDescent="0.25">
      <c r="E1087" t="s">
        <v>586</v>
      </c>
      <c r="F1087">
        <v>0</v>
      </c>
      <c r="G1087">
        <v>0</v>
      </c>
      <c r="T1087" t="s">
        <v>332</v>
      </c>
      <c r="U1087">
        <v>0</v>
      </c>
      <c r="V1087">
        <v>0</v>
      </c>
    </row>
    <row r="1088" spans="5:22" x14ac:dyDescent="0.25">
      <c r="E1088" t="s">
        <v>586</v>
      </c>
      <c r="F1088">
        <v>0</v>
      </c>
      <c r="G1088">
        <v>0</v>
      </c>
      <c r="T1088" t="s">
        <v>274</v>
      </c>
      <c r="U1088">
        <v>38500</v>
      </c>
      <c r="V1088">
        <v>0</v>
      </c>
    </row>
    <row r="1089" spans="5:22" x14ac:dyDescent="0.25">
      <c r="E1089" t="s">
        <v>586</v>
      </c>
      <c r="F1089">
        <v>0</v>
      </c>
      <c r="G1089">
        <v>0</v>
      </c>
      <c r="T1089" t="s">
        <v>270</v>
      </c>
      <c r="U1089">
        <v>0</v>
      </c>
      <c r="V1089">
        <v>0</v>
      </c>
    </row>
    <row r="1090" spans="5:22" x14ac:dyDescent="0.25">
      <c r="E1090" t="s">
        <v>586</v>
      </c>
      <c r="F1090">
        <v>0</v>
      </c>
      <c r="G1090">
        <v>0</v>
      </c>
      <c r="T1090" t="s">
        <v>336</v>
      </c>
      <c r="U1090">
        <v>26000</v>
      </c>
      <c r="V1090">
        <v>0</v>
      </c>
    </row>
    <row r="1091" spans="5:22" x14ac:dyDescent="0.25">
      <c r="E1091" t="s">
        <v>586</v>
      </c>
      <c r="F1091">
        <v>0</v>
      </c>
      <c r="G1091">
        <v>0</v>
      </c>
      <c r="T1091" t="s">
        <v>270</v>
      </c>
      <c r="U1091">
        <v>0</v>
      </c>
      <c r="V1091">
        <v>0</v>
      </c>
    </row>
    <row r="1092" spans="5:22" x14ac:dyDescent="0.25">
      <c r="E1092" t="s">
        <v>586</v>
      </c>
      <c r="F1092">
        <v>0</v>
      </c>
      <c r="G1092">
        <v>0</v>
      </c>
      <c r="T1092" t="s">
        <v>334</v>
      </c>
      <c r="U1092">
        <v>0</v>
      </c>
      <c r="V1092">
        <v>0</v>
      </c>
    </row>
    <row r="1093" spans="5:22" x14ac:dyDescent="0.25">
      <c r="E1093" t="s">
        <v>586</v>
      </c>
      <c r="F1093">
        <v>0</v>
      </c>
      <c r="G1093">
        <v>0</v>
      </c>
      <c r="T1093" t="s">
        <v>586</v>
      </c>
      <c r="U1093">
        <v>0</v>
      </c>
      <c r="V1093">
        <v>0</v>
      </c>
    </row>
    <row r="1094" spans="5:22" x14ac:dyDescent="0.25">
      <c r="E1094" t="s">
        <v>586</v>
      </c>
      <c r="F1094">
        <v>0</v>
      </c>
      <c r="G1094">
        <v>0</v>
      </c>
      <c r="T1094" t="s">
        <v>270</v>
      </c>
      <c r="U1094">
        <v>0</v>
      </c>
      <c r="V1094">
        <v>0</v>
      </c>
    </row>
    <row r="1095" spans="5:22" x14ac:dyDescent="0.25">
      <c r="E1095" t="s">
        <v>586</v>
      </c>
      <c r="F1095">
        <v>0</v>
      </c>
      <c r="G1095">
        <v>0</v>
      </c>
      <c r="T1095" t="s">
        <v>1</v>
      </c>
      <c r="U1095">
        <v>19000</v>
      </c>
      <c r="V1095">
        <v>30000</v>
      </c>
    </row>
    <row r="1096" spans="5:22" x14ac:dyDescent="0.25">
      <c r="E1096" t="s">
        <v>586</v>
      </c>
      <c r="F1096">
        <v>0</v>
      </c>
      <c r="G1096">
        <v>0</v>
      </c>
      <c r="T1096" t="s">
        <v>424</v>
      </c>
      <c r="U1096">
        <v>0</v>
      </c>
      <c r="V1096">
        <v>0</v>
      </c>
    </row>
    <row r="1097" spans="5:22" x14ac:dyDescent="0.25">
      <c r="E1097" t="s">
        <v>586</v>
      </c>
      <c r="F1097">
        <v>0</v>
      </c>
      <c r="G1097">
        <v>0</v>
      </c>
      <c r="T1097" t="s">
        <v>418</v>
      </c>
      <c r="U1097">
        <v>0</v>
      </c>
      <c r="V1097">
        <v>0</v>
      </c>
    </row>
    <row r="1098" spans="5:22" x14ac:dyDescent="0.25">
      <c r="E1098" t="s">
        <v>586</v>
      </c>
      <c r="F1098">
        <v>0</v>
      </c>
      <c r="G1098">
        <v>0</v>
      </c>
      <c r="T1098" t="s">
        <v>308</v>
      </c>
      <c r="U1098">
        <v>0</v>
      </c>
      <c r="V1098">
        <v>0</v>
      </c>
    </row>
    <row r="1099" spans="5:22" x14ac:dyDescent="0.25">
      <c r="E1099" t="s">
        <v>586</v>
      </c>
      <c r="F1099">
        <v>0</v>
      </c>
      <c r="G1099">
        <v>0</v>
      </c>
      <c r="T1099" t="s">
        <v>41</v>
      </c>
      <c r="U1099">
        <v>0</v>
      </c>
      <c r="V1099">
        <v>40000</v>
      </c>
    </row>
    <row r="1100" spans="5:22" x14ac:dyDescent="0.25">
      <c r="E1100" t="s">
        <v>586</v>
      </c>
      <c r="F1100">
        <v>0</v>
      </c>
      <c r="G1100">
        <v>0</v>
      </c>
      <c r="T1100" t="s">
        <v>418</v>
      </c>
      <c r="U1100">
        <v>20000</v>
      </c>
      <c r="V1100">
        <v>0</v>
      </c>
    </row>
    <row r="1101" spans="5:22" x14ac:dyDescent="0.25">
      <c r="E1101" t="s">
        <v>586</v>
      </c>
      <c r="F1101">
        <v>0</v>
      </c>
      <c r="G1101">
        <v>0</v>
      </c>
      <c r="T1101" t="s">
        <v>41</v>
      </c>
      <c r="U1101">
        <v>0</v>
      </c>
      <c r="V1101">
        <v>0</v>
      </c>
    </row>
    <row r="1102" spans="5:22" x14ac:dyDescent="0.25">
      <c r="E1102" t="s">
        <v>586</v>
      </c>
      <c r="F1102">
        <v>0</v>
      </c>
      <c r="G1102">
        <v>0</v>
      </c>
      <c r="T1102" t="s">
        <v>129</v>
      </c>
      <c r="U1102">
        <v>50000</v>
      </c>
      <c r="V1102">
        <v>0</v>
      </c>
    </row>
    <row r="1103" spans="5:22" x14ac:dyDescent="0.25">
      <c r="E1103" t="s">
        <v>586</v>
      </c>
      <c r="F1103">
        <v>0</v>
      </c>
      <c r="G1103">
        <v>0</v>
      </c>
      <c r="T1103" t="s">
        <v>270</v>
      </c>
      <c r="U1103">
        <v>16100</v>
      </c>
      <c r="V1103">
        <v>0</v>
      </c>
    </row>
    <row r="1104" spans="5:22" x14ac:dyDescent="0.25">
      <c r="E1104" t="s">
        <v>586</v>
      </c>
      <c r="F1104">
        <v>0</v>
      </c>
      <c r="G1104">
        <v>0</v>
      </c>
      <c r="T1104" t="s">
        <v>297</v>
      </c>
      <c r="U1104">
        <v>0</v>
      </c>
      <c r="V1104">
        <v>0</v>
      </c>
    </row>
    <row r="1105" spans="5:22" x14ac:dyDescent="0.25">
      <c r="E1105" t="s">
        <v>586</v>
      </c>
      <c r="F1105">
        <v>0</v>
      </c>
      <c r="G1105">
        <v>0</v>
      </c>
      <c r="T1105" t="s">
        <v>424</v>
      </c>
      <c r="U1105">
        <v>0</v>
      </c>
      <c r="V1105">
        <v>0</v>
      </c>
    </row>
    <row r="1106" spans="5:22" x14ac:dyDescent="0.25">
      <c r="E1106" t="s">
        <v>586</v>
      </c>
      <c r="F1106">
        <v>0</v>
      </c>
      <c r="G1106">
        <v>0</v>
      </c>
      <c r="T1106" t="s">
        <v>299</v>
      </c>
      <c r="U1106">
        <v>14000</v>
      </c>
      <c r="V1106">
        <v>0</v>
      </c>
    </row>
    <row r="1107" spans="5:22" x14ac:dyDescent="0.25">
      <c r="E1107" t="s">
        <v>586</v>
      </c>
      <c r="F1107">
        <v>0</v>
      </c>
      <c r="G1107">
        <v>0</v>
      </c>
      <c r="T1107" t="s">
        <v>41</v>
      </c>
      <c r="U1107">
        <v>0</v>
      </c>
      <c r="V1107">
        <v>0</v>
      </c>
    </row>
    <row r="1108" spans="5:22" x14ac:dyDescent="0.25">
      <c r="E1108" t="s">
        <v>586</v>
      </c>
      <c r="F1108">
        <v>0</v>
      </c>
      <c r="G1108">
        <v>0</v>
      </c>
      <c r="T1108" t="s">
        <v>491</v>
      </c>
      <c r="U1108">
        <v>0</v>
      </c>
      <c r="V1108">
        <v>32000</v>
      </c>
    </row>
    <row r="1109" spans="5:22" x14ac:dyDescent="0.25">
      <c r="E1109" t="s">
        <v>586</v>
      </c>
      <c r="F1109">
        <v>0</v>
      </c>
      <c r="G1109">
        <v>0</v>
      </c>
      <c r="T1109" t="s">
        <v>50</v>
      </c>
      <c r="U1109">
        <v>0</v>
      </c>
      <c r="V1109">
        <v>0</v>
      </c>
    </row>
    <row r="1110" spans="5:22" x14ac:dyDescent="0.25">
      <c r="E1110" t="s">
        <v>586</v>
      </c>
      <c r="F1110">
        <v>0</v>
      </c>
      <c r="G1110">
        <v>0</v>
      </c>
      <c r="T1110" t="s">
        <v>482</v>
      </c>
      <c r="U1110">
        <v>45000</v>
      </c>
      <c r="V1110">
        <v>0</v>
      </c>
    </row>
    <row r="1111" spans="5:22" x14ac:dyDescent="0.25">
      <c r="E1111" t="s">
        <v>586</v>
      </c>
      <c r="F1111">
        <v>0</v>
      </c>
      <c r="G1111">
        <v>0</v>
      </c>
      <c r="T1111" t="s">
        <v>41</v>
      </c>
      <c r="U1111">
        <v>0</v>
      </c>
      <c r="V1111">
        <v>0</v>
      </c>
    </row>
    <row r="1112" spans="5:22" x14ac:dyDescent="0.25">
      <c r="E1112" t="s">
        <v>586</v>
      </c>
      <c r="F1112">
        <v>0</v>
      </c>
      <c r="G1112">
        <v>0</v>
      </c>
      <c r="T1112" t="s">
        <v>270</v>
      </c>
      <c r="U1112">
        <v>0</v>
      </c>
      <c r="V1112">
        <v>0</v>
      </c>
    </row>
    <row r="1113" spans="5:22" x14ac:dyDescent="0.25">
      <c r="E1113" t="s">
        <v>586</v>
      </c>
      <c r="F1113">
        <v>0</v>
      </c>
      <c r="G1113">
        <v>0</v>
      </c>
      <c r="T1113" t="s">
        <v>102</v>
      </c>
      <c r="U1113">
        <v>24000</v>
      </c>
      <c r="V1113">
        <v>0</v>
      </c>
    </row>
    <row r="1114" spans="5:22" x14ac:dyDescent="0.25">
      <c r="E1114" t="s">
        <v>586</v>
      </c>
      <c r="F1114">
        <v>0</v>
      </c>
      <c r="G1114">
        <v>0</v>
      </c>
      <c r="T1114" t="s">
        <v>493</v>
      </c>
      <c r="U1114">
        <v>0</v>
      </c>
      <c r="V1114">
        <v>24000</v>
      </c>
    </row>
    <row r="1115" spans="5:22" x14ac:dyDescent="0.25">
      <c r="E1115" t="s">
        <v>10</v>
      </c>
      <c r="F1115">
        <v>0</v>
      </c>
      <c r="G1115">
        <v>0</v>
      </c>
      <c r="T1115" t="s">
        <v>270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330</v>
      </c>
      <c r="U1116">
        <v>42000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418</v>
      </c>
      <c r="U1117">
        <v>28000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130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334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336</v>
      </c>
      <c r="U1121">
        <v>0</v>
      </c>
      <c r="V1121">
        <v>40000</v>
      </c>
    </row>
    <row r="1122" spans="5:22" x14ac:dyDescent="0.25">
      <c r="E1122" t="s">
        <v>51</v>
      </c>
      <c r="F1122">
        <v>0</v>
      </c>
      <c r="G1122">
        <v>0</v>
      </c>
      <c r="T1122" t="s">
        <v>645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330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475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491</v>
      </c>
      <c r="U1125">
        <v>0</v>
      </c>
      <c r="V1125">
        <v>32000</v>
      </c>
    </row>
    <row r="1126" spans="5:22" x14ac:dyDescent="0.25">
      <c r="E1126" t="s">
        <v>51</v>
      </c>
      <c r="F1126">
        <v>0</v>
      </c>
      <c r="G1126">
        <v>8000</v>
      </c>
      <c r="T1126" t="s">
        <v>426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54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426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50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494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25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308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43</v>
      </c>
      <c r="U1133">
        <v>0</v>
      </c>
      <c r="V1133">
        <v>0</v>
      </c>
    </row>
    <row r="1134" spans="5:22" x14ac:dyDescent="0.25">
      <c r="E1134" t="s">
        <v>51</v>
      </c>
      <c r="F1134">
        <v>4500</v>
      </c>
      <c r="G1134">
        <v>0</v>
      </c>
      <c r="T1134" t="s">
        <v>269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645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290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418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44</v>
      </c>
      <c r="U1138">
        <v>28000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428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53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336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431</v>
      </c>
      <c r="U1142">
        <v>0</v>
      </c>
      <c r="V1142">
        <v>0</v>
      </c>
    </row>
    <row r="1143" spans="5:22" x14ac:dyDescent="0.25">
      <c r="E1143" t="s">
        <v>52</v>
      </c>
      <c r="F1143">
        <v>0</v>
      </c>
      <c r="G1143">
        <v>0</v>
      </c>
      <c r="T1143" t="s">
        <v>424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270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424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270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336</v>
      </c>
      <c r="U1147">
        <v>41000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270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50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424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586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302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509</v>
      </c>
      <c r="U1153">
        <v>38000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129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514</v>
      </c>
      <c r="U1155">
        <v>50000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130</v>
      </c>
      <c r="U1156">
        <v>0</v>
      </c>
      <c r="V1156">
        <v>40000</v>
      </c>
    </row>
    <row r="1157" spans="5:22" x14ac:dyDescent="0.25">
      <c r="E1157" t="s">
        <v>53</v>
      </c>
      <c r="F1157">
        <v>6000</v>
      </c>
      <c r="G1157">
        <v>12000</v>
      </c>
      <c r="T1157" t="s">
        <v>65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420</v>
      </c>
      <c r="U1159">
        <v>22000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336</v>
      </c>
      <c r="U1160">
        <v>39000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270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586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586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652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516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54</v>
      </c>
      <c r="U1166">
        <v>38000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509</v>
      </c>
      <c r="U1167">
        <v>0</v>
      </c>
      <c r="V1167">
        <v>0</v>
      </c>
    </row>
    <row r="1168" spans="5:22" x14ac:dyDescent="0.25">
      <c r="E1168" t="s">
        <v>54</v>
      </c>
      <c r="F1168">
        <v>24000</v>
      </c>
      <c r="G1168">
        <v>0</v>
      </c>
      <c r="T1168" t="s">
        <v>475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270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586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270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418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130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274</v>
      </c>
      <c r="U1174">
        <v>36000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419</v>
      </c>
      <c r="U1175">
        <v>0</v>
      </c>
      <c r="V1175">
        <v>17000</v>
      </c>
    </row>
    <row r="1176" spans="5:22" x14ac:dyDescent="0.25">
      <c r="E1176" t="s">
        <v>54</v>
      </c>
      <c r="F1176">
        <v>8000</v>
      </c>
      <c r="G1176">
        <v>0</v>
      </c>
      <c r="T1176" t="s">
        <v>475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19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270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493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336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41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270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514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47</v>
      </c>
      <c r="U1184">
        <v>45000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144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549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491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516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491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130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418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645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270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428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583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336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586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295</v>
      </c>
      <c r="U1198">
        <v>14000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491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129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47</v>
      </c>
      <c r="U1201">
        <v>40000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330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491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334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491</v>
      </c>
      <c r="U1205">
        <v>0</v>
      </c>
      <c r="V1205">
        <v>28000</v>
      </c>
    </row>
    <row r="1206" spans="5:22" x14ac:dyDescent="0.25">
      <c r="E1206" t="s">
        <v>428</v>
      </c>
      <c r="F1206">
        <v>0</v>
      </c>
      <c r="G1206">
        <v>0</v>
      </c>
      <c r="T1206" t="s">
        <v>446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491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50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491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274</v>
      </c>
      <c r="U1210">
        <v>36000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40</v>
      </c>
      <c r="U1211">
        <v>30000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130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334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641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334</v>
      </c>
      <c r="U1215">
        <v>24000</v>
      </c>
      <c r="V1215">
        <v>0</v>
      </c>
    </row>
    <row r="1216" spans="5:22" x14ac:dyDescent="0.25">
      <c r="E1216" t="s">
        <v>428</v>
      </c>
      <c r="F1216">
        <v>0</v>
      </c>
      <c r="G1216">
        <v>0</v>
      </c>
      <c r="T1216" t="s">
        <v>305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653</v>
      </c>
      <c r="U1217" t="s">
        <v>654</v>
      </c>
    </row>
    <row r="1218" spans="5:22" x14ac:dyDescent="0.25">
      <c r="E1218" t="s">
        <v>67</v>
      </c>
      <c r="F1218">
        <v>0</v>
      </c>
      <c r="G1218">
        <v>0</v>
      </c>
      <c r="T1218" t="s">
        <v>645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46</v>
      </c>
      <c r="U1219">
        <v>41000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494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491</v>
      </c>
      <c r="U1221">
        <v>0</v>
      </c>
      <c r="V1221">
        <v>45000</v>
      </c>
    </row>
    <row r="1222" spans="5:22" x14ac:dyDescent="0.25">
      <c r="E1222" t="s">
        <v>67</v>
      </c>
      <c r="F1222">
        <v>0</v>
      </c>
      <c r="G1222">
        <v>0</v>
      </c>
      <c r="T1222" t="s">
        <v>428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299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129</v>
      </c>
      <c r="U1225">
        <v>50000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130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42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41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48</v>
      </c>
      <c r="U1229">
        <v>15000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424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418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336</v>
      </c>
      <c r="U1232">
        <v>28000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1</v>
      </c>
      <c r="U1233">
        <v>21000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40</v>
      </c>
      <c r="U1234">
        <v>15000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26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336</v>
      </c>
      <c r="U1236">
        <v>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418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270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19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516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336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308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336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308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40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586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424</v>
      </c>
      <c r="U1248">
        <v>40000</v>
      </c>
      <c r="V1248">
        <v>0</v>
      </c>
    </row>
    <row r="1249" spans="5:22" x14ac:dyDescent="0.25">
      <c r="E1249" t="s">
        <v>431</v>
      </c>
      <c r="F1249">
        <v>0</v>
      </c>
      <c r="G1249">
        <v>0</v>
      </c>
      <c r="T1249" t="s">
        <v>491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270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270</v>
      </c>
      <c r="U1252">
        <v>12100</v>
      </c>
      <c r="V1252">
        <v>30000</v>
      </c>
    </row>
    <row r="1253" spans="5:22" x14ac:dyDescent="0.25">
      <c r="E1253" t="s">
        <v>431</v>
      </c>
      <c r="F1253">
        <v>0</v>
      </c>
      <c r="G1253">
        <v>0</v>
      </c>
      <c r="T1253" t="s">
        <v>130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270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655</v>
      </c>
      <c r="U1255">
        <v>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25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491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424</v>
      </c>
      <c r="U1258">
        <v>40000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424</v>
      </c>
      <c r="U1259">
        <v>15000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270</v>
      </c>
      <c r="U1260">
        <v>0</v>
      </c>
      <c r="V1260">
        <v>16000</v>
      </c>
    </row>
    <row r="1261" spans="5:22" x14ac:dyDescent="0.25">
      <c r="E1261" t="s">
        <v>431</v>
      </c>
      <c r="F1261">
        <v>0</v>
      </c>
      <c r="G1261">
        <v>0</v>
      </c>
      <c r="T1261" t="s">
        <v>491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424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41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514</v>
      </c>
      <c r="U1264">
        <v>28000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43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424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424</v>
      </c>
      <c r="U1267">
        <v>45000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586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491</v>
      </c>
      <c r="U1269">
        <v>0</v>
      </c>
      <c r="V1269">
        <v>30000</v>
      </c>
    </row>
    <row r="1270" spans="5:22" x14ac:dyDescent="0.25">
      <c r="E1270" t="s">
        <v>50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424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334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491</v>
      </c>
      <c r="U1273">
        <v>0</v>
      </c>
      <c r="V1273">
        <v>31000</v>
      </c>
    </row>
    <row r="1274" spans="5:22" x14ac:dyDescent="0.25">
      <c r="E1274" t="s">
        <v>50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516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641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102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644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308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509</v>
      </c>
      <c r="U1280">
        <v>42000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334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625</v>
      </c>
      <c r="U1282">
        <v>0</v>
      </c>
      <c r="V1282">
        <v>0</v>
      </c>
    </row>
    <row r="1283" spans="5:22" x14ac:dyDescent="0.25">
      <c r="E1283" t="s">
        <v>589</v>
      </c>
      <c r="F1283">
        <v>0</v>
      </c>
      <c r="G1283">
        <v>0</v>
      </c>
      <c r="T1283" t="s">
        <v>295</v>
      </c>
      <c r="U1283">
        <v>0</v>
      </c>
      <c r="V1283">
        <v>0</v>
      </c>
    </row>
    <row r="1284" spans="5:22" x14ac:dyDescent="0.25">
      <c r="E1284" t="s">
        <v>589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589</v>
      </c>
      <c r="F1285">
        <v>0</v>
      </c>
      <c r="G1285">
        <v>0</v>
      </c>
      <c r="T1285" t="s">
        <v>41</v>
      </c>
      <c r="U1285">
        <v>0</v>
      </c>
      <c r="V1285">
        <v>0</v>
      </c>
    </row>
    <row r="1286" spans="5:22" x14ac:dyDescent="0.25">
      <c r="E1286" t="s">
        <v>589</v>
      </c>
      <c r="F1286">
        <v>0</v>
      </c>
      <c r="G1286">
        <v>0</v>
      </c>
      <c r="T1286" t="s">
        <v>418</v>
      </c>
      <c r="U1286">
        <v>0</v>
      </c>
      <c r="V1286">
        <v>0</v>
      </c>
    </row>
    <row r="1287" spans="5:22" x14ac:dyDescent="0.25">
      <c r="E1287" t="s">
        <v>589</v>
      </c>
      <c r="F1287">
        <v>0</v>
      </c>
      <c r="G1287">
        <v>0</v>
      </c>
      <c r="T1287" t="s">
        <v>334</v>
      </c>
      <c r="U1287">
        <v>0</v>
      </c>
      <c r="V1287">
        <v>0</v>
      </c>
    </row>
    <row r="1288" spans="5:22" x14ac:dyDescent="0.25">
      <c r="E1288" t="s">
        <v>589</v>
      </c>
      <c r="F1288">
        <v>0</v>
      </c>
      <c r="G1288">
        <v>0</v>
      </c>
      <c r="T1288" t="s">
        <v>308</v>
      </c>
      <c r="U1288">
        <v>0</v>
      </c>
      <c r="V1288">
        <v>0</v>
      </c>
    </row>
    <row r="1289" spans="5:22" x14ac:dyDescent="0.25">
      <c r="E1289" t="s">
        <v>589</v>
      </c>
      <c r="F1289">
        <v>0</v>
      </c>
      <c r="G1289">
        <v>0</v>
      </c>
      <c r="T1289" t="s">
        <v>332</v>
      </c>
      <c r="U1289">
        <v>0</v>
      </c>
      <c r="V1289">
        <v>0</v>
      </c>
    </row>
    <row r="1290" spans="5:22" x14ac:dyDescent="0.25">
      <c r="E1290" t="s">
        <v>589</v>
      </c>
      <c r="F1290">
        <v>0</v>
      </c>
      <c r="G1290">
        <v>0</v>
      </c>
      <c r="T1290" t="s">
        <v>41</v>
      </c>
      <c r="U1290">
        <v>0</v>
      </c>
      <c r="V1290">
        <v>0</v>
      </c>
    </row>
    <row r="1291" spans="5:22" x14ac:dyDescent="0.25">
      <c r="E1291" t="s">
        <v>589</v>
      </c>
      <c r="F1291">
        <v>0</v>
      </c>
      <c r="G1291">
        <v>0</v>
      </c>
      <c r="T1291" t="s">
        <v>428</v>
      </c>
      <c r="U1291">
        <v>0</v>
      </c>
      <c r="V1291">
        <v>0</v>
      </c>
    </row>
    <row r="1292" spans="5:22" x14ac:dyDescent="0.25">
      <c r="E1292" t="s">
        <v>589</v>
      </c>
      <c r="F1292">
        <v>0</v>
      </c>
      <c r="G1292">
        <v>0</v>
      </c>
      <c r="T1292" t="s">
        <v>418</v>
      </c>
      <c r="U1292">
        <v>0</v>
      </c>
      <c r="V1292">
        <v>0</v>
      </c>
    </row>
    <row r="1293" spans="5:22" x14ac:dyDescent="0.25">
      <c r="E1293" t="s">
        <v>589</v>
      </c>
      <c r="F1293">
        <v>0</v>
      </c>
      <c r="G1293">
        <v>0</v>
      </c>
      <c r="T1293" t="s">
        <v>53</v>
      </c>
      <c r="U1293">
        <v>0</v>
      </c>
      <c r="V1293">
        <v>0</v>
      </c>
    </row>
    <row r="1294" spans="5:22" x14ac:dyDescent="0.25">
      <c r="E1294" t="s">
        <v>589</v>
      </c>
      <c r="F1294">
        <v>0</v>
      </c>
      <c r="G1294">
        <v>0</v>
      </c>
      <c r="T1294" t="s">
        <v>41</v>
      </c>
      <c r="U1294">
        <v>0</v>
      </c>
      <c r="V1294">
        <v>0</v>
      </c>
    </row>
    <row r="1295" spans="5:22" x14ac:dyDescent="0.25">
      <c r="E1295" t="s">
        <v>589</v>
      </c>
      <c r="F1295">
        <v>0</v>
      </c>
      <c r="G1295">
        <v>0</v>
      </c>
      <c r="T1295" t="s">
        <v>379</v>
      </c>
      <c r="U1295">
        <v>0</v>
      </c>
      <c r="V1295">
        <v>0</v>
      </c>
    </row>
    <row r="1296" spans="5:22" x14ac:dyDescent="0.25">
      <c r="E1296" t="s">
        <v>589</v>
      </c>
      <c r="F1296">
        <v>0</v>
      </c>
      <c r="G1296">
        <v>0</v>
      </c>
      <c r="T1296" t="s">
        <v>102</v>
      </c>
      <c r="U1296">
        <v>0</v>
      </c>
      <c r="V1296">
        <v>0</v>
      </c>
    </row>
    <row r="1297" spans="5:22" x14ac:dyDescent="0.25">
      <c r="E1297" t="s">
        <v>589</v>
      </c>
      <c r="F1297">
        <v>0</v>
      </c>
      <c r="G1297">
        <v>0</v>
      </c>
      <c r="T1297" t="s">
        <v>334</v>
      </c>
      <c r="U1297">
        <v>0</v>
      </c>
      <c r="V1297">
        <v>0</v>
      </c>
    </row>
    <row r="1298" spans="5:22" x14ac:dyDescent="0.25">
      <c r="E1298" t="s">
        <v>589</v>
      </c>
      <c r="F1298">
        <v>0</v>
      </c>
      <c r="G1298">
        <v>0</v>
      </c>
      <c r="T1298" t="s">
        <v>419</v>
      </c>
      <c r="U1298">
        <v>0</v>
      </c>
      <c r="V1298">
        <v>0</v>
      </c>
    </row>
    <row r="1299" spans="5:22" x14ac:dyDescent="0.25">
      <c r="E1299" t="s">
        <v>589</v>
      </c>
      <c r="F1299">
        <v>0</v>
      </c>
      <c r="G1299">
        <v>0</v>
      </c>
      <c r="T1299" t="s">
        <v>336</v>
      </c>
      <c r="U1299">
        <v>0</v>
      </c>
      <c r="V1299">
        <v>41000</v>
      </c>
    </row>
    <row r="1300" spans="5:22" x14ac:dyDescent="0.25">
      <c r="E1300" t="s">
        <v>589</v>
      </c>
      <c r="F1300">
        <v>0</v>
      </c>
      <c r="G1300">
        <v>0</v>
      </c>
      <c r="T1300" t="s">
        <v>308</v>
      </c>
      <c r="U1300">
        <v>0</v>
      </c>
      <c r="V1300">
        <v>0</v>
      </c>
    </row>
    <row r="1301" spans="5:22" x14ac:dyDescent="0.25">
      <c r="E1301" t="s">
        <v>589</v>
      </c>
      <c r="F1301">
        <v>0</v>
      </c>
      <c r="G1301">
        <v>0</v>
      </c>
      <c r="T1301" t="s">
        <v>332</v>
      </c>
      <c r="U1301">
        <v>0</v>
      </c>
      <c r="V1301">
        <v>0</v>
      </c>
    </row>
    <row r="1302" spans="5:22" x14ac:dyDescent="0.25">
      <c r="E1302" t="s">
        <v>589</v>
      </c>
      <c r="F1302">
        <v>0</v>
      </c>
      <c r="G1302">
        <v>0</v>
      </c>
      <c r="T1302" t="s">
        <v>334</v>
      </c>
      <c r="U1302">
        <v>0</v>
      </c>
      <c r="V1302">
        <v>0</v>
      </c>
    </row>
    <row r="1303" spans="5:22" x14ac:dyDescent="0.25">
      <c r="E1303" t="s">
        <v>589</v>
      </c>
      <c r="F1303">
        <v>0</v>
      </c>
      <c r="G1303">
        <v>0</v>
      </c>
      <c r="T1303" t="s">
        <v>308</v>
      </c>
      <c r="U1303">
        <v>0</v>
      </c>
      <c r="V1303">
        <v>0</v>
      </c>
    </row>
    <row r="1304" spans="5:22" x14ac:dyDescent="0.25">
      <c r="E1304" t="s">
        <v>589</v>
      </c>
      <c r="F1304">
        <v>0</v>
      </c>
      <c r="G1304">
        <v>0</v>
      </c>
      <c r="T1304" t="s">
        <v>102</v>
      </c>
      <c r="U1304">
        <v>0</v>
      </c>
      <c r="V1304">
        <v>35000</v>
      </c>
    </row>
    <row r="1305" spans="5:22" x14ac:dyDescent="0.25">
      <c r="E1305" t="s">
        <v>589</v>
      </c>
      <c r="F1305">
        <v>0</v>
      </c>
      <c r="G1305">
        <v>0</v>
      </c>
      <c r="T1305" t="s">
        <v>424</v>
      </c>
      <c r="U1305">
        <v>0</v>
      </c>
      <c r="V1305">
        <v>0</v>
      </c>
    </row>
    <row r="1306" spans="5:22" x14ac:dyDescent="0.25">
      <c r="E1306" t="s">
        <v>589</v>
      </c>
      <c r="F1306">
        <v>0</v>
      </c>
      <c r="G1306">
        <v>0</v>
      </c>
      <c r="T1306" t="s">
        <v>332</v>
      </c>
      <c r="U1306">
        <v>27000</v>
      </c>
      <c r="V1306">
        <v>0</v>
      </c>
    </row>
    <row r="1307" spans="5:22" x14ac:dyDescent="0.25">
      <c r="E1307" t="s">
        <v>589</v>
      </c>
      <c r="F1307">
        <v>0</v>
      </c>
      <c r="G1307">
        <v>0</v>
      </c>
      <c r="T1307" t="s">
        <v>491</v>
      </c>
      <c r="U1307">
        <v>0</v>
      </c>
      <c r="V1307">
        <v>30000</v>
      </c>
    </row>
    <row r="1308" spans="5:22" x14ac:dyDescent="0.25">
      <c r="E1308" t="s">
        <v>589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589</v>
      </c>
      <c r="F1309">
        <v>0</v>
      </c>
      <c r="G1309">
        <v>0</v>
      </c>
      <c r="T1309" t="s">
        <v>25</v>
      </c>
      <c r="U1309">
        <v>27000</v>
      </c>
      <c r="V1309">
        <v>0</v>
      </c>
    </row>
    <row r="1310" spans="5:22" x14ac:dyDescent="0.25">
      <c r="E1310" t="s">
        <v>589</v>
      </c>
      <c r="F1310">
        <v>0</v>
      </c>
      <c r="G1310">
        <v>0</v>
      </c>
      <c r="T1310" t="s">
        <v>491</v>
      </c>
      <c r="U1310">
        <v>0</v>
      </c>
      <c r="V1310">
        <v>0</v>
      </c>
    </row>
    <row r="1311" spans="5:22" x14ac:dyDescent="0.25">
      <c r="E1311" t="s">
        <v>589</v>
      </c>
      <c r="F1311">
        <v>0</v>
      </c>
      <c r="G1311">
        <v>0</v>
      </c>
      <c r="T1311" t="s">
        <v>516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491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491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334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270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46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334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491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1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644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491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334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68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327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516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270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514</v>
      </c>
      <c r="U1328">
        <v>30000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129</v>
      </c>
      <c r="U1329">
        <v>30000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270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41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424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336</v>
      </c>
      <c r="U1333">
        <v>33000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334</v>
      </c>
      <c r="U1334">
        <v>32000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41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418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51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625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40</v>
      </c>
      <c r="U1339">
        <v>46000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418</v>
      </c>
      <c r="U1340">
        <v>21000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130</v>
      </c>
      <c r="U1341">
        <v>0</v>
      </c>
      <c r="V1341">
        <v>30000</v>
      </c>
    </row>
    <row r="1342" spans="5:22" x14ac:dyDescent="0.25">
      <c r="E1342" t="s">
        <v>43</v>
      </c>
      <c r="F1342">
        <v>0</v>
      </c>
      <c r="G1342">
        <v>0</v>
      </c>
      <c r="T1342" t="s">
        <v>491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516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334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420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625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270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642</v>
      </c>
      <c r="U1348" t="s">
        <v>643</v>
      </c>
    </row>
    <row r="1349" spans="5:22" x14ac:dyDescent="0.25">
      <c r="E1349" t="s">
        <v>43</v>
      </c>
      <c r="F1349">
        <v>0</v>
      </c>
      <c r="G1349">
        <v>0</v>
      </c>
      <c r="T1349" t="s">
        <v>424</v>
      </c>
      <c r="U1349">
        <v>30000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40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334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41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514</v>
      </c>
      <c r="U1353">
        <v>30000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25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334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26</v>
      </c>
      <c r="U1356">
        <v>30000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130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491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494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491</v>
      </c>
      <c r="U1360">
        <v>0</v>
      </c>
      <c r="V1360">
        <v>30000</v>
      </c>
    </row>
    <row r="1361" spans="5:22" x14ac:dyDescent="0.25">
      <c r="E1361" t="s">
        <v>43</v>
      </c>
      <c r="F1361">
        <v>6000</v>
      </c>
      <c r="G1361">
        <v>0</v>
      </c>
      <c r="T1361" t="s">
        <v>336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43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379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332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330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424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644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491</v>
      </c>
      <c r="U1369">
        <v>0</v>
      </c>
      <c r="V1369">
        <v>32000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424</v>
      </c>
      <c r="U1371">
        <v>30000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418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270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41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379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651</v>
      </c>
      <c r="U1376">
        <v>1</v>
      </c>
    </row>
    <row r="1377" spans="5:22" x14ac:dyDescent="0.25">
      <c r="E1377" t="s">
        <v>43</v>
      </c>
      <c r="F1377">
        <v>8250</v>
      </c>
      <c r="G1377">
        <v>0</v>
      </c>
      <c r="T1377" t="s">
        <v>44</v>
      </c>
      <c r="U1377">
        <v>21000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491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41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549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46</v>
      </c>
      <c r="U1381">
        <v>46000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25</v>
      </c>
      <c r="U1382">
        <v>40000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41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516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424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10</v>
      </c>
      <c r="U1387">
        <v>0</v>
      </c>
      <c r="V1387">
        <v>16000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424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47</v>
      </c>
      <c r="U1390">
        <v>40000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299</v>
      </c>
      <c r="U1391">
        <v>14000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491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516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549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41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40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418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270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327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270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491</v>
      </c>
      <c r="U1401">
        <v>0</v>
      </c>
      <c r="V1401">
        <v>33000</v>
      </c>
    </row>
    <row r="1402" spans="5:22" x14ac:dyDescent="0.25">
      <c r="E1402" t="s">
        <v>43</v>
      </c>
      <c r="F1402">
        <v>0</v>
      </c>
      <c r="G1402">
        <v>6000</v>
      </c>
      <c r="T1402" t="s">
        <v>52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426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334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514</v>
      </c>
      <c r="U1405">
        <v>45000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418</v>
      </c>
      <c r="U1406">
        <v>15000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491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516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270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299</v>
      </c>
      <c r="U1410">
        <v>25000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491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334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130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494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494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491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270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424</v>
      </c>
      <c r="U1419">
        <v>25000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334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19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42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491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491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25</v>
      </c>
      <c r="U1426">
        <v>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25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424</v>
      </c>
      <c r="U1428">
        <v>40000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334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19</v>
      </c>
      <c r="U1430">
        <v>0</v>
      </c>
      <c r="V1430">
        <v>16000</v>
      </c>
    </row>
    <row r="1431" spans="5:22" x14ac:dyDescent="0.25">
      <c r="E1431" t="s">
        <v>44</v>
      </c>
      <c r="F1431">
        <v>0</v>
      </c>
      <c r="G1431">
        <v>0</v>
      </c>
      <c r="T1431" t="s">
        <v>334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270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651</v>
      </c>
      <c r="U1433">
        <v>1</v>
      </c>
    </row>
    <row r="1434" spans="5:22" x14ac:dyDescent="0.25">
      <c r="E1434" t="s">
        <v>44</v>
      </c>
      <c r="F1434">
        <v>5000</v>
      </c>
      <c r="G1434">
        <v>0</v>
      </c>
      <c r="T1434" t="s">
        <v>428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334</v>
      </c>
      <c r="U1435">
        <v>26000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40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332</v>
      </c>
      <c r="U1437">
        <v>20000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332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308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586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334</v>
      </c>
      <c r="U1441">
        <v>22000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491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308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130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494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644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270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41</v>
      </c>
      <c r="U1448">
        <v>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44</v>
      </c>
      <c r="U1449">
        <v>26000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516</v>
      </c>
      <c r="U1450">
        <v>0</v>
      </c>
      <c r="V1450">
        <v>32000</v>
      </c>
    </row>
    <row r="1451" spans="5:22" x14ac:dyDescent="0.25">
      <c r="E1451" t="s">
        <v>44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491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516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418</v>
      </c>
      <c r="U1455">
        <v>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25</v>
      </c>
      <c r="U1456">
        <v>24000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336</v>
      </c>
      <c r="U1457">
        <v>42000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43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270</v>
      </c>
      <c r="U1459">
        <v>0</v>
      </c>
      <c r="V1459">
        <v>12000</v>
      </c>
    </row>
    <row r="1460" spans="5:22" x14ac:dyDescent="0.25">
      <c r="E1460" t="s">
        <v>44</v>
      </c>
      <c r="F1460">
        <v>4000</v>
      </c>
      <c r="G1460">
        <v>0</v>
      </c>
      <c r="T1460" t="s">
        <v>129</v>
      </c>
      <c r="U1460">
        <v>50000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43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270</v>
      </c>
      <c r="U1462">
        <v>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428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418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308</v>
      </c>
      <c r="U1466">
        <v>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491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26</v>
      </c>
      <c r="U1469">
        <v>46000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516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130</v>
      </c>
      <c r="U1472">
        <v>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270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424</v>
      </c>
      <c r="U1474">
        <v>40000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424</v>
      </c>
      <c r="U1475">
        <v>40000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514</v>
      </c>
      <c r="U1476">
        <v>18000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308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418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334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516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516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46</v>
      </c>
      <c r="U1482">
        <v>28000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418</v>
      </c>
      <c r="U1484">
        <v>0</v>
      </c>
      <c r="V1484">
        <v>45000</v>
      </c>
    </row>
    <row r="1485" spans="5:22" x14ac:dyDescent="0.25">
      <c r="E1485" t="s">
        <v>273</v>
      </c>
      <c r="F1485">
        <v>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40</v>
      </c>
      <c r="U1486">
        <v>30000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269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514</v>
      </c>
      <c r="U1488">
        <v>14000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27000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491</v>
      </c>
      <c r="U1490">
        <v>0</v>
      </c>
      <c r="V1490">
        <v>33000</v>
      </c>
    </row>
    <row r="1491" spans="5:22" x14ac:dyDescent="0.25">
      <c r="E1491" t="s">
        <v>45</v>
      </c>
      <c r="F1491">
        <v>6000</v>
      </c>
      <c r="G1491">
        <v>0</v>
      </c>
      <c r="T1491" t="s">
        <v>308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482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651</v>
      </c>
      <c r="U1493">
        <v>1</v>
      </c>
    </row>
    <row r="1494" spans="5:22" x14ac:dyDescent="0.25">
      <c r="E1494" t="s">
        <v>45</v>
      </c>
      <c r="F1494">
        <v>6000</v>
      </c>
      <c r="G1494">
        <v>0</v>
      </c>
      <c r="T1494" t="s">
        <v>129</v>
      </c>
      <c r="U1494">
        <v>50000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47</v>
      </c>
      <c r="U1495">
        <v>40000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424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424</v>
      </c>
      <c r="U1498">
        <v>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418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21000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295</v>
      </c>
      <c r="U1501">
        <v>20000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424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491</v>
      </c>
      <c r="U1503">
        <v>0</v>
      </c>
      <c r="V1503">
        <v>26000</v>
      </c>
    </row>
    <row r="1504" spans="5:22" x14ac:dyDescent="0.25">
      <c r="E1504" t="s">
        <v>274</v>
      </c>
      <c r="F1504">
        <v>25000</v>
      </c>
      <c r="G1504">
        <v>0</v>
      </c>
      <c r="T1504" t="s">
        <v>41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270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491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653</v>
      </c>
      <c r="U1507" t="s">
        <v>654</v>
      </c>
    </row>
    <row r="1508" spans="5:22" x14ac:dyDescent="0.25">
      <c r="E1508" t="s">
        <v>274</v>
      </c>
      <c r="F1508">
        <v>25000</v>
      </c>
      <c r="G1508">
        <v>0</v>
      </c>
      <c r="T1508" t="s">
        <v>295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65</v>
      </c>
      <c r="U1509">
        <v>36000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514</v>
      </c>
      <c r="U1510">
        <v>37000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491</v>
      </c>
      <c r="U1511">
        <v>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420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270</v>
      </c>
      <c r="U1513">
        <v>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20000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274</v>
      </c>
      <c r="U1515">
        <v>36000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293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34000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41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302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647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50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25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625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43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130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269</v>
      </c>
      <c r="U1527">
        <v>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418</v>
      </c>
      <c r="U1528">
        <v>19000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297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305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41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516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332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418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269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653</v>
      </c>
      <c r="U1537" t="s">
        <v>654</v>
      </c>
    </row>
    <row r="1538" spans="5:22" x14ac:dyDescent="0.25">
      <c r="E1538" t="s">
        <v>274</v>
      </c>
      <c r="F1538">
        <v>25000</v>
      </c>
      <c r="G1538">
        <v>0</v>
      </c>
      <c r="T1538" t="s">
        <v>43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305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302</v>
      </c>
      <c r="U1541">
        <v>24000</v>
      </c>
      <c r="V1541">
        <v>0</v>
      </c>
    </row>
    <row r="1542" spans="5:22" x14ac:dyDescent="0.25">
      <c r="E1542" t="s">
        <v>621</v>
      </c>
      <c r="F1542">
        <v>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621</v>
      </c>
      <c r="F1543">
        <v>0</v>
      </c>
      <c r="G1543">
        <v>0</v>
      </c>
      <c r="T1543" t="s">
        <v>625</v>
      </c>
      <c r="U1543">
        <v>0</v>
      </c>
      <c r="V1543">
        <v>0</v>
      </c>
    </row>
    <row r="1544" spans="5:22" x14ac:dyDescent="0.25">
      <c r="E1544" t="s">
        <v>621</v>
      </c>
      <c r="F1544">
        <v>0</v>
      </c>
      <c r="G1544">
        <v>0</v>
      </c>
      <c r="T1544" t="s">
        <v>424</v>
      </c>
      <c r="U1544">
        <v>35000</v>
      </c>
      <c r="V1544">
        <v>0</v>
      </c>
    </row>
    <row r="1545" spans="5:22" x14ac:dyDescent="0.25">
      <c r="E1545" t="s">
        <v>621</v>
      </c>
      <c r="F1545">
        <v>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621</v>
      </c>
      <c r="F1546">
        <v>0</v>
      </c>
      <c r="G1546">
        <v>0</v>
      </c>
      <c r="T1546" t="s">
        <v>47</v>
      </c>
      <c r="U1546">
        <v>40000</v>
      </c>
      <c r="V1546">
        <v>0</v>
      </c>
    </row>
    <row r="1547" spans="5:22" x14ac:dyDescent="0.25">
      <c r="E1547" t="s">
        <v>621</v>
      </c>
      <c r="F1547">
        <v>0</v>
      </c>
      <c r="G1547">
        <v>0</v>
      </c>
      <c r="T1547" t="s">
        <v>424</v>
      </c>
      <c r="U1547">
        <v>0</v>
      </c>
      <c r="V1547">
        <v>0</v>
      </c>
    </row>
    <row r="1548" spans="5:22" x14ac:dyDescent="0.25">
      <c r="E1548" t="s">
        <v>509</v>
      </c>
      <c r="F1548">
        <v>5000</v>
      </c>
      <c r="G1548">
        <v>0</v>
      </c>
      <c r="T1548" t="s">
        <v>494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54</v>
      </c>
      <c r="U1549">
        <v>22000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491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482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418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446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418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332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336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308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299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586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130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41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305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1</v>
      </c>
      <c r="U1563">
        <v>35000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424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625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516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491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43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327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130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305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475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336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656</v>
      </c>
      <c r="U1574" t="s">
        <v>643</v>
      </c>
    </row>
    <row r="1575" spans="5:22" x14ac:dyDescent="0.25">
      <c r="E1575" t="s">
        <v>444</v>
      </c>
      <c r="F1575">
        <v>0</v>
      </c>
      <c r="G1575">
        <v>0</v>
      </c>
      <c r="T1575" t="s">
        <v>419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516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424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491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336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23000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516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41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330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424</v>
      </c>
      <c r="U1584">
        <v>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514</v>
      </c>
      <c r="U1585">
        <v>41000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336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514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274</v>
      </c>
      <c r="U1589">
        <v>32000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424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41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65</v>
      </c>
      <c r="U1592">
        <v>15000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129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41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50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418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424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516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270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514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482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293</v>
      </c>
      <c r="U1603">
        <v>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332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308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424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491</v>
      </c>
      <c r="U1608">
        <v>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491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586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516</v>
      </c>
      <c r="U1611">
        <v>40000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270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270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514</v>
      </c>
      <c r="U1614">
        <v>20000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424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40</v>
      </c>
      <c r="U1616">
        <v>23000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129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41</v>
      </c>
      <c r="U1618">
        <v>20000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491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308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491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270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625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30000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295</v>
      </c>
      <c r="U1625">
        <v>30000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586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18000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41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130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130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58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270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28000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10</v>
      </c>
      <c r="U1634">
        <v>0</v>
      </c>
      <c r="V1634">
        <v>21000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269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274</v>
      </c>
      <c r="U1637">
        <v>32000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491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491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424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299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290</v>
      </c>
      <c r="U1642">
        <v>26000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420</v>
      </c>
      <c r="U1643">
        <v>21000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426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308</v>
      </c>
      <c r="U1645">
        <v>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25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41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26</v>
      </c>
      <c r="U1648">
        <v>45000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424</v>
      </c>
      <c r="U1649">
        <v>38000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419</v>
      </c>
      <c r="U1650">
        <v>0</v>
      </c>
      <c r="V1650">
        <v>21000</v>
      </c>
    </row>
    <row r="1651" spans="5:22" x14ac:dyDescent="0.25">
      <c r="E1651" t="s">
        <v>130</v>
      </c>
      <c r="F1651">
        <v>0</v>
      </c>
      <c r="G1651">
        <v>0</v>
      </c>
      <c r="T1651" t="s">
        <v>334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270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586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491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424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418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424</v>
      </c>
      <c r="U1658">
        <v>35000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334</v>
      </c>
      <c r="U1659">
        <v>24000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26</v>
      </c>
      <c r="U1660">
        <v>46000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645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40</v>
      </c>
      <c r="U1662">
        <v>17000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424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269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308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41</v>
      </c>
      <c r="U1666">
        <v>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491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270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299</v>
      </c>
      <c r="U1669">
        <v>35000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129</v>
      </c>
      <c r="U1670">
        <v>32000</v>
      </c>
      <c r="V1670">
        <v>0</v>
      </c>
    </row>
    <row r="1671" spans="5:22" x14ac:dyDescent="0.25">
      <c r="E1671" t="s">
        <v>46</v>
      </c>
      <c r="F1671">
        <v>0</v>
      </c>
      <c r="G1671">
        <v>0</v>
      </c>
      <c r="T1671" t="s">
        <v>482</v>
      </c>
      <c r="U1671">
        <v>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41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130</v>
      </c>
      <c r="U1673">
        <v>0</v>
      </c>
      <c r="V1673">
        <v>40000</v>
      </c>
    </row>
    <row r="1674" spans="5:22" x14ac:dyDescent="0.25">
      <c r="E1674" t="s">
        <v>46</v>
      </c>
      <c r="F1674">
        <v>15000</v>
      </c>
      <c r="G1674">
        <v>0</v>
      </c>
      <c r="T1674" t="s">
        <v>514</v>
      </c>
      <c r="U1674">
        <v>40000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130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424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418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102</v>
      </c>
      <c r="U1678">
        <v>0</v>
      </c>
      <c r="V1678">
        <v>35000</v>
      </c>
    </row>
    <row r="1679" spans="5:22" x14ac:dyDescent="0.25">
      <c r="E1679" t="s">
        <v>46</v>
      </c>
      <c r="F1679">
        <v>0</v>
      </c>
      <c r="G1679">
        <v>0</v>
      </c>
      <c r="T1679" t="s">
        <v>295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41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41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332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41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269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295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334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41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270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514</v>
      </c>
      <c r="U1689">
        <v>35000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625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491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305</v>
      </c>
      <c r="U1692">
        <v>18000</v>
      </c>
      <c r="V1692">
        <v>40000</v>
      </c>
    </row>
    <row r="1693" spans="5:22" x14ac:dyDescent="0.25">
      <c r="E1693" t="s">
        <v>48</v>
      </c>
      <c r="F1693">
        <v>15000</v>
      </c>
      <c r="G1693">
        <v>0</v>
      </c>
      <c r="T1693" t="s">
        <v>419</v>
      </c>
      <c r="U1693">
        <v>0</v>
      </c>
      <c r="V1693">
        <v>20000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35000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295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41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334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12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129</v>
      </c>
      <c r="U1699">
        <v>50000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41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26</v>
      </c>
      <c r="U1701">
        <v>32000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270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41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516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295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424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516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52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493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41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491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428</v>
      </c>
      <c r="U1713">
        <v>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424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44</v>
      </c>
      <c r="U1715">
        <v>27000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270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514</v>
      </c>
      <c r="U1717">
        <v>35000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420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41</v>
      </c>
      <c r="U1719">
        <v>0</v>
      </c>
      <c r="V1719">
        <v>35000</v>
      </c>
    </row>
    <row r="1720" spans="5:22" x14ac:dyDescent="0.25">
      <c r="E1720" t="s">
        <v>293</v>
      </c>
      <c r="F1720">
        <v>0</v>
      </c>
      <c r="G1720">
        <v>17900</v>
      </c>
      <c r="T1720" t="s">
        <v>426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625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270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491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26</v>
      </c>
      <c r="U1725">
        <v>40000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270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41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308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270</v>
      </c>
      <c r="U1729">
        <v>13000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586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586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46</v>
      </c>
      <c r="U1732">
        <v>30000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10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41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290</v>
      </c>
      <c r="U1735">
        <v>40000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586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361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418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323</v>
      </c>
      <c r="U1739">
        <v>30000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491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297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308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297</v>
      </c>
      <c r="U1743">
        <v>35000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1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327</v>
      </c>
      <c r="U1745">
        <v>30000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491</v>
      </c>
      <c r="U1746">
        <v>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269</v>
      </c>
      <c r="U1747">
        <v>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41</v>
      </c>
      <c r="U1748">
        <v>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419</v>
      </c>
      <c r="U1749">
        <v>0</v>
      </c>
      <c r="V1749">
        <v>19000</v>
      </c>
    </row>
    <row r="1750" spans="5:22" x14ac:dyDescent="0.25">
      <c r="E1750" t="s">
        <v>295</v>
      </c>
      <c r="F1750">
        <v>0</v>
      </c>
      <c r="G1750">
        <v>0</v>
      </c>
      <c r="T1750" t="s">
        <v>270</v>
      </c>
      <c r="U1750">
        <v>0</v>
      </c>
      <c r="V1750">
        <v>20000</v>
      </c>
    </row>
    <row r="1751" spans="5:22" x14ac:dyDescent="0.25">
      <c r="E1751" t="s">
        <v>295</v>
      </c>
      <c r="F1751">
        <v>5000</v>
      </c>
      <c r="G1751">
        <v>0</v>
      </c>
      <c r="T1751" t="s">
        <v>625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514</v>
      </c>
      <c r="U1752">
        <v>40000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270</v>
      </c>
      <c r="U1753">
        <v>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424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334</v>
      </c>
      <c r="U1755">
        <v>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41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653</v>
      </c>
      <c r="U1757" t="s">
        <v>654</v>
      </c>
    </row>
    <row r="1758" spans="5:22" x14ac:dyDescent="0.25">
      <c r="E1758" t="s">
        <v>295</v>
      </c>
      <c r="F1758">
        <v>0</v>
      </c>
      <c r="G1758">
        <v>0</v>
      </c>
      <c r="T1758" t="s">
        <v>270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424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295</v>
      </c>
      <c r="U1760">
        <v>14000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41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426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334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514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308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334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330</v>
      </c>
      <c r="U1767">
        <v>36000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43</v>
      </c>
      <c r="U1768">
        <v>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644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41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644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379</v>
      </c>
      <c r="U1772">
        <v>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379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424</v>
      </c>
      <c r="U1774">
        <v>42000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586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418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336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334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424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144</v>
      </c>
      <c r="U1780">
        <v>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130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40</v>
      </c>
      <c r="U1782">
        <v>20000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586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130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641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308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26</v>
      </c>
      <c r="U1787">
        <v>47000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336</v>
      </c>
      <c r="U1788">
        <v>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424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645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26</v>
      </c>
      <c r="U1791">
        <v>35000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50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424</v>
      </c>
      <c r="U1793">
        <v>30000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491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491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419</v>
      </c>
      <c r="U1796">
        <v>0</v>
      </c>
      <c r="V1796">
        <v>23000</v>
      </c>
    </row>
    <row r="1797" spans="5:22" x14ac:dyDescent="0.25">
      <c r="E1797" t="s">
        <v>302</v>
      </c>
      <c r="F1797">
        <v>7000</v>
      </c>
      <c r="G1797">
        <v>0</v>
      </c>
      <c r="T1797" t="s">
        <v>334</v>
      </c>
      <c r="U1797">
        <v>23000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130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334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491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332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299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130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295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65</v>
      </c>
      <c r="U1806">
        <v>25000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274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308</v>
      </c>
      <c r="U1808">
        <v>15000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308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319</v>
      </c>
      <c r="U1810">
        <v>20000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269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491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418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418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25</v>
      </c>
      <c r="U1815">
        <v>22000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290</v>
      </c>
      <c r="U1816">
        <v>18000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299</v>
      </c>
      <c r="U1817">
        <v>0</v>
      </c>
      <c r="V1817">
        <v>0</v>
      </c>
    </row>
    <row r="1818" spans="5:22" x14ac:dyDescent="0.25">
      <c r="E1818" t="s">
        <v>305</v>
      </c>
      <c r="F1818">
        <v>0</v>
      </c>
      <c r="G1818">
        <v>0</v>
      </c>
      <c r="T1818" t="s">
        <v>549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475</v>
      </c>
      <c r="U1819">
        <v>40000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491</v>
      </c>
      <c r="U1820">
        <v>0</v>
      </c>
      <c r="V1820">
        <v>35000</v>
      </c>
    </row>
    <row r="1821" spans="5:22" x14ac:dyDescent="0.25">
      <c r="E1821" t="s">
        <v>305</v>
      </c>
      <c r="F1821">
        <v>0</v>
      </c>
      <c r="G1821">
        <v>0</v>
      </c>
      <c r="T1821" t="s">
        <v>336</v>
      </c>
      <c r="U1821">
        <v>0</v>
      </c>
      <c r="V1821">
        <v>0</v>
      </c>
    </row>
    <row r="1822" spans="5:22" x14ac:dyDescent="0.25">
      <c r="E1822" t="s">
        <v>305</v>
      </c>
      <c r="F1822">
        <v>0</v>
      </c>
      <c r="G1822">
        <v>0</v>
      </c>
      <c r="T1822" t="s">
        <v>46</v>
      </c>
      <c r="U1822">
        <v>46000</v>
      </c>
      <c r="V1822">
        <v>0</v>
      </c>
    </row>
    <row r="1823" spans="5:22" x14ac:dyDescent="0.25">
      <c r="E1823" t="s">
        <v>305</v>
      </c>
      <c r="F1823">
        <v>0</v>
      </c>
      <c r="G1823">
        <v>0</v>
      </c>
      <c r="T1823" t="s">
        <v>270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379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</v>
      </c>
      <c r="U1825">
        <v>0</v>
      </c>
      <c r="V1825">
        <v>0</v>
      </c>
    </row>
    <row r="1826" spans="5:22" x14ac:dyDescent="0.25">
      <c r="E1826" t="s">
        <v>305</v>
      </c>
      <c r="F1826">
        <v>8000</v>
      </c>
      <c r="G1826">
        <v>0</v>
      </c>
      <c r="T1826" t="s">
        <v>269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424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44</v>
      </c>
      <c r="U1828">
        <v>23000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270</v>
      </c>
      <c r="U1829">
        <v>14100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428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43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334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270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44</v>
      </c>
      <c r="U1834">
        <v>24000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586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549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308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130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645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334</v>
      </c>
      <c r="U1840">
        <v>21000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424</v>
      </c>
      <c r="U1841">
        <v>14000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41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379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491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336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418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491</v>
      </c>
      <c r="U1847">
        <v>0</v>
      </c>
      <c r="V1847">
        <v>32000</v>
      </c>
    </row>
    <row r="1848" spans="5:22" x14ac:dyDescent="0.25">
      <c r="E1848" t="s">
        <v>308</v>
      </c>
      <c r="F1848">
        <v>0</v>
      </c>
      <c r="G1848">
        <v>24000</v>
      </c>
      <c r="T1848" t="s">
        <v>130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644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308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491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424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0</v>
      </c>
      <c r="T1853" t="s">
        <v>491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270</v>
      </c>
      <c r="U1854">
        <v>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491</v>
      </c>
      <c r="U1855">
        <v>0</v>
      </c>
      <c r="V1855">
        <v>28000</v>
      </c>
    </row>
    <row r="1856" spans="5:22" x14ac:dyDescent="0.25">
      <c r="E1856" t="s">
        <v>308</v>
      </c>
      <c r="F1856">
        <v>0</v>
      </c>
      <c r="G1856">
        <v>24000</v>
      </c>
      <c r="T1856" t="s">
        <v>334</v>
      </c>
      <c r="U1856">
        <v>0</v>
      </c>
      <c r="V1856">
        <v>0</v>
      </c>
    </row>
    <row r="1857" spans="5:22" x14ac:dyDescent="0.25">
      <c r="E1857" t="s">
        <v>308</v>
      </c>
      <c r="F1857">
        <v>0</v>
      </c>
      <c r="G1857">
        <v>24000</v>
      </c>
      <c r="T1857" t="s">
        <v>270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130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334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645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</v>
      </c>
      <c r="U1862">
        <v>20000</v>
      </c>
      <c r="V1862">
        <v>0</v>
      </c>
    </row>
    <row r="1863" spans="5:22" x14ac:dyDescent="0.25">
      <c r="E1863" t="s">
        <v>308</v>
      </c>
      <c r="F1863">
        <v>0</v>
      </c>
      <c r="G1863">
        <v>0</v>
      </c>
      <c r="T1863" t="s">
        <v>491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41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494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144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332</v>
      </c>
      <c r="U1867">
        <v>25000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129</v>
      </c>
      <c r="U1868">
        <v>50000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270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334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308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270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41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308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625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424</v>
      </c>
      <c r="U1877">
        <v>40000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269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0</v>
      </c>
      <c r="T1879" t="s">
        <v>491</v>
      </c>
      <c r="U1879">
        <v>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41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48</v>
      </c>
      <c r="U1881">
        <v>25000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41</v>
      </c>
      <c r="U1882">
        <v>0</v>
      </c>
      <c r="V1882">
        <v>0</v>
      </c>
    </row>
    <row r="1883" spans="5:22" x14ac:dyDescent="0.25">
      <c r="E1883" t="s">
        <v>553</v>
      </c>
      <c r="F1883">
        <v>0</v>
      </c>
      <c r="G1883">
        <v>0</v>
      </c>
      <c r="T1883" t="s">
        <v>645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516</v>
      </c>
      <c r="U1884">
        <v>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102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43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332</v>
      </c>
      <c r="U1887">
        <v>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41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424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  <c r="T1890" t="s">
        <v>424</v>
      </c>
      <c r="U1890">
        <v>24000</v>
      </c>
      <c r="V1890">
        <v>0</v>
      </c>
    </row>
    <row r="1891" spans="5:22" x14ac:dyDescent="0.25">
      <c r="E1891" t="s">
        <v>446</v>
      </c>
      <c r="F1891">
        <v>0</v>
      </c>
      <c r="G1891">
        <v>0</v>
      </c>
      <c r="T1891" t="s">
        <v>420</v>
      </c>
      <c r="U1891">
        <v>0</v>
      </c>
      <c r="V1891">
        <v>0</v>
      </c>
    </row>
    <row r="1892" spans="5:22" x14ac:dyDescent="0.25">
      <c r="E1892" t="s">
        <v>446</v>
      </c>
      <c r="F1892">
        <v>0</v>
      </c>
      <c r="G1892">
        <v>0</v>
      </c>
      <c r="T1892" t="s">
        <v>424</v>
      </c>
      <c r="U1892">
        <v>0</v>
      </c>
      <c r="V1892">
        <v>0</v>
      </c>
    </row>
    <row r="1893" spans="5:22" x14ac:dyDescent="0.25">
      <c r="E1893" t="s">
        <v>446</v>
      </c>
      <c r="F1893">
        <v>0</v>
      </c>
      <c r="G1893">
        <v>0</v>
      </c>
      <c r="T1893" t="s">
        <v>305</v>
      </c>
      <c r="U1893">
        <v>0</v>
      </c>
      <c r="V1893">
        <v>0</v>
      </c>
    </row>
    <row r="1894" spans="5:22" x14ac:dyDescent="0.25">
      <c r="E1894" t="s">
        <v>446</v>
      </c>
      <c r="F1894">
        <v>0</v>
      </c>
      <c r="G1894">
        <v>0</v>
      </c>
      <c r="T1894" t="s">
        <v>26</v>
      </c>
      <c r="U1894">
        <v>0</v>
      </c>
      <c r="V1894">
        <v>0</v>
      </c>
    </row>
    <row r="1895" spans="5:22" x14ac:dyDescent="0.25">
      <c r="E1895" t="s">
        <v>446</v>
      </c>
      <c r="F1895">
        <v>0</v>
      </c>
      <c r="G1895">
        <v>0</v>
      </c>
      <c r="T1895" t="s">
        <v>130</v>
      </c>
      <c r="U1895">
        <v>0</v>
      </c>
      <c r="V1895">
        <v>0</v>
      </c>
    </row>
    <row r="1896" spans="5:22" x14ac:dyDescent="0.25">
      <c r="E1896" t="s">
        <v>446</v>
      </c>
      <c r="F1896">
        <v>0</v>
      </c>
      <c r="G1896">
        <v>0</v>
      </c>
      <c r="T1896" t="s">
        <v>446</v>
      </c>
      <c r="U1896">
        <v>0</v>
      </c>
      <c r="V1896">
        <v>0</v>
      </c>
    </row>
    <row r="1897" spans="5:22" x14ac:dyDescent="0.25">
      <c r="E1897" t="s">
        <v>446</v>
      </c>
      <c r="F1897">
        <v>0</v>
      </c>
      <c r="G1897">
        <v>0</v>
      </c>
      <c r="T1897" t="s">
        <v>308</v>
      </c>
      <c r="U1897">
        <v>0</v>
      </c>
      <c r="V1897">
        <v>0</v>
      </c>
    </row>
    <row r="1898" spans="5:22" x14ac:dyDescent="0.25">
      <c r="E1898" t="s">
        <v>446</v>
      </c>
      <c r="F1898">
        <v>0</v>
      </c>
      <c r="G1898">
        <v>0</v>
      </c>
      <c r="T1898" t="s">
        <v>50</v>
      </c>
      <c r="U1898">
        <v>0</v>
      </c>
      <c r="V1898">
        <v>0</v>
      </c>
    </row>
    <row r="1899" spans="5:22" x14ac:dyDescent="0.25">
      <c r="E1899" t="s">
        <v>446</v>
      </c>
      <c r="F1899">
        <v>0</v>
      </c>
      <c r="G1899">
        <v>0</v>
      </c>
      <c r="T1899" t="s">
        <v>516</v>
      </c>
      <c r="U1899">
        <v>0</v>
      </c>
      <c r="V1899">
        <v>0</v>
      </c>
    </row>
    <row r="1900" spans="5:22" x14ac:dyDescent="0.25">
      <c r="E1900" t="s">
        <v>446</v>
      </c>
      <c r="F1900">
        <v>0</v>
      </c>
      <c r="G1900">
        <v>0</v>
      </c>
      <c r="T1900" t="s">
        <v>418</v>
      </c>
      <c r="U1900">
        <v>0</v>
      </c>
      <c r="V1900">
        <v>0</v>
      </c>
    </row>
    <row r="1901" spans="5:22" x14ac:dyDescent="0.25">
      <c r="E1901" t="s">
        <v>446</v>
      </c>
      <c r="F1901">
        <v>0</v>
      </c>
      <c r="G1901">
        <v>0</v>
      </c>
      <c r="T1901" t="s">
        <v>302</v>
      </c>
      <c r="U1901">
        <v>22000</v>
      </c>
      <c r="V1901">
        <v>0</v>
      </c>
    </row>
    <row r="1902" spans="5:22" x14ac:dyDescent="0.25">
      <c r="E1902" t="s">
        <v>446</v>
      </c>
      <c r="F1902">
        <v>0</v>
      </c>
      <c r="G1902">
        <v>0</v>
      </c>
      <c r="T1902" t="s">
        <v>334</v>
      </c>
      <c r="U1902">
        <v>35000</v>
      </c>
      <c r="V1902">
        <v>0</v>
      </c>
    </row>
    <row r="1903" spans="5:22" x14ac:dyDescent="0.25">
      <c r="E1903" t="s">
        <v>446</v>
      </c>
      <c r="F1903">
        <v>0</v>
      </c>
      <c r="G1903">
        <v>0</v>
      </c>
      <c r="T1903" t="s">
        <v>420</v>
      </c>
      <c r="U1903">
        <v>24000</v>
      </c>
      <c r="V1903">
        <v>0</v>
      </c>
    </row>
    <row r="1904" spans="5:22" x14ac:dyDescent="0.25">
      <c r="E1904" t="s">
        <v>446</v>
      </c>
      <c r="F1904">
        <v>0</v>
      </c>
      <c r="G1904">
        <v>0</v>
      </c>
      <c r="T1904" t="s">
        <v>336</v>
      </c>
      <c r="U1904">
        <v>0</v>
      </c>
      <c r="V1904">
        <v>0</v>
      </c>
    </row>
    <row r="1905" spans="5:22" x14ac:dyDescent="0.25">
      <c r="E1905" t="s">
        <v>446</v>
      </c>
      <c r="F1905">
        <v>0</v>
      </c>
      <c r="G1905">
        <v>0</v>
      </c>
      <c r="T1905" t="s">
        <v>290</v>
      </c>
      <c r="U1905">
        <v>26000</v>
      </c>
      <c r="V1905">
        <v>0</v>
      </c>
    </row>
    <row r="1906" spans="5:22" x14ac:dyDescent="0.25">
      <c r="E1906" t="s">
        <v>354</v>
      </c>
      <c r="F1906">
        <v>0</v>
      </c>
      <c r="G1906">
        <v>0</v>
      </c>
      <c r="T1906" t="s">
        <v>653</v>
      </c>
      <c r="U1906" t="s">
        <v>654</v>
      </c>
    </row>
    <row r="1907" spans="5:22" x14ac:dyDescent="0.25">
      <c r="E1907" t="s">
        <v>354</v>
      </c>
      <c r="F1907">
        <v>2000</v>
      </c>
      <c r="G1907">
        <v>0</v>
      </c>
      <c r="T1907" t="s">
        <v>26</v>
      </c>
      <c r="U1907">
        <v>0</v>
      </c>
      <c r="V1907">
        <v>0</v>
      </c>
    </row>
    <row r="1908" spans="5:22" x14ac:dyDescent="0.25">
      <c r="E1908" t="s">
        <v>314</v>
      </c>
      <c r="F1908">
        <v>3000</v>
      </c>
      <c r="G1908">
        <v>0</v>
      </c>
      <c r="T1908" t="s">
        <v>514</v>
      </c>
      <c r="U1908">
        <v>0</v>
      </c>
      <c r="V1908">
        <v>0</v>
      </c>
    </row>
    <row r="1909" spans="5:22" x14ac:dyDescent="0.25">
      <c r="E1909" t="s">
        <v>314</v>
      </c>
      <c r="F1909">
        <v>0</v>
      </c>
      <c r="G1909">
        <v>14000</v>
      </c>
      <c r="T1909" t="s">
        <v>491</v>
      </c>
      <c r="U1909">
        <v>0</v>
      </c>
      <c r="V1909">
        <v>0</v>
      </c>
    </row>
    <row r="1910" spans="5:22" x14ac:dyDescent="0.25">
      <c r="E1910" t="s">
        <v>314</v>
      </c>
      <c r="F1910">
        <v>0</v>
      </c>
      <c r="G1910">
        <v>0</v>
      </c>
      <c r="T1910" t="s">
        <v>129</v>
      </c>
      <c r="U1910">
        <v>40000</v>
      </c>
      <c r="V1910">
        <v>0</v>
      </c>
    </row>
    <row r="1911" spans="5:22" x14ac:dyDescent="0.25">
      <c r="E1911" t="s">
        <v>314</v>
      </c>
      <c r="F1911">
        <v>0</v>
      </c>
      <c r="G1911">
        <v>0</v>
      </c>
      <c r="T1911" t="s">
        <v>491</v>
      </c>
      <c r="U1911">
        <v>0</v>
      </c>
      <c r="V1911">
        <v>0</v>
      </c>
    </row>
    <row r="1912" spans="5:22" x14ac:dyDescent="0.25">
      <c r="E1912" t="s">
        <v>314</v>
      </c>
      <c r="F1912">
        <v>0</v>
      </c>
      <c r="G1912">
        <v>16000</v>
      </c>
      <c r="T1912" t="s">
        <v>334</v>
      </c>
      <c r="U1912">
        <v>0</v>
      </c>
      <c r="V1912">
        <v>0</v>
      </c>
    </row>
    <row r="1913" spans="5:22" x14ac:dyDescent="0.25">
      <c r="E1913" t="s">
        <v>314</v>
      </c>
      <c r="F1913">
        <v>0</v>
      </c>
      <c r="G1913">
        <v>12000</v>
      </c>
      <c r="T1913" t="s">
        <v>65</v>
      </c>
      <c r="U1913">
        <v>27000</v>
      </c>
      <c r="V1913">
        <v>0</v>
      </c>
    </row>
    <row r="1914" spans="5:22" x14ac:dyDescent="0.25">
      <c r="E1914" t="s">
        <v>314</v>
      </c>
      <c r="F1914">
        <v>16000</v>
      </c>
      <c r="G1914">
        <v>0</v>
      </c>
      <c r="T1914" t="s">
        <v>491</v>
      </c>
      <c r="U1914">
        <v>0</v>
      </c>
      <c r="V1914">
        <v>37000</v>
      </c>
    </row>
    <row r="1915" spans="5:22" x14ac:dyDescent="0.25">
      <c r="E1915" t="s">
        <v>314</v>
      </c>
      <c r="F1915">
        <v>0</v>
      </c>
      <c r="G1915">
        <v>35000</v>
      </c>
      <c r="T1915" t="s">
        <v>491</v>
      </c>
      <c r="U1915">
        <v>0</v>
      </c>
      <c r="V1915">
        <v>0</v>
      </c>
    </row>
    <row r="1916" spans="5:22" x14ac:dyDescent="0.25">
      <c r="E1916" t="s">
        <v>314</v>
      </c>
      <c r="F1916">
        <v>0</v>
      </c>
      <c r="G1916">
        <v>0</v>
      </c>
      <c r="T1916" t="s">
        <v>293</v>
      </c>
      <c r="U1916">
        <v>0</v>
      </c>
      <c r="V1916">
        <v>0</v>
      </c>
    </row>
    <row r="1917" spans="5:22" x14ac:dyDescent="0.25">
      <c r="E1917" t="s">
        <v>314</v>
      </c>
      <c r="F1917">
        <v>0</v>
      </c>
      <c r="G1917">
        <v>4000</v>
      </c>
      <c r="T1917" t="s">
        <v>330</v>
      </c>
      <c r="U1917">
        <v>28000</v>
      </c>
      <c r="V1917">
        <v>0</v>
      </c>
    </row>
    <row r="1918" spans="5:22" x14ac:dyDescent="0.25">
      <c r="E1918" t="s">
        <v>314</v>
      </c>
      <c r="F1918">
        <v>0</v>
      </c>
      <c r="G1918">
        <v>12000</v>
      </c>
      <c r="T1918" t="s">
        <v>305</v>
      </c>
      <c r="U1918">
        <v>0</v>
      </c>
      <c r="V1918">
        <v>0</v>
      </c>
    </row>
    <row r="1919" spans="5:22" x14ac:dyDescent="0.25">
      <c r="E1919" t="s">
        <v>314</v>
      </c>
      <c r="F1919">
        <v>0</v>
      </c>
      <c r="G1919">
        <v>16000</v>
      </c>
      <c r="T1919" t="s">
        <v>54</v>
      </c>
      <c r="U1919">
        <v>0</v>
      </c>
      <c r="V1919">
        <v>0</v>
      </c>
    </row>
    <row r="1920" spans="5:22" x14ac:dyDescent="0.25">
      <c r="E1920" t="s">
        <v>314</v>
      </c>
      <c r="F1920">
        <v>2400</v>
      </c>
      <c r="G1920">
        <v>0</v>
      </c>
      <c r="T1920" t="s">
        <v>270</v>
      </c>
      <c r="U1920">
        <v>0</v>
      </c>
      <c r="V1920">
        <v>0</v>
      </c>
    </row>
    <row r="1921" spans="5:22" x14ac:dyDescent="0.25">
      <c r="E1921" t="s">
        <v>314</v>
      </c>
      <c r="F1921">
        <v>0</v>
      </c>
      <c r="G1921">
        <v>0</v>
      </c>
      <c r="T1921" t="s">
        <v>41</v>
      </c>
      <c r="U1921">
        <v>0</v>
      </c>
      <c r="V1921">
        <v>0</v>
      </c>
    </row>
    <row r="1922" spans="5:22" x14ac:dyDescent="0.25">
      <c r="E1922" t="s">
        <v>314</v>
      </c>
      <c r="F1922">
        <v>0</v>
      </c>
      <c r="G1922">
        <v>12000</v>
      </c>
      <c r="T1922" t="s">
        <v>41</v>
      </c>
      <c r="U1922">
        <v>0</v>
      </c>
      <c r="V1922">
        <v>0</v>
      </c>
    </row>
    <row r="1923" spans="5:22" x14ac:dyDescent="0.25">
      <c r="E1923" t="s">
        <v>314</v>
      </c>
      <c r="F1923">
        <v>0</v>
      </c>
      <c r="G1923">
        <v>0</v>
      </c>
      <c r="T1923" t="s">
        <v>418</v>
      </c>
      <c r="U1923">
        <v>0</v>
      </c>
      <c r="V1923">
        <v>0</v>
      </c>
    </row>
    <row r="1924" spans="5:22" x14ac:dyDescent="0.25">
      <c r="E1924" t="s">
        <v>314</v>
      </c>
      <c r="F1924">
        <v>0</v>
      </c>
      <c r="G1924">
        <v>12000</v>
      </c>
      <c r="T1924" t="s">
        <v>41</v>
      </c>
      <c r="U1924">
        <v>0</v>
      </c>
      <c r="V1924">
        <v>0</v>
      </c>
    </row>
    <row r="1925" spans="5:22" x14ac:dyDescent="0.25">
      <c r="E1925" t="s">
        <v>314</v>
      </c>
      <c r="F1925">
        <v>0</v>
      </c>
      <c r="G1925">
        <v>0</v>
      </c>
      <c r="T1925" t="s">
        <v>41</v>
      </c>
      <c r="U1925">
        <v>0</v>
      </c>
      <c r="V1925">
        <v>0</v>
      </c>
    </row>
    <row r="1926" spans="5:22" x14ac:dyDescent="0.25">
      <c r="E1926" t="s">
        <v>314</v>
      </c>
      <c r="F1926">
        <v>0</v>
      </c>
      <c r="G1926">
        <v>18000</v>
      </c>
      <c r="T1926" t="s">
        <v>51</v>
      </c>
      <c r="U1926">
        <v>0</v>
      </c>
      <c r="V1926">
        <v>0</v>
      </c>
    </row>
    <row r="1927" spans="5:22" x14ac:dyDescent="0.25">
      <c r="E1927" t="s">
        <v>314</v>
      </c>
      <c r="F1927">
        <v>0</v>
      </c>
      <c r="G1927">
        <v>0</v>
      </c>
      <c r="T1927" t="s">
        <v>491</v>
      </c>
      <c r="U1927">
        <v>0</v>
      </c>
      <c r="V1927">
        <v>0</v>
      </c>
    </row>
    <row r="1928" spans="5:22" x14ac:dyDescent="0.25">
      <c r="E1928" t="s">
        <v>314</v>
      </c>
      <c r="F1928">
        <v>0</v>
      </c>
      <c r="G1928">
        <v>0</v>
      </c>
      <c r="T1928" t="s">
        <v>424</v>
      </c>
      <c r="U1928">
        <v>40000</v>
      </c>
      <c r="V1928">
        <v>0</v>
      </c>
    </row>
    <row r="1929" spans="5:22" x14ac:dyDescent="0.25">
      <c r="E1929" t="s">
        <v>314</v>
      </c>
      <c r="F1929">
        <v>0</v>
      </c>
      <c r="G1929">
        <v>16000</v>
      </c>
      <c r="T1929" t="s">
        <v>327</v>
      </c>
      <c r="U1929">
        <v>0</v>
      </c>
      <c r="V1929">
        <v>0</v>
      </c>
    </row>
    <row r="1930" spans="5:22" x14ac:dyDescent="0.25">
      <c r="E1930" t="s">
        <v>314</v>
      </c>
      <c r="F1930">
        <v>0</v>
      </c>
      <c r="G1930">
        <v>8000</v>
      </c>
      <c r="T1930" t="s">
        <v>332</v>
      </c>
      <c r="U1930">
        <v>16000</v>
      </c>
      <c r="V1930">
        <v>0</v>
      </c>
    </row>
    <row r="1931" spans="5:22" x14ac:dyDescent="0.25">
      <c r="E1931" t="s">
        <v>314</v>
      </c>
      <c r="F1931">
        <v>0</v>
      </c>
      <c r="G1931">
        <v>0</v>
      </c>
      <c r="T1931" t="s">
        <v>308</v>
      </c>
      <c r="U1931">
        <v>0</v>
      </c>
      <c r="V1931">
        <v>0</v>
      </c>
    </row>
    <row r="1932" spans="5:22" x14ac:dyDescent="0.25">
      <c r="E1932" t="s">
        <v>314</v>
      </c>
      <c r="F1932">
        <v>0</v>
      </c>
      <c r="G1932">
        <v>0</v>
      </c>
      <c r="T1932" t="s">
        <v>491</v>
      </c>
      <c r="U1932">
        <v>0</v>
      </c>
      <c r="V1932">
        <v>0</v>
      </c>
    </row>
    <row r="1933" spans="5:22" x14ac:dyDescent="0.25">
      <c r="E1933" t="s">
        <v>314</v>
      </c>
      <c r="F1933">
        <v>0</v>
      </c>
      <c r="G1933">
        <v>0</v>
      </c>
      <c r="T1933" t="s">
        <v>40</v>
      </c>
      <c r="U1933">
        <v>0</v>
      </c>
      <c r="V1933">
        <v>0</v>
      </c>
    </row>
    <row r="1934" spans="5:22" x14ac:dyDescent="0.25">
      <c r="E1934" t="s">
        <v>314</v>
      </c>
      <c r="F1934">
        <v>0</v>
      </c>
      <c r="G1934">
        <v>0</v>
      </c>
      <c r="T1934" t="s">
        <v>270</v>
      </c>
      <c r="U1934">
        <v>0</v>
      </c>
      <c r="V1934">
        <v>0</v>
      </c>
    </row>
    <row r="1935" spans="5:22" x14ac:dyDescent="0.25">
      <c r="E1935" t="s">
        <v>314</v>
      </c>
      <c r="F1935">
        <v>0</v>
      </c>
      <c r="G1935">
        <v>10000</v>
      </c>
      <c r="T1935" t="s">
        <v>41</v>
      </c>
      <c r="U1935">
        <v>0</v>
      </c>
      <c r="V1935">
        <v>0</v>
      </c>
    </row>
    <row r="1936" spans="5:22" x14ac:dyDescent="0.25">
      <c r="E1936" t="s">
        <v>314</v>
      </c>
      <c r="F1936">
        <v>0</v>
      </c>
      <c r="G1936">
        <v>10000</v>
      </c>
      <c r="T1936" t="s">
        <v>418</v>
      </c>
      <c r="U1936">
        <v>0</v>
      </c>
      <c r="V1936">
        <v>0</v>
      </c>
    </row>
    <row r="1937" spans="5:22" x14ac:dyDescent="0.25">
      <c r="E1937" t="s">
        <v>314</v>
      </c>
      <c r="F1937">
        <v>0</v>
      </c>
      <c r="G1937">
        <v>0</v>
      </c>
      <c r="T1937" t="s">
        <v>270</v>
      </c>
      <c r="U1937">
        <v>0</v>
      </c>
      <c r="V1937">
        <v>0</v>
      </c>
    </row>
    <row r="1938" spans="5:22" x14ac:dyDescent="0.25">
      <c r="E1938" t="s">
        <v>314</v>
      </c>
      <c r="F1938">
        <v>5000</v>
      </c>
      <c r="G1938">
        <v>0</v>
      </c>
      <c r="T1938" t="s">
        <v>424</v>
      </c>
      <c r="U1938">
        <v>0</v>
      </c>
      <c r="V1938">
        <v>0</v>
      </c>
    </row>
    <row r="1939" spans="5:22" x14ac:dyDescent="0.25">
      <c r="E1939" t="s">
        <v>314</v>
      </c>
      <c r="F1939">
        <v>0</v>
      </c>
      <c r="G1939">
        <v>0</v>
      </c>
      <c r="T1939" t="s">
        <v>426</v>
      </c>
      <c r="U1939">
        <v>0</v>
      </c>
      <c r="V1939">
        <v>0</v>
      </c>
    </row>
    <row r="1940" spans="5:22" x14ac:dyDescent="0.25">
      <c r="E1940" t="s">
        <v>314</v>
      </c>
      <c r="F1940">
        <v>0</v>
      </c>
      <c r="G1940">
        <v>12000</v>
      </c>
      <c r="T1940" t="s">
        <v>645</v>
      </c>
      <c r="U1940">
        <v>0</v>
      </c>
      <c r="V1940">
        <v>0</v>
      </c>
    </row>
    <row r="1941" spans="5:22" x14ac:dyDescent="0.25">
      <c r="E1941" t="s">
        <v>314</v>
      </c>
      <c r="F1941">
        <v>4200</v>
      </c>
      <c r="G1941">
        <v>0</v>
      </c>
      <c r="T1941" t="s">
        <v>130</v>
      </c>
      <c r="U1941">
        <v>0</v>
      </c>
      <c r="V1941">
        <v>0</v>
      </c>
    </row>
    <row r="1942" spans="5:22" x14ac:dyDescent="0.25">
      <c r="E1942" t="s">
        <v>314</v>
      </c>
      <c r="F1942">
        <v>4200</v>
      </c>
      <c r="G1942">
        <v>0</v>
      </c>
      <c r="T1942" t="s">
        <v>494</v>
      </c>
      <c r="U1942">
        <v>0</v>
      </c>
      <c r="V1942">
        <v>0</v>
      </c>
    </row>
    <row r="1943" spans="5:22" x14ac:dyDescent="0.25">
      <c r="E1943" t="s">
        <v>314</v>
      </c>
      <c r="F1943">
        <v>5000</v>
      </c>
      <c r="G1943">
        <v>0</v>
      </c>
      <c r="T1943" t="s">
        <v>424</v>
      </c>
      <c r="U1943">
        <v>0</v>
      </c>
      <c r="V1943">
        <v>0</v>
      </c>
    </row>
    <row r="1944" spans="5:22" x14ac:dyDescent="0.25">
      <c r="E1944" t="s">
        <v>314</v>
      </c>
      <c r="F1944">
        <v>0</v>
      </c>
      <c r="G1944">
        <v>0</v>
      </c>
      <c r="T1944" t="s">
        <v>330</v>
      </c>
      <c r="U1944">
        <v>44000</v>
      </c>
      <c r="V1944">
        <v>0</v>
      </c>
    </row>
    <row r="1945" spans="5:22" x14ac:dyDescent="0.25">
      <c r="E1945" t="s">
        <v>314</v>
      </c>
      <c r="F1945">
        <v>0</v>
      </c>
      <c r="G1945">
        <v>0</v>
      </c>
      <c r="T1945" t="s">
        <v>514</v>
      </c>
      <c r="U1945">
        <v>0</v>
      </c>
      <c r="V1945">
        <v>0</v>
      </c>
    </row>
    <row r="1946" spans="5:22" x14ac:dyDescent="0.25">
      <c r="E1946" t="s">
        <v>314</v>
      </c>
      <c r="F1946">
        <v>0</v>
      </c>
      <c r="G1946">
        <v>8000</v>
      </c>
      <c r="T1946" t="s">
        <v>516</v>
      </c>
      <c r="U1946">
        <v>0</v>
      </c>
      <c r="V1946">
        <v>0</v>
      </c>
    </row>
    <row r="1947" spans="5:22" x14ac:dyDescent="0.25">
      <c r="E1947" t="s">
        <v>314</v>
      </c>
      <c r="F1947">
        <v>0</v>
      </c>
      <c r="G1947">
        <v>0</v>
      </c>
      <c r="T1947" t="s">
        <v>40</v>
      </c>
      <c r="U1947">
        <v>0</v>
      </c>
      <c r="V1947">
        <v>0</v>
      </c>
    </row>
    <row r="1948" spans="5:22" x14ac:dyDescent="0.25">
      <c r="E1948" t="s">
        <v>314</v>
      </c>
      <c r="F1948">
        <v>0</v>
      </c>
      <c r="G1948">
        <v>0</v>
      </c>
      <c r="T1948" t="s">
        <v>42</v>
      </c>
      <c r="U1948">
        <v>0</v>
      </c>
      <c r="V1948">
        <v>0</v>
      </c>
    </row>
    <row r="1949" spans="5:22" x14ac:dyDescent="0.25">
      <c r="E1949" t="s">
        <v>314</v>
      </c>
      <c r="F1949">
        <v>2800</v>
      </c>
      <c r="G1949">
        <v>0</v>
      </c>
      <c r="T1949" t="s">
        <v>418</v>
      </c>
      <c r="U1949">
        <v>20000</v>
      </c>
      <c r="V1949">
        <v>0</v>
      </c>
    </row>
    <row r="1950" spans="5:22" x14ac:dyDescent="0.25">
      <c r="E1950" t="s">
        <v>314</v>
      </c>
      <c r="F1950">
        <v>0</v>
      </c>
      <c r="G1950">
        <v>0</v>
      </c>
      <c r="T1950" t="s">
        <v>645</v>
      </c>
      <c r="U1950">
        <v>0</v>
      </c>
      <c r="V1950">
        <v>0</v>
      </c>
    </row>
    <row r="1951" spans="5:22" x14ac:dyDescent="0.25">
      <c r="E1951" t="s">
        <v>314</v>
      </c>
      <c r="F1951">
        <v>0</v>
      </c>
      <c r="G1951">
        <v>25000</v>
      </c>
      <c r="T1951" t="s">
        <v>270</v>
      </c>
      <c r="U1951">
        <v>0</v>
      </c>
      <c r="V1951">
        <v>0</v>
      </c>
    </row>
    <row r="1952" spans="5:22" x14ac:dyDescent="0.25">
      <c r="E1952" t="s">
        <v>314</v>
      </c>
      <c r="F1952">
        <v>0</v>
      </c>
      <c r="G1952">
        <v>0</v>
      </c>
      <c r="T1952" t="s">
        <v>41</v>
      </c>
      <c r="U1952">
        <v>0</v>
      </c>
      <c r="V1952">
        <v>0</v>
      </c>
    </row>
    <row r="1953" spans="5:22" x14ac:dyDescent="0.25">
      <c r="E1953" t="s">
        <v>314</v>
      </c>
      <c r="F1953">
        <v>0</v>
      </c>
      <c r="G1953">
        <v>0</v>
      </c>
      <c r="T1953" t="s">
        <v>491</v>
      </c>
      <c r="U1953">
        <v>0</v>
      </c>
      <c r="V1953">
        <v>0</v>
      </c>
    </row>
    <row r="1954" spans="5:22" x14ac:dyDescent="0.25">
      <c r="E1954" t="s">
        <v>314</v>
      </c>
      <c r="F1954">
        <v>0</v>
      </c>
      <c r="G1954">
        <v>20000</v>
      </c>
      <c r="T1954" t="s">
        <v>305</v>
      </c>
      <c r="U1954">
        <v>0</v>
      </c>
      <c r="V1954">
        <v>0</v>
      </c>
    </row>
    <row r="1955" spans="5:22" x14ac:dyDescent="0.25">
      <c r="E1955" t="s">
        <v>314</v>
      </c>
      <c r="F1955">
        <v>3000</v>
      </c>
      <c r="G1955">
        <v>0</v>
      </c>
      <c r="T1955" t="s">
        <v>586</v>
      </c>
      <c r="U1955">
        <v>17000</v>
      </c>
      <c r="V1955">
        <v>0</v>
      </c>
    </row>
    <row r="1956" spans="5:22" x14ac:dyDescent="0.25">
      <c r="E1956" t="s">
        <v>314</v>
      </c>
      <c r="F1956">
        <v>0</v>
      </c>
      <c r="G1956">
        <v>8000</v>
      </c>
      <c r="T1956" t="s">
        <v>327</v>
      </c>
      <c r="U1956">
        <v>0</v>
      </c>
      <c r="V1956">
        <v>0</v>
      </c>
    </row>
    <row r="1957" spans="5:22" x14ac:dyDescent="0.25">
      <c r="E1957" t="s">
        <v>314</v>
      </c>
      <c r="F1957">
        <v>0</v>
      </c>
      <c r="G1957">
        <v>17000</v>
      </c>
      <c r="T1957" t="s">
        <v>40</v>
      </c>
      <c r="U1957">
        <v>0</v>
      </c>
      <c r="V1957">
        <v>0</v>
      </c>
    </row>
    <row r="1958" spans="5:22" x14ac:dyDescent="0.25">
      <c r="E1958" t="s">
        <v>314</v>
      </c>
      <c r="F1958">
        <v>1400</v>
      </c>
      <c r="G1958">
        <v>0</v>
      </c>
      <c r="T1958" t="s">
        <v>641</v>
      </c>
      <c r="U1958">
        <v>2</v>
      </c>
    </row>
    <row r="1959" spans="5:22" x14ac:dyDescent="0.25">
      <c r="E1959" t="s">
        <v>327</v>
      </c>
      <c r="F1959">
        <v>0</v>
      </c>
      <c r="G1959">
        <v>0</v>
      </c>
      <c r="T1959" t="s">
        <v>653</v>
      </c>
      <c r="U1959" t="s">
        <v>654</v>
      </c>
    </row>
    <row r="1960" spans="5:22" x14ac:dyDescent="0.25">
      <c r="E1960" t="s">
        <v>327</v>
      </c>
      <c r="F1960">
        <v>7000</v>
      </c>
      <c r="G1960">
        <v>0</v>
      </c>
      <c r="T1960" t="s">
        <v>308</v>
      </c>
      <c r="U1960">
        <v>0</v>
      </c>
      <c r="V1960">
        <v>0</v>
      </c>
    </row>
    <row r="1961" spans="5:22" x14ac:dyDescent="0.25">
      <c r="E1961" t="s">
        <v>327</v>
      </c>
      <c r="F1961">
        <v>0</v>
      </c>
      <c r="G1961">
        <v>0</v>
      </c>
      <c r="T1961" t="s">
        <v>334</v>
      </c>
      <c r="U1961">
        <v>30000</v>
      </c>
      <c r="V1961">
        <v>0</v>
      </c>
    </row>
    <row r="1962" spans="5:22" x14ac:dyDescent="0.25">
      <c r="E1962" t="s">
        <v>327</v>
      </c>
      <c r="F1962">
        <v>0</v>
      </c>
      <c r="G1962">
        <v>0</v>
      </c>
      <c r="T1962" t="s">
        <v>418</v>
      </c>
      <c r="U1962">
        <v>0</v>
      </c>
      <c r="V1962">
        <v>0</v>
      </c>
    </row>
    <row r="1963" spans="5:22" x14ac:dyDescent="0.25">
      <c r="E1963" t="s">
        <v>327</v>
      </c>
      <c r="F1963">
        <v>0</v>
      </c>
      <c r="G1963">
        <v>0</v>
      </c>
      <c r="T1963" t="s">
        <v>491</v>
      </c>
      <c r="U1963">
        <v>0</v>
      </c>
      <c r="V1963">
        <v>0</v>
      </c>
    </row>
    <row r="1964" spans="5:22" x14ac:dyDescent="0.25">
      <c r="E1964" t="s">
        <v>327</v>
      </c>
      <c r="F1964">
        <v>0</v>
      </c>
      <c r="G1964">
        <v>0</v>
      </c>
      <c r="T1964" t="s">
        <v>270</v>
      </c>
      <c r="U1964">
        <v>0</v>
      </c>
      <c r="V1964">
        <v>0</v>
      </c>
    </row>
    <row r="1965" spans="5:22" x14ac:dyDescent="0.25">
      <c r="E1965" t="s">
        <v>327</v>
      </c>
      <c r="F1965">
        <v>0</v>
      </c>
      <c r="G1965">
        <v>0</v>
      </c>
      <c r="T1965" t="s">
        <v>41</v>
      </c>
      <c r="U1965">
        <v>0</v>
      </c>
      <c r="V1965">
        <v>0</v>
      </c>
    </row>
    <row r="1966" spans="5:22" x14ac:dyDescent="0.25">
      <c r="E1966" t="s">
        <v>327</v>
      </c>
      <c r="F1966">
        <v>0</v>
      </c>
      <c r="G1966">
        <v>0</v>
      </c>
      <c r="T1966" t="s">
        <v>514</v>
      </c>
      <c r="U1966">
        <v>0</v>
      </c>
      <c r="V1966">
        <v>0</v>
      </c>
    </row>
    <row r="1967" spans="5:22" x14ac:dyDescent="0.25">
      <c r="E1967" t="s">
        <v>327</v>
      </c>
      <c r="F1967">
        <v>0</v>
      </c>
      <c r="G1967">
        <v>0</v>
      </c>
      <c r="T1967" t="s">
        <v>26</v>
      </c>
      <c r="U1967">
        <v>0</v>
      </c>
      <c r="V1967">
        <v>0</v>
      </c>
    </row>
    <row r="1968" spans="5:22" x14ac:dyDescent="0.25">
      <c r="E1968" t="s">
        <v>327</v>
      </c>
      <c r="F1968">
        <v>0</v>
      </c>
      <c r="G1968">
        <v>0</v>
      </c>
      <c r="T1968" t="s">
        <v>424</v>
      </c>
      <c r="U1968">
        <v>0</v>
      </c>
      <c r="V1968">
        <v>0</v>
      </c>
    </row>
    <row r="1969" spans="5:22" x14ac:dyDescent="0.25">
      <c r="E1969" t="s">
        <v>327</v>
      </c>
      <c r="F1969">
        <v>0</v>
      </c>
      <c r="G1969">
        <v>0</v>
      </c>
      <c r="T1969" t="s">
        <v>334</v>
      </c>
      <c r="U1969">
        <v>0</v>
      </c>
      <c r="V1969">
        <v>0</v>
      </c>
    </row>
    <row r="1970" spans="5:22" x14ac:dyDescent="0.25">
      <c r="E1970" t="s">
        <v>327</v>
      </c>
      <c r="F1970">
        <v>0</v>
      </c>
      <c r="G1970">
        <v>0</v>
      </c>
      <c r="T1970" t="s">
        <v>302</v>
      </c>
      <c r="U1970">
        <v>26000</v>
      </c>
      <c r="V1970">
        <v>0</v>
      </c>
    </row>
    <row r="1971" spans="5:22" x14ac:dyDescent="0.25">
      <c r="E1971" t="s">
        <v>327</v>
      </c>
      <c r="F1971">
        <v>0</v>
      </c>
      <c r="G1971">
        <v>0</v>
      </c>
      <c r="T1971" t="s">
        <v>334</v>
      </c>
      <c r="U1971">
        <v>0</v>
      </c>
      <c r="V1971">
        <v>0</v>
      </c>
    </row>
    <row r="1972" spans="5:22" x14ac:dyDescent="0.25">
      <c r="E1972" t="s">
        <v>327</v>
      </c>
      <c r="F1972">
        <v>0</v>
      </c>
      <c r="G1972">
        <v>0</v>
      </c>
      <c r="T1972" t="s">
        <v>270</v>
      </c>
      <c r="U1972">
        <v>0</v>
      </c>
      <c r="V1972">
        <v>0</v>
      </c>
    </row>
    <row r="1973" spans="5:22" x14ac:dyDescent="0.25">
      <c r="E1973" t="s">
        <v>330</v>
      </c>
      <c r="F1973">
        <v>0</v>
      </c>
      <c r="G1973">
        <v>0</v>
      </c>
      <c r="T1973" t="s">
        <v>41</v>
      </c>
      <c r="U1973">
        <v>0</v>
      </c>
      <c r="V1973">
        <v>0</v>
      </c>
    </row>
    <row r="1974" spans="5:22" x14ac:dyDescent="0.25">
      <c r="E1974" t="s">
        <v>330</v>
      </c>
      <c r="F1974">
        <v>5000</v>
      </c>
      <c r="G1974">
        <v>0</v>
      </c>
      <c r="T1974" t="s">
        <v>642</v>
      </c>
      <c r="U1974" t="s">
        <v>643</v>
      </c>
    </row>
    <row r="1975" spans="5:22" x14ac:dyDescent="0.25">
      <c r="E1975" t="s">
        <v>330</v>
      </c>
      <c r="F1975">
        <v>0</v>
      </c>
      <c r="G1975">
        <v>0</v>
      </c>
      <c r="T1975" t="s">
        <v>491</v>
      </c>
      <c r="U1975">
        <v>0</v>
      </c>
      <c r="V1975">
        <v>0</v>
      </c>
    </row>
    <row r="1976" spans="5:22" x14ac:dyDescent="0.25">
      <c r="E1976" t="s">
        <v>330</v>
      </c>
      <c r="F1976">
        <v>0</v>
      </c>
      <c r="G1976">
        <v>0</v>
      </c>
      <c r="T1976" t="s">
        <v>334</v>
      </c>
      <c r="U1976">
        <v>0</v>
      </c>
      <c r="V1976">
        <v>0</v>
      </c>
    </row>
    <row r="1977" spans="5:22" x14ac:dyDescent="0.25">
      <c r="E1977" t="s">
        <v>330</v>
      </c>
      <c r="F1977">
        <v>0</v>
      </c>
      <c r="G1977">
        <v>0</v>
      </c>
      <c r="T1977" t="s">
        <v>41</v>
      </c>
      <c r="U1977">
        <v>0</v>
      </c>
      <c r="V1977">
        <v>0</v>
      </c>
    </row>
    <row r="1978" spans="5:22" x14ac:dyDescent="0.25">
      <c r="E1978" t="s">
        <v>330</v>
      </c>
      <c r="F1978">
        <v>0</v>
      </c>
      <c r="G1978">
        <v>0</v>
      </c>
      <c r="T1978" t="s">
        <v>50</v>
      </c>
      <c r="U1978">
        <v>0</v>
      </c>
      <c r="V1978">
        <v>0</v>
      </c>
    </row>
    <row r="1979" spans="5:22" x14ac:dyDescent="0.25">
      <c r="E1979" t="s">
        <v>330</v>
      </c>
      <c r="F1979">
        <v>7000</v>
      </c>
      <c r="G1979">
        <v>0</v>
      </c>
      <c r="T1979" t="s">
        <v>645</v>
      </c>
      <c r="U1979">
        <v>0</v>
      </c>
      <c r="V1979">
        <v>0</v>
      </c>
    </row>
    <row r="1980" spans="5:22" x14ac:dyDescent="0.25">
      <c r="E1980" t="s">
        <v>330</v>
      </c>
      <c r="F1980">
        <v>9500</v>
      </c>
      <c r="G1980">
        <v>0</v>
      </c>
      <c r="T1980" t="s">
        <v>129</v>
      </c>
      <c r="U1980">
        <v>0</v>
      </c>
      <c r="V1980">
        <v>0</v>
      </c>
    </row>
    <row r="1981" spans="5:22" x14ac:dyDescent="0.25">
      <c r="E1981" t="s">
        <v>330</v>
      </c>
      <c r="F1981">
        <v>7500</v>
      </c>
      <c r="G1981">
        <v>0</v>
      </c>
      <c r="T1981" t="s">
        <v>44</v>
      </c>
      <c r="U1981">
        <v>0</v>
      </c>
      <c r="V1981">
        <v>0</v>
      </c>
    </row>
    <row r="1982" spans="5:22" x14ac:dyDescent="0.25">
      <c r="E1982" t="s">
        <v>330</v>
      </c>
      <c r="F1982">
        <v>0</v>
      </c>
      <c r="G1982">
        <v>0</v>
      </c>
      <c r="T1982" t="s">
        <v>418</v>
      </c>
      <c r="U1982">
        <v>0</v>
      </c>
      <c r="V1982">
        <v>0</v>
      </c>
    </row>
    <row r="1983" spans="5:22" x14ac:dyDescent="0.25">
      <c r="E1983" t="s">
        <v>332</v>
      </c>
      <c r="F1983">
        <v>0</v>
      </c>
      <c r="G1983">
        <v>0</v>
      </c>
      <c r="T1983" t="s">
        <v>516</v>
      </c>
      <c r="U1983">
        <v>0</v>
      </c>
      <c r="V1983">
        <v>32000</v>
      </c>
    </row>
    <row r="1984" spans="5:22" x14ac:dyDescent="0.25">
      <c r="E1984" t="s">
        <v>332</v>
      </c>
      <c r="F1984">
        <v>0</v>
      </c>
      <c r="G1984">
        <v>0</v>
      </c>
      <c r="T1984" t="s">
        <v>334</v>
      </c>
      <c r="U1984">
        <v>24000</v>
      </c>
      <c r="V1984">
        <v>0</v>
      </c>
    </row>
    <row r="1985" spans="5:22" x14ac:dyDescent="0.25">
      <c r="E1985" t="s">
        <v>332</v>
      </c>
      <c r="F1985">
        <v>8000</v>
      </c>
      <c r="G1985">
        <v>0</v>
      </c>
      <c r="T1985" t="s">
        <v>270</v>
      </c>
      <c r="U1985">
        <v>0</v>
      </c>
      <c r="V1985">
        <v>0</v>
      </c>
    </row>
    <row r="1986" spans="5:22" x14ac:dyDescent="0.25">
      <c r="E1986" t="s">
        <v>332</v>
      </c>
      <c r="F1986">
        <v>0</v>
      </c>
      <c r="G1986">
        <v>0</v>
      </c>
      <c r="T1986" t="s">
        <v>516</v>
      </c>
      <c r="U1986">
        <v>0</v>
      </c>
      <c r="V1986">
        <v>0</v>
      </c>
    </row>
    <row r="1987" spans="5:22" x14ac:dyDescent="0.25">
      <c r="E1987" t="s">
        <v>332</v>
      </c>
      <c r="F1987">
        <v>4500</v>
      </c>
      <c r="G1987">
        <v>0</v>
      </c>
    </row>
    <row r="1988" spans="5:22" x14ac:dyDescent="0.25">
      <c r="E1988" t="s">
        <v>332</v>
      </c>
      <c r="F1988">
        <v>0</v>
      </c>
      <c r="G1988">
        <v>0</v>
      </c>
    </row>
    <row r="1989" spans="5:22" x14ac:dyDescent="0.25">
      <c r="E1989" t="s">
        <v>332</v>
      </c>
      <c r="F1989">
        <v>0</v>
      </c>
      <c r="G1989">
        <v>0</v>
      </c>
    </row>
    <row r="1990" spans="5:22" x14ac:dyDescent="0.25">
      <c r="E1990" t="s">
        <v>332</v>
      </c>
      <c r="F1990">
        <v>0</v>
      </c>
      <c r="G1990">
        <v>0</v>
      </c>
    </row>
    <row r="1991" spans="5:22" x14ac:dyDescent="0.25">
      <c r="E1991" t="s">
        <v>332</v>
      </c>
      <c r="F1991">
        <v>0</v>
      </c>
      <c r="G1991">
        <v>0</v>
      </c>
    </row>
    <row r="1992" spans="5:22" x14ac:dyDescent="0.25">
      <c r="E1992" t="s">
        <v>332</v>
      </c>
      <c r="F1992">
        <v>0</v>
      </c>
      <c r="G1992">
        <v>0</v>
      </c>
    </row>
    <row r="1993" spans="5:22" x14ac:dyDescent="0.25">
      <c r="E1993" t="s">
        <v>332</v>
      </c>
      <c r="F1993">
        <v>0</v>
      </c>
      <c r="G1993">
        <v>0</v>
      </c>
    </row>
    <row r="1994" spans="5:22" x14ac:dyDescent="0.25">
      <c r="E1994" t="s">
        <v>332</v>
      </c>
      <c r="F1994">
        <v>0</v>
      </c>
      <c r="G1994">
        <v>0</v>
      </c>
    </row>
    <row r="1995" spans="5:22" x14ac:dyDescent="0.25">
      <c r="E1995" t="s">
        <v>332</v>
      </c>
      <c r="F1995">
        <v>0</v>
      </c>
      <c r="G1995">
        <v>0</v>
      </c>
    </row>
    <row r="1996" spans="5:22" x14ac:dyDescent="0.25">
      <c r="E1996" t="s">
        <v>332</v>
      </c>
      <c r="F1996">
        <v>0</v>
      </c>
      <c r="G1996">
        <v>0</v>
      </c>
    </row>
    <row r="1997" spans="5:22" x14ac:dyDescent="0.25">
      <c r="E1997" t="s">
        <v>332</v>
      </c>
      <c r="F1997">
        <v>0</v>
      </c>
      <c r="G1997">
        <v>0</v>
      </c>
    </row>
    <row r="1998" spans="5:22" x14ac:dyDescent="0.25">
      <c r="E1998" t="s">
        <v>332</v>
      </c>
      <c r="F1998">
        <v>10000</v>
      </c>
      <c r="G1998">
        <v>0</v>
      </c>
    </row>
    <row r="1999" spans="5:22" x14ac:dyDescent="0.25">
      <c r="E1999" t="s">
        <v>332</v>
      </c>
      <c r="F1999">
        <v>4200</v>
      </c>
      <c r="G1999">
        <v>0</v>
      </c>
    </row>
    <row r="2000" spans="5:22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625</v>
      </c>
      <c r="F2304">
        <v>0</v>
      </c>
      <c r="G2304">
        <v>0</v>
      </c>
    </row>
    <row r="2305" spans="5:7" x14ac:dyDescent="0.25">
      <c r="E2305" t="s">
        <v>625</v>
      </c>
      <c r="F2305">
        <v>0</v>
      </c>
      <c r="G2305">
        <v>0</v>
      </c>
    </row>
    <row r="2306" spans="5:7" x14ac:dyDescent="0.25">
      <c r="E2306" t="s">
        <v>625</v>
      </c>
      <c r="F2306">
        <v>0</v>
      </c>
      <c r="G2306">
        <v>0</v>
      </c>
    </row>
    <row r="2307" spans="5:7" x14ac:dyDescent="0.25">
      <c r="E2307" t="s">
        <v>625</v>
      </c>
      <c r="F2307">
        <v>0</v>
      </c>
      <c r="G2307">
        <v>0</v>
      </c>
    </row>
    <row r="2308" spans="5:7" x14ac:dyDescent="0.25">
      <c r="E2308" t="s">
        <v>625</v>
      </c>
      <c r="F2308">
        <v>0</v>
      </c>
      <c r="G2308">
        <v>0</v>
      </c>
    </row>
    <row r="2309" spans="5:7" x14ac:dyDescent="0.25">
      <c r="E2309" t="s">
        <v>625</v>
      </c>
      <c r="F2309">
        <v>0</v>
      </c>
      <c r="G2309">
        <v>0</v>
      </c>
    </row>
    <row r="2310" spans="5:7" x14ac:dyDescent="0.25">
      <c r="E2310" t="s">
        <v>625</v>
      </c>
      <c r="F2310">
        <v>0</v>
      </c>
      <c r="G2310">
        <v>0</v>
      </c>
    </row>
    <row r="2311" spans="5:7" x14ac:dyDescent="0.25">
      <c r="E2311" t="s">
        <v>625</v>
      </c>
      <c r="F2311">
        <v>0</v>
      </c>
      <c r="G2311">
        <v>0</v>
      </c>
    </row>
    <row r="2312" spans="5:7" x14ac:dyDescent="0.25">
      <c r="E2312" t="s">
        <v>625</v>
      </c>
      <c r="F2312">
        <v>0</v>
      </c>
      <c r="G2312">
        <v>0</v>
      </c>
    </row>
    <row r="2313" spans="5:7" x14ac:dyDescent="0.25">
      <c r="E2313" t="s">
        <v>625</v>
      </c>
      <c r="F2313">
        <v>0</v>
      </c>
      <c r="G2313">
        <v>0</v>
      </c>
    </row>
    <row r="2314" spans="5:7" x14ac:dyDescent="0.25">
      <c r="E2314" t="s">
        <v>625</v>
      </c>
      <c r="F2314">
        <v>0</v>
      </c>
      <c r="G2314">
        <v>0</v>
      </c>
    </row>
    <row r="2315" spans="5:7" x14ac:dyDescent="0.25">
      <c r="E2315" t="s">
        <v>625</v>
      </c>
      <c r="F2315">
        <v>0</v>
      </c>
      <c r="G2315">
        <v>0</v>
      </c>
    </row>
    <row r="2316" spans="5:7" x14ac:dyDescent="0.25">
      <c r="E2316" t="s">
        <v>625</v>
      </c>
      <c r="F2316">
        <v>0</v>
      </c>
      <c r="G2316">
        <v>0</v>
      </c>
    </row>
    <row r="2317" spans="5:7" x14ac:dyDescent="0.25">
      <c r="E2317" t="s">
        <v>625</v>
      </c>
      <c r="F2317">
        <v>0</v>
      </c>
      <c r="G2317">
        <v>0</v>
      </c>
    </row>
    <row r="2318" spans="5:7" x14ac:dyDescent="0.25">
      <c r="E2318" t="s">
        <v>625</v>
      </c>
      <c r="F2318">
        <v>0</v>
      </c>
      <c r="G2318">
        <v>0</v>
      </c>
    </row>
    <row r="2319" spans="5:7" x14ac:dyDescent="0.25">
      <c r="E2319" t="s">
        <v>625</v>
      </c>
      <c r="F2319">
        <v>0</v>
      </c>
      <c r="G2319">
        <v>0</v>
      </c>
    </row>
    <row r="2320" spans="5:7" x14ac:dyDescent="0.25">
      <c r="E2320" t="s">
        <v>625</v>
      </c>
      <c r="F2320">
        <v>0</v>
      </c>
      <c r="G2320">
        <v>0</v>
      </c>
    </row>
    <row r="2321" spans="5:7" x14ac:dyDescent="0.25">
      <c r="E2321" t="s">
        <v>625</v>
      </c>
      <c r="F2321">
        <v>0</v>
      </c>
      <c r="G2321">
        <v>0</v>
      </c>
    </row>
    <row r="2322" spans="5:7" x14ac:dyDescent="0.25">
      <c r="E2322" t="s">
        <v>625</v>
      </c>
      <c r="F2322">
        <v>0</v>
      </c>
      <c r="G2322">
        <v>0</v>
      </c>
    </row>
    <row r="2323" spans="5:7" x14ac:dyDescent="0.25">
      <c r="E2323" t="s">
        <v>625</v>
      </c>
      <c r="F2323">
        <v>0</v>
      </c>
      <c r="G2323">
        <v>0</v>
      </c>
    </row>
    <row r="2324" spans="5:7" x14ac:dyDescent="0.25">
      <c r="E2324" t="s">
        <v>625</v>
      </c>
      <c r="F2324">
        <v>0</v>
      </c>
      <c r="G2324">
        <v>0</v>
      </c>
    </row>
    <row r="2325" spans="5:7" x14ac:dyDescent="0.25">
      <c r="E2325" t="s">
        <v>625</v>
      </c>
      <c r="F2325">
        <v>0</v>
      </c>
      <c r="G2325">
        <v>0</v>
      </c>
    </row>
    <row r="2326" spans="5:7" x14ac:dyDescent="0.25">
      <c r="E2326" t="s">
        <v>625</v>
      </c>
      <c r="F2326">
        <v>0</v>
      </c>
      <c r="G2326">
        <v>0</v>
      </c>
    </row>
    <row r="2327" spans="5:7" x14ac:dyDescent="0.25">
      <c r="E2327" t="s">
        <v>625</v>
      </c>
      <c r="F2327">
        <v>0</v>
      </c>
      <c r="G2327">
        <v>0</v>
      </c>
    </row>
    <row r="2328" spans="5:7" x14ac:dyDescent="0.25">
      <c r="E2328" t="s">
        <v>625</v>
      </c>
      <c r="F2328">
        <v>0</v>
      </c>
      <c r="G2328">
        <v>0</v>
      </c>
    </row>
    <row r="2329" spans="5:7" x14ac:dyDescent="0.25">
      <c r="E2329" t="s">
        <v>625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452</v>
      </c>
      <c r="F2435">
        <v>0</v>
      </c>
      <c r="G2435">
        <v>0</v>
      </c>
    </row>
    <row r="2436" spans="5:7" x14ac:dyDescent="0.25">
      <c r="E2436" t="s">
        <v>452</v>
      </c>
      <c r="F2436">
        <v>0</v>
      </c>
      <c r="G2436">
        <v>0</v>
      </c>
    </row>
    <row r="2437" spans="5:7" x14ac:dyDescent="0.25">
      <c r="E2437" t="s">
        <v>452</v>
      </c>
      <c r="F2437">
        <v>0</v>
      </c>
      <c r="G2437">
        <v>0</v>
      </c>
    </row>
    <row r="2438" spans="5:7" x14ac:dyDescent="0.25">
      <c r="E2438" t="s">
        <v>495</v>
      </c>
      <c r="F2438">
        <v>0</v>
      </c>
      <c r="G2438">
        <v>30000</v>
      </c>
    </row>
    <row r="2439" spans="5:7" x14ac:dyDescent="0.25">
      <c r="E2439" t="s">
        <v>495</v>
      </c>
      <c r="F2439">
        <v>0</v>
      </c>
      <c r="G2439">
        <v>0</v>
      </c>
    </row>
    <row r="2440" spans="5:7" x14ac:dyDescent="0.25">
      <c r="E2440" t="s">
        <v>497</v>
      </c>
      <c r="F2440">
        <v>0</v>
      </c>
      <c r="G2440">
        <v>4000</v>
      </c>
    </row>
    <row r="2441" spans="5:7" x14ac:dyDescent="0.25">
      <c r="E2441" t="s">
        <v>497</v>
      </c>
      <c r="F2441">
        <v>0</v>
      </c>
      <c r="G2441">
        <v>3000</v>
      </c>
    </row>
    <row r="2442" spans="5:7" x14ac:dyDescent="0.25">
      <c r="E2442" t="s">
        <v>497</v>
      </c>
      <c r="F2442">
        <v>0</v>
      </c>
      <c r="G2442">
        <v>2600</v>
      </c>
    </row>
    <row r="2443" spans="5:7" x14ac:dyDescent="0.25">
      <c r="E2443" t="s">
        <v>497</v>
      </c>
      <c r="F2443">
        <v>0</v>
      </c>
      <c r="G2443">
        <v>3000</v>
      </c>
    </row>
    <row r="2444" spans="5:7" x14ac:dyDescent="0.25">
      <c r="E2444" t="s">
        <v>497</v>
      </c>
      <c r="F2444">
        <v>0</v>
      </c>
      <c r="G2444">
        <v>0</v>
      </c>
    </row>
    <row r="2445" spans="5:7" x14ac:dyDescent="0.25">
      <c r="E2445" t="s">
        <v>497</v>
      </c>
      <c r="F2445">
        <v>0</v>
      </c>
      <c r="G2445">
        <v>2600</v>
      </c>
    </row>
    <row r="2446" spans="5:7" x14ac:dyDescent="0.25">
      <c r="E2446" t="s">
        <v>497</v>
      </c>
      <c r="F2446">
        <v>0</v>
      </c>
      <c r="G2446">
        <v>0</v>
      </c>
    </row>
    <row r="2447" spans="5:7" x14ac:dyDescent="0.25">
      <c r="E2447" t="s">
        <v>497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2017-10-03T09:43:51Z</dcterms:modified>
</cp:coreProperties>
</file>