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liveswinburneeduau-my.sharepoint.com/personal/104799386_student_swin_edu_au/Documents/# Data Analytics and Valuation Project - Group Work - Copy/"/>
    </mc:Choice>
  </mc:AlternateContent>
  <xr:revisionPtr revIDLastSave="4326" documentId="11_F25DC773A252ABDACC10485B81DF4EBA5ADE58EF" xr6:coauthVersionLast="47" xr6:coauthVersionMax="47" xr10:uidLastSave="{8F438269-3A5C-4CA9-836F-57970B8C16B0}"/>
  <bookViews>
    <workbookView xWindow="-120" yWindow="-120" windowWidth="29040" windowHeight="15720" tabRatio="886" activeTab="8" xr2:uid="{00000000-000D-0000-FFFF-FFFF00000000}"/>
  </bookViews>
  <sheets>
    <sheet name="Income Statement" sheetId="1" r:id="rId1"/>
    <sheet name="Balance Sheet" sheetId="2" r:id="rId2"/>
    <sheet name="Cash Flow Sheet" sheetId="3" r:id="rId3"/>
    <sheet name="Normalised Income Statement" sheetId="7" r:id="rId4"/>
    <sheet name="Ratio Analysis" sheetId="6" r:id="rId5"/>
    <sheet name="Bottom-up Beta" sheetId="9" r:id="rId6"/>
    <sheet name="WACC" sheetId="11" r:id="rId7"/>
    <sheet name="Growth Calculation" sheetId="12" r:id="rId8"/>
    <sheet name="Valuation" sheetId="4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4" l="1"/>
  <c r="B14" i="4" l="1"/>
  <c r="B15" i="12" l="1"/>
  <c r="B8" i="12"/>
  <c r="B17" i="12"/>
  <c r="E17" i="12" s="1"/>
  <c r="C17" i="12"/>
  <c r="D17" i="12"/>
  <c r="B6" i="12"/>
  <c r="B12" i="11"/>
  <c r="K4" i="9"/>
  <c r="D11" i="7"/>
  <c r="C11" i="7"/>
  <c r="B11" i="7"/>
  <c r="B15" i="11"/>
  <c r="B7" i="11"/>
  <c r="B16" i="4" l="1"/>
  <c r="C23" i="11"/>
  <c r="B23" i="11"/>
  <c r="B18" i="4"/>
  <c r="B19" i="4" l="1"/>
  <c r="H7" i="3"/>
  <c r="M3" i="4" l="1"/>
  <c r="B5" i="4" l="1"/>
  <c r="B4" i="12"/>
  <c r="C4" i="12"/>
  <c r="B9" i="12"/>
  <c r="C9" i="12"/>
  <c r="D4" i="12" l="1"/>
  <c r="D9" i="12"/>
  <c r="E9" i="12" s="1"/>
  <c r="E4" i="12" l="1"/>
  <c r="B11" i="11"/>
  <c r="D23" i="11"/>
  <c r="C8" i="6"/>
  <c r="D8" i="6"/>
  <c r="E8" i="6"/>
  <c r="D9" i="6"/>
  <c r="D17" i="6" s="1"/>
  <c r="C14" i="6"/>
  <c r="D14" i="6"/>
  <c r="E14" i="6"/>
  <c r="C15" i="6"/>
  <c r="D15" i="6"/>
  <c r="E15" i="6"/>
  <c r="C16" i="6"/>
  <c r="D16" i="6"/>
  <c r="E16" i="6"/>
  <c r="C7" i="9"/>
  <c r="D7" i="9"/>
  <c r="E5" i="9"/>
  <c r="F5" i="9" s="1"/>
  <c r="E4" i="9"/>
  <c r="F4" i="9"/>
  <c r="E6" i="9"/>
  <c r="F6" i="9" s="1"/>
  <c r="E3" i="9"/>
  <c r="J9" i="3"/>
  <c r="I9" i="3"/>
  <c r="I12" i="3" s="1"/>
  <c r="I10" i="3"/>
  <c r="J10" i="3"/>
  <c r="H9" i="3"/>
  <c r="I7" i="3"/>
  <c r="I8" i="3" s="1"/>
  <c r="J7" i="3"/>
  <c r="J8" i="3" s="1"/>
  <c r="H8" i="3"/>
  <c r="I7" i="2"/>
  <c r="J7" i="2"/>
  <c r="H7" i="2"/>
  <c r="C7" i="7"/>
  <c r="D7" i="7"/>
  <c r="B7" i="7"/>
  <c r="H7" i="1"/>
  <c r="B9" i="7"/>
  <c r="D9" i="7"/>
  <c r="D8" i="7"/>
  <c r="C8" i="7"/>
  <c r="B8" i="7"/>
  <c r="C3" i="7"/>
  <c r="D3" i="7"/>
  <c r="B3" i="7"/>
  <c r="I6" i="1"/>
  <c r="H6" i="1"/>
  <c r="C5" i="7"/>
  <c r="D5" i="7"/>
  <c r="C2" i="7"/>
  <c r="D2" i="7"/>
  <c r="I4" i="2"/>
  <c r="D69" i="6"/>
  <c r="J4" i="2"/>
  <c r="H4" i="2"/>
  <c r="C59" i="6" s="1"/>
  <c r="B5" i="7"/>
  <c r="B2" i="7"/>
  <c r="H5" i="3"/>
  <c r="I5" i="3"/>
  <c r="C8" i="12" s="1"/>
  <c r="J5" i="3"/>
  <c r="D8" i="12" s="1"/>
  <c r="H4" i="3"/>
  <c r="H3" i="3"/>
  <c r="C102" i="6" s="1"/>
  <c r="D4" i="7"/>
  <c r="D6" i="7"/>
  <c r="D10" i="7"/>
  <c r="B4" i="7"/>
  <c r="B6" i="7"/>
  <c r="B10" i="7"/>
  <c r="C4" i="7"/>
  <c r="C6" i="7"/>
  <c r="C10" i="7"/>
  <c r="D101" i="6"/>
  <c r="E101" i="6"/>
  <c r="B12" i="7"/>
  <c r="B5" i="12" s="1"/>
  <c r="D12" i="7"/>
  <c r="D5" i="12" s="1"/>
  <c r="C12" i="7"/>
  <c r="C5" i="12" s="1"/>
  <c r="C18" i="12" s="1"/>
  <c r="I3" i="3"/>
  <c r="J3" i="3"/>
  <c r="J15" i="1"/>
  <c r="J12" i="1"/>
  <c r="J11" i="1"/>
  <c r="J9" i="1"/>
  <c r="J7" i="1"/>
  <c r="J6" i="1"/>
  <c r="J5" i="1"/>
  <c r="J4" i="1"/>
  <c r="J14" i="1"/>
  <c r="J16" i="1"/>
  <c r="J3" i="1"/>
  <c r="H16" i="2"/>
  <c r="B16" i="12" s="1"/>
  <c r="J17" i="1"/>
  <c r="I17" i="1"/>
  <c r="H17" i="1"/>
  <c r="J27" i="2"/>
  <c r="E77" i="6"/>
  <c r="E82" i="6" s="1"/>
  <c r="I27" i="2"/>
  <c r="D77" i="6"/>
  <c r="D82" i="6" s="1"/>
  <c r="D87" i="6" s="1"/>
  <c r="H27" i="2"/>
  <c r="C77" i="6"/>
  <c r="C82" i="6" s="1"/>
  <c r="J25" i="2"/>
  <c r="J28" i="2"/>
  <c r="D15" i="12" s="1"/>
  <c r="I25" i="2"/>
  <c r="I28" i="2"/>
  <c r="C15" i="12" s="1"/>
  <c r="H25" i="2"/>
  <c r="H28" i="2" s="1"/>
  <c r="J22" i="2"/>
  <c r="I22" i="2"/>
  <c r="H22" i="2"/>
  <c r="J21" i="2"/>
  <c r="I21" i="2"/>
  <c r="I23" i="2" s="1"/>
  <c r="H21" i="2"/>
  <c r="H23" i="2" s="1"/>
  <c r="J20" i="2"/>
  <c r="E92" i="6" s="1"/>
  <c r="I20" i="2"/>
  <c r="H20" i="2"/>
  <c r="J18" i="2"/>
  <c r="I18" i="2"/>
  <c r="H18" i="2"/>
  <c r="J17" i="2"/>
  <c r="I17" i="2"/>
  <c r="D60" i="6" s="1"/>
  <c r="D65" i="6" s="1"/>
  <c r="D66" i="6" s="1"/>
  <c r="H17" i="2"/>
  <c r="J16" i="2"/>
  <c r="J19" i="2" s="1"/>
  <c r="I16" i="2"/>
  <c r="C16" i="12" s="1"/>
  <c r="J11" i="2"/>
  <c r="I11" i="2"/>
  <c r="H11" i="2"/>
  <c r="J10" i="2"/>
  <c r="J12" i="2" s="1"/>
  <c r="I10" i="2"/>
  <c r="D4" i="6" s="1"/>
  <c r="D6" i="6" s="1"/>
  <c r="D107" i="6" s="1"/>
  <c r="H10" i="2"/>
  <c r="C30" i="6" s="1"/>
  <c r="J9" i="2"/>
  <c r="I9" i="2"/>
  <c r="H9" i="2"/>
  <c r="J5" i="2"/>
  <c r="E43" i="6" s="1"/>
  <c r="I5" i="2"/>
  <c r="I8" i="2"/>
  <c r="H5" i="2"/>
  <c r="C9" i="6" s="1"/>
  <c r="C17" i="6" s="1"/>
  <c r="H8" i="2"/>
  <c r="J11" i="3"/>
  <c r="I11" i="3"/>
  <c r="H11" i="3"/>
  <c r="H10" i="3"/>
  <c r="C101" i="6" s="1"/>
  <c r="H12" i="3"/>
  <c r="J4" i="3"/>
  <c r="I4" i="3"/>
  <c r="I15" i="1"/>
  <c r="H15" i="1"/>
  <c r="J13" i="1"/>
  <c r="I13" i="1"/>
  <c r="H13" i="1"/>
  <c r="I12" i="1"/>
  <c r="H12" i="1"/>
  <c r="I11" i="1"/>
  <c r="H11" i="1"/>
  <c r="J10" i="1"/>
  <c r="I10" i="1"/>
  <c r="H10" i="1"/>
  <c r="I9" i="1"/>
  <c r="H9" i="1"/>
  <c r="I7" i="1"/>
  <c r="I5" i="1"/>
  <c r="H5" i="1"/>
  <c r="I4" i="1"/>
  <c r="H4" i="1"/>
  <c r="I3" i="1"/>
  <c r="H3" i="1"/>
  <c r="E35" i="6"/>
  <c r="E96" i="6"/>
  <c r="E98" i="6" s="1"/>
  <c r="E24" i="6"/>
  <c r="E25" i="6" s="1"/>
  <c r="I14" i="1"/>
  <c r="I16" i="1"/>
  <c r="C97" i="6"/>
  <c r="E97" i="6"/>
  <c r="D97" i="6"/>
  <c r="H14" i="1"/>
  <c r="H16" i="1"/>
  <c r="D102" i="6"/>
  <c r="D103" i="6" s="1"/>
  <c r="I6" i="3"/>
  <c r="I12" i="2"/>
  <c r="I13" i="2"/>
  <c r="D5" i="6" s="1"/>
  <c r="D10" i="6" s="1"/>
  <c r="D18" i="6" s="1"/>
  <c r="D64" i="6"/>
  <c r="D59" i="6"/>
  <c r="D43" i="6"/>
  <c r="E64" i="6"/>
  <c r="C53" i="6"/>
  <c r="C54" i="6" s="1"/>
  <c r="D53" i="6"/>
  <c r="D54" i="6" s="1"/>
  <c r="D30" i="6"/>
  <c r="D49" i="6"/>
  <c r="D50" i="6" s="1"/>
  <c r="E53" i="6"/>
  <c r="E54" i="6"/>
  <c r="D92" i="6"/>
  <c r="D86" i="6"/>
  <c r="D81" i="6"/>
  <c r="D91" i="6" s="1"/>
  <c r="E60" i="6"/>
  <c r="E70" i="6" s="1"/>
  <c r="D35" i="6"/>
  <c r="D96" i="6"/>
  <c r="D24" i="6"/>
  <c r="D25" i="6"/>
  <c r="C35" i="6"/>
  <c r="C24" i="6"/>
  <c r="C25" i="6"/>
  <c r="C96" i="6"/>
  <c r="D98" i="6" l="1"/>
  <c r="D88" i="6"/>
  <c r="D93" i="6"/>
  <c r="C98" i="6"/>
  <c r="B18" i="12"/>
  <c r="E8" i="12"/>
  <c r="E5" i="12"/>
  <c r="F22" i="11"/>
  <c r="E7" i="9"/>
  <c r="F3" i="9"/>
  <c r="F7" i="9" s="1"/>
  <c r="K5" i="9" s="1"/>
  <c r="C103" i="6"/>
  <c r="I13" i="3"/>
  <c r="J6" i="3"/>
  <c r="J12" i="3"/>
  <c r="J13" i="3"/>
  <c r="E102" i="6"/>
  <c r="E103" i="6" s="1"/>
  <c r="H6" i="3"/>
  <c r="H13" i="3"/>
  <c r="J24" i="2"/>
  <c r="C49" i="6"/>
  <c r="C50" i="6" s="1"/>
  <c r="D29" i="6"/>
  <c r="D39" i="6" s="1"/>
  <c r="E81" i="6"/>
  <c r="E91" i="6" s="1"/>
  <c r="E93" i="6" s="1"/>
  <c r="J23" i="2"/>
  <c r="E86" i="6"/>
  <c r="H12" i="2"/>
  <c r="H13" i="2" s="1"/>
  <c r="D10" i="12"/>
  <c r="C60" i="6"/>
  <c r="C61" i="6" s="1"/>
  <c r="C43" i="6"/>
  <c r="D11" i="6"/>
  <c r="E30" i="6"/>
  <c r="E49" i="6" s="1"/>
  <c r="E50" i="6" s="1"/>
  <c r="C10" i="12"/>
  <c r="H19" i="2"/>
  <c r="H24" i="2" s="1"/>
  <c r="B10" i="12"/>
  <c r="B11" i="12" s="1"/>
  <c r="B12" i="12" s="1"/>
  <c r="E15" i="12"/>
  <c r="C86" i="6"/>
  <c r="C64" i="6"/>
  <c r="C69" i="6"/>
  <c r="C4" i="6"/>
  <c r="C81" i="6"/>
  <c r="C91" i="6" s="1"/>
  <c r="D83" i="6"/>
  <c r="C92" i="6"/>
  <c r="E59" i="6"/>
  <c r="E61" i="6" s="1"/>
  <c r="J8" i="2"/>
  <c r="E4" i="6" s="1"/>
  <c r="D16" i="12"/>
  <c r="D18" i="12" s="1"/>
  <c r="E69" i="6"/>
  <c r="E71" i="6" s="1"/>
  <c r="I19" i="2"/>
  <c r="I24" i="2" s="1"/>
  <c r="E9" i="6"/>
  <c r="E17" i="6" s="1"/>
  <c r="E87" i="6"/>
  <c r="E88" i="6" s="1"/>
  <c r="K3" i="9" s="1"/>
  <c r="C87" i="6"/>
  <c r="D108" i="6"/>
  <c r="D19" i="6"/>
  <c r="D61" i="6"/>
  <c r="E65" i="6"/>
  <c r="E66" i="6" s="1"/>
  <c r="D70" i="6"/>
  <c r="D71" i="6" s="1"/>
  <c r="C88" i="6" l="1"/>
  <c r="C93" i="6"/>
  <c r="C83" i="6"/>
  <c r="K6" i="9"/>
  <c r="B16" i="11" s="1"/>
  <c r="B18" i="11" s="1"/>
  <c r="F23" i="11" s="1"/>
  <c r="D42" i="6"/>
  <c r="D40" i="6"/>
  <c r="C22" i="11"/>
  <c r="C24" i="11" s="1"/>
  <c r="C13" i="7" s="1"/>
  <c r="C14" i="7" s="1"/>
  <c r="C6" i="12" s="1"/>
  <c r="D76" i="6"/>
  <c r="D78" i="6" s="1"/>
  <c r="C76" i="6"/>
  <c r="C78" i="6" s="1"/>
  <c r="B22" i="11"/>
  <c r="B24" i="11" s="1"/>
  <c r="B13" i="7" s="1"/>
  <c r="B14" i="7" s="1"/>
  <c r="E83" i="6"/>
  <c r="C70" i="6"/>
  <c r="C71" i="6" s="1"/>
  <c r="C65" i="6"/>
  <c r="C66" i="6" s="1"/>
  <c r="D31" i="6"/>
  <c r="D32" i="6" s="1"/>
  <c r="E10" i="12"/>
  <c r="D13" i="12"/>
  <c r="B4" i="4" s="1"/>
  <c r="D11" i="12"/>
  <c r="D12" i="12" s="1"/>
  <c r="C5" i="6"/>
  <c r="C29" i="6"/>
  <c r="D22" i="11"/>
  <c r="D24" i="11" s="1"/>
  <c r="E22" i="11" s="1"/>
  <c r="G22" i="11" s="1"/>
  <c r="E76" i="6"/>
  <c r="E78" i="6" s="1"/>
  <c r="B13" i="12"/>
  <c r="E16" i="12"/>
  <c r="E18" i="12" s="1"/>
  <c r="C13" i="12"/>
  <c r="C11" i="12"/>
  <c r="C12" i="12" s="1"/>
  <c r="C20" i="12" s="1"/>
  <c r="J13" i="2"/>
  <c r="D20" i="12" l="1"/>
  <c r="E23" i="11"/>
  <c r="G23" i="11" s="1"/>
  <c r="G24" i="11" s="1"/>
  <c r="E13" i="12"/>
  <c r="E5" i="6"/>
  <c r="E29" i="6"/>
  <c r="C39" i="6"/>
  <c r="C31" i="6"/>
  <c r="C32" i="6" s="1"/>
  <c r="C6" i="6"/>
  <c r="C107" i="6" s="1"/>
  <c r="C108" i="6" s="1"/>
  <c r="C10" i="6"/>
  <c r="D13" i="7"/>
  <c r="B10" i="11" s="1"/>
  <c r="B20" i="12"/>
  <c r="E11" i="12"/>
  <c r="E12" i="12" s="1"/>
  <c r="E20" i="12" s="1"/>
  <c r="C3" i="4" s="1"/>
  <c r="D3" i="4" s="1"/>
  <c r="E3" i="4" s="1"/>
  <c r="F3" i="4" s="1"/>
  <c r="G3" i="4" s="1"/>
  <c r="H3" i="4" s="1"/>
  <c r="I3" i="4" s="1"/>
  <c r="J3" i="4" s="1"/>
  <c r="K3" i="4" s="1"/>
  <c r="C18" i="6" l="1"/>
  <c r="C19" i="6" s="1"/>
  <c r="C11" i="6"/>
  <c r="D14" i="7"/>
  <c r="D6" i="12" s="1"/>
  <c r="E6" i="12" s="1"/>
  <c r="C42" i="6"/>
  <c r="C40" i="6"/>
  <c r="E39" i="6"/>
  <c r="E31" i="6"/>
  <c r="E32" i="6" s="1"/>
  <c r="E6" i="6"/>
  <c r="E107" i="6" s="1"/>
  <c r="E108" i="6" s="1"/>
  <c r="E10" i="6"/>
  <c r="C4" i="4"/>
  <c r="C5" i="4" s="1"/>
  <c r="E42" i="6" l="1"/>
  <c r="E40" i="6"/>
  <c r="E18" i="6"/>
  <c r="E19" i="6" s="1"/>
  <c r="E11" i="6"/>
  <c r="D4" i="4"/>
  <c r="D5" i="4" s="1"/>
  <c r="E4" i="4" l="1"/>
  <c r="E5" i="4" s="1"/>
  <c r="F4" i="4" l="1"/>
  <c r="G4" i="4" l="1"/>
  <c r="F5" i="4"/>
  <c r="G5" i="4" l="1"/>
  <c r="H4" i="4"/>
  <c r="H5" i="4" l="1"/>
  <c r="I4" i="4"/>
  <c r="J4" i="4" l="1"/>
  <c r="I5" i="4"/>
  <c r="K4" i="4" l="1"/>
  <c r="L4" i="4" s="1"/>
  <c r="J5" i="4"/>
  <c r="K5" i="4" l="1"/>
  <c r="M4" i="4" l="1"/>
  <c r="L6" i="4" s="1"/>
  <c r="L5" i="4"/>
  <c r="B15" i="4" l="1"/>
  <c r="B17" i="4" l="1"/>
</calcChain>
</file>

<file path=xl/sharedStrings.xml><?xml version="1.0" encoding="utf-8"?>
<sst xmlns="http://schemas.openxmlformats.org/spreadsheetml/2006/main" count="469" uniqueCount="351">
  <si>
    <t>Original Income Statement</t>
  </si>
  <si>
    <t>Recasted Income Statement</t>
  </si>
  <si>
    <t>Item</t>
  </si>
  <si>
    <t>Match Item</t>
  </si>
  <si>
    <t>New Item</t>
  </si>
  <si>
    <t>Revenue from property and online advertising</t>
  </si>
  <si>
    <t>Sales</t>
  </si>
  <si>
    <t>Revenue from financial services</t>
  </si>
  <si>
    <t>Cost of Sales</t>
  </si>
  <si>
    <t>Expense from franchisee commissions</t>
  </si>
  <si>
    <t>SG&amp;A</t>
  </si>
  <si>
    <t>Revenue from financial services after franchisee commissions</t>
  </si>
  <si>
    <t>Other Operating Expense</t>
  </si>
  <si>
    <t>Other income</t>
  </si>
  <si>
    <t>Investment Income</t>
  </si>
  <si>
    <t>Total operating income</t>
  </si>
  <si>
    <t>Other Income</t>
  </si>
  <si>
    <t>Employee benefits expenses</t>
  </si>
  <si>
    <t>Other Expense</t>
  </si>
  <si>
    <t>Consultant and contractor expenses</t>
  </si>
  <si>
    <t>Interest Income</t>
  </si>
  <si>
    <t>Marketing related expenses</t>
  </si>
  <si>
    <t>Interest Expense</t>
  </si>
  <si>
    <t>Technology and other expenses</t>
  </si>
  <si>
    <t>Tax Expense</t>
  </si>
  <si>
    <t>Advertising placement costs</t>
  </si>
  <si>
    <t>Unusual Gains, Net of Unusual Losses</t>
  </si>
  <si>
    <t>Operations and administration expense</t>
  </si>
  <si>
    <t>NPAT</t>
  </si>
  <si>
    <t>Impairment expense</t>
  </si>
  <si>
    <t>Minority Interest</t>
  </si>
  <si>
    <t>Revaluation of financial asset</t>
  </si>
  <si>
    <t>NPATMI</t>
  </si>
  <si>
    <t>Share of losses from associates</t>
  </si>
  <si>
    <t>Common Shares Outstanding</t>
  </si>
  <si>
    <t>Net gain on divestment related activities</t>
  </si>
  <si>
    <t>Earnings before interest, tax, depreciation and amortisation (EBITDA)</t>
  </si>
  <si>
    <t>Depreciation and amortisation expense</t>
  </si>
  <si>
    <t>Profit before interest and tax (EBIT)</t>
  </si>
  <si>
    <t>Interest income</t>
  </si>
  <si>
    <t>Interest expense</t>
  </si>
  <si>
    <t>Profit before income tax</t>
  </si>
  <si>
    <t>Income tax expense</t>
  </si>
  <si>
    <t>Profit for the year</t>
  </si>
  <si>
    <t>Profit/(loss) for the year is attributable to:</t>
  </si>
  <si>
    <t>Non-controlling interest</t>
  </si>
  <si>
    <t>Owners of the parent</t>
  </si>
  <si>
    <t>Earnings per share attributable to the ordinary equity holders</t>
  </si>
  <si>
    <t>Basic earnings per share (cents)</t>
  </si>
  <si>
    <t>Diluted earnings per share (cents)</t>
  </si>
  <si>
    <t>Original Balance Sheet</t>
  </si>
  <si>
    <t>Recasted Balance Sheet</t>
  </si>
  <si>
    <t>2022</t>
  </si>
  <si>
    <t>2023</t>
  </si>
  <si>
    <t>2024</t>
  </si>
  <si>
    <t>ASSETS</t>
  </si>
  <si>
    <t>Asset</t>
  </si>
  <si>
    <t>Current assets</t>
  </si>
  <si>
    <t>Cash and Marketable Securities</t>
  </si>
  <si>
    <t>Cash and cash equivalents</t>
  </si>
  <si>
    <t>Accounts Receivable</t>
  </si>
  <si>
    <t>Trade and other receivables</t>
  </si>
  <si>
    <t>Inventory</t>
  </si>
  <si>
    <t>Commission contract assets</t>
  </si>
  <si>
    <t>Other Current Assets</t>
  </si>
  <si>
    <t>Total Current Asset</t>
  </si>
  <si>
    <t>Current financial assets</t>
  </si>
  <si>
    <t>Long-Term Tangible Assets</t>
  </si>
  <si>
    <t>Current tax assets</t>
  </si>
  <si>
    <t>Long-Term Intangible Assets</t>
  </si>
  <si>
    <t>Assets held for sale</t>
  </si>
  <si>
    <t>Other Long-Term Assets</t>
  </si>
  <si>
    <t>Total Non-Current Asset</t>
  </si>
  <si>
    <t>Total current assets</t>
  </si>
  <si>
    <t>Total Asset</t>
  </si>
  <si>
    <t>Non-current assets</t>
  </si>
  <si>
    <t>Liabilities &amp; Equity</t>
  </si>
  <si>
    <t>Property, plant and equipment</t>
  </si>
  <si>
    <t>Short-Term Debt</t>
  </si>
  <si>
    <t>Intangible assets</t>
  </si>
  <si>
    <t>Accounts Payable</t>
  </si>
  <si>
    <t>Investment in associates</t>
  </si>
  <si>
    <t>Other Current Liabilities</t>
  </si>
  <si>
    <t>Total Current Liabilities</t>
  </si>
  <si>
    <t>Long-Term Debt</t>
  </si>
  <si>
    <t>Other non-current assets</t>
  </si>
  <si>
    <t>Deferred Taxes</t>
  </si>
  <si>
    <t>Total non-current assets</t>
  </si>
  <si>
    <t>Other Long-Term Liabilities</t>
  </si>
  <si>
    <t>Total Non-Current Liabilities</t>
  </si>
  <si>
    <t>Total assets</t>
  </si>
  <si>
    <t>Total Liabilities</t>
  </si>
  <si>
    <t>LIABILITIES</t>
  </si>
  <si>
    <t>Preferred Stock</t>
  </si>
  <si>
    <t>Current liabilities</t>
  </si>
  <si>
    <t>Common Shareholders' Equity</t>
  </si>
  <si>
    <t>Trade and other payables</t>
  </si>
  <si>
    <t>Total Equity</t>
  </si>
  <si>
    <t>Current tax liabilities</t>
  </si>
  <si>
    <t>Provisions</t>
  </si>
  <si>
    <t>Contract liabilities</t>
  </si>
  <si>
    <t>Interest-bearing loans and borrowings</t>
  </si>
  <si>
    <t>Commission liabilities</t>
  </si>
  <si>
    <t>Total current liabilities</t>
  </si>
  <si>
    <t>Non-current liabilities</t>
  </si>
  <si>
    <t>Other non-current payables</t>
  </si>
  <si>
    <t>Deferred tax liabilities</t>
  </si>
  <si>
    <t>Total non-current liabilities</t>
  </si>
  <si>
    <t>Total liabilities</t>
  </si>
  <si>
    <t>Net assets</t>
  </si>
  <si>
    <t>EQUITY</t>
  </si>
  <si>
    <t>Contributed equity</t>
  </si>
  <si>
    <t>Reserves</t>
  </si>
  <si>
    <t>Retained earnings</t>
  </si>
  <si>
    <t>Parent interest</t>
  </si>
  <si>
    <t>Total equity</t>
  </si>
  <si>
    <t>Original Cash Flow Statement</t>
  </si>
  <si>
    <t>Recasted Cash Flow Statement</t>
  </si>
  <si>
    <t>Cash flows from operating activities</t>
  </si>
  <si>
    <t>Net Income</t>
  </si>
  <si>
    <t>Receipts from customers (inclusive of GST)</t>
  </si>
  <si>
    <t>After-tax interest expense (income)</t>
  </si>
  <si>
    <t>Payments to suppliers and employees (inclusive of GST)</t>
  </si>
  <si>
    <t>Net (Investments in) or Liquidation of Operating Working Capital</t>
  </si>
  <si>
    <t>Net cash inflow from operating activities</t>
  </si>
  <si>
    <t>Net (Investment in) or Liquidation of Operating Long-Term Assets</t>
  </si>
  <si>
    <t>Interest received</t>
  </si>
  <si>
    <t>Net cash outflow from investing activities</t>
  </si>
  <si>
    <t>Interest paid</t>
  </si>
  <si>
    <t>Net Debt (Repayment) or Issuance</t>
  </si>
  <si>
    <t>Income taxes paid</t>
  </si>
  <si>
    <t>Dividend (Payments)</t>
  </si>
  <si>
    <t>Net Stock (Repurchase) or Issuance</t>
  </si>
  <si>
    <t>Net cash outflow from financing activities</t>
  </si>
  <si>
    <t>Cash flows from investing activities</t>
  </si>
  <si>
    <t>Net Cash Flow</t>
  </si>
  <si>
    <t>Payment for investment in subsidiaries, net of cash acquired</t>
  </si>
  <si>
    <t>Payment for investment in associates</t>
  </si>
  <si>
    <t>Payment for property, plant and equipment</t>
  </si>
  <si>
    <t>Payment for intangible assets</t>
  </si>
  <si>
    <t>Net redemption/(investment) in short term funds</t>
  </si>
  <si>
    <t>Payment for financial assets</t>
  </si>
  <si>
    <t>Cash flows from financing activities</t>
  </si>
  <si>
    <t>Dividends paid to company's shareholders</t>
  </si>
  <si>
    <t>Dividends paid to non-controlling interests in subsidiaries</t>
  </si>
  <si>
    <t>Payment for acquisition of treasury shares</t>
  </si>
  <si>
    <t>Proceeds from borrowings</t>
  </si>
  <si>
    <t>Repayment of borrowings and leases</t>
  </si>
  <si>
    <t>Related party loan to associate</t>
  </si>
  <si>
    <t>Net (decrease)/increase in cash and cash equivalents</t>
  </si>
  <si>
    <t>Cash and cash equivalents at the beginning of the year</t>
  </si>
  <si>
    <t>Cash and cash equivalents held for sale at the beginning of the year</t>
  </si>
  <si>
    <t>Effects of exchange rate changes on cash and cash equivalents</t>
  </si>
  <si>
    <t>Cash and cash equivalents at end of the year</t>
  </si>
  <si>
    <t>Revenue</t>
  </si>
  <si>
    <t>Total Expenses</t>
  </si>
  <si>
    <t>EBITDA</t>
  </si>
  <si>
    <t xml:space="preserve">EBIT </t>
  </si>
  <si>
    <t>Exclude Non-Operating Items</t>
  </si>
  <si>
    <t>Exclude Non-Recurring Items</t>
  </si>
  <si>
    <t>EBIT (Adjusted)</t>
  </si>
  <si>
    <t>EBIT * (1-T)</t>
  </si>
  <si>
    <t>No</t>
  </si>
  <si>
    <t>Name</t>
  </si>
  <si>
    <t>Beta (5Y Monthly)</t>
  </si>
  <si>
    <t>D/E Ratio</t>
  </si>
  <si>
    <t>Tax Rate</t>
  </si>
  <si>
    <t>Unlevered Beta</t>
  </si>
  <si>
    <t>Domain Holdings</t>
  </si>
  <si>
    <t>Frontier Digital Ventures</t>
  </si>
  <si>
    <t>RMA Global</t>
  </si>
  <si>
    <t>Rent.com.au</t>
  </si>
  <si>
    <t>Mean</t>
  </si>
  <si>
    <t>REA Equity Beta</t>
  </si>
  <si>
    <t>Autralia Tax Rate</t>
  </si>
  <si>
    <t>Industry Unlevered Beta</t>
  </si>
  <si>
    <t>REA Levered Beta</t>
  </si>
  <si>
    <t>GROWTH CALCULATION</t>
  </si>
  <si>
    <t>Description</t>
  </si>
  <si>
    <t>EBIT</t>
  </si>
  <si>
    <t>Change in NWC</t>
  </si>
  <si>
    <t>FCFF</t>
  </si>
  <si>
    <t>ROC</t>
  </si>
  <si>
    <t>Debt</t>
  </si>
  <si>
    <t>WACC</t>
  </si>
  <si>
    <t>weight</t>
  </si>
  <si>
    <t>cost</t>
  </si>
  <si>
    <t>Equity</t>
  </si>
  <si>
    <t xml:space="preserve">Growth rate </t>
  </si>
  <si>
    <t>Discounted FCFF</t>
  </si>
  <si>
    <t>Value</t>
  </si>
  <si>
    <t>AA</t>
  </si>
  <si>
    <t>Interest coverage</t>
  </si>
  <si>
    <t>ROE decompostion 1</t>
  </si>
  <si>
    <t>ROA</t>
  </si>
  <si>
    <t>Financial leverage</t>
  </si>
  <si>
    <t>Financial leverage = Assets/shareholders’ equity</t>
  </si>
  <si>
    <t>ROE</t>
  </si>
  <si>
    <t xml:space="preserve">ROE = ROA x Financial Leverage </t>
  </si>
  <si>
    <t>ROE decompostion 2</t>
  </si>
  <si>
    <t xml:space="preserve">Net profit margin </t>
  </si>
  <si>
    <t xml:space="preserve">Net profit margin = Net income / Revenue </t>
  </si>
  <si>
    <t>Asset Turnover</t>
  </si>
  <si>
    <t xml:space="preserve">Asset turnover = Revenue/Asset </t>
  </si>
  <si>
    <t xml:space="preserve">ROE = Net profit margin x Asset turnover x Financial Leverage </t>
  </si>
  <si>
    <t xml:space="preserve">ROE decompositio 3 </t>
  </si>
  <si>
    <t>Tax burden</t>
  </si>
  <si>
    <t>Tax burden = NI/ EBT</t>
  </si>
  <si>
    <t>Interest burden</t>
  </si>
  <si>
    <t>Interest burdent = EBT/ EBIT</t>
  </si>
  <si>
    <t xml:space="preserve">Ebit Margin </t>
  </si>
  <si>
    <t xml:space="preserve">Ebit margin = Ebit/ Revenue </t>
  </si>
  <si>
    <t xml:space="preserve">Total asset turn over </t>
  </si>
  <si>
    <t>ROE = Tax burden x Interest burden x EBT margin x Total Asset turnover x fiancial levelrage</t>
  </si>
  <si>
    <t xml:space="preserve">A. </t>
  </si>
  <si>
    <t>ii)</t>
  </si>
  <si>
    <t>NOPAT margin</t>
  </si>
  <si>
    <t>NOPAt</t>
  </si>
  <si>
    <t>NOPAT = Net income + (Interest expense – Interest income) x (1 – tax rate)</t>
  </si>
  <si>
    <t>Nopat Margin</t>
  </si>
  <si>
    <t>NOPAT Margin = NOPAT/Sales</t>
  </si>
  <si>
    <t>iii) Operating ROA</t>
  </si>
  <si>
    <t>Operating ROA</t>
  </si>
  <si>
    <t>Operating ROA = NOPAT Margin x (Sales/Net assets)</t>
  </si>
  <si>
    <t>Operating working capital</t>
  </si>
  <si>
    <t xml:space="preserve">Operating working capital= [(Current assets – Cash and marketable securities) – (Current liabilities – Short term debt and current portion of long-term debt)] </t>
  </si>
  <si>
    <t>Net long-term asset</t>
  </si>
  <si>
    <t>Net long-term asset= (Total long term assets – Non-interest bearing long term liabilities)</t>
  </si>
  <si>
    <t>Net asset</t>
  </si>
  <si>
    <t>Operating working capital + Net long-term assets</t>
  </si>
  <si>
    <t>iv) Net profit margin</t>
  </si>
  <si>
    <t>Net profit margin</t>
  </si>
  <si>
    <t>Net profit margin = Net profit/Sales</t>
  </si>
  <si>
    <t>B) efficiency and working ratio</t>
  </si>
  <si>
    <t>i) Operating working capital to sales</t>
  </si>
  <si>
    <t>Operating working capital to sale</t>
  </si>
  <si>
    <t>Opearating working capital to sale= opearting working capital/sales</t>
  </si>
  <si>
    <t xml:space="preserve">ii) Operating Working Capital Turnover </t>
  </si>
  <si>
    <t>Operating Working Capital Turnover= sales/operating working capital</t>
  </si>
  <si>
    <t>iii) Accounts Receivable Turnover</t>
  </si>
  <si>
    <t>Accounts Receivable Turnover = sales/accounts receivable</t>
  </si>
  <si>
    <t xml:space="preserve">Days’ Receivables </t>
  </si>
  <si>
    <t>Days’ Receivables = accounts receivable/average sales per day (assumed 360 days since it is a US-based company)</t>
  </si>
  <si>
    <t>C) Long Term Assets Management</t>
  </si>
  <si>
    <t>i) Net Long-Term Assets Turnover = sales/net long-term assets</t>
  </si>
  <si>
    <t>Net Long-Term Assets Turnover</t>
  </si>
  <si>
    <t>Net Long-Term Assets Turnover = sales/net long-term assets</t>
  </si>
  <si>
    <t>ii) PP&amp;E Turnover = sales/net PP&amp;E</t>
  </si>
  <si>
    <t>Net PP&amp;E</t>
  </si>
  <si>
    <t>From balance sheet</t>
  </si>
  <si>
    <t>PP&amp;E Turnover</t>
  </si>
  <si>
    <t>PP&amp;E Turnover = sales/net PP&amp;E</t>
  </si>
  <si>
    <t xml:space="preserve">D) Liquidity management </t>
  </si>
  <si>
    <t>i) Current Ratio = current assets/current liabilities</t>
  </si>
  <si>
    <t>Current asset</t>
  </si>
  <si>
    <t>Current ratio</t>
  </si>
  <si>
    <t>Current Ratio = current assets/current liabilities</t>
  </si>
  <si>
    <t>ii)Quick Ratio = (cash + short-term investments + accounts receivable)/current liabilities</t>
  </si>
  <si>
    <t>cash + short-term investments + accounts receivable</t>
  </si>
  <si>
    <t>Quick ratio</t>
  </si>
  <si>
    <t>Quick Ratio = (cash + short-term investments + accounts receivable)/current liabilities</t>
  </si>
  <si>
    <t>iii)Cash Ratio = (cash + marketable securities)/current liabilities</t>
  </si>
  <si>
    <t>cash + marketable securities</t>
  </si>
  <si>
    <t>Cash ratio</t>
  </si>
  <si>
    <t>Cash Ratio = (cash + marketable securities)/current liabilities</t>
  </si>
  <si>
    <t>E) Debt and long term solvency</t>
  </si>
  <si>
    <t>i) Liabilities to Equity Ratio = total liabilities/shareholders’ equity</t>
  </si>
  <si>
    <t>Total liablities</t>
  </si>
  <si>
    <t>Share's holder equity</t>
  </si>
  <si>
    <t>Liabiites to equity ratio</t>
  </si>
  <si>
    <t>ii) Debt to Equity Ratio = (short-term debt + long-term debt)/shareholders’ equity</t>
  </si>
  <si>
    <t>(short-term debt + long-term debt)</t>
  </si>
  <si>
    <t>Debt to equity ratio</t>
  </si>
  <si>
    <t>iii) Net Debt to Equity Ratio</t>
  </si>
  <si>
    <t>short-term debt + long-term debt – cash and marketable securities</t>
  </si>
  <si>
    <t>Net debt to equity ratio</t>
  </si>
  <si>
    <t>Net Debt to Equity Ratio = (short-term debt + long-term debt – cash and marketable securities)/shareholders’ equity</t>
  </si>
  <si>
    <t>iv) Debt to Capital Ratio</t>
  </si>
  <si>
    <t>(short-term debt + long-term debt + shareholder’s equity)</t>
  </si>
  <si>
    <t>Debt to capital ratio</t>
  </si>
  <si>
    <t>Debt to Capital Ratio = (short-term debt + long-term debt)/(short-term debt + long-term debt + shareholder’s equity)</t>
  </si>
  <si>
    <t>v) Interest Coverage (earnings basis)</t>
  </si>
  <si>
    <t>(net income + interest expense + tax expense)</t>
  </si>
  <si>
    <t>interest expense</t>
  </si>
  <si>
    <t>Interest Coverage (earnings basis) = (net income + interest expense + tax expense)/interest expense</t>
  </si>
  <si>
    <t>vi) Dividend Payout Ratio</t>
  </si>
  <si>
    <t>Cash dividend paid</t>
  </si>
  <si>
    <t>From cash flow</t>
  </si>
  <si>
    <t>Net income</t>
  </si>
  <si>
    <t>Devidend payout ratio</t>
  </si>
  <si>
    <t>Dividend Payout Ratio = cash dividends paid/net income (Assumed dividend was paid)</t>
  </si>
  <si>
    <t>F) Sustainable Growth</t>
  </si>
  <si>
    <t>Sustainable growth rate = ROE (1 – dividend payout ratio)</t>
  </si>
  <si>
    <t>Sustainable rate ratio</t>
  </si>
  <si>
    <t>DuPont Analysis</t>
  </si>
  <si>
    <t>2025</t>
  </si>
  <si>
    <t>2026</t>
  </si>
  <si>
    <t>2027</t>
  </si>
  <si>
    <t>2028</t>
  </si>
  <si>
    <t>Expected growth rate</t>
  </si>
  <si>
    <t>2029</t>
  </si>
  <si>
    <t>Retention rate</t>
  </si>
  <si>
    <t>Reinvestment</t>
  </si>
  <si>
    <t>Aggregate</t>
  </si>
  <si>
    <t>Total Market Value</t>
  </si>
  <si>
    <t>Exclude Impairment Expense</t>
  </si>
  <si>
    <t>From annual report</t>
  </si>
  <si>
    <t>Depreciation and Armotisation</t>
  </si>
  <si>
    <t>Adjusted Interest Expense</t>
  </si>
  <si>
    <t>Bottom-up Beta</t>
  </si>
  <si>
    <t>WACC Calculation</t>
  </si>
  <si>
    <t>Share Price</t>
  </si>
  <si>
    <t>weight * cost</t>
  </si>
  <si>
    <t>Cost of Equity Calculation</t>
  </si>
  <si>
    <t>Cost of Debt Calculation</t>
  </si>
  <si>
    <t>Risk-free Rate</t>
  </si>
  <si>
    <t>Beta</t>
  </si>
  <si>
    <t>Market Risk Premium</t>
  </si>
  <si>
    <t>Corporate Credit Risk</t>
  </si>
  <si>
    <t>Default Spread</t>
  </si>
  <si>
    <t>Interest Coverage</t>
  </si>
  <si>
    <t>Cost of Debt</t>
  </si>
  <si>
    <t>After-Tax Cost Of Debt</t>
  </si>
  <si>
    <t>Cost Of Equity (CAPM)</t>
  </si>
  <si>
    <t>Tax normalisation</t>
  </si>
  <si>
    <t>Year</t>
  </si>
  <si>
    <t>EBIT*(1-T)</t>
  </si>
  <si>
    <t>Retention rate = Reinvestment / EBIT*(1-T)</t>
  </si>
  <si>
    <t>D&amp;A</t>
  </si>
  <si>
    <t>Expected growth rate = ROC x retention rate</t>
  </si>
  <si>
    <t>Cash &amp; Cash Equivalent</t>
  </si>
  <si>
    <t xml:space="preserve">BV of Equity </t>
  </si>
  <si>
    <t>BV of Debt</t>
  </si>
  <si>
    <t>Capital Expenditure</t>
  </si>
  <si>
    <t>Net Income = EBIT*(1-T) - Interest Expense</t>
  </si>
  <si>
    <t>Capital Expenditure = Net Long-Term Asset</t>
  </si>
  <si>
    <r>
      <t>Change in NWC = (Current Asset - Current Liabilites)</t>
    </r>
    <r>
      <rPr>
        <vertAlign val="subscript"/>
        <sz val="11"/>
        <rFont val="Calibri"/>
        <family val="2"/>
        <scheme val="minor"/>
      </rPr>
      <t>t</t>
    </r>
    <r>
      <rPr>
        <sz val="11"/>
        <rFont val="Calibri"/>
        <family val="2"/>
        <scheme val="minor"/>
      </rPr>
      <t xml:space="preserve"> - (Current Asset - Current Liabilites)</t>
    </r>
    <r>
      <rPr>
        <vertAlign val="subscript"/>
        <sz val="11"/>
        <rFont val="Calibri"/>
        <family val="2"/>
        <scheme val="minor"/>
      </rPr>
      <t>t-1</t>
    </r>
  </si>
  <si>
    <t>Reinvestment = CapEx - D&amp;A + Change in NWC</t>
  </si>
  <si>
    <t>FCFF = EBIT*(1-T) - CapEx + D&amp;A - Change in NWC</t>
  </si>
  <si>
    <t>ROC = EBIT*(1-T) / (BV of Equity + BV of Debt - Cash &amp; Cash Equivalent)</t>
  </si>
  <si>
    <t>Terminal value Y10</t>
  </si>
  <si>
    <t>Value of Company</t>
  </si>
  <si>
    <t>Value of Debt</t>
  </si>
  <si>
    <t>Value of Equity</t>
  </si>
  <si>
    <t>Number of Share</t>
  </si>
  <si>
    <t>Value of Share</t>
  </si>
  <si>
    <t>Real Share Price</t>
  </si>
  <si>
    <t xml:space="preserve">Real Market Price </t>
  </si>
  <si>
    <t>ROA = Net income / Assets</t>
  </si>
  <si>
    <t>Financial Leverage</t>
  </si>
  <si>
    <t>at 28 June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</si>
</sst>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.00_);[Red]\(&quot;$&quot;#,##0.00\)"/>
    <numFmt numFmtId="165" formatCode="_([$AUD]\ * #,##0.00_);_([$AUD]\ * \(#,##0.00\);_([$AUD]\ * &quot;-&quot;??_);_(@_)"/>
    <numFmt numFmtId="166" formatCode="_(* #,##0_);_(* \(#,##0\);_(* &quot;-&quot;??_);_(@_)"/>
    <numFmt numFmtId="167" formatCode="_([$AUD]\ * #,##0_);_([$AUD]\ * \(#,##0\);_([$AUD]\ * &quot;-&quot;??_);_(@_)"/>
    <numFmt numFmtId="168" formatCode="0.0"/>
    <numFmt numFmtId="169" formatCode="0.00000%"/>
    <numFmt numFmtId="170" formatCode="_(* #,##0.00,,_);_(* \(#,##0.00,,\);_(* &quot;-&quot;??_);_(@_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EE0000"/>
      <name val="Calibri"/>
      <family val="2"/>
      <scheme val="minor"/>
    </font>
    <font>
      <b/>
      <sz val="11"/>
      <color rgb="FFEE0000"/>
      <name val="Calibri"/>
      <family val="2"/>
      <scheme val="minor"/>
    </font>
    <font>
      <vertAlign val="subscript"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9" fontId="13" fillId="0" borderId="0" applyFont="0" applyFill="0" applyBorder="0" applyAlignment="0" applyProtection="0"/>
  </cellStyleXfs>
  <cellXfs count="150">
    <xf numFmtId="0" fontId="0" fillId="0" borderId="0" xfId="0"/>
    <xf numFmtId="0" fontId="1" fillId="0" borderId="0" xfId="0" applyFont="1"/>
    <xf numFmtId="9" fontId="0" fillId="0" borderId="0" xfId="0" applyNumberFormat="1"/>
    <xf numFmtId="10" fontId="0" fillId="0" borderId="0" xfId="0" applyNumberFormat="1"/>
    <xf numFmtId="0" fontId="0" fillId="0" borderId="1" xfId="0" applyBorder="1"/>
    <xf numFmtId="0" fontId="1" fillId="0" borderId="3" xfId="0" applyFont="1" applyBorder="1"/>
    <xf numFmtId="0" fontId="0" fillId="0" borderId="4" xfId="0" applyBorder="1"/>
    <xf numFmtId="10" fontId="0" fillId="0" borderId="5" xfId="0" applyNumberFormat="1" applyBorder="1"/>
    <xf numFmtId="2" fontId="0" fillId="0" borderId="5" xfId="0" applyNumberFormat="1" applyBorder="1"/>
    <xf numFmtId="0" fontId="0" fillId="0" borderId="6" xfId="0" applyBorder="1"/>
    <xf numFmtId="0" fontId="1" fillId="0" borderId="1" xfId="0" applyFont="1" applyBorder="1"/>
    <xf numFmtId="0" fontId="1" fillId="0" borderId="6" xfId="0" applyFont="1" applyBorder="1"/>
    <xf numFmtId="170" fontId="0" fillId="0" borderId="7" xfId="0" applyNumberFormat="1" applyBorder="1"/>
    <xf numFmtId="0" fontId="0" fillId="0" borderId="7" xfId="0" applyBorder="1"/>
    <xf numFmtId="170" fontId="0" fillId="0" borderId="0" xfId="0" applyNumberFormat="1"/>
    <xf numFmtId="166" fontId="0" fillId="0" borderId="0" xfId="0" applyNumberFormat="1"/>
    <xf numFmtId="0" fontId="3" fillId="0" borderId="0" xfId="0" applyFont="1"/>
    <xf numFmtId="166" fontId="1" fillId="0" borderId="0" xfId="0" applyNumberFormat="1" applyFont="1"/>
    <xf numFmtId="10" fontId="0" fillId="0" borderId="0" xfId="2" applyNumberFormat="1" applyFont="1" applyFill="1" applyBorder="1"/>
    <xf numFmtId="10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167" fontId="0" fillId="0" borderId="0" xfId="0" applyNumberFormat="1"/>
    <xf numFmtId="169" fontId="0" fillId="0" borderId="0" xfId="2" applyNumberFormat="1" applyFont="1" applyFill="1" applyBorder="1"/>
    <xf numFmtId="164" fontId="0" fillId="0" borderId="0" xfId="0" applyNumberFormat="1"/>
    <xf numFmtId="0" fontId="1" fillId="0" borderId="0" xfId="0" applyFont="1" applyAlignment="1">
      <alignment horizontal="center"/>
    </xf>
    <xf numFmtId="170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0" fillId="0" borderId="5" xfId="0" applyBorder="1"/>
    <xf numFmtId="0" fontId="1" fillId="0" borderId="4" xfId="0" applyFont="1" applyBorder="1"/>
    <xf numFmtId="0" fontId="0" fillId="0" borderId="0" xfId="0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7" fillId="0" borderId="4" xfId="0" applyFont="1" applyBorder="1"/>
    <xf numFmtId="0" fontId="4" fillId="0" borderId="5" xfId="0" applyFont="1" applyBorder="1"/>
    <xf numFmtId="0" fontId="4" fillId="0" borderId="4" xfId="0" applyFont="1" applyBorder="1"/>
    <xf numFmtId="0" fontId="4" fillId="0" borderId="6" xfId="0" applyFont="1" applyBorder="1"/>
    <xf numFmtId="170" fontId="4" fillId="0" borderId="7" xfId="0" applyNumberFormat="1" applyFont="1" applyBorder="1"/>
    <xf numFmtId="0" fontId="2" fillId="0" borderId="8" xfId="0" applyFont="1" applyBorder="1"/>
    <xf numFmtId="0" fontId="0" fillId="0" borderId="0" xfId="0" applyAlignment="1">
      <alignment horizontal="center"/>
    </xf>
    <xf numFmtId="0" fontId="5" fillId="0" borderId="0" xfId="0" applyFont="1" applyAlignment="1">
      <alignment vertical="center" wrapText="1"/>
    </xf>
    <xf numFmtId="0" fontId="0" fillId="0" borderId="0" xfId="0" applyAlignment="1">
      <alignment vertical="top" wrapText="1"/>
    </xf>
    <xf numFmtId="4" fontId="0" fillId="0" borderId="0" xfId="0" applyNumberFormat="1"/>
    <xf numFmtId="0" fontId="2" fillId="0" borderId="0" xfId="0" applyFont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166" fontId="1" fillId="0" borderId="0" xfId="0" applyNumberFormat="1" applyFont="1" applyAlignment="1">
      <alignment horizontal="center" vertical="center" wrapText="1"/>
    </xf>
    <xf numFmtId="3" fontId="0" fillId="0" borderId="0" xfId="0" applyNumberFormat="1"/>
    <xf numFmtId="0" fontId="0" fillId="0" borderId="0" xfId="0" applyAlignment="1">
      <alignment horizontal="left"/>
    </xf>
    <xf numFmtId="170" fontId="0" fillId="0" borderId="0" xfId="0" applyNumberFormat="1" applyAlignment="1">
      <alignment vertical="center" wrapText="1"/>
    </xf>
    <xf numFmtId="170" fontId="1" fillId="0" borderId="0" xfId="0" applyNumberFormat="1" applyFont="1" applyAlignment="1">
      <alignment vertical="center" wrapText="1"/>
    </xf>
    <xf numFmtId="0" fontId="7" fillId="0" borderId="0" xfId="0" applyFont="1"/>
    <xf numFmtId="170" fontId="4" fillId="0" borderId="0" xfId="0" applyNumberFormat="1" applyFont="1"/>
    <xf numFmtId="0" fontId="0" fillId="2" borderId="0" xfId="0" applyFill="1"/>
    <xf numFmtId="10" fontId="0" fillId="2" borderId="0" xfId="0" applyNumberFormat="1" applyFill="1"/>
    <xf numFmtId="2" fontId="0" fillId="2" borderId="0" xfId="0" applyNumberFormat="1" applyFill="1"/>
    <xf numFmtId="9" fontId="0" fillId="2" borderId="0" xfId="0" applyNumberFormat="1" applyFill="1"/>
    <xf numFmtId="10" fontId="0" fillId="2" borderId="0" xfId="2" applyNumberFormat="1" applyFont="1" applyFill="1" applyBorder="1"/>
    <xf numFmtId="0" fontId="0" fillId="3" borderId="0" xfId="0" applyFill="1"/>
    <xf numFmtId="2" fontId="0" fillId="3" borderId="0" xfId="0" applyNumberFormat="1" applyFill="1"/>
    <xf numFmtId="10" fontId="0" fillId="3" borderId="0" xfId="0" applyNumberFormat="1" applyFill="1"/>
    <xf numFmtId="0" fontId="9" fillId="0" borderId="0" xfId="0" applyFont="1"/>
    <xf numFmtId="0" fontId="10" fillId="0" borderId="0" xfId="0" applyFont="1"/>
    <xf numFmtId="0" fontId="0" fillId="0" borderId="0" xfId="0" quotePrefix="1"/>
    <xf numFmtId="0" fontId="8" fillId="0" borderId="0" xfId="1" quotePrefix="1" applyFill="1" applyBorder="1"/>
    <xf numFmtId="168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5" fillId="0" borderId="5" xfId="0" applyFont="1" applyBorder="1" applyAlignment="1">
      <alignment vertical="center" wrapText="1"/>
    </xf>
    <xf numFmtId="170" fontId="7" fillId="0" borderId="0" xfId="0" applyNumberFormat="1" applyFont="1" applyAlignment="1">
      <alignment vertical="center" wrapText="1"/>
    </xf>
    <xf numFmtId="170" fontId="7" fillId="0" borderId="0" xfId="0" applyNumberFormat="1" applyFont="1"/>
    <xf numFmtId="0" fontId="6" fillId="0" borderId="5" xfId="0" applyFont="1" applyBorder="1" applyAlignment="1">
      <alignment vertical="center" wrapText="1"/>
    </xf>
    <xf numFmtId="0" fontId="1" fillId="0" borderId="5" xfId="0" applyFont="1" applyBorder="1"/>
    <xf numFmtId="0" fontId="7" fillId="0" borderId="5" xfId="0" applyFont="1" applyBorder="1"/>
    <xf numFmtId="170" fontId="0" fillId="0" borderId="7" xfId="0" applyNumberFormat="1" applyBorder="1" applyAlignment="1">
      <alignment vertical="center" wrapText="1"/>
    </xf>
    <xf numFmtId="0" fontId="0" fillId="0" borderId="8" xfId="0" applyBorder="1"/>
    <xf numFmtId="0" fontId="1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170" fontId="5" fillId="0" borderId="0" xfId="0" applyNumberFormat="1" applyFont="1" applyAlignment="1">
      <alignment vertical="center" wrapText="1"/>
    </xf>
    <xf numFmtId="170" fontId="5" fillId="0" borderId="5" xfId="0" applyNumberFormat="1" applyFont="1" applyBorder="1" applyAlignment="1">
      <alignment vertical="center" wrapText="1"/>
    </xf>
    <xf numFmtId="170" fontId="0" fillId="0" borderId="5" xfId="0" applyNumberFormat="1" applyBorder="1"/>
    <xf numFmtId="0" fontId="1" fillId="0" borderId="4" xfId="0" applyFont="1" applyBorder="1" applyAlignment="1">
      <alignment vertical="top" wrapText="1"/>
    </xf>
    <xf numFmtId="170" fontId="6" fillId="0" borderId="0" xfId="0" applyNumberFormat="1" applyFont="1" applyAlignment="1">
      <alignment vertical="center" wrapText="1"/>
    </xf>
    <xf numFmtId="170" fontId="6" fillId="0" borderId="5" xfId="0" applyNumberFormat="1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170" fontId="5" fillId="0" borderId="7" xfId="0" applyNumberFormat="1" applyFont="1" applyBorder="1" applyAlignment="1">
      <alignment vertical="center" wrapText="1"/>
    </xf>
    <xf numFmtId="170" fontId="0" fillId="0" borderId="8" xfId="0" applyNumberFormat="1" applyBorder="1"/>
    <xf numFmtId="166" fontId="0" fillId="0" borderId="5" xfId="0" applyNumberFormat="1" applyBorder="1"/>
    <xf numFmtId="166" fontId="0" fillId="0" borderId="5" xfId="0" applyNumberFormat="1" applyBorder="1" applyAlignment="1">
      <alignment vertical="center" wrapText="1"/>
    </xf>
    <xf numFmtId="166" fontId="1" fillId="0" borderId="5" xfId="0" applyNumberFormat="1" applyFont="1" applyBorder="1"/>
    <xf numFmtId="166" fontId="1" fillId="0" borderId="7" xfId="0" applyNumberFormat="1" applyFont="1" applyBorder="1"/>
    <xf numFmtId="166" fontId="1" fillId="0" borderId="8" xfId="0" applyNumberFormat="1" applyFont="1" applyBorder="1"/>
    <xf numFmtId="3" fontId="1" fillId="0" borderId="1" xfId="0" applyNumberFormat="1" applyFont="1" applyBorder="1" applyAlignment="1">
      <alignment horizontal="center" vertical="center"/>
    </xf>
    <xf numFmtId="3" fontId="1" fillId="0" borderId="4" xfId="0" applyNumberFormat="1" applyFont="1" applyBorder="1" applyAlignment="1">
      <alignment horizontal="left" vertical="center" wrapText="1"/>
    </xf>
    <xf numFmtId="3" fontId="0" fillId="0" borderId="4" xfId="0" applyNumberFormat="1" applyBorder="1" applyAlignment="1">
      <alignment vertical="center" wrapText="1"/>
    </xf>
    <xf numFmtId="3" fontId="1" fillId="0" borderId="4" xfId="0" applyNumberFormat="1" applyFont="1" applyBorder="1" applyAlignment="1">
      <alignment vertical="center" wrapText="1"/>
    </xf>
    <xf numFmtId="3" fontId="1" fillId="0" borderId="4" xfId="0" applyNumberFormat="1" applyFont="1" applyBorder="1"/>
    <xf numFmtId="3" fontId="0" fillId="0" borderId="4" xfId="0" applyNumberFormat="1" applyBorder="1"/>
    <xf numFmtId="3" fontId="1" fillId="0" borderId="6" xfId="0" applyNumberFormat="1" applyFont="1" applyBorder="1" applyAlignment="1">
      <alignment vertical="center" wrapText="1"/>
    </xf>
    <xf numFmtId="170" fontId="0" fillId="0" borderId="5" xfId="0" applyNumberFormat="1" applyBorder="1" applyAlignment="1">
      <alignment vertical="center" wrapText="1"/>
    </xf>
    <xf numFmtId="170" fontId="1" fillId="0" borderId="5" xfId="0" applyNumberFormat="1" applyFont="1" applyBorder="1" applyAlignment="1">
      <alignment vertical="center" wrapText="1"/>
    </xf>
    <xf numFmtId="170" fontId="1" fillId="0" borderId="5" xfId="0" applyNumberFormat="1" applyFont="1" applyBorder="1"/>
    <xf numFmtId="170" fontId="1" fillId="0" borderId="7" xfId="0" applyNumberFormat="1" applyFont="1" applyBorder="1" applyAlignment="1">
      <alignment vertical="center" wrapText="1"/>
    </xf>
    <xf numFmtId="170" fontId="1" fillId="0" borderId="8" xfId="0" applyNumberFormat="1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170" fontId="1" fillId="0" borderId="2" xfId="0" applyNumberFormat="1" applyFont="1" applyBorder="1"/>
    <xf numFmtId="170" fontId="1" fillId="0" borderId="3" xfId="0" applyNumberFormat="1" applyFont="1" applyBorder="1"/>
    <xf numFmtId="0" fontId="11" fillId="0" borderId="4" xfId="0" applyFont="1" applyBorder="1"/>
    <xf numFmtId="0" fontId="6" fillId="0" borderId="4" xfId="0" applyFont="1" applyBorder="1"/>
    <xf numFmtId="170" fontId="1" fillId="0" borderId="7" xfId="0" applyNumberFormat="1" applyFont="1" applyBorder="1"/>
    <xf numFmtId="170" fontId="1" fillId="0" borderId="8" xfId="0" applyNumberFormat="1" applyFont="1" applyBorder="1"/>
    <xf numFmtId="0" fontId="1" fillId="0" borderId="2" xfId="0" applyFont="1" applyBorder="1"/>
    <xf numFmtId="0" fontId="1" fillId="0" borderId="2" xfId="0" applyFont="1" applyBorder="1" applyAlignment="1">
      <alignment wrapText="1"/>
    </xf>
    <xf numFmtId="0" fontId="1" fillId="0" borderId="7" xfId="0" applyFont="1" applyBorder="1"/>
    <xf numFmtId="2" fontId="1" fillId="0" borderId="7" xfId="0" applyNumberFormat="1" applyFont="1" applyBorder="1"/>
    <xf numFmtId="10" fontId="1" fillId="0" borderId="7" xfId="0" applyNumberFormat="1" applyFont="1" applyBorder="1"/>
    <xf numFmtId="2" fontId="1" fillId="0" borderId="8" xfId="0" applyNumberFormat="1" applyFont="1" applyBorder="1"/>
    <xf numFmtId="2" fontId="1" fillId="0" borderId="1" xfId="0" applyNumberFormat="1" applyFont="1" applyBorder="1"/>
    <xf numFmtId="0" fontId="0" fillId="0" borderId="3" xfId="0" applyBorder="1"/>
    <xf numFmtId="9" fontId="0" fillId="0" borderId="5" xfId="0" applyNumberFormat="1" applyBorder="1"/>
    <xf numFmtId="10" fontId="0" fillId="0" borderId="3" xfId="0" applyNumberFormat="1" applyBorder="1"/>
    <xf numFmtId="10" fontId="14" fillId="0" borderId="8" xfId="0" applyNumberFormat="1" applyFont="1" applyBorder="1"/>
    <xf numFmtId="10" fontId="15" fillId="0" borderId="8" xfId="0" applyNumberFormat="1" applyFont="1" applyBorder="1"/>
    <xf numFmtId="0" fontId="15" fillId="0" borderId="0" xfId="0" applyFont="1"/>
    <xf numFmtId="168" fontId="0" fillId="0" borderId="5" xfId="0" applyNumberFormat="1" applyBorder="1"/>
    <xf numFmtId="0" fontId="15" fillId="0" borderId="6" xfId="0" applyFont="1" applyBorder="1"/>
    <xf numFmtId="0" fontId="0" fillId="0" borderId="5" xfId="0" applyBorder="1" applyAlignment="1">
      <alignment horizontal="right"/>
    </xf>
    <xf numFmtId="170" fontId="0" fillId="0" borderId="4" xfId="0" applyNumberFormat="1" applyBorder="1"/>
    <xf numFmtId="170" fontId="0" fillId="0" borderId="6" xfId="0" applyNumberFormat="1" applyBorder="1"/>
    <xf numFmtId="9" fontId="0" fillId="0" borderId="8" xfId="0" applyNumberFormat="1" applyBorder="1"/>
    <xf numFmtId="167" fontId="0" fillId="0" borderId="5" xfId="0" applyNumberFormat="1" applyBorder="1"/>
    <xf numFmtId="165" fontId="0" fillId="0" borderId="8" xfId="0" applyNumberFormat="1" applyBorder="1"/>
    <xf numFmtId="0" fontId="15" fillId="0" borderId="4" xfId="0" applyFont="1" applyBorder="1"/>
    <xf numFmtId="165" fontId="14" fillId="0" borderId="5" xfId="0" applyNumberFormat="1" applyFont="1" applyBorder="1"/>
    <xf numFmtId="0" fontId="4" fillId="0" borderId="0" xfId="0" applyFont="1"/>
    <xf numFmtId="10" fontId="7" fillId="0" borderId="0" xfId="0" applyNumberFormat="1" applyFont="1"/>
    <xf numFmtId="0" fontId="7" fillId="0" borderId="3" xfId="0" applyFont="1" applyBorder="1"/>
    <xf numFmtId="0" fontId="1" fillId="0" borderId="4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10" fontId="0" fillId="0" borderId="7" xfId="0" applyNumberFormat="1" applyBorder="1" applyAlignment="1">
      <alignment wrapText="1"/>
    </xf>
    <xf numFmtId="10" fontId="15" fillId="0" borderId="7" xfId="0" applyNumberFormat="1" applyFont="1" applyBorder="1" applyAlignment="1">
      <alignment wrapText="1"/>
    </xf>
    <xf numFmtId="0" fontId="15" fillId="0" borderId="5" xfId="0" applyFont="1" applyBorder="1"/>
    <xf numFmtId="170" fontId="15" fillId="0" borderId="0" xfId="0" applyNumberFormat="1" applyFont="1"/>
    <xf numFmtId="0" fontId="15" fillId="0" borderId="8" xfId="0" applyFont="1" applyBorder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0"/>
  <sheetViews>
    <sheetView zoomScaleNormal="100" workbookViewId="0">
      <selection activeCell="G12" sqref="G12"/>
    </sheetView>
  </sheetViews>
  <sheetFormatPr defaultColWidth="8.85546875" defaultRowHeight="15" x14ac:dyDescent="0.25"/>
  <cols>
    <col min="1" max="1" width="58" bestFit="1" customWidth="1"/>
    <col min="2" max="2" width="16.140625" customWidth="1"/>
    <col min="3" max="4" width="16.42578125" bestFit="1" customWidth="1"/>
    <col min="5" max="5" width="32.42578125" customWidth="1"/>
    <col min="7" max="7" width="31.85546875" bestFit="1" customWidth="1"/>
    <col min="8" max="8" width="15" bestFit="1" customWidth="1"/>
    <col min="9" max="10" width="17" bestFit="1" customWidth="1"/>
  </cols>
  <sheetData>
    <row r="1" spans="1:11" x14ac:dyDescent="0.25">
      <c r="A1" s="148" t="s">
        <v>0</v>
      </c>
      <c r="B1" s="148"/>
      <c r="C1" s="148"/>
      <c r="D1" s="148"/>
      <c r="E1" s="148"/>
      <c r="G1" s="148" t="s">
        <v>1</v>
      </c>
      <c r="H1" s="148"/>
      <c r="I1" s="148"/>
      <c r="J1" s="148"/>
    </row>
    <row r="2" spans="1:11" s="42" customFormat="1" x14ac:dyDescent="0.25">
      <c r="A2" s="69" t="s">
        <v>2</v>
      </c>
      <c r="B2" s="70">
        <v>2022</v>
      </c>
      <c r="C2" s="71">
        <v>2023</v>
      </c>
      <c r="D2" s="71">
        <v>2024</v>
      </c>
      <c r="E2" s="30" t="s">
        <v>3</v>
      </c>
      <c r="G2" s="69" t="s">
        <v>4</v>
      </c>
      <c r="H2" s="29">
        <v>2022</v>
      </c>
      <c r="I2" s="29">
        <v>2023</v>
      </c>
      <c r="J2" s="80">
        <v>2024</v>
      </c>
    </row>
    <row r="3" spans="1:11" x14ac:dyDescent="0.25">
      <c r="A3" s="6" t="s">
        <v>5</v>
      </c>
      <c r="B3" s="52">
        <v>1102300000</v>
      </c>
      <c r="C3" s="14">
        <v>1122300000</v>
      </c>
      <c r="D3" s="14">
        <v>1356400000</v>
      </c>
      <c r="E3" s="72" t="s">
        <v>6</v>
      </c>
      <c r="G3" s="81" t="s">
        <v>6</v>
      </c>
      <c r="H3" s="82">
        <f>B3+B4+B7</f>
        <v>1427400000</v>
      </c>
      <c r="I3" s="82">
        <f t="shared" ref="I3" si="0">C3+C4+C7</f>
        <v>1392400000</v>
      </c>
      <c r="J3" s="83">
        <f>D3+D4+D7</f>
        <v>1699800000</v>
      </c>
    </row>
    <row r="4" spans="1:11" x14ac:dyDescent="0.25">
      <c r="A4" s="6" t="s">
        <v>7</v>
      </c>
      <c r="B4" s="52">
        <v>325100000</v>
      </c>
      <c r="C4" s="14">
        <v>270100000</v>
      </c>
      <c r="D4" s="14">
        <v>320600000</v>
      </c>
      <c r="E4" s="72" t="s">
        <v>6</v>
      </c>
      <c r="G4" s="81" t="s">
        <v>8</v>
      </c>
      <c r="H4" s="82">
        <f>B5</f>
        <v>-267200000</v>
      </c>
      <c r="I4" s="82">
        <f t="shared" ref="I4" si="1">C5</f>
        <v>-209200000</v>
      </c>
      <c r="J4" s="83">
        <f>D5</f>
        <v>-247000000</v>
      </c>
    </row>
    <row r="5" spans="1:11" x14ac:dyDescent="0.25">
      <c r="A5" s="6" t="s">
        <v>9</v>
      </c>
      <c r="B5" s="52">
        <v>-267200000</v>
      </c>
      <c r="C5" s="14">
        <v>-209200000</v>
      </c>
      <c r="D5" s="14">
        <v>-247000000</v>
      </c>
      <c r="E5" s="72" t="s">
        <v>8</v>
      </c>
      <c r="G5" s="81" t="s">
        <v>10</v>
      </c>
      <c r="H5" s="82">
        <f>B9+B10+B11+B12+B13+B14+B20</f>
        <v>-605500000</v>
      </c>
      <c r="I5" s="82">
        <f>C9+C10+C11+C12+C13+C14+C20</f>
        <v>-638600000</v>
      </c>
      <c r="J5" s="83">
        <f>D9+D10+D11+D12+D13+D14+D20</f>
        <v>-741700000</v>
      </c>
    </row>
    <row r="6" spans="1:11" x14ac:dyDescent="0.25">
      <c r="A6" s="6" t="s">
        <v>11</v>
      </c>
      <c r="B6" s="52">
        <v>57900000</v>
      </c>
      <c r="C6" s="14">
        <v>60900000</v>
      </c>
      <c r="D6" s="14">
        <v>73600000</v>
      </c>
      <c r="E6" s="72"/>
      <c r="G6" s="81" t="s">
        <v>12</v>
      </c>
      <c r="H6" s="82">
        <f>B15</f>
        <v>0</v>
      </c>
      <c r="I6" s="82">
        <f>C15</f>
        <v>-3000000</v>
      </c>
      <c r="J6" s="83">
        <f>D15</f>
        <v>-127900000</v>
      </c>
    </row>
    <row r="7" spans="1:11" x14ac:dyDescent="0.25">
      <c r="A7" s="6" t="s">
        <v>13</v>
      </c>
      <c r="B7" s="52">
        <v>0</v>
      </c>
      <c r="C7" s="14">
        <v>0</v>
      </c>
      <c r="D7" s="14">
        <v>22800000</v>
      </c>
      <c r="E7" s="72" t="s">
        <v>6</v>
      </c>
      <c r="G7" s="81" t="s">
        <v>14</v>
      </c>
      <c r="H7" s="82">
        <f>B17</f>
        <v>-21900000</v>
      </c>
      <c r="I7" s="82">
        <f t="shared" ref="I7" si="2">C17</f>
        <v>-18400000</v>
      </c>
      <c r="J7" s="83">
        <f>D17</f>
        <v>-31600000</v>
      </c>
    </row>
    <row r="8" spans="1:11" x14ac:dyDescent="0.25">
      <c r="A8" s="36" t="s">
        <v>15</v>
      </c>
      <c r="B8" s="73">
        <v>1160200000</v>
      </c>
      <c r="C8" s="74">
        <v>1183200000</v>
      </c>
      <c r="D8" s="74">
        <v>1452800000</v>
      </c>
      <c r="E8" s="75"/>
      <c r="G8" s="81" t="s">
        <v>16</v>
      </c>
      <c r="H8" s="82">
        <v>0</v>
      </c>
      <c r="I8" s="82">
        <v>0</v>
      </c>
      <c r="J8" s="83">
        <v>0</v>
      </c>
    </row>
    <row r="9" spans="1:11" x14ac:dyDescent="0.25">
      <c r="A9" s="6" t="s">
        <v>17</v>
      </c>
      <c r="B9" s="52">
        <v>-300600000</v>
      </c>
      <c r="C9" s="14">
        <v>-311000000</v>
      </c>
      <c r="D9" s="14">
        <v>-351600000</v>
      </c>
      <c r="E9" s="72" t="s">
        <v>10</v>
      </c>
      <c r="G9" s="81" t="s">
        <v>18</v>
      </c>
      <c r="H9" s="82">
        <f>B16</f>
        <v>0</v>
      </c>
      <c r="I9" s="82">
        <f t="shared" ref="I9" si="3">C16</f>
        <v>0</v>
      </c>
      <c r="J9" s="83">
        <f>D16</f>
        <v>-25700000</v>
      </c>
    </row>
    <row r="10" spans="1:11" x14ac:dyDescent="0.25">
      <c r="A10" s="6" t="s">
        <v>19</v>
      </c>
      <c r="B10" s="52">
        <v>-20400000</v>
      </c>
      <c r="C10" s="14">
        <v>-20700000</v>
      </c>
      <c r="D10" s="14">
        <v>-23700000</v>
      </c>
      <c r="E10" s="72" t="s">
        <v>10</v>
      </c>
      <c r="G10" s="81" t="s">
        <v>20</v>
      </c>
      <c r="H10" s="82">
        <f>B22</f>
        <v>1300000</v>
      </c>
      <c r="I10" s="82">
        <f t="shared" ref="I10:J11" si="4">C22</f>
        <v>7200000</v>
      </c>
      <c r="J10" s="83">
        <f t="shared" si="4"/>
        <v>12000000</v>
      </c>
    </row>
    <row r="11" spans="1:11" x14ac:dyDescent="0.25">
      <c r="A11" s="6" t="s">
        <v>21</v>
      </c>
      <c r="B11" s="52">
        <v>-81800000</v>
      </c>
      <c r="C11" s="14">
        <v>-80700000</v>
      </c>
      <c r="D11" s="14">
        <v>-95600000</v>
      </c>
      <c r="E11" s="72" t="s">
        <v>10</v>
      </c>
      <c r="G11" s="81" t="s">
        <v>22</v>
      </c>
      <c r="H11" s="82">
        <f>B23</f>
        <v>-8199999.9999999991</v>
      </c>
      <c r="I11" s="82">
        <f t="shared" si="4"/>
        <v>-17500000</v>
      </c>
      <c r="J11" s="83">
        <f>D23</f>
        <v>-26300000</v>
      </c>
    </row>
    <row r="12" spans="1:11" x14ac:dyDescent="0.25">
      <c r="A12" s="6" t="s">
        <v>23</v>
      </c>
      <c r="B12" s="52">
        <v>-34800000</v>
      </c>
      <c r="C12" s="14">
        <v>-42500000</v>
      </c>
      <c r="D12" s="14">
        <v>-47700000</v>
      </c>
      <c r="E12" s="72" t="s">
        <v>10</v>
      </c>
      <c r="G12" s="81" t="s">
        <v>24</v>
      </c>
      <c r="H12" s="82">
        <f>B25</f>
        <v>-176200000</v>
      </c>
      <c r="I12" s="82">
        <f>C25</f>
        <v>-168200000</v>
      </c>
      <c r="J12" s="83">
        <f>D25</f>
        <v>-218300000</v>
      </c>
    </row>
    <row r="13" spans="1:11" ht="29.25" customHeight="1" x14ac:dyDescent="0.25">
      <c r="A13" s="6" t="s">
        <v>25</v>
      </c>
      <c r="B13" s="52">
        <v>-21000000</v>
      </c>
      <c r="C13" s="14">
        <v>-19600000</v>
      </c>
      <c r="D13" s="14">
        <v>-19900000</v>
      </c>
      <c r="E13" s="72" t="s">
        <v>10</v>
      </c>
      <c r="G13" s="81" t="s">
        <v>26</v>
      </c>
      <c r="H13" s="82">
        <f>B18</f>
        <v>22000000</v>
      </c>
      <c r="I13" s="14">
        <f>C18</f>
        <v>0</v>
      </c>
      <c r="J13" s="84">
        <f>D18</f>
        <v>0</v>
      </c>
      <c r="K13" s="16"/>
    </row>
    <row r="14" spans="1:11" x14ac:dyDescent="0.25">
      <c r="A14" s="6" t="s">
        <v>27</v>
      </c>
      <c r="B14" s="52">
        <v>-53800000</v>
      </c>
      <c r="C14" s="14">
        <v>-72300000</v>
      </c>
      <c r="D14" s="14">
        <v>-89700000</v>
      </c>
      <c r="E14" s="72" t="s">
        <v>10</v>
      </c>
      <c r="G14" s="81" t="s">
        <v>28</v>
      </c>
      <c r="H14" s="82">
        <f>SUM(H3:H13)</f>
        <v>371700000</v>
      </c>
      <c r="I14" s="14">
        <f t="shared" ref="I14:J14" si="5">SUM(I3:I13)</f>
        <v>344700000</v>
      </c>
      <c r="J14" s="84">
        <f t="shared" si="5"/>
        <v>293300000</v>
      </c>
      <c r="K14" s="16"/>
    </row>
    <row r="15" spans="1:11" x14ac:dyDescent="0.25">
      <c r="A15" s="6" t="s">
        <v>29</v>
      </c>
      <c r="B15" s="52">
        <v>0</v>
      </c>
      <c r="C15" s="14">
        <v>-3000000</v>
      </c>
      <c r="D15" s="14">
        <v>-127900000</v>
      </c>
      <c r="E15" s="72" t="s">
        <v>12</v>
      </c>
      <c r="G15" s="81" t="s">
        <v>30</v>
      </c>
      <c r="H15" s="82">
        <f>B28</f>
        <v>-13100000</v>
      </c>
      <c r="I15" s="82">
        <f t="shared" ref="I15" si="6">C28</f>
        <v>-11400000</v>
      </c>
      <c r="J15" s="83">
        <f>D28</f>
        <v>-9500000</v>
      </c>
    </row>
    <row r="16" spans="1:11" x14ac:dyDescent="0.25">
      <c r="A16" s="6" t="s">
        <v>31</v>
      </c>
      <c r="B16" s="52">
        <v>0</v>
      </c>
      <c r="C16" s="14">
        <v>0</v>
      </c>
      <c r="D16" s="14">
        <v>-25700000</v>
      </c>
      <c r="E16" s="72" t="s">
        <v>18</v>
      </c>
      <c r="G16" s="85" t="s">
        <v>32</v>
      </c>
      <c r="H16" s="86">
        <f>H14-H15</f>
        <v>384800000</v>
      </c>
      <c r="I16" s="86">
        <f t="shared" ref="I16" si="7">I14-I15</f>
        <v>356100000</v>
      </c>
      <c r="J16" s="87">
        <f>J14-J15</f>
        <v>302800000</v>
      </c>
      <c r="K16" s="16"/>
    </row>
    <row r="17" spans="1:11" x14ac:dyDescent="0.25">
      <c r="A17" s="6" t="s">
        <v>33</v>
      </c>
      <c r="B17" s="52">
        <v>-21900000</v>
      </c>
      <c r="C17" s="14">
        <v>-18400000</v>
      </c>
      <c r="D17" s="14">
        <v>-31600000</v>
      </c>
      <c r="E17" s="72" t="s">
        <v>14</v>
      </c>
      <c r="G17" s="88" t="s">
        <v>34</v>
      </c>
      <c r="H17" s="89">
        <f>132117217 - 50858</f>
        <v>132066359</v>
      </c>
      <c r="I17" s="12">
        <f>132117217 - 52061</f>
        <v>132065156</v>
      </c>
      <c r="J17" s="90">
        <f>132117217 - 113102</f>
        <v>132004115</v>
      </c>
      <c r="K17" s="16" t="s">
        <v>306</v>
      </c>
    </row>
    <row r="18" spans="1:11" ht="30" x14ac:dyDescent="0.25">
      <c r="A18" s="6" t="s">
        <v>35</v>
      </c>
      <c r="B18" s="52">
        <v>22000000</v>
      </c>
      <c r="C18" s="14">
        <v>0</v>
      </c>
      <c r="D18" s="14">
        <v>0</v>
      </c>
      <c r="E18" s="72" t="s">
        <v>26</v>
      </c>
      <c r="G18" s="44"/>
      <c r="H18" s="43"/>
    </row>
    <row r="19" spans="1:11" x14ac:dyDescent="0.25">
      <c r="A19" s="6" t="s">
        <v>36</v>
      </c>
      <c r="B19" s="52">
        <v>647900000</v>
      </c>
      <c r="C19" s="14">
        <v>615000000</v>
      </c>
      <c r="D19" s="14">
        <v>639400000</v>
      </c>
      <c r="E19" s="31"/>
      <c r="H19" s="43"/>
      <c r="K19" s="45"/>
    </row>
    <row r="20" spans="1:11" x14ac:dyDescent="0.25">
      <c r="A20" s="6" t="s">
        <v>37</v>
      </c>
      <c r="B20" s="52">
        <v>-93100000</v>
      </c>
      <c r="C20" s="14">
        <v>-91800000</v>
      </c>
      <c r="D20" s="14">
        <v>-113500000</v>
      </c>
      <c r="E20" s="72" t="s">
        <v>10</v>
      </c>
      <c r="H20" s="43"/>
      <c r="K20" s="45"/>
    </row>
    <row r="21" spans="1:11" x14ac:dyDescent="0.25">
      <c r="A21" s="32" t="s">
        <v>38</v>
      </c>
      <c r="B21" s="53">
        <v>554800000</v>
      </c>
      <c r="C21" s="26">
        <v>523200000.00000006</v>
      </c>
      <c r="D21" s="26">
        <v>525900000</v>
      </c>
      <c r="E21" s="76"/>
      <c r="G21" s="44"/>
      <c r="H21" s="43"/>
    </row>
    <row r="22" spans="1:11" x14ac:dyDescent="0.25">
      <c r="A22" s="6" t="s">
        <v>39</v>
      </c>
      <c r="B22" s="14">
        <v>1300000</v>
      </c>
      <c r="C22" s="14">
        <v>7200000</v>
      </c>
      <c r="D22" s="14">
        <v>12000000</v>
      </c>
      <c r="E22" s="72" t="s">
        <v>20</v>
      </c>
    </row>
    <row r="23" spans="1:11" x14ac:dyDescent="0.25">
      <c r="A23" s="6" t="s">
        <v>40</v>
      </c>
      <c r="B23" s="14">
        <v>-8199999.9999999991</v>
      </c>
      <c r="C23" s="14">
        <v>-17500000</v>
      </c>
      <c r="D23" s="14">
        <v>-26300000</v>
      </c>
      <c r="E23" s="72" t="s">
        <v>22</v>
      </c>
    </row>
    <row r="24" spans="1:11" x14ac:dyDescent="0.25">
      <c r="A24" s="32" t="s">
        <v>41</v>
      </c>
      <c r="B24" s="53">
        <v>547900000</v>
      </c>
      <c r="C24" s="26">
        <v>512900000</v>
      </c>
      <c r="D24" s="26">
        <v>511600000</v>
      </c>
      <c r="E24" s="76"/>
    </row>
    <row r="25" spans="1:11" x14ac:dyDescent="0.25">
      <c r="A25" s="6" t="s">
        <v>42</v>
      </c>
      <c r="B25" s="52">
        <v>-176200000</v>
      </c>
      <c r="C25" s="14">
        <v>-168200000</v>
      </c>
      <c r="D25" s="14">
        <v>-218300000</v>
      </c>
      <c r="E25" s="31" t="s">
        <v>24</v>
      </c>
    </row>
    <row r="26" spans="1:11" x14ac:dyDescent="0.25">
      <c r="A26" s="36" t="s">
        <v>43</v>
      </c>
      <c r="B26" s="73">
        <v>371700000</v>
      </c>
      <c r="C26" s="74">
        <v>344700000</v>
      </c>
      <c r="D26" s="74">
        <v>293300000</v>
      </c>
      <c r="E26" s="77"/>
    </row>
    <row r="27" spans="1:11" x14ac:dyDescent="0.25">
      <c r="A27" s="6" t="s">
        <v>44</v>
      </c>
      <c r="B27" s="52"/>
      <c r="C27" s="14"/>
      <c r="D27" s="14"/>
      <c r="E27" s="31"/>
    </row>
    <row r="28" spans="1:11" x14ac:dyDescent="0.25">
      <c r="A28" s="6" t="s">
        <v>45</v>
      </c>
      <c r="B28" s="52">
        <v>-13100000</v>
      </c>
      <c r="C28" s="14">
        <v>-11400000</v>
      </c>
      <c r="D28" s="14">
        <v>-9500000</v>
      </c>
      <c r="E28" s="31" t="s">
        <v>30</v>
      </c>
    </row>
    <row r="29" spans="1:11" x14ac:dyDescent="0.25">
      <c r="A29" s="32" t="s">
        <v>46</v>
      </c>
      <c r="B29" s="53">
        <v>384800000</v>
      </c>
      <c r="C29" s="26">
        <v>356100000</v>
      </c>
      <c r="D29" s="26">
        <v>302800000</v>
      </c>
      <c r="E29" s="76"/>
    </row>
    <row r="30" spans="1:11" x14ac:dyDescent="0.25">
      <c r="A30" s="6"/>
      <c r="B30" s="52">
        <v>371700000</v>
      </c>
      <c r="C30" s="14">
        <v>344700000</v>
      </c>
      <c r="D30" s="14">
        <v>293300000</v>
      </c>
      <c r="E30" s="31"/>
    </row>
    <row r="31" spans="1:11" x14ac:dyDescent="0.25">
      <c r="A31" s="6" t="s">
        <v>47</v>
      </c>
      <c r="B31" s="52"/>
      <c r="C31" s="14"/>
      <c r="D31" s="14"/>
      <c r="E31" s="31"/>
    </row>
    <row r="32" spans="1:11" x14ac:dyDescent="0.25">
      <c r="A32" s="6" t="s">
        <v>48</v>
      </c>
      <c r="B32" s="52">
        <v>291300000</v>
      </c>
      <c r="C32" s="14">
        <v>269700000</v>
      </c>
      <c r="D32" s="14">
        <v>229300000</v>
      </c>
      <c r="E32" s="31"/>
    </row>
    <row r="33" spans="1:5" x14ac:dyDescent="0.25">
      <c r="A33" s="9" t="s">
        <v>49</v>
      </c>
      <c r="B33" s="78">
        <v>291300000</v>
      </c>
      <c r="C33" s="12">
        <v>269500000</v>
      </c>
      <c r="D33" s="12">
        <v>229100000</v>
      </c>
      <c r="E33" s="79"/>
    </row>
    <row r="50" spans="1:3" x14ac:dyDescent="0.25">
      <c r="B50" s="33"/>
      <c r="C50" s="33"/>
    </row>
    <row r="51" spans="1:3" x14ac:dyDescent="0.25">
      <c r="B51" s="33"/>
      <c r="C51" s="33"/>
    </row>
    <row r="52" spans="1:3" x14ac:dyDescent="0.25">
      <c r="B52" s="33"/>
      <c r="C52" s="33"/>
    </row>
    <row r="53" spans="1:3" x14ac:dyDescent="0.25">
      <c r="B53" s="33"/>
      <c r="C53" s="33"/>
    </row>
    <row r="54" spans="1:3" x14ac:dyDescent="0.25">
      <c r="B54" s="33"/>
      <c r="C54" s="33"/>
    </row>
    <row r="55" spans="1:3" x14ac:dyDescent="0.25">
      <c r="A55" s="46"/>
      <c r="B55" s="47"/>
      <c r="C55" s="47"/>
    </row>
    <row r="56" spans="1:3" x14ac:dyDescent="0.25">
      <c r="B56" s="33"/>
      <c r="C56" s="33"/>
    </row>
    <row r="57" spans="1:3" x14ac:dyDescent="0.25">
      <c r="B57" s="33"/>
      <c r="C57" s="33"/>
    </row>
    <row r="58" spans="1:3" x14ac:dyDescent="0.25">
      <c r="B58" s="33"/>
      <c r="C58" s="33"/>
    </row>
    <row r="59" spans="1:3" x14ac:dyDescent="0.25">
      <c r="B59" s="33"/>
      <c r="C59" s="33"/>
    </row>
    <row r="60" spans="1:3" x14ac:dyDescent="0.25">
      <c r="B60" s="33"/>
      <c r="C60" s="33"/>
    </row>
    <row r="61" spans="1:3" x14ac:dyDescent="0.25">
      <c r="B61" s="33"/>
      <c r="C61" s="33"/>
    </row>
    <row r="62" spans="1:3" x14ac:dyDescent="0.25">
      <c r="B62" s="33"/>
      <c r="C62" s="33"/>
    </row>
    <row r="63" spans="1:3" x14ac:dyDescent="0.25">
      <c r="B63" s="33"/>
      <c r="C63" s="33"/>
    </row>
    <row r="64" spans="1:3" x14ac:dyDescent="0.25">
      <c r="B64" s="33"/>
      <c r="C64" s="33"/>
    </row>
    <row r="65" spans="1:3" x14ac:dyDescent="0.25">
      <c r="B65" s="33"/>
      <c r="C65" s="33"/>
    </row>
    <row r="66" spans="1:3" x14ac:dyDescent="0.25">
      <c r="B66" s="33"/>
      <c r="C66" s="33"/>
    </row>
    <row r="67" spans="1:3" x14ac:dyDescent="0.25">
      <c r="B67" s="33"/>
      <c r="C67" s="33"/>
    </row>
    <row r="68" spans="1:3" x14ac:dyDescent="0.25">
      <c r="B68" s="33"/>
      <c r="C68" s="33"/>
    </row>
    <row r="71" spans="1:3" x14ac:dyDescent="0.25">
      <c r="B71" s="33"/>
      <c r="C71" s="33"/>
    </row>
    <row r="72" spans="1:3" x14ac:dyDescent="0.25">
      <c r="B72" s="33"/>
      <c r="C72" s="33"/>
    </row>
    <row r="73" spans="1:3" x14ac:dyDescent="0.25">
      <c r="A73" s="16"/>
      <c r="B73" s="48"/>
      <c r="C73" s="48"/>
    </row>
    <row r="74" spans="1:3" x14ac:dyDescent="0.25">
      <c r="B74" s="33"/>
      <c r="C74" s="33"/>
    </row>
    <row r="75" spans="1:3" x14ac:dyDescent="0.25">
      <c r="B75" s="33"/>
      <c r="C75" s="33"/>
    </row>
    <row r="76" spans="1:3" x14ac:dyDescent="0.25">
      <c r="B76" s="33"/>
      <c r="C76" s="33"/>
    </row>
    <row r="77" spans="1:3" x14ac:dyDescent="0.25">
      <c r="B77" s="33"/>
      <c r="C77" s="33"/>
    </row>
    <row r="78" spans="1:3" x14ac:dyDescent="0.25">
      <c r="B78" s="33"/>
      <c r="C78" s="33"/>
    </row>
    <row r="79" spans="1:3" x14ac:dyDescent="0.25">
      <c r="B79" s="33"/>
      <c r="C79" s="33"/>
    </row>
    <row r="80" spans="1:3" x14ac:dyDescent="0.25">
      <c r="B80" s="33"/>
      <c r="C80" s="33"/>
    </row>
  </sheetData>
  <mergeCells count="2">
    <mergeCell ref="A1:E1"/>
    <mergeCell ref="G1:J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980D2-E17B-46BE-955C-22154D51E1BE}">
  <dimension ref="A1:M50"/>
  <sheetViews>
    <sheetView topLeftCell="A7" zoomScale="96" zoomScaleNormal="96" workbookViewId="0">
      <selection activeCell="H28" sqref="H28"/>
    </sheetView>
  </sheetViews>
  <sheetFormatPr defaultColWidth="8.85546875" defaultRowHeight="15" x14ac:dyDescent="0.25"/>
  <cols>
    <col min="1" max="1" width="50.7109375" customWidth="1"/>
    <col min="2" max="2" width="16.42578125" customWidth="1"/>
    <col min="3" max="3" width="15.7109375" customWidth="1"/>
    <col min="4" max="4" width="16.42578125" customWidth="1"/>
    <col min="5" max="5" width="29.28515625" customWidth="1"/>
    <col min="7" max="7" width="36.7109375" customWidth="1"/>
    <col min="8" max="10" width="18.85546875" bestFit="1" customWidth="1"/>
  </cols>
  <sheetData>
    <row r="1" spans="1:11" s="27" customFormat="1" x14ac:dyDescent="0.25">
      <c r="A1" s="148" t="s">
        <v>50</v>
      </c>
      <c r="B1" s="148"/>
      <c r="C1" s="148"/>
      <c r="D1" s="148"/>
      <c r="E1" s="148"/>
      <c r="G1" s="148" t="s">
        <v>51</v>
      </c>
      <c r="H1" s="148"/>
      <c r="I1" s="148"/>
      <c r="J1" s="148"/>
    </row>
    <row r="2" spans="1:11" s="25" customFormat="1" x14ac:dyDescent="0.25">
      <c r="A2" s="28" t="s">
        <v>2</v>
      </c>
      <c r="B2" s="29">
        <v>2022</v>
      </c>
      <c r="C2" s="29">
        <v>2023</v>
      </c>
      <c r="D2" s="29">
        <v>2024</v>
      </c>
      <c r="E2" s="30" t="s">
        <v>3</v>
      </c>
      <c r="G2" s="96" t="s">
        <v>4</v>
      </c>
      <c r="H2" s="29">
        <v>2022</v>
      </c>
      <c r="I2" s="29">
        <v>2023</v>
      </c>
      <c r="J2" s="80">
        <v>2024</v>
      </c>
    </row>
    <row r="3" spans="1:11" x14ac:dyDescent="0.25">
      <c r="A3" s="32" t="s">
        <v>55</v>
      </c>
      <c r="B3" s="15"/>
      <c r="C3" s="15"/>
      <c r="D3" s="15"/>
      <c r="E3" s="91"/>
      <c r="G3" s="97" t="s">
        <v>56</v>
      </c>
      <c r="H3" s="49"/>
      <c r="I3" s="15"/>
      <c r="J3" s="91"/>
    </row>
    <row r="4" spans="1:11" x14ac:dyDescent="0.25">
      <c r="A4" s="32" t="s">
        <v>57</v>
      </c>
      <c r="B4" s="15"/>
      <c r="C4" s="15"/>
      <c r="D4" s="15"/>
      <c r="E4" s="91"/>
      <c r="G4" s="98" t="s">
        <v>58</v>
      </c>
      <c r="H4" s="52">
        <f>B5+B9</f>
        <v>248200000</v>
      </c>
      <c r="I4" s="52">
        <f t="shared" ref="I4:J4" si="0">C5+C9</f>
        <v>286300000</v>
      </c>
      <c r="J4" s="103">
        <f t="shared" si="0"/>
        <v>205100000</v>
      </c>
    </row>
    <row r="5" spans="1:11" x14ac:dyDescent="0.25">
      <c r="A5" s="6" t="s">
        <v>59</v>
      </c>
      <c r="B5" s="15">
        <v>248200000</v>
      </c>
      <c r="C5" s="15">
        <v>259800000</v>
      </c>
      <c r="D5" s="15">
        <v>204200000</v>
      </c>
      <c r="E5" s="91" t="s">
        <v>58</v>
      </c>
      <c r="G5" s="98" t="s">
        <v>60</v>
      </c>
      <c r="H5" s="52">
        <f>B6</f>
        <v>155700000</v>
      </c>
      <c r="I5" s="52">
        <f t="shared" ref="I5:J5" si="1">C6</f>
        <v>169200000</v>
      </c>
      <c r="J5" s="103">
        <f t="shared" si="1"/>
        <v>308300000</v>
      </c>
    </row>
    <row r="6" spans="1:11" x14ac:dyDescent="0.25">
      <c r="A6" s="6" t="s">
        <v>61</v>
      </c>
      <c r="B6" s="15">
        <v>155700000</v>
      </c>
      <c r="C6" s="15">
        <v>169200000</v>
      </c>
      <c r="D6" s="15">
        <v>308300000</v>
      </c>
      <c r="E6" s="91" t="s">
        <v>60</v>
      </c>
      <c r="G6" s="98" t="s">
        <v>62</v>
      </c>
      <c r="H6" s="52">
        <v>0</v>
      </c>
      <c r="I6" s="52">
        <v>0</v>
      </c>
      <c r="J6" s="103">
        <v>0</v>
      </c>
      <c r="K6" s="16"/>
    </row>
    <row r="7" spans="1:11" x14ac:dyDescent="0.25">
      <c r="A7" s="6" t="s">
        <v>63</v>
      </c>
      <c r="B7" s="15">
        <v>156100000</v>
      </c>
      <c r="C7" s="15">
        <v>151200000</v>
      </c>
      <c r="D7" s="15">
        <v>151100000</v>
      </c>
      <c r="E7" s="91" t="s">
        <v>64</v>
      </c>
      <c r="G7" s="98" t="s">
        <v>64</v>
      </c>
      <c r="H7" s="52">
        <f>B7+B10+B11</f>
        <v>156100000</v>
      </c>
      <c r="I7" s="52">
        <f>C7+C10+C11</f>
        <v>157200000</v>
      </c>
      <c r="J7" s="103">
        <f>D7+D10+D11</f>
        <v>151100000</v>
      </c>
    </row>
    <row r="8" spans="1:11" x14ac:dyDescent="0.25">
      <c r="A8" s="6"/>
      <c r="B8" s="15"/>
      <c r="C8" s="15"/>
      <c r="D8" s="15"/>
      <c r="E8" s="91"/>
      <c r="G8" s="99" t="s">
        <v>65</v>
      </c>
      <c r="H8" s="53">
        <f>SUM(H4:H7)</f>
        <v>560000000</v>
      </c>
      <c r="I8" s="53">
        <f>SUM(I4:I7)</f>
        <v>612700000</v>
      </c>
      <c r="J8" s="104">
        <f>SUM(J4:J7)</f>
        <v>664500000</v>
      </c>
    </row>
    <row r="9" spans="1:11" x14ac:dyDescent="0.25">
      <c r="A9" s="6" t="s">
        <v>66</v>
      </c>
      <c r="B9" s="15">
        <v>0</v>
      </c>
      <c r="C9" s="15">
        <v>26500000</v>
      </c>
      <c r="D9" s="15">
        <v>900000</v>
      </c>
      <c r="E9" s="91" t="s">
        <v>58</v>
      </c>
      <c r="G9" s="98" t="s">
        <v>67</v>
      </c>
      <c r="H9" s="52">
        <f>B16</f>
        <v>82400000</v>
      </c>
      <c r="I9" s="52">
        <f t="shared" ref="I9:J10" si="2">C16</f>
        <v>90400000</v>
      </c>
      <c r="J9" s="103">
        <f t="shared" si="2"/>
        <v>81400000</v>
      </c>
    </row>
    <row r="10" spans="1:11" x14ac:dyDescent="0.25">
      <c r="A10" s="6" t="s">
        <v>68</v>
      </c>
      <c r="B10" s="15">
        <v>0</v>
      </c>
      <c r="C10" s="15">
        <v>6000000</v>
      </c>
      <c r="D10" s="15">
        <v>0</v>
      </c>
      <c r="E10" s="91" t="s">
        <v>64</v>
      </c>
      <c r="G10" s="98" t="s">
        <v>69</v>
      </c>
      <c r="H10" s="52">
        <f>B17</f>
        <v>842300000</v>
      </c>
      <c r="I10" s="52">
        <f t="shared" si="2"/>
        <v>875000000</v>
      </c>
      <c r="J10" s="103">
        <f t="shared" si="2"/>
        <v>986400000</v>
      </c>
    </row>
    <row r="11" spans="1:11" x14ac:dyDescent="0.25">
      <c r="A11" s="6" t="s">
        <v>70</v>
      </c>
      <c r="B11" s="15">
        <v>0</v>
      </c>
      <c r="C11" s="15">
        <v>0</v>
      </c>
      <c r="D11" s="15">
        <v>0</v>
      </c>
      <c r="E11" s="91" t="s">
        <v>64</v>
      </c>
      <c r="G11" s="98" t="s">
        <v>71</v>
      </c>
      <c r="H11" s="52">
        <f>B18+B20+B21</f>
        <v>1084100000</v>
      </c>
      <c r="I11" s="52">
        <f t="shared" ref="I11:J11" si="3">C18+C20+C21</f>
        <v>1048500000</v>
      </c>
      <c r="J11" s="103">
        <f t="shared" si="3"/>
        <v>922700000</v>
      </c>
    </row>
    <row r="12" spans="1:11" x14ac:dyDescent="0.25">
      <c r="A12" s="6"/>
      <c r="B12" s="15"/>
      <c r="C12" s="15"/>
      <c r="D12" s="15"/>
      <c r="E12" s="91"/>
      <c r="G12" s="99" t="s">
        <v>72</v>
      </c>
      <c r="H12" s="52">
        <f>SUM(H9:H11)</f>
        <v>2008800000</v>
      </c>
      <c r="I12" s="52">
        <f>SUM(I9:I11)</f>
        <v>2013900000</v>
      </c>
      <c r="J12" s="103">
        <f>SUM(J9:J11)</f>
        <v>1990500000</v>
      </c>
    </row>
    <row r="13" spans="1:11" x14ac:dyDescent="0.25">
      <c r="A13" s="32" t="s">
        <v>73</v>
      </c>
      <c r="B13" s="17">
        <v>560000000</v>
      </c>
      <c r="C13" s="17">
        <v>612700000</v>
      </c>
      <c r="D13" s="17">
        <v>664500000</v>
      </c>
      <c r="E13" s="91"/>
      <c r="G13" s="100" t="s">
        <v>74</v>
      </c>
      <c r="H13" s="26">
        <f>H12+H8</f>
        <v>2568800000</v>
      </c>
      <c r="I13" s="26">
        <f>I12+I8</f>
        <v>2626600000</v>
      </c>
      <c r="J13" s="105">
        <f>J12+J8</f>
        <v>2655000000</v>
      </c>
    </row>
    <row r="14" spans="1:11" x14ac:dyDescent="0.25">
      <c r="A14" s="6"/>
      <c r="B14" s="15">
        <v>0</v>
      </c>
      <c r="C14" s="15">
        <v>0</v>
      </c>
      <c r="D14" s="15">
        <v>0</v>
      </c>
      <c r="E14" s="91"/>
      <c r="G14" s="101"/>
      <c r="H14" s="14"/>
      <c r="I14" s="14"/>
      <c r="J14" s="84"/>
    </row>
    <row r="15" spans="1:11" x14ac:dyDescent="0.25">
      <c r="A15" s="32" t="s">
        <v>75</v>
      </c>
      <c r="B15" s="15"/>
      <c r="C15" s="15"/>
      <c r="D15" s="15"/>
      <c r="E15" s="91"/>
      <c r="G15" s="99" t="s">
        <v>76</v>
      </c>
      <c r="H15" s="14"/>
      <c r="I15" s="14"/>
      <c r="J15" s="84"/>
    </row>
    <row r="16" spans="1:11" x14ac:dyDescent="0.25">
      <c r="A16" s="6" t="s">
        <v>77</v>
      </c>
      <c r="B16" s="15">
        <v>82400000</v>
      </c>
      <c r="C16" s="15">
        <v>90400000</v>
      </c>
      <c r="D16" s="15">
        <v>81400000</v>
      </c>
      <c r="E16" s="91" t="s">
        <v>67</v>
      </c>
      <c r="G16" s="98" t="s">
        <v>78</v>
      </c>
      <c r="H16" s="52">
        <f>B32</f>
        <v>8600000</v>
      </c>
      <c r="I16" s="52">
        <f>C32</f>
        <v>10500000</v>
      </c>
      <c r="J16" s="103">
        <f>D32</f>
        <v>8800000</v>
      </c>
    </row>
    <row r="17" spans="1:13" x14ac:dyDescent="0.25">
      <c r="A17" s="6" t="s">
        <v>79</v>
      </c>
      <c r="B17" s="15">
        <v>842300000</v>
      </c>
      <c r="C17" s="15">
        <v>875000000</v>
      </c>
      <c r="D17" s="15">
        <v>986400000</v>
      </c>
      <c r="E17" s="92" t="s">
        <v>69</v>
      </c>
      <c r="G17" s="98" t="s">
        <v>80</v>
      </c>
      <c r="H17" s="52">
        <f>B28</f>
        <v>114000000</v>
      </c>
      <c r="I17" s="52">
        <f>C28</f>
        <v>123000000</v>
      </c>
      <c r="J17" s="103">
        <f>D28</f>
        <v>144600000</v>
      </c>
    </row>
    <row r="18" spans="1:13" x14ac:dyDescent="0.25">
      <c r="A18" s="6" t="s">
        <v>81</v>
      </c>
      <c r="B18" s="15">
        <v>637300000</v>
      </c>
      <c r="C18" s="15">
        <v>642700000</v>
      </c>
      <c r="D18" s="15">
        <v>473600000</v>
      </c>
      <c r="E18" s="91" t="s">
        <v>71</v>
      </c>
      <c r="G18" s="98" t="s">
        <v>82</v>
      </c>
      <c r="H18" s="52">
        <f>B29+B30+B31+B33</f>
        <v>227200000</v>
      </c>
      <c r="I18" s="52">
        <f t="shared" ref="I18:J18" si="4">C29+C30+C31+C33</f>
        <v>227300000</v>
      </c>
      <c r="J18" s="103">
        <f t="shared" si="4"/>
        <v>279800000</v>
      </c>
    </row>
    <row r="19" spans="1:13" x14ac:dyDescent="0.25">
      <c r="A19" s="6"/>
      <c r="B19" s="15"/>
      <c r="C19" s="15"/>
      <c r="D19" s="15"/>
      <c r="E19" s="91"/>
      <c r="G19" s="99" t="s">
        <v>83</v>
      </c>
      <c r="H19" s="53">
        <f>SUM(H16:H18)</f>
        <v>349800000</v>
      </c>
      <c r="I19" s="53">
        <f t="shared" ref="I19:J19" si="5">SUM(I16:I18)</f>
        <v>360800000</v>
      </c>
      <c r="J19" s="104">
        <f t="shared" si="5"/>
        <v>433200000</v>
      </c>
    </row>
    <row r="20" spans="1:13" x14ac:dyDescent="0.25">
      <c r="A20" s="6" t="s">
        <v>63</v>
      </c>
      <c r="B20" s="15">
        <v>422900000</v>
      </c>
      <c r="C20" s="15">
        <v>403300000</v>
      </c>
      <c r="D20" s="15">
        <v>430700000</v>
      </c>
      <c r="E20" s="91" t="s">
        <v>71</v>
      </c>
      <c r="G20" s="98" t="s">
        <v>84</v>
      </c>
      <c r="H20" s="52">
        <f>B39</f>
        <v>478400000</v>
      </c>
      <c r="I20" s="52">
        <f>C39</f>
        <v>392700000</v>
      </c>
      <c r="J20" s="103">
        <f>D39</f>
        <v>272400000</v>
      </c>
    </row>
    <row r="21" spans="1:13" x14ac:dyDescent="0.25">
      <c r="A21" s="6" t="s">
        <v>85</v>
      </c>
      <c r="B21" s="15">
        <v>23900000</v>
      </c>
      <c r="C21" s="15">
        <v>2500000</v>
      </c>
      <c r="D21" s="15">
        <v>18400000</v>
      </c>
      <c r="E21" s="91" t="s">
        <v>71</v>
      </c>
      <c r="G21" s="98" t="s">
        <v>86</v>
      </c>
      <c r="H21" s="14">
        <f>B37</f>
        <v>20200000</v>
      </c>
      <c r="I21" s="14">
        <f>C37</f>
        <v>21000000</v>
      </c>
      <c r="J21" s="84">
        <f>D37</f>
        <v>6600000</v>
      </c>
    </row>
    <row r="22" spans="1:13" x14ac:dyDescent="0.25">
      <c r="A22" s="32" t="s">
        <v>87</v>
      </c>
      <c r="B22" s="17">
        <v>2008800000</v>
      </c>
      <c r="C22" s="17">
        <v>2013900000</v>
      </c>
      <c r="D22" s="17">
        <v>1990500000</v>
      </c>
      <c r="E22" s="91"/>
      <c r="G22" s="98" t="s">
        <v>88</v>
      </c>
      <c r="H22" s="52">
        <f>B36+B38+B40</f>
        <v>357100000</v>
      </c>
      <c r="I22" s="52">
        <f>C36+C38+C40</f>
        <v>335100000</v>
      </c>
      <c r="J22" s="103">
        <f>D36+D38+D40</f>
        <v>364000000</v>
      </c>
    </row>
    <row r="23" spans="1:13" x14ac:dyDescent="0.25">
      <c r="A23" s="32"/>
      <c r="B23" s="17"/>
      <c r="C23" s="17"/>
      <c r="D23" s="17"/>
      <c r="E23" s="91"/>
      <c r="G23" s="99" t="s">
        <v>89</v>
      </c>
      <c r="H23" s="53">
        <f>SUM(H20:H22)</f>
        <v>855700000</v>
      </c>
      <c r="I23" s="53">
        <f t="shared" ref="I23:J23" si="6">SUM(I20:I22)</f>
        <v>748800000</v>
      </c>
      <c r="J23" s="104">
        <f t="shared" si="6"/>
        <v>643000000</v>
      </c>
    </row>
    <row r="24" spans="1:13" x14ac:dyDescent="0.25">
      <c r="A24" s="32" t="s">
        <v>90</v>
      </c>
      <c r="B24" s="17">
        <v>2568800000</v>
      </c>
      <c r="C24" s="17">
        <v>2626600000</v>
      </c>
      <c r="D24" s="17">
        <v>2655000000</v>
      </c>
      <c r="E24" s="91"/>
      <c r="G24" s="99" t="s">
        <v>91</v>
      </c>
      <c r="H24" s="26">
        <f>H19+H23</f>
        <v>1205500000</v>
      </c>
      <c r="I24" s="26">
        <f t="shared" ref="I24:J24" si="7">I19+I23</f>
        <v>1109600000</v>
      </c>
      <c r="J24" s="105">
        <f t="shared" si="7"/>
        <v>1076200000</v>
      </c>
    </row>
    <row r="25" spans="1:13" x14ac:dyDescent="0.25">
      <c r="A25" s="6"/>
      <c r="B25" s="15"/>
      <c r="C25" s="15"/>
      <c r="D25" s="15"/>
      <c r="E25" s="91"/>
      <c r="G25" s="98" t="s">
        <v>30</v>
      </c>
      <c r="H25" s="52">
        <f>B49</f>
        <v>61300000</v>
      </c>
      <c r="I25" s="52">
        <f>C49</f>
        <v>50200000</v>
      </c>
      <c r="J25" s="103">
        <f>D49</f>
        <v>40400000</v>
      </c>
      <c r="K25" s="45"/>
      <c r="L25" s="45"/>
      <c r="M25" s="45"/>
    </row>
    <row r="26" spans="1:13" x14ac:dyDescent="0.25">
      <c r="A26" s="32" t="s">
        <v>92</v>
      </c>
      <c r="B26" s="15"/>
      <c r="C26" s="15"/>
      <c r="D26" s="15"/>
      <c r="E26" s="91"/>
      <c r="G26" s="98" t="s">
        <v>93</v>
      </c>
      <c r="H26" s="14">
        <v>0</v>
      </c>
      <c r="I26" s="14">
        <v>0</v>
      </c>
      <c r="J26" s="84">
        <v>0</v>
      </c>
    </row>
    <row r="27" spans="1:13" x14ac:dyDescent="0.25">
      <c r="A27" s="6" t="s">
        <v>94</v>
      </c>
      <c r="B27" s="15"/>
      <c r="C27" s="15"/>
      <c r="D27" s="15"/>
      <c r="E27" s="91"/>
      <c r="G27" s="98" t="s">
        <v>95</v>
      </c>
      <c r="H27" s="52">
        <f>B45+B46+B47</f>
        <v>1302000000</v>
      </c>
      <c r="I27" s="52">
        <f t="shared" ref="I27:J27" si="8">C45+C46+C47</f>
        <v>1466800000</v>
      </c>
      <c r="J27" s="103">
        <f t="shared" si="8"/>
        <v>1538400000</v>
      </c>
      <c r="K27" s="16"/>
    </row>
    <row r="28" spans="1:13" x14ac:dyDescent="0.25">
      <c r="A28" s="6" t="s">
        <v>96</v>
      </c>
      <c r="B28" s="15">
        <v>114000000</v>
      </c>
      <c r="C28" s="15">
        <v>123000000</v>
      </c>
      <c r="D28" s="15">
        <v>144600000</v>
      </c>
      <c r="E28" s="91" t="s">
        <v>80</v>
      </c>
      <c r="G28" s="102" t="s">
        <v>97</v>
      </c>
      <c r="H28" s="106">
        <f>SUM(H25:H27)</f>
        <v>1363300000</v>
      </c>
      <c r="I28" s="106">
        <f t="shared" ref="I28:J28" si="9">SUM(I25:I27)</f>
        <v>1517000000</v>
      </c>
      <c r="J28" s="107">
        <f t="shared" si="9"/>
        <v>1578800000</v>
      </c>
    </row>
    <row r="29" spans="1:13" x14ac:dyDescent="0.25">
      <c r="A29" s="6" t="s">
        <v>98</v>
      </c>
      <c r="B29" s="15">
        <v>2000000</v>
      </c>
      <c r="C29" s="15">
        <v>0</v>
      </c>
      <c r="D29" s="15">
        <v>32400000</v>
      </c>
      <c r="E29" s="91" t="s">
        <v>82</v>
      </c>
      <c r="G29" s="33"/>
      <c r="H29" s="33"/>
    </row>
    <row r="30" spans="1:13" x14ac:dyDescent="0.25">
      <c r="A30" s="6" t="s">
        <v>99</v>
      </c>
      <c r="B30" s="15">
        <v>15400000</v>
      </c>
      <c r="C30" s="15">
        <v>17700000</v>
      </c>
      <c r="D30" s="15">
        <v>15300000</v>
      </c>
      <c r="E30" s="91" t="s">
        <v>82</v>
      </c>
      <c r="G30" s="33"/>
      <c r="H30" s="33"/>
    </row>
    <row r="31" spans="1:13" x14ac:dyDescent="0.25">
      <c r="A31" s="6" t="s">
        <v>100</v>
      </c>
      <c r="B31" s="15">
        <v>87600000</v>
      </c>
      <c r="C31" s="15">
        <v>92100000</v>
      </c>
      <c r="D31" s="15">
        <v>113900000</v>
      </c>
      <c r="E31" s="91" t="s">
        <v>82</v>
      </c>
      <c r="G31" s="33"/>
      <c r="H31" s="33"/>
    </row>
    <row r="32" spans="1:13" x14ac:dyDescent="0.25">
      <c r="A32" s="6" t="s">
        <v>101</v>
      </c>
      <c r="B32" s="15">
        <v>8600000</v>
      </c>
      <c r="C32" s="15">
        <v>10500000</v>
      </c>
      <c r="D32" s="15">
        <v>8800000</v>
      </c>
      <c r="E32" s="91" t="s">
        <v>78</v>
      </c>
      <c r="G32" s="33"/>
      <c r="H32" s="33"/>
    </row>
    <row r="33" spans="1:8" x14ac:dyDescent="0.25">
      <c r="A33" s="6" t="s">
        <v>102</v>
      </c>
      <c r="B33" s="15">
        <v>122200000</v>
      </c>
      <c r="C33" s="15">
        <v>117500000</v>
      </c>
      <c r="D33" s="15">
        <v>118200000</v>
      </c>
      <c r="E33" s="91" t="s">
        <v>82</v>
      </c>
      <c r="G33" s="33"/>
      <c r="H33" s="33"/>
    </row>
    <row r="34" spans="1:8" x14ac:dyDescent="0.25">
      <c r="A34" s="32" t="s">
        <v>103</v>
      </c>
      <c r="B34" s="17">
        <v>349800000</v>
      </c>
      <c r="C34" s="17">
        <v>360800000</v>
      </c>
      <c r="D34" s="17">
        <v>433200000</v>
      </c>
      <c r="E34" s="93"/>
      <c r="H34" s="33"/>
    </row>
    <row r="35" spans="1:8" x14ac:dyDescent="0.25">
      <c r="A35" s="6" t="s">
        <v>104</v>
      </c>
      <c r="B35" s="15"/>
      <c r="C35" s="15"/>
      <c r="D35" s="15"/>
      <c r="E35" s="91"/>
      <c r="G35" s="33"/>
      <c r="H35" s="33"/>
    </row>
    <row r="36" spans="1:8" x14ac:dyDescent="0.25">
      <c r="A36" s="6" t="s">
        <v>105</v>
      </c>
      <c r="B36" s="15">
        <v>11600000</v>
      </c>
      <c r="C36" s="15">
        <v>10900000</v>
      </c>
      <c r="D36" s="15">
        <v>14900000</v>
      </c>
      <c r="E36" s="91" t="s">
        <v>88</v>
      </c>
      <c r="G36" s="33"/>
      <c r="H36" s="33"/>
    </row>
    <row r="37" spans="1:8" x14ac:dyDescent="0.25">
      <c r="A37" s="6" t="s">
        <v>106</v>
      </c>
      <c r="B37" s="15">
        <v>20200000</v>
      </c>
      <c r="C37" s="15">
        <v>21000000</v>
      </c>
      <c r="D37" s="15">
        <v>6600000</v>
      </c>
      <c r="E37" s="91" t="s">
        <v>86</v>
      </c>
      <c r="G37" s="33"/>
      <c r="H37" s="33"/>
    </row>
    <row r="38" spans="1:8" x14ac:dyDescent="0.25">
      <c r="A38" s="6" t="s">
        <v>99</v>
      </c>
      <c r="B38" s="15">
        <v>15400000</v>
      </c>
      <c r="C38" s="15">
        <v>10100000</v>
      </c>
      <c r="D38" s="15">
        <v>13700000</v>
      </c>
      <c r="E38" s="91" t="s">
        <v>88</v>
      </c>
      <c r="G38" s="33"/>
      <c r="H38" s="33"/>
    </row>
    <row r="39" spans="1:8" x14ac:dyDescent="0.25">
      <c r="A39" s="6" t="s">
        <v>101</v>
      </c>
      <c r="B39" s="15">
        <v>478400000</v>
      </c>
      <c r="C39" s="15">
        <v>392700000</v>
      </c>
      <c r="D39" s="15">
        <v>272400000</v>
      </c>
      <c r="E39" s="91" t="s">
        <v>84</v>
      </c>
      <c r="G39" s="33"/>
      <c r="H39" s="33"/>
    </row>
    <row r="40" spans="1:8" x14ac:dyDescent="0.25">
      <c r="A40" s="6" t="s">
        <v>102</v>
      </c>
      <c r="B40" s="15">
        <v>330100000</v>
      </c>
      <c r="C40" s="15">
        <v>314100000</v>
      </c>
      <c r="D40" s="15">
        <v>335400000</v>
      </c>
      <c r="E40" s="91" t="s">
        <v>88</v>
      </c>
      <c r="H40" s="33"/>
    </row>
    <row r="41" spans="1:8" x14ac:dyDescent="0.25">
      <c r="A41" s="32" t="s">
        <v>107</v>
      </c>
      <c r="B41" s="17">
        <v>855700000</v>
      </c>
      <c r="C41" s="17">
        <v>748800000</v>
      </c>
      <c r="D41" s="17">
        <v>643000000</v>
      </c>
      <c r="E41" s="93"/>
      <c r="H41" s="33"/>
    </row>
    <row r="42" spans="1:8" x14ac:dyDescent="0.25">
      <c r="A42" s="32" t="s">
        <v>108</v>
      </c>
      <c r="B42" s="17">
        <v>1205500000</v>
      </c>
      <c r="C42" s="17">
        <v>1109600000</v>
      </c>
      <c r="D42" s="17">
        <v>1076200000</v>
      </c>
      <c r="E42" s="93"/>
      <c r="G42" s="33"/>
      <c r="H42" s="33"/>
    </row>
    <row r="43" spans="1:8" x14ac:dyDescent="0.25">
      <c r="A43" s="6" t="s">
        <v>109</v>
      </c>
      <c r="B43" s="15">
        <v>1363300000</v>
      </c>
      <c r="C43" s="15">
        <v>1517000000</v>
      </c>
      <c r="D43" s="15">
        <v>1578800000</v>
      </c>
      <c r="E43" s="91"/>
      <c r="H43" s="33"/>
    </row>
    <row r="44" spans="1:8" x14ac:dyDescent="0.25">
      <c r="A44" s="32" t="s">
        <v>110</v>
      </c>
      <c r="B44" s="15"/>
      <c r="C44" s="15"/>
      <c r="D44" s="15"/>
      <c r="E44" s="91"/>
      <c r="H44" s="33"/>
    </row>
    <row r="45" spans="1:8" x14ac:dyDescent="0.25">
      <c r="A45" s="6" t="s">
        <v>111</v>
      </c>
      <c r="B45" s="15">
        <v>146400000</v>
      </c>
      <c r="C45" s="15">
        <v>148100000</v>
      </c>
      <c r="D45" s="15">
        <v>135000000</v>
      </c>
      <c r="E45" s="91" t="s">
        <v>95</v>
      </c>
      <c r="H45" s="33"/>
    </row>
    <row r="46" spans="1:8" x14ac:dyDescent="0.25">
      <c r="A46" s="6" t="s">
        <v>112</v>
      </c>
      <c r="B46" s="15">
        <v>88500000</v>
      </c>
      <c r="C46" s="15">
        <v>112200000</v>
      </c>
      <c r="D46" s="15">
        <v>118700000</v>
      </c>
      <c r="E46" s="91" t="s">
        <v>95</v>
      </c>
      <c r="H46" s="33"/>
    </row>
    <row r="47" spans="1:8" x14ac:dyDescent="0.25">
      <c r="A47" s="6" t="s">
        <v>113</v>
      </c>
      <c r="B47" s="15">
        <v>1067099999.9999999</v>
      </c>
      <c r="C47" s="15">
        <v>1206500000</v>
      </c>
      <c r="D47" s="15">
        <v>1284700000</v>
      </c>
      <c r="E47" s="91" t="s">
        <v>95</v>
      </c>
      <c r="G47" s="33"/>
      <c r="H47" s="33"/>
    </row>
    <row r="48" spans="1:8" x14ac:dyDescent="0.25">
      <c r="A48" s="6" t="s">
        <v>114</v>
      </c>
      <c r="B48" s="15">
        <v>1302000000</v>
      </c>
      <c r="C48" s="15">
        <v>1466800000</v>
      </c>
      <c r="D48" s="15">
        <v>1538400000</v>
      </c>
      <c r="E48" s="91"/>
      <c r="G48" s="33"/>
      <c r="H48" s="33"/>
    </row>
    <row r="49" spans="1:8" x14ac:dyDescent="0.25">
      <c r="A49" s="6" t="s">
        <v>45</v>
      </c>
      <c r="B49" s="15">
        <v>61300000</v>
      </c>
      <c r="C49" s="15">
        <v>50200000</v>
      </c>
      <c r="D49" s="15">
        <v>40400000</v>
      </c>
      <c r="E49" s="91" t="s">
        <v>30</v>
      </c>
      <c r="G49" s="33"/>
      <c r="H49" s="33"/>
    </row>
    <row r="50" spans="1:8" x14ac:dyDescent="0.25">
      <c r="A50" s="11" t="s">
        <v>115</v>
      </c>
      <c r="B50" s="94">
        <v>1363300000</v>
      </c>
      <c r="C50" s="94">
        <v>1517000000</v>
      </c>
      <c r="D50" s="94">
        <v>1578800000</v>
      </c>
      <c r="E50" s="95"/>
      <c r="G50" s="33"/>
      <c r="H50" s="33"/>
    </row>
  </sheetData>
  <mergeCells count="2">
    <mergeCell ref="A1:E1"/>
    <mergeCell ref="G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7AEE8-20DD-4BAA-9AB6-AE2A6B1513BC}">
  <dimension ref="A1:J39"/>
  <sheetViews>
    <sheetView topLeftCell="C1" zoomScaleNormal="100" workbookViewId="0">
      <selection activeCell="H5" sqref="H5"/>
    </sheetView>
  </sheetViews>
  <sheetFormatPr defaultColWidth="8.85546875" defaultRowHeight="15" x14ac:dyDescent="0.25"/>
  <cols>
    <col min="1" max="1" width="56.42578125" bestFit="1" customWidth="1"/>
    <col min="2" max="4" width="15.7109375" bestFit="1" customWidth="1"/>
    <col min="5" max="5" width="60.42578125" bestFit="1" customWidth="1"/>
    <col min="7" max="7" width="60.28515625" customWidth="1"/>
    <col min="8" max="10" width="14.28515625" bestFit="1" customWidth="1"/>
  </cols>
  <sheetData>
    <row r="1" spans="1:10" s="51" customFormat="1" x14ac:dyDescent="0.25">
      <c r="A1" s="148" t="s">
        <v>116</v>
      </c>
      <c r="B1" s="149"/>
      <c r="C1" s="149"/>
      <c r="D1" s="149"/>
      <c r="E1" s="149"/>
      <c r="G1" s="149" t="s">
        <v>117</v>
      </c>
      <c r="H1" s="149"/>
      <c r="I1" s="149"/>
      <c r="J1" s="149"/>
    </row>
    <row r="2" spans="1:10" s="25" customFormat="1" x14ac:dyDescent="0.25">
      <c r="A2" s="28" t="s">
        <v>2</v>
      </c>
      <c r="B2" s="29">
        <v>2022</v>
      </c>
      <c r="C2" s="29">
        <v>2023</v>
      </c>
      <c r="D2" s="29">
        <v>2024</v>
      </c>
      <c r="E2" s="30" t="s">
        <v>3</v>
      </c>
      <c r="G2" s="28" t="s">
        <v>4</v>
      </c>
      <c r="H2" s="29">
        <v>2022</v>
      </c>
      <c r="I2" s="29">
        <v>2023</v>
      </c>
      <c r="J2" s="80">
        <v>2024</v>
      </c>
    </row>
    <row r="3" spans="1:10" x14ac:dyDescent="0.25">
      <c r="A3" s="6" t="s">
        <v>118</v>
      </c>
      <c r="B3" s="14"/>
      <c r="C3" s="14"/>
      <c r="D3" s="14"/>
      <c r="E3" s="31"/>
      <c r="G3" s="108" t="s">
        <v>119</v>
      </c>
      <c r="H3" s="52">
        <f>B4+B5</f>
        <v>695700000</v>
      </c>
      <c r="I3" s="52">
        <f>C4+C5</f>
        <v>656000000</v>
      </c>
      <c r="J3" s="103">
        <f>D4+D5</f>
        <v>788800000</v>
      </c>
    </row>
    <row r="4" spans="1:10" x14ac:dyDescent="0.25">
      <c r="A4" s="6" t="s">
        <v>120</v>
      </c>
      <c r="B4" s="14">
        <v>1288400000</v>
      </c>
      <c r="C4" s="14">
        <v>1309800000</v>
      </c>
      <c r="D4" s="14">
        <v>1521000000</v>
      </c>
      <c r="E4" s="31" t="s">
        <v>119</v>
      </c>
      <c r="G4" s="108" t="s">
        <v>121</v>
      </c>
      <c r="H4" s="52">
        <f>B6+B7</f>
        <v>-6000000</v>
      </c>
      <c r="I4" s="52">
        <f>C6+C7</f>
        <v>-10100000</v>
      </c>
      <c r="J4" s="103">
        <f>D6+D7</f>
        <v>-12600000</v>
      </c>
    </row>
    <row r="5" spans="1:10" x14ac:dyDescent="0.25">
      <c r="A5" s="6" t="s">
        <v>122</v>
      </c>
      <c r="B5" s="14">
        <v>-592700000</v>
      </c>
      <c r="C5" s="14">
        <v>-653800000</v>
      </c>
      <c r="D5" s="14">
        <v>-732200000</v>
      </c>
      <c r="E5" s="31" t="s">
        <v>119</v>
      </c>
      <c r="G5" s="6" t="s">
        <v>123</v>
      </c>
      <c r="H5" s="52">
        <f>B8</f>
        <v>-202100000</v>
      </c>
      <c r="I5" s="52">
        <f>C8</f>
        <v>-173200000</v>
      </c>
      <c r="J5" s="103">
        <f>D8</f>
        <v>-186800000</v>
      </c>
    </row>
    <row r="6" spans="1:10" x14ac:dyDescent="0.25">
      <c r="A6" s="6" t="s">
        <v>126</v>
      </c>
      <c r="B6" s="14">
        <v>1300000</v>
      </c>
      <c r="C6" s="14">
        <v>7200000</v>
      </c>
      <c r="D6" s="14">
        <v>12200000</v>
      </c>
      <c r="E6" s="31" t="s">
        <v>121</v>
      </c>
      <c r="G6" s="32" t="s">
        <v>124</v>
      </c>
      <c r="H6" s="53">
        <f>SUM(H3:H5)</f>
        <v>487600000</v>
      </c>
      <c r="I6" s="53">
        <f t="shared" ref="I6:J6" si="0">SUM(I3:I5)</f>
        <v>472700000</v>
      </c>
      <c r="J6" s="104">
        <f t="shared" si="0"/>
        <v>589400000</v>
      </c>
    </row>
    <row r="7" spans="1:10" x14ac:dyDescent="0.25">
      <c r="A7" s="6" t="s">
        <v>128</v>
      </c>
      <c r="B7" s="14">
        <v>-7300000</v>
      </c>
      <c r="C7" s="14">
        <v>-17300000</v>
      </c>
      <c r="D7" s="14">
        <v>-24800000</v>
      </c>
      <c r="E7" s="31" t="s">
        <v>121</v>
      </c>
      <c r="G7" s="6" t="s">
        <v>125</v>
      </c>
      <c r="H7" s="52">
        <f>SUM(B12:B17)</f>
        <v>-194700000</v>
      </c>
      <c r="I7" s="52">
        <f>SUM(C12:C17)</f>
        <v>-133600000</v>
      </c>
      <c r="J7" s="103">
        <f>SUM(D12:D17)</f>
        <v>-205200000</v>
      </c>
    </row>
    <row r="8" spans="1:10" x14ac:dyDescent="0.25">
      <c r="A8" s="6" t="s">
        <v>130</v>
      </c>
      <c r="B8" s="14">
        <v>-202100000</v>
      </c>
      <c r="C8" s="14">
        <v>-173200000</v>
      </c>
      <c r="D8" s="14">
        <v>-186800000</v>
      </c>
      <c r="E8" s="31" t="s">
        <v>123</v>
      </c>
      <c r="G8" s="32" t="s">
        <v>127</v>
      </c>
      <c r="H8" s="53">
        <f>H7</f>
        <v>-194700000</v>
      </c>
      <c r="I8" s="53">
        <f t="shared" ref="I8:J8" si="1">I7</f>
        <v>-133600000</v>
      </c>
      <c r="J8" s="104">
        <f t="shared" si="1"/>
        <v>-205200000</v>
      </c>
    </row>
    <row r="9" spans="1:10" x14ac:dyDescent="0.25">
      <c r="A9" s="32" t="s">
        <v>124</v>
      </c>
      <c r="B9" s="26">
        <v>487600000</v>
      </c>
      <c r="C9" s="26">
        <v>472700000</v>
      </c>
      <c r="D9" s="26">
        <v>589400000</v>
      </c>
      <c r="E9" s="31"/>
      <c r="G9" s="6" t="s">
        <v>129</v>
      </c>
      <c r="H9" s="52">
        <f>B24+B25+B26</f>
        <v>-9000000</v>
      </c>
      <c r="I9" s="52">
        <f>C24+C25+C26</f>
        <v>-103800000</v>
      </c>
      <c r="J9" s="103">
        <f>D24+D25+D26</f>
        <v>-192500000</v>
      </c>
    </row>
    <row r="10" spans="1:10" x14ac:dyDescent="0.25">
      <c r="A10" s="32"/>
      <c r="B10" s="26"/>
      <c r="C10" s="26"/>
      <c r="D10" s="26"/>
      <c r="E10" s="31"/>
      <c r="G10" s="6" t="s">
        <v>131</v>
      </c>
      <c r="H10" s="52">
        <f>B21+B22</f>
        <v>-194400000</v>
      </c>
      <c r="I10" s="52">
        <f>C21+C22</f>
        <v>-217100000</v>
      </c>
      <c r="J10" s="103">
        <f>D21+D22</f>
        <v>-224900000</v>
      </c>
    </row>
    <row r="11" spans="1:10" x14ac:dyDescent="0.25">
      <c r="A11" s="6" t="s">
        <v>134</v>
      </c>
      <c r="B11" s="14"/>
      <c r="C11" s="14"/>
      <c r="D11" s="14"/>
      <c r="E11" s="31"/>
      <c r="G11" s="6" t="s">
        <v>132</v>
      </c>
      <c r="H11" s="52">
        <f>B23</f>
        <v>-16000000</v>
      </c>
      <c r="I11" s="52">
        <f>C23</f>
        <v>-8400000</v>
      </c>
      <c r="J11" s="103">
        <f>D23</f>
        <v>-22000000</v>
      </c>
    </row>
    <row r="12" spans="1:10" x14ac:dyDescent="0.25">
      <c r="A12" s="6" t="s">
        <v>136</v>
      </c>
      <c r="B12" s="14">
        <v>-87200000</v>
      </c>
      <c r="C12" s="14">
        <v>0</v>
      </c>
      <c r="D12" s="14">
        <v>-58900000</v>
      </c>
      <c r="E12" s="31" t="s">
        <v>125</v>
      </c>
      <c r="G12" s="32" t="s">
        <v>133</v>
      </c>
      <c r="H12" s="53">
        <f>SUM(H9:H11)</f>
        <v>-219400000</v>
      </c>
      <c r="I12" s="53">
        <f>SUM(I9:I11)</f>
        <v>-329300000</v>
      </c>
      <c r="J12" s="104">
        <f>SUM(J9:J11)</f>
        <v>-439400000</v>
      </c>
    </row>
    <row r="13" spans="1:10" x14ac:dyDescent="0.25">
      <c r="A13" s="6" t="s">
        <v>137</v>
      </c>
      <c r="B13" s="14">
        <v>-7600000</v>
      </c>
      <c r="C13" s="14">
        <v>-1000000</v>
      </c>
      <c r="D13" s="14">
        <v>-12300000</v>
      </c>
      <c r="E13" s="31" t="s">
        <v>125</v>
      </c>
      <c r="G13" s="11" t="s">
        <v>135</v>
      </c>
      <c r="H13" s="106">
        <f>H6+H8+H12</f>
        <v>73500000</v>
      </c>
      <c r="I13" s="106">
        <f>I6+I8+I12</f>
        <v>9800000</v>
      </c>
      <c r="J13" s="107">
        <f>J6+J8+J12</f>
        <v>-55200000</v>
      </c>
    </row>
    <row r="14" spans="1:10" x14ac:dyDescent="0.25">
      <c r="A14" s="6" t="s">
        <v>138</v>
      </c>
      <c r="B14" s="14">
        <v>-87400000</v>
      </c>
      <c r="C14" s="14">
        <v>-7500000</v>
      </c>
      <c r="D14" s="14">
        <v>-4200000</v>
      </c>
      <c r="E14" s="31" t="s">
        <v>125</v>
      </c>
    </row>
    <row r="15" spans="1:10" x14ac:dyDescent="0.25">
      <c r="A15" s="6" t="s">
        <v>139</v>
      </c>
      <c r="B15" s="14">
        <v>-6900000</v>
      </c>
      <c r="C15" s="14">
        <v>-110100000</v>
      </c>
      <c r="D15" s="14">
        <v>-120800000</v>
      </c>
      <c r="E15" s="31" t="s">
        <v>125</v>
      </c>
    </row>
    <row r="16" spans="1:10" x14ac:dyDescent="0.25">
      <c r="A16" s="6" t="s">
        <v>140</v>
      </c>
      <c r="B16" s="14">
        <v>-5600000</v>
      </c>
      <c r="C16" s="14">
        <v>-8000000</v>
      </c>
      <c r="D16" s="14">
        <v>1400000</v>
      </c>
      <c r="E16" s="31" t="s">
        <v>125</v>
      </c>
    </row>
    <row r="17" spans="1:8" x14ac:dyDescent="0.25">
      <c r="A17" s="6" t="s">
        <v>141</v>
      </c>
      <c r="B17" s="14">
        <v>0</v>
      </c>
      <c r="C17" s="14">
        <v>-7000000</v>
      </c>
      <c r="D17" s="14">
        <v>-10400000</v>
      </c>
      <c r="E17" s="31" t="s">
        <v>125</v>
      </c>
    </row>
    <row r="18" spans="1:8" x14ac:dyDescent="0.25">
      <c r="A18" s="32" t="s">
        <v>127</v>
      </c>
      <c r="B18" s="26">
        <v>-194700000</v>
      </c>
      <c r="C18" s="26">
        <v>-133600000</v>
      </c>
      <c r="D18" s="26">
        <v>-205200000</v>
      </c>
      <c r="E18" s="31"/>
      <c r="H18" s="33"/>
    </row>
    <row r="19" spans="1:8" x14ac:dyDescent="0.25">
      <c r="A19" s="32"/>
      <c r="B19" s="26"/>
      <c r="C19" s="26"/>
      <c r="D19" s="26"/>
      <c r="E19" s="31"/>
      <c r="G19" s="33"/>
      <c r="H19" s="33"/>
    </row>
    <row r="20" spans="1:8" x14ac:dyDescent="0.25">
      <c r="A20" s="6" t="s">
        <v>142</v>
      </c>
      <c r="B20" s="14"/>
      <c r="C20" s="14"/>
      <c r="D20" s="14"/>
      <c r="E20" s="34"/>
      <c r="G20" s="33"/>
      <c r="H20" s="33"/>
    </row>
    <row r="21" spans="1:8" x14ac:dyDescent="0.25">
      <c r="A21" s="6" t="s">
        <v>143</v>
      </c>
      <c r="B21" s="14">
        <v>-194200000</v>
      </c>
      <c r="C21" s="14">
        <v>-216700000</v>
      </c>
      <c r="D21" s="14">
        <v>-224600000</v>
      </c>
      <c r="E21" s="35" t="s">
        <v>131</v>
      </c>
      <c r="G21" s="33"/>
      <c r="H21" s="33"/>
    </row>
    <row r="22" spans="1:8" x14ac:dyDescent="0.25">
      <c r="A22" s="6" t="s">
        <v>144</v>
      </c>
      <c r="B22" s="14">
        <v>-200000</v>
      </c>
      <c r="C22" s="14">
        <v>-400000</v>
      </c>
      <c r="D22" s="14">
        <v>-300000</v>
      </c>
      <c r="E22" s="35" t="s">
        <v>131</v>
      </c>
      <c r="G22" s="33"/>
      <c r="H22" s="33"/>
    </row>
    <row r="23" spans="1:8" x14ac:dyDescent="0.25">
      <c r="A23" s="6" t="s">
        <v>145</v>
      </c>
      <c r="B23" s="14">
        <v>-16000000</v>
      </c>
      <c r="C23" s="14">
        <v>-8400000</v>
      </c>
      <c r="D23" s="14">
        <v>-22000000</v>
      </c>
      <c r="E23" s="31" t="s">
        <v>132</v>
      </c>
      <c r="G23" s="33"/>
      <c r="H23" s="33"/>
    </row>
    <row r="24" spans="1:8" x14ac:dyDescent="0.25">
      <c r="A24" s="6" t="s">
        <v>146</v>
      </c>
      <c r="B24" s="14">
        <v>413700000</v>
      </c>
      <c r="C24" s="14">
        <v>0</v>
      </c>
      <c r="D24" s="14">
        <v>424000000</v>
      </c>
      <c r="E24" s="31" t="s">
        <v>129</v>
      </c>
      <c r="G24" s="33"/>
      <c r="H24" s="33"/>
    </row>
    <row r="25" spans="1:8" x14ac:dyDescent="0.25">
      <c r="A25" s="6" t="s">
        <v>147</v>
      </c>
      <c r="B25" s="14">
        <v>-422300000</v>
      </c>
      <c r="C25" s="14">
        <v>-101000000</v>
      </c>
      <c r="D25" s="14">
        <v>-616500000</v>
      </c>
      <c r="E25" s="31" t="s">
        <v>129</v>
      </c>
      <c r="G25" s="33"/>
      <c r="H25" s="33"/>
    </row>
    <row r="26" spans="1:8" x14ac:dyDescent="0.25">
      <c r="A26" s="6" t="s">
        <v>148</v>
      </c>
      <c r="B26" s="14">
        <v>-400000</v>
      </c>
      <c r="C26" s="14">
        <v>-2800000</v>
      </c>
      <c r="D26" s="14">
        <v>0</v>
      </c>
      <c r="E26" s="31" t="s">
        <v>129</v>
      </c>
      <c r="H26" s="33"/>
    </row>
    <row r="27" spans="1:8" x14ac:dyDescent="0.25">
      <c r="A27" s="32" t="s">
        <v>133</v>
      </c>
      <c r="B27" s="26">
        <v>-219400000</v>
      </c>
      <c r="C27" s="26">
        <v>-329300000</v>
      </c>
      <c r="D27" s="26">
        <v>-439400000</v>
      </c>
      <c r="E27" s="31"/>
      <c r="G27" s="33"/>
      <c r="H27" s="33"/>
    </row>
    <row r="28" spans="1:8" x14ac:dyDescent="0.25">
      <c r="A28" s="36" t="s">
        <v>149</v>
      </c>
      <c r="B28" s="26">
        <v>73500000</v>
      </c>
      <c r="C28" s="26">
        <v>9800000</v>
      </c>
      <c r="D28" s="26">
        <v>-55200000</v>
      </c>
      <c r="E28" s="37"/>
      <c r="G28" s="33"/>
      <c r="H28" s="33"/>
    </row>
    <row r="29" spans="1:8" x14ac:dyDescent="0.25">
      <c r="A29" s="36"/>
      <c r="B29" s="26"/>
      <c r="C29" s="26"/>
      <c r="D29" s="26"/>
      <c r="E29" s="37"/>
      <c r="G29" s="33"/>
      <c r="H29" s="33"/>
    </row>
    <row r="30" spans="1:8" x14ac:dyDescent="0.25">
      <c r="A30" s="38" t="s">
        <v>150</v>
      </c>
      <c r="B30" s="55">
        <v>168900000</v>
      </c>
      <c r="C30" s="55">
        <v>248200000</v>
      </c>
      <c r="D30" s="55">
        <v>259800000</v>
      </c>
      <c r="E30" s="37"/>
      <c r="H30" s="33"/>
    </row>
    <row r="31" spans="1:8" x14ac:dyDescent="0.25">
      <c r="A31" s="38" t="s">
        <v>151</v>
      </c>
      <c r="B31" s="55">
        <v>4900000</v>
      </c>
      <c r="C31" s="55">
        <v>0</v>
      </c>
      <c r="D31" s="55">
        <v>0</v>
      </c>
      <c r="E31" s="37"/>
      <c r="G31" s="33"/>
      <c r="H31" s="33"/>
    </row>
    <row r="32" spans="1:8" x14ac:dyDescent="0.25">
      <c r="A32" s="38" t="s">
        <v>152</v>
      </c>
      <c r="B32" s="55">
        <v>900000</v>
      </c>
      <c r="C32" s="55">
        <v>1800000</v>
      </c>
      <c r="D32" s="55">
        <v>-400000</v>
      </c>
      <c r="E32" s="31"/>
      <c r="G32" s="33"/>
      <c r="H32" s="33"/>
    </row>
    <row r="33" spans="1:8" x14ac:dyDescent="0.25">
      <c r="A33" s="39" t="s">
        <v>153</v>
      </c>
      <c r="B33" s="40">
        <v>248200000</v>
      </c>
      <c r="C33" s="40">
        <v>259800000</v>
      </c>
      <c r="D33" s="40">
        <v>204200000</v>
      </c>
      <c r="E33" s="41"/>
      <c r="G33" s="33"/>
      <c r="H33" s="33"/>
    </row>
    <row r="34" spans="1:8" x14ac:dyDescent="0.25">
      <c r="G34" s="33"/>
      <c r="H34" s="33"/>
    </row>
    <row r="35" spans="1:8" x14ac:dyDescent="0.25">
      <c r="G35" s="33"/>
      <c r="H35" s="33"/>
    </row>
    <row r="36" spans="1:8" x14ac:dyDescent="0.25">
      <c r="G36" s="33"/>
      <c r="H36" s="33"/>
    </row>
    <row r="37" spans="1:8" x14ac:dyDescent="0.25">
      <c r="H37" s="33"/>
    </row>
    <row r="38" spans="1:8" x14ac:dyDescent="0.25">
      <c r="G38" s="33"/>
      <c r="H38" s="33"/>
    </row>
    <row r="39" spans="1:8" x14ac:dyDescent="0.25">
      <c r="G39" s="33"/>
      <c r="H39" s="33"/>
    </row>
  </sheetData>
  <mergeCells count="2">
    <mergeCell ref="A1:E1"/>
    <mergeCell ref="G1:J1"/>
  </mergeCells>
  <pageMargins left="0.7" right="0.7" top="0.75" bottom="0.75" header="0.3" footer="0.3"/>
  <ignoredErrors>
    <ignoredError sqref="H7:J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34AC0-E7CE-44EB-A860-21F0B3C4A754}">
  <dimension ref="A1:D14"/>
  <sheetViews>
    <sheetView workbookViewId="0">
      <selection activeCell="B14" sqref="B14"/>
    </sheetView>
  </sheetViews>
  <sheetFormatPr defaultColWidth="8.85546875" defaultRowHeight="15" x14ac:dyDescent="0.25"/>
  <cols>
    <col min="1" max="1" width="35.5703125" bestFit="1" customWidth="1"/>
    <col min="2" max="3" width="14.140625" bestFit="1" customWidth="1"/>
    <col min="4" max="4" width="16.28515625" customWidth="1"/>
  </cols>
  <sheetData>
    <row r="1" spans="1:4" s="1" customFormat="1" x14ac:dyDescent="0.25">
      <c r="A1" s="1" t="s">
        <v>2</v>
      </c>
      <c r="B1" s="25">
        <v>2022</v>
      </c>
      <c r="C1" s="25">
        <v>2023</v>
      </c>
      <c r="D1" s="25">
        <v>2024</v>
      </c>
    </row>
    <row r="2" spans="1:4" x14ac:dyDescent="0.25">
      <c r="A2" s="10" t="s">
        <v>154</v>
      </c>
      <c r="B2" s="109">
        <f>'Income Statement'!B3+'Income Statement'!B4+'Income Statement'!B7</f>
        <v>1427400000</v>
      </c>
      <c r="C2" s="109">
        <f>'Income Statement'!C3+'Income Statement'!C4+'Income Statement'!C7</f>
        <v>1392400000</v>
      </c>
      <c r="D2" s="110">
        <f>'Income Statement'!D3+'Income Statement'!D4+'Income Statement'!D7</f>
        <v>1699800000</v>
      </c>
    </row>
    <row r="3" spans="1:4" x14ac:dyDescent="0.25">
      <c r="A3" s="6" t="s">
        <v>155</v>
      </c>
      <c r="B3" s="14">
        <f>SUM('Income Statement'!B9:B15)+'Income Statement'!B5</f>
        <v>-779600000</v>
      </c>
      <c r="C3" s="14">
        <f>SUM('Income Statement'!C9:C15)+'Income Statement'!C5</f>
        <v>-759000000</v>
      </c>
      <c r="D3" s="84">
        <f>SUM('Income Statement'!D9:D15)+'Income Statement'!D5</f>
        <v>-1003100000</v>
      </c>
    </row>
    <row r="4" spans="1:4" s="1" customFormat="1" x14ac:dyDescent="0.25">
      <c r="A4" s="32" t="s">
        <v>156</v>
      </c>
      <c r="B4" s="26">
        <f>B2+B3</f>
        <v>647800000</v>
      </c>
      <c r="C4" s="26">
        <f>C2+C3</f>
        <v>633400000</v>
      </c>
      <c r="D4" s="105">
        <f>D2+D3</f>
        <v>696700000</v>
      </c>
    </row>
    <row r="5" spans="1:4" x14ac:dyDescent="0.25">
      <c r="A5" s="6" t="s">
        <v>307</v>
      </c>
      <c r="B5" s="14">
        <f>'Income Statement'!B20</f>
        <v>-93100000</v>
      </c>
      <c r="C5" s="14">
        <f>'Income Statement'!C20</f>
        <v>-91800000</v>
      </c>
      <c r="D5" s="84">
        <f>'Income Statement'!D20</f>
        <v>-113500000</v>
      </c>
    </row>
    <row r="6" spans="1:4" s="1" customFormat="1" x14ac:dyDescent="0.25">
      <c r="A6" s="32" t="s">
        <v>157</v>
      </c>
      <c r="B6" s="26">
        <f>B4+B5</f>
        <v>554700000</v>
      </c>
      <c r="C6" s="26">
        <f>C4+C5</f>
        <v>541600000</v>
      </c>
      <c r="D6" s="105">
        <f>D4+D5</f>
        <v>583200000</v>
      </c>
    </row>
    <row r="7" spans="1:4" x14ac:dyDescent="0.25">
      <c r="A7" s="111" t="s">
        <v>158</v>
      </c>
      <c r="B7" s="14">
        <f>-'Income Statement'!B17</f>
        <v>21900000</v>
      </c>
      <c r="C7" s="14">
        <f>-'Income Statement'!C17</f>
        <v>18400000</v>
      </c>
      <c r="D7" s="84">
        <f>-'Income Statement'!D17</f>
        <v>31600000</v>
      </c>
    </row>
    <row r="8" spans="1:4" x14ac:dyDescent="0.25">
      <c r="A8" s="111" t="s">
        <v>305</v>
      </c>
      <c r="B8" s="14">
        <f>'Income Statement'!B15</f>
        <v>0</v>
      </c>
      <c r="C8" s="14">
        <f>-'Income Statement'!C15</f>
        <v>3000000</v>
      </c>
      <c r="D8" s="84">
        <f>-'Income Statement'!D15</f>
        <v>127900000</v>
      </c>
    </row>
    <row r="9" spans="1:4" x14ac:dyDescent="0.25">
      <c r="A9" s="111" t="s">
        <v>159</v>
      </c>
      <c r="B9" s="14">
        <f>-'Income Statement'!B18</f>
        <v>-22000000</v>
      </c>
      <c r="C9" s="14">
        <v>0</v>
      </c>
      <c r="D9" s="84">
        <f>-'Income Statement'!D16</f>
        <v>25700000</v>
      </c>
    </row>
    <row r="10" spans="1:4" s="1" customFormat="1" x14ac:dyDescent="0.25">
      <c r="A10" s="112" t="s">
        <v>160</v>
      </c>
      <c r="B10" s="26">
        <f>SUM(B6:B9)</f>
        <v>554600000</v>
      </c>
      <c r="C10" s="26">
        <f>SUM(C6:C9)</f>
        <v>563000000</v>
      </c>
      <c r="D10" s="105">
        <f>SUM(D6:D9)</f>
        <v>768400000</v>
      </c>
    </row>
    <row r="11" spans="1:4" x14ac:dyDescent="0.25">
      <c r="A11" s="6" t="s">
        <v>324</v>
      </c>
      <c r="B11" s="14">
        <f>-B10*WACC!K3</f>
        <v>-166380000</v>
      </c>
      <c r="C11" s="14">
        <f>-C10*WACC!K3</f>
        <v>-168900000</v>
      </c>
      <c r="D11" s="84">
        <f>-D10*WACC!K3</f>
        <v>-230520000</v>
      </c>
    </row>
    <row r="12" spans="1:4" s="1" customFormat="1" x14ac:dyDescent="0.25">
      <c r="A12" s="32" t="s">
        <v>161</v>
      </c>
      <c r="B12" s="26">
        <f>B10+B11</f>
        <v>388220000</v>
      </c>
      <c r="C12" s="26">
        <f>C10+C11</f>
        <v>394100000</v>
      </c>
      <c r="D12" s="105">
        <f>D10+D11</f>
        <v>537880000</v>
      </c>
    </row>
    <row r="13" spans="1:4" x14ac:dyDescent="0.25">
      <c r="A13" s="111" t="s">
        <v>308</v>
      </c>
      <c r="B13" s="14">
        <f>-('Bottom-up Beta'!$D$7 * WACC!B24 * WACC!$B$11)</f>
        <v>-140356741.51344573</v>
      </c>
      <c r="C13" s="14">
        <f>-('Bottom-up Beta'!$D$7 * WACC!C24 * WACC!$B$11)</f>
        <v>-175716352.85447785</v>
      </c>
      <c r="D13" s="84">
        <f>-('Bottom-up Beta'!$D$7 * WACC!D24 * WACC!$B$11)</f>
        <v>-237547812.84240666</v>
      </c>
    </row>
    <row r="14" spans="1:4" s="1" customFormat="1" x14ac:dyDescent="0.25">
      <c r="A14" s="11" t="s">
        <v>119</v>
      </c>
      <c r="B14" s="113">
        <f>B12+B13</f>
        <v>247863258.48655427</v>
      </c>
      <c r="C14" s="113">
        <f>C12+C13</f>
        <v>218383647.14552215</v>
      </c>
      <c r="D14" s="114">
        <f>D12+D13</f>
        <v>300332187.15759337</v>
      </c>
    </row>
  </sheetData>
  <pageMargins left="0.7" right="0.7" top="0.75" bottom="0.75" header="0.3" footer="0.3"/>
  <ignoredErrors>
    <ignoredError sqref="B13:D13 B5:D5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6A1B9-951E-4008-83C0-F83C195EEBA5}">
  <dimension ref="A1:F108"/>
  <sheetViews>
    <sheetView workbookViewId="0">
      <selection activeCell="F2" sqref="F2"/>
    </sheetView>
  </sheetViews>
  <sheetFormatPr defaultColWidth="8.85546875" defaultRowHeight="15" x14ac:dyDescent="0.25"/>
  <cols>
    <col min="1" max="1" width="26.140625" customWidth="1"/>
    <col min="2" max="2" width="24" bestFit="1" customWidth="1"/>
    <col min="3" max="5" width="17" bestFit="1" customWidth="1"/>
    <col min="6" max="6" width="106.85546875" customWidth="1"/>
    <col min="10" max="10" width="18.28515625" bestFit="1" customWidth="1"/>
    <col min="11" max="11" width="18.42578125" bestFit="1" customWidth="1"/>
    <col min="12" max="14" width="8" bestFit="1" customWidth="1"/>
    <col min="15" max="15" width="75.85546875" bestFit="1" customWidth="1"/>
  </cols>
  <sheetData>
    <row r="1" spans="1:6" x14ac:dyDescent="0.25">
      <c r="A1" s="1" t="s">
        <v>294</v>
      </c>
    </row>
    <row r="2" spans="1:6" x14ac:dyDescent="0.25">
      <c r="A2" s="1"/>
      <c r="B2" s="1"/>
      <c r="C2" s="25">
        <v>2022</v>
      </c>
      <c r="D2" s="25">
        <v>2023</v>
      </c>
      <c r="E2" s="25">
        <v>2024</v>
      </c>
      <c r="F2" s="1" t="s">
        <v>178</v>
      </c>
    </row>
    <row r="3" spans="1:6" x14ac:dyDescent="0.25">
      <c r="A3" t="s">
        <v>193</v>
      </c>
      <c r="C3" s="1"/>
      <c r="D3" s="1"/>
      <c r="E3" s="1"/>
      <c r="F3" s="1"/>
    </row>
    <row r="4" spans="1:6" x14ac:dyDescent="0.25">
      <c r="B4" t="s">
        <v>194</v>
      </c>
      <c r="C4" s="3">
        <f>'Income Statement'!H16/SUM('Balance Sheet'!H4:H11)</f>
        <v>0.12298644847864997</v>
      </c>
      <c r="D4" s="3">
        <f>'Income Statement'!I16/SUM('Balance Sheet'!I4:I11)</f>
        <v>0.10993115796622727</v>
      </c>
      <c r="E4" s="3">
        <f>'Income Statement'!J16/SUM('Balance Sheet'!J4:J11)</f>
        <v>9.1218557011598131E-2</v>
      </c>
      <c r="F4" t="s">
        <v>348</v>
      </c>
    </row>
    <row r="5" spans="1:6" x14ac:dyDescent="0.25">
      <c r="B5" t="s">
        <v>349</v>
      </c>
      <c r="C5" s="3">
        <f>'Balance Sheet'!H13/'Balance Sheet'!H28</f>
        <v>1.884251448690677</v>
      </c>
      <c r="D5" s="3">
        <f>'Balance Sheet'!I13/'Balance Sheet'!I28</f>
        <v>1.7314436387607119</v>
      </c>
      <c r="E5" s="3">
        <f>'Balance Sheet'!J13/'Balance Sheet'!J28</f>
        <v>1.6816569546491005</v>
      </c>
      <c r="F5" t="s">
        <v>196</v>
      </c>
    </row>
    <row r="6" spans="1:6" x14ac:dyDescent="0.25">
      <c r="B6" t="s">
        <v>197</v>
      </c>
      <c r="C6" s="3">
        <f>C5*C4</f>
        <v>0.23173739371521751</v>
      </c>
      <c r="D6" s="3">
        <f>D5*D4</f>
        <v>0.19033960416222317</v>
      </c>
      <c r="E6" s="3">
        <f>E5*E4</f>
        <v>0.15339832079160948</v>
      </c>
      <c r="F6" t="s">
        <v>198</v>
      </c>
    </row>
    <row r="7" spans="1:6" x14ac:dyDescent="0.25">
      <c r="A7" t="s">
        <v>199</v>
      </c>
      <c r="C7" s="1"/>
      <c r="D7" s="1"/>
      <c r="E7" s="1"/>
      <c r="F7" s="1"/>
    </row>
    <row r="8" spans="1:6" x14ac:dyDescent="0.25">
      <c r="B8" t="s">
        <v>200</v>
      </c>
      <c r="C8" s="3">
        <f>'Income Statement'!H16/'Income Statement'!H3</f>
        <v>0.26958105646630237</v>
      </c>
      <c r="D8" s="3">
        <f>'Income Statement'!I16/'Income Statement'!I3</f>
        <v>0.25574547543809251</v>
      </c>
      <c r="E8" s="3">
        <f>'Income Statement'!J16/'Income Statement'!J3</f>
        <v>0.17813860454171079</v>
      </c>
      <c r="F8" t="s">
        <v>201</v>
      </c>
    </row>
    <row r="9" spans="1:6" x14ac:dyDescent="0.25">
      <c r="B9" t="s">
        <v>202</v>
      </c>
      <c r="C9" s="3">
        <f>'Income Statement'!H3/SUM('Balance Sheet'!H4:H11)</f>
        <v>0.45621324469445157</v>
      </c>
      <c r="D9" s="3">
        <f>'Income Statement'!I3/SUM('Balance Sheet'!I4:I11)</f>
        <v>0.42984595437285833</v>
      </c>
      <c r="E9" s="3">
        <f>'Income Statement'!J3/SUM('Balance Sheet'!J4:J11)</f>
        <v>0.51206507004066881</v>
      </c>
      <c r="F9" t="s">
        <v>203</v>
      </c>
    </row>
    <row r="10" spans="1:6" x14ac:dyDescent="0.25">
      <c r="B10" t="s">
        <v>195</v>
      </c>
      <c r="C10" s="3">
        <f>C5</f>
        <v>1.884251448690677</v>
      </c>
      <c r="D10" s="3">
        <f>D5</f>
        <v>1.7314436387607119</v>
      </c>
      <c r="E10" s="3">
        <f>E5</f>
        <v>1.6816569546491005</v>
      </c>
      <c r="F10" t="s">
        <v>196</v>
      </c>
    </row>
    <row r="11" spans="1:6" x14ac:dyDescent="0.25">
      <c r="B11" t="s">
        <v>197</v>
      </c>
      <c r="C11" s="3">
        <f>C8*C9*C10</f>
        <v>0.23173739371521751</v>
      </c>
      <c r="D11" s="3">
        <f>D8*D9*D10</f>
        <v>0.19033960416222317</v>
      </c>
      <c r="E11" s="3">
        <f>E8*E9*E10</f>
        <v>0.15339832079160948</v>
      </c>
      <c r="F11" t="s">
        <v>204</v>
      </c>
    </row>
    <row r="13" spans="1:6" x14ac:dyDescent="0.25">
      <c r="A13" t="s">
        <v>205</v>
      </c>
      <c r="C13" s="1"/>
      <c r="D13" s="1"/>
      <c r="E13" s="1"/>
      <c r="F13" s="1"/>
    </row>
    <row r="14" spans="1:6" x14ac:dyDescent="0.25">
      <c r="B14" t="s">
        <v>206</v>
      </c>
      <c r="C14" s="3">
        <f>'Income Statement'!H16/SUM('Income Statement'!H3:H15)</f>
        <v>0.52690675065041759</v>
      </c>
      <c r="D14" s="3">
        <f>'Income Statement'!I16/SUM('Income Statement'!I3:I15)</f>
        <v>0.52522123893805306</v>
      </c>
      <c r="E14" s="3">
        <f>'Income Statement'!J16/SUM('Income Statement'!J3:J15)</f>
        <v>0.52469242765551893</v>
      </c>
      <c r="F14" t="s">
        <v>207</v>
      </c>
    </row>
    <row r="15" spans="1:6" x14ac:dyDescent="0.25">
      <c r="B15" t="s">
        <v>208</v>
      </c>
      <c r="C15" s="3">
        <f>SUM('Income Statement'!H3:H15)/SUM('Income Statement'!H3:H10)</f>
        <v>1.3673469387755102</v>
      </c>
      <c r="D15" s="3">
        <f>SUM('Income Statement'!I3:I15)/SUM('Income Statement'!I3:I10)</f>
        <v>1.2782805429864252</v>
      </c>
      <c r="E15" s="3">
        <f>SUM('Income Statement'!J3:J15)/SUM('Income Statement'!J3:J10)</f>
        <v>1.0728759992563675</v>
      </c>
      <c r="F15" t="s">
        <v>209</v>
      </c>
    </row>
    <row r="16" spans="1:6" x14ac:dyDescent="0.25">
      <c r="B16" t="s">
        <v>210</v>
      </c>
      <c r="C16" s="3">
        <f>SUM('Income Statement'!H3:H10)/'Income Statement'!H3</f>
        <v>0.37417682499649713</v>
      </c>
      <c r="D16" s="3">
        <f>SUM('Income Statement'!I3:I10)/'Income Statement'!I3</f>
        <v>0.38092502154553287</v>
      </c>
      <c r="E16" s="3">
        <f>SUM('Income Statement'!J3:J10)/'Income Statement'!J3</f>
        <v>0.31644899399929405</v>
      </c>
      <c r="F16" t="s">
        <v>211</v>
      </c>
    </row>
    <row r="17" spans="1:6" x14ac:dyDescent="0.25">
      <c r="B17" t="s">
        <v>212</v>
      </c>
      <c r="C17" s="3">
        <f t="shared" ref="C17:E18" si="0">C9</f>
        <v>0.45621324469445157</v>
      </c>
      <c r="D17" s="3">
        <f t="shared" si="0"/>
        <v>0.42984595437285833</v>
      </c>
      <c r="E17" s="3">
        <f t="shared" si="0"/>
        <v>0.51206507004066881</v>
      </c>
      <c r="F17" t="s">
        <v>203</v>
      </c>
    </row>
    <row r="18" spans="1:6" x14ac:dyDescent="0.25">
      <c r="B18" t="s">
        <v>195</v>
      </c>
      <c r="C18" s="3">
        <f t="shared" si="0"/>
        <v>1.884251448690677</v>
      </c>
      <c r="D18" s="3">
        <f t="shared" si="0"/>
        <v>1.7314436387607119</v>
      </c>
      <c r="E18" s="3">
        <f t="shared" si="0"/>
        <v>1.6816569546491005</v>
      </c>
      <c r="F18" t="s">
        <v>196</v>
      </c>
    </row>
    <row r="19" spans="1:6" x14ac:dyDescent="0.25">
      <c r="B19" t="s">
        <v>197</v>
      </c>
      <c r="C19" s="3">
        <f>C14*C15*C16*C17*C18</f>
        <v>0.23173739371521751</v>
      </c>
      <c r="D19" s="3">
        <f>D14*D15*D16*D17*D18</f>
        <v>0.19033960416222315</v>
      </c>
      <c r="E19" s="3">
        <f>E14*E15*E16*E17*E18</f>
        <v>0.15339832079160948</v>
      </c>
      <c r="F19" t="s">
        <v>213</v>
      </c>
    </row>
    <row r="21" spans="1:6" x14ac:dyDescent="0.25">
      <c r="A21" t="s">
        <v>214</v>
      </c>
    </row>
    <row r="22" spans="1:6" x14ac:dyDescent="0.25">
      <c r="A22" s="1" t="s">
        <v>215</v>
      </c>
    </row>
    <row r="23" spans="1:6" x14ac:dyDescent="0.25">
      <c r="B23" t="s">
        <v>216</v>
      </c>
    </row>
    <row r="24" spans="1:6" x14ac:dyDescent="0.25">
      <c r="B24" t="s">
        <v>217</v>
      </c>
      <c r="C24" s="14">
        <f>'Income Statement'!H16+SUM('Income Statement'!H10:H11)*(1-30%)</f>
        <v>379970000</v>
      </c>
      <c r="D24" s="14">
        <f>'Income Statement'!I16+SUM('Income Statement'!I10:I11)*(1-30%)</f>
        <v>348890000</v>
      </c>
      <c r="E24" s="14">
        <f>'Income Statement'!J16+SUM('Income Statement'!J10:J11)*(1-30%)</f>
        <v>292790000</v>
      </c>
      <c r="F24" t="s">
        <v>218</v>
      </c>
    </row>
    <row r="25" spans="1:6" x14ac:dyDescent="0.25">
      <c r="B25" s="56" t="s">
        <v>219</v>
      </c>
      <c r="C25" s="57">
        <f>C24/'Income Statement'!H3</f>
        <v>0.26619728177105229</v>
      </c>
      <c r="D25" s="57">
        <f>D24/'Income Statement'!I3</f>
        <v>0.25056736569951166</v>
      </c>
      <c r="E25" s="57">
        <f>E24/'Income Statement'!J3</f>
        <v>0.17224967643252148</v>
      </c>
      <c r="F25" t="s">
        <v>220</v>
      </c>
    </row>
    <row r="27" spans="1:6" x14ac:dyDescent="0.25">
      <c r="A27" s="1" t="s">
        <v>221</v>
      </c>
    </row>
    <row r="28" spans="1:6" x14ac:dyDescent="0.25">
      <c r="B28" t="s">
        <v>222</v>
      </c>
      <c r="F28" t="s">
        <v>223</v>
      </c>
    </row>
    <row r="29" spans="1:6" x14ac:dyDescent="0.25">
      <c r="B29" t="s">
        <v>224</v>
      </c>
      <c r="C29" s="14">
        <f>('Balance Sheet'!H13-SUM('Balance Sheet'!H4:H5))-(SUM('Balance Sheet'!H16:H18)-'Balance Sheet'!H16)</f>
        <v>1823700000</v>
      </c>
      <c r="D29" s="14">
        <f>('Balance Sheet'!I13-SUM('Balance Sheet'!I4:I5))-(SUM('Balance Sheet'!I16:I18)-'Balance Sheet'!I16)</f>
        <v>1820800000</v>
      </c>
      <c r="E29" s="14">
        <f>('Balance Sheet'!J13-SUM('Balance Sheet'!J4:J5))-(SUM('Balance Sheet'!J16:J18)-'Balance Sheet'!J16)</f>
        <v>1717200000</v>
      </c>
      <c r="F29" t="s">
        <v>225</v>
      </c>
    </row>
    <row r="30" spans="1:6" x14ac:dyDescent="0.25">
      <c r="B30" t="s">
        <v>226</v>
      </c>
      <c r="C30" s="14">
        <f>SUM('Balance Sheet'!H9:H11)-SUM('Balance Sheet'!H21:H22)</f>
        <v>1631500000</v>
      </c>
      <c r="D30" s="14">
        <f>SUM('Balance Sheet'!I9:I11)-SUM('Balance Sheet'!I21:I22)</f>
        <v>1657800000</v>
      </c>
      <c r="E30" s="14">
        <f>SUM('Balance Sheet'!J9:J11)-SUM('Balance Sheet'!J21:J22)</f>
        <v>1619900000</v>
      </c>
      <c r="F30" t="s">
        <v>227</v>
      </c>
    </row>
    <row r="31" spans="1:6" x14ac:dyDescent="0.25">
      <c r="B31" t="s">
        <v>228</v>
      </c>
      <c r="C31" s="14">
        <f>C30+C29</f>
        <v>3455200000</v>
      </c>
      <c r="D31" s="14">
        <f t="shared" ref="D31:E31" si="1">D30+D29</f>
        <v>3478600000</v>
      </c>
      <c r="E31" s="14">
        <f t="shared" si="1"/>
        <v>3337100000</v>
      </c>
      <c r="F31" t="s">
        <v>229</v>
      </c>
    </row>
    <row r="32" spans="1:6" x14ac:dyDescent="0.25">
      <c r="B32" s="56" t="s">
        <v>222</v>
      </c>
      <c r="C32" s="57">
        <f>C25*('Income Statement'!H3/'Ratio Analysis'!C31)</f>
        <v>0.10997047927761057</v>
      </c>
      <c r="D32" s="57">
        <f>D25*('Income Statement'!I3/'Ratio Analysis'!D31)</f>
        <v>0.10029609613062727</v>
      </c>
      <c r="E32" s="57">
        <f>E25*('Income Statement'!J3/'Ratio Analysis'!E31)</f>
        <v>8.7737856222468616E-2</v>
      </c>
      <c r="F32" t="s">
        <v>223</v>
      </c>
    </row>
    <row r="34" spans="1:6" x14ac:dyDescent="0.25">
      <c r="A34" t="s">
        <v>230</v>
      </c>
    </row>
    <row r="35" spans="1:6" x14ac:dyDescent="0.25">
      <c r="B35" s="56" t="s">
        <v>231</v>
      </c>
      <c r="C35" s="57">
        <f>'Income Statement'!H16/'Income Statement'!H3</f>
        <v>0.26958105646630237</v>
      </c>
      <c r="D35" s="57">
        <f>'Income Statement'!I16/'Income Statement'!I3</f>
        <v>0.25574547543809251</v>
      </c>
      <c r="E35" s="57">
        <f>'Income Statement'!J16/'Income Statement'!J3</f>
        <v>0.17813860454171079</v>
      </c>
      <c r="F35" t="s">
        <v>232</v>
      </c>
    </row>
    <row r="37" spans="1:6" x14ac:dyDescent="0.25">
      <c r="A37" t="s">
        <v>233</v>
      </c>
    </row>
    <row r="38" spans="1:6" x14ac:dyDescent="0.25">
      <c r="A38" t="s">
        <v>234</v>
      </c>
    </row>
    <row r="39" spans="1:6" x14ac:dyDescent="0.25">
      <c r="B39" t="s">
        <v>224</v>
      </c>
      <c r="C39" s="14">
        <f>C29</f>
        <v>1823700000</v>
      </c>
      <c r="D39" s="14">
        <f t="shared" ref="D39:E39" si="2">D29</f>
        <v>1820800000</v>
      </c>
      <c r="E39" s="14">
        <f t="shared" si="2"/>
        <v>1717200000</v>
      </c>
      <c r="F39" t="s">
        <v>225</v>
      </c>
    </row>
    <row r="40" spans="1:6" x14ac:dyDescent="0.25">
      <c r="B40" s="56" t="s">
        <v>235</v>
      </c>
      <c r="C40" s="57">
        <f>C39/'Income Statement'!H3</f>
        <v>1.2776376628835646</v>
      </c>
      <c r="D40" s="57">
        <f>D39/'Income Statement'!I3</f>
        <v>1.3076702097098536</v>
      </c>
      <c r="E40" s="57">
        <f>E39/'Income Statement'!J3</f>
        <v>1.0102364984115779</v>
      </c>
      <c r="F40" t="s">
        <v>236</v>
      </c>
    </row>
    <row r="42" spans="1:6" x14ac:dyDescent="0.25">
      <c r="A42" t="s">
        <v>237</v>
      </c>
      <c r="C42" s="3">
        <f>'Income Statement'!H3/'Ratio Analysis'!C39</f>
        <v>0.78269452212534951</v>
      </c>
      <c r="D42" s="3">
        <f>'Income Statement'!I3/'Ratio Analysis'!D39</f>
        <v>0.76471880492091393</v>
      </c>
      <c r="E42" s="3">
        <f>'Income Statement'!J3/'Ratio Analysis'!E39</f>
        <v>0.98986722571628227</v>
      </c>
      <c r="F42" t="s">
        <v>238</v>
      </c>
    </row>
    <row r="43" spans="1:6" x14ac:dyDescent="0.25">
      <c r="A43" t="s">
        <v>239</v>
      </c>
      <c r="B43" s="56"/>
      <c r="C43" s="58">
        <f>'Income Statement'!H3/'Balance Sheet'!H5</f>
        <v>9.1676300578034677</v>
      </c>
      <c r="D43" s="58">
        <f>'Income Statement'!I3/'Balance Sheet'!I5</f>
        <v>8.2293144208037834</v>
      </c>
      <c r="E43" s="58">
        <f>'Income Statement'!J3/'Balance Sheet'!J5</f>
        <v>5.5134609146934803</v>
      </c>
      <c r="F43" t="s">
        <v>240</v>
      </c>
    </row>
    <row r="44" spans="1:6" x14ac:dyDescent="0.25">
      <c r="B44" t="s">
        <v>241</v>
      </c>
      <c r="F44" t="s">
        <v>242</v>
      </c>
    </row>
    <row r="46" spans="1:6" x14ac:dyDescent="0.25">
      <c r="A46" s="1" t="s">
        <v>243</v>
      </c>
    </row>
    <row r="48" spans="1:6" x14ac:dyDescent="0.25">
      <c r="A48" t="s">
        <v>244</v>
      </c>
    </row>
    <row r="49" spans="1:6" x14ac:dyDescent="0.25">
      <c r="B49" t="s">
        <v>226</v>
      </c>
      <c r="C49" s="14">
        <f>C30</f>
        <v>1631500000</v>
      </c>
      <c r="D49" s="14">
        <f t="shared" ref="D49:E49" si="3">D30</f>
        <v>1657800000</v>
      </c>
      <c r="E49" s="14">
        <f t="shared" si="3"/>
        <v>1619900000</v>
      </c>
      <c r="F49" t="s">
        <v>227</v>
      </c>
    </row>
    <row r="50" spans="1:6" x14ac:dyDescent="0.25">
      <c r="B50" s="56" t="s">
        <v>245</v>
      </c>
      <c r="C50" s="59">
        <f>'Income Statement'!H3/'Ratio Analysis'!C49</f>
        <v>0.87490039840637446</v>
      </c>
      <c r="D50" s="59">
        <f>'Income Statement'!I3/'Ratio Analysis'!D49</f>
        <v>0.83990831222101581</v>
      </c>
      <c r="E50" s="59">
        <f>'Income Statement'!J3/'Ratio Analysis'!E49</f>
        <v>1.0493240323476758</v>
      </c>
      <c r="F50" t="s">
        <v>246</v>
      </c>
    </row>
    <row r="52" spans="1:6" x14ac:dyDescent="0.25">
      <c r="A52" t="s">
        <v>247</v>
      </c>
    </row>
    <row r="53" spans="1:6" x14ac:dyDescent="0.25">
      <c r="B53" t="s">
        <v>248</v>
      </c>
      <c r="C53" s="14">
        <f>'Balance Sheet'!H9</f>
        <v>82400000</v>
      </c>
      <c r="D53" s="14">
        <f>'Balance Sheet'!I9</f>
        <v>90400000</v>
      </c>
      <c r="E53" s="14">
        <f>'Balance Sheet'!J9</f>
        <v>81400000</v>
      </c>
      <c r="F53" t="s">
        <v>249</v>
      </c>
    </row>
    <row r="54" spans="1:6" x14ac:dyDescent="0.25">
      <c r="B54" s="56" t="s">
        <v>250</v>
      </c>
      <c r="C54" s="60">
        <f>'Income Statement'!H3/'Ratio Analysis'!C53</f>
        <v>17.322815533980581</v>
      </c>
      <c r="D54" s="60">
        <f>'Income Statement'!I3/'Ratio Analysis'!D53</f>
        <v>15.402654867256636</v>
      </c>
      <c r="E54" s="60">
        <f>'Income Statement'!J3/'Ratio Analysis'!E53</f>
        <v>20.882063882063882</v>
      </c>
      <c r="F54" t="s">
        <v>251</v>
      </c>
    </row>
    <row r="56" spans="1:6" x14ac:dyDescent="0.25">
      <c r="A56" s="1" t="s">
        <v>252</v>
      </c>
    </row>
    <row r="58" spans="1:6" x14ac:dyDescent="0.25">
      <c r="A58" t="s">
        <v>253</v>
      </c>
    </row>
    <row r="59" spans="1:6" x14ac:dyDescent="0.25">
      <c r="B59" t="s">
        <v>254</v>
      </c>
      <c r="C59" s="14">
        <f>SUM('Balance Sheet'!H4:H7)</f>
        <v>560000000</v>
      </c>
      <c r="D59" s="14">
        <f>SUM('Balance Sheet'!I4:I7)</f>
        <v>612700000</v>
      </c>
      <c r="E59" s="14">
        <f>SUM('Balance Sheet'!J4:J7)</f>
        <v>664500000</v>
      </c>
      <c r="F59" t="s">
        <v>249</v>
      </c>
    </row>
    <row r="60" spans="1:6" x14ac:dyDescent="0.25">
      <c r="B60" t="s">
        <v>94</v>
      </c>
      <c r="C60" s="14">
        <f>SUM('Balance Sheet'!H16:H18)</f>
        <v>349800000</v>
      </c>
      <c r="D60" s="14">
        <f>SUM('Balance Sheet'!I16:I18)</f>
        <v>360800000</v>
      </c>
      <c r="E60" s="14">
        <f>SUM('Balance Sheet'!J16:J18)</f>
        <v>433200000</v>
      </c>
      <c r="F60" t="s">
        <v>249</v>
      </c>
    </row>
    <row r="61" spans="1:6" x14ac:dyDescent="0.25">
      <c r="B61" s="61" t="s">
        <v>255</v>
      </c>
      <c r="C61" s="62">
        <f>C59/C60</f>
        <v>1.6009148084619782</v>
      </c>
      <c r="D61" s="62">
        <f t="shared" ref="D61:E61" si="4">D59/D60</f>
        <v>1.6981707317073171</v>
      </c>
      <c r="E61" s="62">
        <f t="shared" si="4"/>
        <v>1.5339335180055402</v>
      </c>
      <c r="F61" t="s">
        <v>256</v>
      </c>
    </row>
    <row r="63" spans="1:6" x14ac:dyDescent="0.25">
      <c r="A63" t="s">
        <v>257</v>
      </c>
    </row>
    <row r="64" spans="1:6" x14ac:dyDescent="0.25">
      <c r="B64" t="s">
        <v>258</v>
      </c>
      <c r="C64" s="14">
        <f>SUM('Balance Sheet'!H4:H5)+'Balance Sheet'!B9</f>
        <v>403900000</v>
      </c>
      <c r="D64" s="14">
        <f>SUM('Balance Sheet'!I4:I5)+'Balance Sheet'!C9</f>
        <v>482000000</v>
      </c>
      <c r="E64" s="14">
        <f>SUM('Balance Sheet'!J4:J5)+'Balance Sheet'!D9</f>
        <v>514300000</v>
      </c>
      <c r="F64" t="s">
        <v>249</v>
      </c>
    </row>
    <row r="65" spans="1:6" x14ac:dyDescent="0.25">
      <c r="B65" t="s">
        <v>94</v>
      </c>
      <c r="C65" s="14">
        <f>C60</f>
        <v>349800000</v>
      </c>
      <c r="D65" s="14">
        <f t="shared" ref="D65:E65" si="5">D60</f>
        <v>360800000</v>
      </c>
      <c r="E65" s="14">
        <f t="shared" si="5"/>
        <v>433200000</v>
      </c>
      <c r="F65" t="s">
        <v>249</v>
      </c>
    </row>
    <row r="66" spans="1:6" x14ac:dyDescent="0.25">
      <c r="B66" s="61" t="s">
        <v>259</v>
      </c>
      <c r="C66" s="63">
        <f>C64/C65</f>
        <v>1.1546598056032018</v>
      </c>
      <c r="D66" s="63">
        <f t="shared" ref="D66:E66" si="6">D64/D65</f>
        <v>1.335920177383592</v>
      </c>
      <c r="E66" s="63">
        <f t="shared" si="6"/>
        <v>1.1872114496768236</v>
      </c>
      <c r="F66" t="s">
        <v>260</v>
      </c>
    </row>
    <row r="68" spans="1:6" x14ac:dyDescent="0.25">
      <c r="A68" t="s">
        <v>261</v>
      </c>
    </row>
    <row r="69" spans="1:6" x14ac:dyDescent="0.25">
      <c r="B69" t="s">
        <v>262</v>
      </c>
      <c r="C69" s="14">
        <f>'Balance Sheet'!H4</f>
        <v>248200000</v>
      </c>
      <c r="D69" s="14">
        <f>'Balance Sheet'!I4</f>
        <v>286300000</v>
      </c>
      <c r="E69" s="14">
        <f>'Balance Sheet'!J4</f>
        <v>205100000</v>
      </c>
      <c r="F69" t="s">
        <v>249</v>
      </c>
    </row>
    <row r="70" spans="1:6" x14ac:dyDescent="0.25">
      <c r="B70" t="s">
        <v>94</v>
      </c>
      <c r="C70" s="14">
        <f>C60</f>
        <v>349800000</v>
      </c>
      <c r="D70" s="14">
        <f t="shared" ref="D70:E70" si="7">D60</f>
        <v>360800000</v>
      </c>
      <c r="E70" s="14">
        <f t="shared" si="7"/>
        <v>433200000</v>
      </c>
      <c r="F70" t="s">
        <v>249</v>
      </c>
    </row>
    <row r="71" spans="1:6" x14ac:dyDescent="0.25">
      <c r="B71" s="61" t="s">
        <v>263</v>
      </c>
      <c r="C71" s="63">
        <f>C69/C70</f>
        <v>0.70954831332189827</v>
      </c>
      <c r="D71" s="63">
        <f t="shared" ref="D71:E71" si="8">D69/D70</f>
        <v>0.79351441241685139</v>
      </c>
      <c r="E71" s="63">
        <f t="shared" si="8"/>
        <v>0.47345337026777468</v>
      </c>
      <c r="F71" t="s">
        <v>264</v>
      </c>
    </row>
    <row r="73" spans="1:6" x14ac:dyDescent="0.25">
      <c r="A73" s="1" t="s">
        <v>265</v>
      </c>
    </row>
    <row r="75" spans="1:6" x14ac:dyDescent="0.25">
      <c r="A75" t="s">
        <v>266</v>
      </c>
    </row>
    <row r="76" spans="1:6" x14ac:dyDescent="0.25">
      <c r="B76" t="s">
        <v>267</v>
      </c>
      <c r="C76" s="14">
        <f>'Balance Sheet'!H24</f>
        <v>1205500000</v>
      </c>
      <c r="D76" s="14">
        <f>'Balance Sheet'!I24</f>
        <v>1109600000</v>
      </c>
      <c r="E76" s="14">
        <f>'Balance Sheet'!J24</f>
        <v>1076200000</v>
      </c>
    </row>
    <row r="77" spans="1:6" x14ac:dyDescent="0.25">
      <c r="B77" t="s">
        <v>268</v>
      </c>
      <c r="C77" s="14">
        <f>'Balance Sheet'!H27</f>
        <v>1302000000</v>
      </c>
      <c r="D77" s="14">
        <f>'Balance Sheet'!I27</f>
        <v>1466800000</v>
      </c>
      <c r="E77" s="14">
        <f>'Balance Sheet'!J27</f>
        <v>1538400000</v>
      </c>
    </row>
    <row r="78" spans="1:6" x14ac:dyDescent="0.25">
      <c r="B78" s="61" t="s">
        <v>269</v>
      </c>
      <c r="C78" s="63">
        <f>C76/C77</f>
        <v>0.92588325652841785</v>
      </c>
      <c r="D78" s="63">
        <f t="shared" ref="D78:E78" si="9">D76/D77</f>
        <v>0.75647668393782386</v>
      </c>
      <c r="E78" s="63">
        <f t="shared" si="9"/>
        <v>0.69955798231929278</v>
      </c>
    </row>
    <row r="80" spans="1:6" x14ac:dyDescent="0.25">
      <c r="A80" s="64" t="s">
        <v>270</v>
      </c>
    </row>
    <row r="81" spans="1:6" x14ac:dyDescent="0.25">
      <c r="B81" t="s">
        <v>271</v>
      </c>
      <c r="C81" s="14">
        <f>('Balance Sheet'!H16+'Balance Sheet'!H20)</f>
        <v>487000000</v>
      </c>
      <c r="D81" s="14">
        <f>('Balance Sheet'!I16+'Balance Sheet'!I20)</f>
        <v>403200000</v>
      </c>
      <c r="E81" s="14">
        <f>('Balance Sheet'!J16+'Balance Sheet'!J20)</f>
        <v>281200000</v>
      </c>
    </row>
    <row r="82" spans="1:6" x14ac:dyDescent="0.25">
      <c r="B82" t="s">
        <v>268</v>
      </c>
      <c r="C82" s="14">
        <f>C77</f>
        <v>1302000000</v>
      </c>
      <c r="D82" s="14">
        <f t="shared" ref="D82:E82" si="10">D77</f>
        <v>1466800000</v>
      </c>
      <c r="E82" s="14">
        <f t="shared" si="10"/>
        <v>1538400000</v>
      </c>
    </row>
    <row r="83" spans="1:6" x14ac:dyDescent="0.25">
      <c r="B83" s="61" t="s">
        <v>272</v>
      </c>
      <c r="C83" s="63">
        <f>C81/C82</f>
        <v>0.3740399385560676</v>
      </c>
      <c r="D83" s="63">
        <f t="shared" ref="D83:E83" si="11">D81/D82</f>
        <v>0.27488410144532316</v>
      </c>
      <c r="E83" s="63">
        <f t="shared" si="11"/>
        <v>0.18278731149245969</v>
      </c>
    </row>
    <row r="85" spans="1:6" x14ac:dyDescent="0.25">
      <c r="A85" t="s">
        <v>273</v>
      </c>
    </row>
    <row r="86" spans="1:6" x14ac:dyDescent="0.25">
      <c r="B86" t="s">
        <v>274</v>
      </c>
      <c r="C86" s="14">
        <f>('Balance Sheet'!H16+'Balance Sheet'!H20-'Balance Sheet'!B9)</f>
        <v>487000000</v>
      </c>
      <c r="D86" s="14">
        <f>('Balance Sheet'!I16+'Balance Sheet'!I20-'Balance Sheet'!C9)</f>
        <v>376700000</v>
      </c>
      <c r="E86" s="14">
        <f>('Balance Sheet'!J16+'Balance Sheet'!J20-'Balance Sheet'!D9)</f>
        <v>280300000</v>
      </c>
    </row>
    <row r="87" spans="1:6" x14ac:dyDescent="0.25">
      <c r="B87" t="s">
        <v>268</v>
      </c>
      <c r="C87" s="14">
        <f>C82</f>
        <v>1302000000</v>
      </c>
      <c r="D87" s="14">
        <f t="shared" ref="D87:E87" si="12">D82</f>
        <v>1466800000</v>
      </c>
      <c r="E87" s="14">
        <f t="shared" si="12"/>
        <v>1538400000</v>
      </c>
    </row>
    <row r="88" spans="1:6" x14ac:dyDescent="0.25">
      <c r="B88" s="61" t="s">
        <v>275</v>
      </c>
      <c r="C88" s="63">
        <f>C86/C87</f>
        <v>0.3740399385560676</v>
      </c>
      <c r="D88" s="63">
        <f t="shared" ref="D88:E88" si="13">D86/D87</f>
        <v>0.25681756203981454</v>
      </c>
      <c r="E88" s="63">
        <f t="shared" si="13"/>
        <v>0.18220228809152367</v>
      </c>
      <c r="F88" s="65" t="s">
        <v>276</v>
      </c>
    </row>
    <row r="90" spans="1:6" x14ac:dyDescent="0.25">
      <c r="A90" t="s">
        <v>277</v>
      </c>
    </row>
    <row r="91" spans="1:6" x14ac:dyDescent="0.25">
      <c r="B91" t="s">
        <v>271</v>
      </c>
      <c r="C91" s="14">
        <f>C81</f>
        <v>487000000</v>
      </c>
      <c r="D91" s="14">
        <f t="shared" ref="D91:E91" si="14">D81</f>
        <v>403200000</v>
      </c>
      <c r="E91" s="14">
        <f t="shared" si="14"/>
        <v>281200000</v>
      </c>
    </row>
    <row r="92" spans="1:6" x14ac:dyDescent="0.25">
      <c r="B92" t="s">
        <v>278</v>
      </c>
      <c r="C92" s="14">
        <f>('Balance Sheet'!H16+'Balance Sheet'!H20+'Balance Sheet'!H28)</f>
        <v>1850300000</v>
      </c>
      <c r="D92" s="14">
        <f>('Balance Sheet'!I16+'Balance Sheet'!I20+'Balance Sheet'!I28)</f>
        <v>1920200000</v>
      </c>
      <c r="E92" s="14">
        <f>('Balance Sheet'!J16+'Balance Sheet'!J20+'Balance Sheet'!J28)</f>
        <v>1860000000</v>
      </c>
    </row>
    <row r="93" spans="1:6" x14ac:dyDescent="0.25">
      <c r="B93" s="61" t="s">
        <v>279</v>
      </c>
      <c r="C93" s="63">
        <f>C91/C92</f>
        <v>0.2632005620710155</v>
      </c>
      <c r="D93" s="63">
        <f t="shared" ref="D93:E93" si="15">D91/D92</f>
        <v>0.20997812727840851</v>
      </c>
      <c r="E93" s="63">
        <f t="shared" si="15"/>
        <v>0.15118279569892473</v>
      </c>
      <c r="F93" t="s">
        <v>280</v>
      </c>
    </row>
    <row r="95" spans="1:6" x14ac:dyDescent="0.25">
      <c r="A95" t="s">
        <v>281</v>
      </c>
    </row>
    <row r="96" spans="1:6" x14ac:dyDescent="0.25">
      <c r="B96" t="s">
        <v>282</v>
      </c>
      <c r="C96" s="14">
        <f>'Income Statement'!H16+'Income Statement'!H10+'Income Statement'!H11+'Income Statement'!H12</f>
        <v>201700000</v>
      </c>
      <c r="D96" s="14">
        <f>'Income Statement'!I16+'Income Statement'!I10+'Income Statement'!I11+'Income Statement'!I12</f>
        <v>177600000</v>
      </c>
      <c r="E96" s="14">
        <f>'Income Statement'!J16+'Income Statement'!J10+'Income Statement'!J11+'Income Statement'!J12</f>
        <v>70200000</v>
      </c>
    </row>
    <row r="97" spans="1:6" x14ac:dyDescent="0.25">
      <c r="B97" t="s">
        <v>283</v>
      </c>
      <c r="C97" s="14">
        <f>'Income Statement'!H11+'Income Statement'!H10</f>
        <v>-6899999.9999999991</v>
      </c>
      <c r="D97" s="14">
        <f>'Income Statement'!I11+'Income Statement'!I10</f>
        <v>-10300000</v>
      </c>
      <c r="E97" s="14">
        <f>'Income Statement'!J11+'Income Statement'!J10</f>
        <v>-14300000</v>
      </c>
    </row>
    <row r="98" spans="1:6" x14ac:dyDescent="0.25">
      <c r="B98" s="56" t="s">
        <v>192</v>
      </c>
      <c r="C98" s="58">
        <f>-C96/C97</f>
        <v>29.231884057971019</v>
      </c>
      <c r="D98" s="58">
        <f t="shared" ref="D98:E98" si="16">-D96/D97</f>
        <v>17.242718446601941</v>
      </c>
      <c r="E98" s="58">
        <f t="shared" si="16"/>
        <v>4.9090909090909092</v>
      </c>
      <c r="F98" t="s">
        <v>284</v>
      </c>
    </row>
    <row r="100" spans="1:6" x14ac:dyDescent="0.25">
      <c r="A100" t="s">
        <v>285</v>
      </c>
    </row>
    <row r="101" spans="1:6" x14ac:dyDescent="0.25">
      <c r="B101" t="s">
        <v>286</v>
      </c>
      <c r="C101" s="14">
        <f>'Cash Flow Sheet'!H10</f>
        <v>-194400000</v>
      </c>
      <c r="D101" s="14">
        <f>'Cash Flow Sheet'!I10</f>
        <v>-217100000</v>
      </c>
      <c r="E101" s="14">
        <f>'Cash Flow Sheet'!J10</f>
        <v>-224900000</v>
      </c>
      <c r="F101" t="s">
        <v>287</v>
      </c>
    </row>
    <row r="102" spans="1:6" x14ac:dyDescent="0.25">
      <c r="B102" s="66" t="s">
        <v>288</v>
      </c>
      <c r="C102" s="14">
        <f>'Cash Flow Sheet'!H3</f>
        <v>695700000</v>
      </c>
      <c r="D102" s="14">
        <f>'Cash Flow Sheet'!I3</f>
        <v>656000000</v>
      </c>
      <c r="E102" s="14">
        <f>'Cash Flow Sheet'!J3</f>
        <v>788800000</v>
      </c>
      <c r="F102" t="s">
        <v>287</v>
      </c>
    </row>
    <row r="103" spans="1:6" x14ac:dyDescent="0.25">
      <c r="B103" s="56" t="s">
        <v>289</v>
      </c>
      <c r="C103" s="57">
        <f>-C101/C102</f>
        <v>0.27943078913324709</v>
      </c>
      <c r="D103" s="57">
        <f t="shared" ref="D103:E103" si="17">-D101/D102</f>
        <v>0.3309451219512195</v>
      </c>
      <c r="E103" s="57">
        <f t="shared" si="17"/>
        <v>0.28511663286004058</v>
      </c>
      <c r="F103" t="s">
        <v>290</v>
      </c>
    </row>
    <row r="105" spans="1:6" x14ac:dyDescent="0.25">
      <c r="A105" s="1" t="s">
        <v>291</v>
      </c>
    </row>
    <row r="106" spans="1:6" x14ac:dyDescent="0.25">
      <c r="A106" t="s">
        <v>292</v>
      </c>
    </row>
    <row r="107" spans="1:6" x14ac:dyDescent="0.25">
      <c r="B107" t="s">
        <v>197</v>
      </c>
      <c r="C107" s="3">
        <f>'Ratio Analysis'!C6</f>
        <v>0.23173739371521751</v>
      </c>
      <c r="D107" s="3">
        <f>'Ratio Analysis'!D6</f>
        <v>0.19033960416222317</v>
      </c>
      <c r="E107" s="3">
        <f>'Ratio Analysis'!E6</f>
        <v>0.15339832079160948</v>
      </c>
    </row>
    <row r="108" spans="1:6" x14ac:dyDescent="0.25">
      <c r="B108" s="56" t="s">
        <v>293</v>
      </c>
      <c r="C108" s="57">
        <f>C107*(1-C103)</f>
        <v>0.16698283091769231</v>
      </c>
      <c r="D108" s="57">
        <f t="shared" ref="D108:E108" si="18">D107*(1-D103)</f>
        <v>0.12734764065060938</v>
      </c>
      <c r="E108" s="57">
        <f t="shared" si="18"/>
        <v>0.10966190808112143</v>
      </c>
      <c r="F108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20F35-34B6-4245-A1E1-FFABB9832AD0}">
  <dimension ref="A1:K7"/>
  <sheetViews>
    <sheetView workbookViewId="0"/>
  </sheetViews>
  <sheetFormatPr defaultColWidth="8.85546875" defaultRowHeight="15" x14ac:dyDescent="0.25"/>
  <cols>
    <col min="2" max="2" width="21.140625" customWidth="1"/>
    <col min="3" max="3" width="16.28515625" bestFit="1" customWidth="1"/>
    <col min="6" max="6" width="14" bestFit="1" customWidth="1"/>
    <col min="10" max="10" width="20.7109375" bestFit="1" customWidth="1"/>
    <col min="11" max="11" width="11.42578125" customWidth="1"/>
  </cols>
  <sheetData>
    <row r="1" spans="1:11" x14ac:dyDescent="0.25">
      <c r="A1" s="1" t="s">
        <v>309</v>
      </c>
    </row>
    <row r="2" spans="1:11" ht="30" x14ac:dyDescent="0.25">
      <c r="A2" s="10" t="s">
        <v>162</v>
      </c>
      <c r="B2" s="115" t="s">
        <v>163</v>
      </c>
      <c r="C2" s="116" t="s">
        <v>164</v>
      </c>
      <c r="D2" s="115" t="s">
        <v>165</v>
      </c>
      <c r="E2" s="115" t="s">
        <v>166</v>
      </c>
      <c r="F2" s="5" t="s">
        <v>167</v>
      </c>
      <c r="J2" s="121" t="s">
        <v>173</v>
      </c>
      <c r="K2" s="122"/>
    </row>
    <row r="3" spans="1:11" x14ac:dyDescent="0.25">
      <c r="A3" s="6">
        <v>1</v>
      </c>
      <c r="B3" t="s">
        <v>168</v>
      </c>
      <c r="C3">
        <v>0.95</v>
      </c>
      <c r="D3" s="3">
        <v>0.18659999999999999</v>
      </c>
      <c r="E3" s="2">
        <f>K4</f>
        <v>0.3</v>
      </c>
      <c r="F3" s="8">
        <f>C3/(1+(1-E3)*D3)</f>
        <v>0.84024694415453471</v>
      </c>
      <c r="J3" s="6" t="s">
        <v>165</v>
      </c>
      <c r="K3" s="7">
        <f>'Ratio Analysis'!E88</f>
        <v>0.18220228809152367</v>
      </c>
    </row>
    <row r="4" spans="1:11" x14ac:dyDescent="0.25">
      <c r="A4" s="6">
        <v>2</v>
      </c>
      <c r="B4" t="s">
        <v>169</v>
      </c>
      <c r="C4">
        <v>0.69</v>
      </c>
      <c r="D4" s="3">
        <v>0.42759999999999998</v>
      </c>
      <c r="E4" s="2">
        <f>K4</f>
        <v>0.3</v>
      </c>
      <c r="F4" s="8">
        <f>C4/(1+(1-E4)*D4)</f>
        <v>0.53104700920481474</v>
      </c>
      <c r="J4" s="6" t="s">
        <v>174</v>
      </c>
      <c r="K4" s="123">
        <f>WACC!K3</f>
        <v>0.3</v>
      </c>
    </row>
    <row r="5" spans="1:11" x14ac:dyDescent="0.25">
      <c r="A5" s="6">
        <v>3</v>
      </c>
      <c r="B5" t="s">
        <v>170</v>
      </c>
      <c r="C5">
        <v>0.78</v>
      </c>
      <c r="D5" s="3">
        <v>0.37040000000000001</v>
      </c>
      <c r="E5" s="2">
        <f>K4</f>
        <v>0.3</v>
      </c>
      <c r="F5" s="8">
        <f>C5/(1+(1-E5)*D5)</f>
        <v>0.61940156279778924</v>
      </c>
      <c r="J5" s="6" t="s">
        <v>175</v>
      </c>
      <c r="K5" s="8">
        <f>F7</f>
        <v>0.80576908045652251</v>
      </c>
    </row>
    <row r="6" spans="1:11" x14ac:dyDescent="0.25">
      <c r="A6" s="6">
        <v>4</v>
      </c>
      <c r="B6" t="s">
        <v>171</v>
      </c>
      <c r="C6">
        <v>1.28</v>
      </c>
      <c r="D6" s="3">
        <v>5.5199999999999999E-2</v>
      </c>
      <c r="E6" s="2">
        <f>K4</f>
        <v>0.3</v>
      </c>
      <c r="F6" s="8">
        <f>C6/(1+(1-E6)*D6)</f>
        <v>1.2323808056689518</v>
      </c>
      <c r="J6" s="11" t="s">
        <v>176</v>
      </c>
      <c r="K6" s="120">
        <f>K5*(1+(1-K4)*K3)</f>
        <v>0.90853815954932948</v>
      </c>
    </row>
    <row r="7" spans="1:11" x14ac:dyDescent="0.25">
      <c r="A7" s="11"/>
      <c r="B7" s="117" t="s">
        <v>172</v>
      </c>
      <c r="C7" s="118">
        <f>AVERAGE(C3:C6)</f>
        <v>0.92500000000000004</v>
      </c>
      <c r="D7" s="119">
        <f>AVERAGE(D3:D6)</f>
        <v>0.25994999999999996</v>
      </c>
      <c r="E7" s="119">
        <f>AVERAGE(E3:E6)</f>
        <v>0.3</v>
      </c>
      <c r="F7" s="120">
        <f>AVERAGE(F3:F6)</f>
        <v>0.80576908045652251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B2678-F29F-493C-AA13-5C4133C94957}">
  <dimension ref="A2:K24"/>
  <sheetViews>
    <sheetView workbookViewId="0">
      <selection activeCell="D22" sqref="D22"/>
    </sheetView>
  </sheetViews>
  <sheetFormatPr defaultColWidth="8.85546875" defaultRowHeight="15" x14ac:dyDescent="0.25"/>
  <cols>
    <col min="1" max="1" width="22.7109375" bestFit="1" customWidth="1"/>
    <col min="2" max="4" width="10.140625" bestFit="1" customWidth="1"/>
    <col min="7" max="7" width="12" bestFit="1" customWidth="1"/>
    <col min="8" max="8" width="13.7109375" customWidth="1"/>
    <col min="10" max="10" width="12.42578125" bestFit="1" customWidth="1"/>
  </cols>
  <sheetData>
    <row r="2" spans="1:11" x14ac:dyDescent="0.25">
      <c r="A2" s="1" t="s">
        <v>311</v>
      </c>
      <c r="J2" s="10" t="s">
        <v>315</v>
      </c>
      <c r="K2" s="124">
        <v>2.7799999999999998E-2</v>
      </c>
    </row>
    <row r="3" spans="1:11" x14ac:dyDescent="0.25">
      <c r="A3" s="4"/>
      <c r="B3" s="71">
        <v>2022</v>
      </c>
      <c r="C3" s="71">
        <v>2023</v>
      </c>
      <c r="D3" s="30">
        <v>2024</v>
      </c>
      <c r="E3" s="3"/>
      <c r="J3" s="11" t="s">
        <v>166</v>
      </c>
      <c r="K3" s="133">
        <v>0.3</v>
      </c>
    </row>
    <row r="4" spans="1:11" x14ac:dyDescent="0.25">
      <c r="A4" s="11" t="s">
        <v>311</v>
      </c>
      <c r="B4" s="13">
        <v>111.83</v>
      </c>
      <c r="C4" s="13">
        <v>143.03</v>
      </c>
      <c r="D4" s="79">
        <v>196.66</v>
      </c>
    </row>
    <row r="5" spans="1:11" x14ac:dyDescent="0.25">
      <c r="A5" s="1"/>
    </row>
    <row r="6" spans="1:11" x14ac:dyDescent="0.25">
      <c r="A6" s="1" t="s">
        <v>314</v>
      </c>
    </row>
    <row r="7" spans="1:11" x14ac:dyDescent="0.25">
      <c r="A7" s="10" t="s">
        <v>315</v>
      </c>
      <c r="B7" s="124">
        <f>K2</f>
        <v>2.7799999999999998E-2</v>
      </c>
    </row>
    <row r="8" spans="1:11" x14ac:dyDescent="0.25">
      <c r="A8" s="32" t="s">
        <v>318</v>
      </c>
      <c r="B8" s="130" t="s">
        <v>191</v>
      </c>
    </row>
    <row r="9" spans="1:11" x14ac:dyDescent="0.25">
      <c r="A9" s="32" t="s">
        <v>319</v>
      </c>
      <c r="B9" s="7">
        <v>6.0000000000000001E-3</v>
      </c>
    </row>
    <row r="10" spans="1:11" x14ac:dyDescent="0.25">
      <c r="A10" s="32" t="s">
        <v>320</v>
      </c>
      <c r="B10" s="128">
        <f>-'Normalised Income Statement'!D6/'Normalised Income Statement'!D13</f>
        <v>2.4550846965149917</v>
      </c>
      <c r="C10" s="68"/>
    </row>
    <row r="11" spans="1:11" x14ac:dyDescent="0.25">
      <c r="A11" s="32" t="s">
        <v>321</v>
      </c>
      <c r="B11" s="7">
        <f>B7+B9</f>
        <v>3.3799999999999997E-2</v>
      </c>
    </row>
    <row r="12" spans="1:11" x14ac:dyDescent="0.25">
      <c r="A12" s="129" t="s">
        <v>322</v>
      </c>
      <c r="B12" s="125">
        <f>B11*(1-K3)</f>
        <v>2.3659999999999997E-2</v>
      </c>
    </row>
    <row r="13" spans="1:11" x14ac:dyDescent="0.25">
      <c r="D13" s="50"/>
    </row>
    <row r="14" spans="1:11" x14ac:dyDescent="0.25">
      <c r="A14" s="1" t="s">
        <v>313</v>
      </c>
    </row>
    <row r="15" spans="1:11" x14ac:dyDescent="0.25">
      <c r="A15" s="10" t="s">
        <v>315</v>
      </c>
      <c r="B15" s="124">
        <f>K2</f>
        <v>2.7799999999999998E-2</v>
      </c>
      <c r="H15" s="67"/>
    </row>
    <row r="16" spans="1:11" x14ac:dyDescent="0.25">
      <c r="A16" s="32" t="s">
        <v>316</v>
      </c>
      <c r="B16" s="8">
        <f>'Bottom-up Beta'!K6</f>
        <v>0.90853815954932948</v>
      </c>
      <c r="H16" s="67"/>
    </row>
    <row r="17" spans="1:8" x14ac:dyDescent="0.25">
      <c r="A17" s="32" t="s">
        <v>317</v>
      </c>
      <c r="B17" s="7">
        <v>4.3299999999999998E-2</v>
      </c>
      <c r="H17" s="67"/>
    </row>
    <row r="18" spans="1:8" x14ac:dyDescent="0.25">
      <c r="A18" s="129" t="s">
        <v>323</v>
      </c>
      <c r="B18" s="125">
        <f>B15+B16*B17</f>
        <v>6.7139702308485955E-2</v>
      </c>
      <c r="C18" s="3"/>
    </row>
    <row r="20" spans="1:8" x14ac:dyDescent="0.25">
      <c r="D20" s="127" t="s">
        <v>310</v>
      </c>
    </row>
    <row r="21" spans="1:8" x14ac:dyDescent="0.25">
      <c r="A21" s="4"/>
      <c r="B21" s="71" t="s">
        <v>52</v>
      </c>
      <c r="C21" s="71" t="s">
        <v>53</v>
      </c>
      <c r="D21" s="69" t="s">
        <v>54</v>
      </c>
      <c r="E21" s="115" t="s">
        <v>185</v>
      </c>
      <c r="F21" s="115" t="s">
        <v>186</v>
      </c>
      <c r="G21" s="5" t="s">
        <v>312</v>
      </c>
    </row>
    <row r="22" spans="1:8" x14ac:dyDescent="0.25">
      <c r="A22" s="32" t="s">
        <v>183</v>
      </c>
      <c r="B22" s="14">
        <f>'Balance Sheet'!H24</f>
        <v>1205500000</v>
      </c>
      <c r="C22" s="14">
        <f>'Balance Sheet'!I24</f>
        <v>1109600000</v>
      </c>
      <c r="D22" s="131">
        <f>'Balance Sheet'!J24</f>
        <v>1076200000</v>
      </c>
      <c r="E22" s="3">
        <f>D22/$D$24</f>
        <v>3.9805994039074387E-2</v>
      </c>
      <c r="F22" s="3">
        <f>WACC!B12</f>
        <v>2.3659999999999997E-2</v>
      </c>
      <c r="G22" s="7">
        <f>F22*E22</f>
        <v>9.4180981896449989E-4</v>
      </c>
    </row>
    <row r="23" spans="1:8" x14ac:dyDescent="0.25">
      <c r="A23" s="32" t="s">
        <v>187</v>
      </c>
      <c r="B23" s="14">
        <f>$B$4*'Income Statement'!H17</f>
        <v>14768980926.969999</v>
      </c>
      <c r="C23" s="14">
        <f>$C$4*'Income Statement'!I17</f>
        <v>18889279262.68</v>
      </c>
      <c r="D23" s="131">
        <f>$D$4*'Income Statement'!J17</f>
        <v>25959929255.899998</v>
      </c>
      <c r="E23" s="3">
        <f>D23/$D$24</f>
        <v>0.96019400596092563</v>
      </c>
      <c r="F23" s="3">
        <f>B18</f>
        <v>6.7139702308485955E-2</v>
      </c>
      <c r="G23" s="7">
        <f>F23*E23</f>
        <v>6.4467139718609137E-2</v>
      </c>
    </row>
    <row r="24" spans="1:8" x14ac:dyDescent="0.25">
      <c r="A24" s="11" t="s">
        <v>304</v>
      </c>
      <c r="B24" s="12">
        <f>B22+B23</f>
        <v>15974480926.969999</v>
      </c>
      <c r="C24" s="12">
        <f>C22+C23</f>
        <v>19998879262.68</v>
      </c>
      <c r="D24" s="132">
        <f>D22+D23</f>
        <v>27036129255.899998</v>
      </c>
      <c r="E24" s="13"/>
      <c r="F24" s="13"/>
      <c r="G24" s="126">
        <f>G22+G23</f>
        <v>6.5408949537573632E-2</v>
      </c>
      <c r="H24" s="127" t="s">
        <v>184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1F430-7FF7-4B3C-B91F-7E21CC1D3478}">
  <dimension ref="A1:F21"/>
  <sheetViews>
    <sheetView workbookViewId="0">
      <selection activeCell="F19" sqref="F19"/>
    </sheetView>
  </sheetViews>
  <sheetFormatPr defaultRowHeight="15" x14ac:dyDescent="0.25"/>
  <cols>
    <col min="1" max="1" width="21.42578125" bestFit="1" customWidth="1"/>
    <col min="2" max="4" width="13.5703125" bestFit="1" customWidth="1"/>
    <col min="5" max="5" width="13.5703125" customWidth="1"/>
    <col min="6" max="6" width="74" bestFit="1" customWidth="1"/>
  </cols>
  <sheetData>
    <row r="1" spans="1:6" x14ac:dyDescent="0.25">
      <c r="D1" s="2"/>
      <c r="E1" s="2"/>
    </row>
    <row r="2" spans="1:6" x14ac:dyDescent="0.25">
      <c r="A2" s="1" t="s">
        <v>177</v>
      </c>
      <c r="B2" s="1"/>
      <c r="C2" s="1"/>
      <c r="D2" s="1"/>
      <c r="E2" s="1"/>
      <c r="F2" s="138"/>
    </row>
    <row r="3" spans="1:6" x14ac:dyDescent="0.25">
      <c r="A3" s="10"/>
      <c r="B3" s="115" t="s">
        <v>52</v>
      </c>
      <c r="C3" s="115" t="s">
        <v>53</v>
      </c>
      <c r="D3" s="115" t="s">
        <v>54</v>
      </c>
      <c r="E3" s="115" t="s">
        <v>303</v>
      </c>
      <c r="F3" s="140" t="s">
        <v>178</v>
      </c>
    </row>
    <row r="4" spans="1:6" x14ac:dyDescent="0.25">
      <c r="A4" s="141" t="s">
        <v>179</v>
      </c>
      <c r="B4" s="14">
        <f>'Normalised Income Statement'!B10</f>
        <v>554600000</v>
      </c>
      <c r="C4" s="14">
        <f>'Normalised Income Statement'!C10</f>
        <v>563000000</v>
      </c>
      <c r="D4" s="14">
        <f>'Normalised Income Statement'!D10</f>
        <v>768400000</v>
      </c>
      <c r="E4" s="14">
        <f>SUM('Growth Calculation'!$B4:$D4)</f>
        <v>1886000000</v>
      </c>
      <c r="F4" s="77"/>
    </row>
    <row r="5" spans="1:6" x14ac:dyDescent="0.25">
      <c r="A5" s="141" t="s">
        <v>326</v>
      </c>
      <c r="B5" s="14">
        <f>'Normalised Income Statement'!B12</f>
        <v>388220000</v>
      </c>
      <c r="C5" s="14">
        <f>'Normalised Income Statement'!C12</f>
        <v>394100000</v>
      </c>
      <c r="D5" s="14">
        <f>'Normalised Income Statement'!D12</f>
        <v>537880000</v>
      </c>
      <c r="E5" s="14">
        <f>SUM('Growth Calculation'!$B5:$D5)</f>
        <v>1320200000</v>
      </c>
      <c r="F5" s="77"/>
    </row>
    <row r="6" spans="1:6" x14ac:dyDescent="0.25">
      <c r="A6" s="141" t="s">
        <v>119</v>
      </c>
      <c r="B6" s="14">
        <f>'Normalised Income Statement'!B14</f>
        <v>247863258.48655427</v>
      </c>
      <c r="C6" s="14">
        <f>'Normalised Income Statement'!C14</f>
        <v>218383647.14552215</v>
      </c>
      <c r="D6" s="14">
        <f>'Normalised Income Statement'!D14</f>
        <v>300332187.15759337</v>
      </c>
      <c r="E6" s="14">
        <f>SUM('Growth Calculation'!$B6:$D6)</f>
        <v>766579092.78966975</v>
      </c>
      <c r="F6" s="37" t="s">
        <v>334</v>
      </c>
    </row>
    <row r="7" spans="1:6" x14ac:dyDescent="0.25">
      <c r="A7" s="141"/>
      <c r="B7" s="1"/>
      <c r="C7" s="1"/>
      <c r="D7" s="1"/>
      <c r="E7" s="17"/>
      <c r="F7" s="37"/>
    </row>
    <row r="8" spans="1:6" x14ac:dyDescent="0.25">
      <c r="A8" s="141" t="s">
        <v>333</v>
      </c>
      <c r="B8" s="14">
        <f>'Cash Flow Sheet'!H5</f>
        <v>-202100000</v>
      </c>
      <c r="C8" s="14">
        <f>'Cash Flow Sheet'!I5</f>
        <v>-173200000</v>
      </c>
      <c r="D8" s="14">
        <f>'Cash Flow Sheet'!J5</f>
        <v>-186800000</v>
      </c>
      <c r="E8" s="14">
        <f>SUM('Growth Calculation'!$B8:$D8)</f>
        <v>-562100000</v>
      </c>
      <c r="F8" s="37" t="s">
        <v>335</v>
      </c>
    </row>
    <row r="9" spans="1:6" x14ac:dyDescent="0.25">
      <c r="A9" s="141" t="s">
        <v>328</v>
      </c>
      <c r="B9" s="14">
        <f>'Normalised Income Statement'!B5</f>
        <v>-93100000</v>
      </c>
      <c r="C9" s="14">
        <f>'Normalised Income Statement'!C5</f>
        <v>-91800000</v>
      </c>
      <c r="D9" s="14">
        <f>'Normalised Income Statement'!D5</f>
        <v>-113500000</v>
      </c>
      <c r="E9" s="14">
        <f>SUM('Growth Calculation'!$B9:$D9)</f>
        <v>-298400000</v>
      </c>
      <c r="F9" s="37"/>
    </row>
    <row r="10" spans="1:6" ht="18" x14ac:dyDescent="0.35">
      <c r="A10" s="141" t="s">
        <v>180</v>
      </c>
      <c r="B10" s="14">
        <f>(SUM('Balance Sheet'!H4:H7)-SUM('Balance Sheet'!H16:H18))-(560-349.8)</f>
        <v>210199789.80000001</v>
      </c>
      <c r="C10" s="14">
        <f>(SUM('Balance Sheet'!I4:I7)-SUM('Balance Sheet'!I16:I18))-(SUM('Balance Sheet'!H4:H6)-SUM('Balance Sheet'!H16:H18))</f>
        <v>197800000</v>
      </c>
      <c r="D10" s="14">
        <f>(SUM('Balance Sheet'!J4:J7)-SUM('Balance Sheet'!J16:J18))-(SUM('Balance Sheet'!I4:I6)-SUM('Balance Sheet'!I16:I18))</f>
        <v>136600000</v>
      </c>
      <c r="E10" s="14">
        <f>SUM('Growth Calculation'!$B10:$D10)</f>
        <v>544599789.79999995</v>
      </c>
      <c r="F10" s="37" t="s">
        <v>336</v>
      </c>
    </row>
    <row r="11" spans="1:6" x14ac:dyDescent="0.25">
      <c r="A11" s="141" t="s">
        <v>302</v>
      </c>
      <c r="B11" s="14">
        <f>(B8-B9)+B10</f>
        <v>101199789.80000001</v>
      </c>
      <c r="C11" s="14">
        <f t="shared" ref="C11:D11" si="0">(C8-C9)+C10</f>
        <v>116400000</v>
      </c>
      <c r="D11" s="14">
        <f t="shared" si="0"/>
        <v>63300000</v>
      </c>
      <c r="E11" s="14">
        <f>SUM('Growth Calculation'!$B11:$D11)</f>
        <v>280899789.80000001</v>
      </c>
      <c r="F11" s="37" t="s">
        <v>337</v>
      </c>
    </row>
    <row r="12" spans="1:6" x14ac:dyDescent="0.25">
      <c r="A12" s="141" t="s">
        <v>301</v>
      </c>
      <c r="B12" s="18">
        <f>B11/B5</f>
        <v>0.26067639431250322</v>
      </c>
      <c r="C12" s="18">
        <f>C11/C5</f>
        <v>0.29535650850038059</v>
      </c>
      <c r="D12" s="18">
        <f>D11/D5</f>
        <v>0.11768424183832825</v>
      </c>
      <c r="E12" s="18">
        <f>E11/E5</f>
        <v>0.21277063308589608</v>
      </c>
      <c r="F12" s="37" t="s">
        <v>327</v>
      </c>
    </row>
    <row r="13" spans="1:6" x14ac:dyDescent="0.25">
      <c r="A13" s="141" t="s">
        <v>181</v>
      </c>
      <c r="B13" s="14">
        <f>B5-B8+B9-B10</f>
        <v>287020210.19999999</v>
      </c>
      <c r="C13" s="14">
        <f>C5-C8+C9-C10</f>
        <v>277700000</v>
      </c>
      <c r="D13" s="14">
        <f>D5-D8+D9-D10</f>
        <v>474580000</v>
      </c>
      <c r="E13" s="146">
        <f>SUM('Growth Calculation'!$B13:$D13)</f>
        <v>1039300210.2</v>
      </c>
      <c r="F13" s="145" t="s">
        <v>338</v>
      </c>
    </row>
    <row r="14" spans="1:6" x14ac:dyDescent="0.25">
      <c r="A14" s="141"/>
      <c r="B14" s="1"/>
      <c r="C14" s="1"/>
      <c r="D14" s="1"/>
      <c r="E14" s="17"/>
      <c r="F14" s="37"/>
    </row>
    <row r="15" spans="1:6" x14ac:dyDescent="0.25">
      <c r="A15" s="141" t="s">
        <v>331</v>
      </c>
      <c r="B15" s="14">
        <f>'Balance Sheet'!H28</f>
        <v>1363300000</v>
      </c>
      <c r="C15" s="14">
        <f>'Balance Sheet'!I28</f>
        <v>1517000000</v>
      </c>
      <c r="D15" s="14">
        <f>'Balance Sheet'!J28</f>
        <v>1578800000</v>
      </c>
      <c r="E15" s="14">
        <f>SUM('Growth Calculation'!$B15:$D15)</f>
        <v>4459100000</v>
      </c>
      <c r="F15" s="37"/>
    </row>
    <row r="16" spans="1:6" x14ac:dyDescent="0.25">
      <c r="A16" s="141" t="s">
        <v>332</v>
      </c>
      <c r="B16" s="14">
        <f>'Balance Sheet'!H16+'Balance Sheet'!H20</f>
        <v>487000000</v>
      </c>
      <c r="C16" s="14">
        <f>SUM('Balance Sheet'!I16+'Balance Sheet'!I20)</f>
        <v>403200000</v>
      </c>
      <c r="D16" s="14">
        <f>SUM('Balance Sheet'!J16+'Balance Sheet'!J20)</f>
        <v>281200000</v>
      </c>
      <c r="E16" s="14">
        <f>SUM('Growth Calculation'!$B16:$D16)</f>
        <v>1171400000</v>
      </c>
      <c r="F16" s="37"/>
    </row>
    <row r="17" spans="1:6" x14ac:dyDescent="0.25">
      <c r="A17" s="141" t="s">
        <v>330</v>
      </c>
      <c r="B17" s="14">
        <f>'Balance Sheet'!H4</f>
        <v>248200000</v>
      </c>
      <c r="C17" s="14">
        <f>'Balance Sheet'!I4</f>
        <v>286300000</v>
      </c>
      <c r="D17" s="14">
        <f>'Balance Sheet'!J4</f>
        <v>205100000</v>
      </c>
      <c r="E17" s="14">
        <f>SUM('Growth Calculation'!$B17:$D17)</f>
        <v>739600000</v>
      </c>
      <c r="F17" s="37"/>
    </row>
    <row r="18" spans="1:6" x14ac:dyDescent="0.25">
      <c r="A18" s="141" t="s">
        <v>182</v>
      </c>
      <c r="B18" s="3">
        <f>B5/(B15+B16-B17)</f>
        <v>0.24231945571437488</v>
      </c>
      <c r="C18" s="3">
        <f>C5/(C15+C16-C17)</f>
        <v>0.24120203194809964</v>
      </c>
      <c r="D18" s="3">
        <f>D5/(D15+D16-D17)</f>
        <v>0.32502265997945495</v>
      </c>
      <c r="E18" s="3">
        <f>E5/(E15+E16-E17)</f>
        <v>0.26992986975812222</v>
      </c>
      <c r="F18" s="37" t="s">
        <v>339</v>
      </c>
    </row>
    <row r="19" spans="1:6" x14ac:dyDescent="0.25">
      <c r="A19" s="141"/>
      <c r="B19" s="3"/>
      <c r="C19" s="3"/>
      <c r="D19" s="3"/>
      <c r="E19" s="3"/>
      <c r="F19" s="37"/>
    </row>
    <row r="20" spans="1:6" x14ac:dyDescent="0.25">
      <c r="A20" s="142" t="s">
        <v>299</v>
      </c>
      <c r="B20" s="143">
        <f>B18*B12</f>
        <v>6.3166961987391551E-2</v>
      </c>
      <c r="C20" s="143">
        <f>C18*C12</f>
        <v>7.1240589999387954E-2</v>
      </c>
      <c r="D20" s="143">
        <f>D18*D12</f>
        <v>3.825004531995891E-2</v>
      </c>
      <c r="E20" s="144">
        <f>E18*E12</f>
        <v>5.7433149277229138E-2</v>
      </c>
      <c r="F20" s="147" t="s">
        <v>329</v>
      </c>
    </row>
    <row r="21" spans="1:6" x14ac:dyDescent="0.25">
      <c r="A21" s="1"/>
      <c r="B21" s="1"/>
      <c r="C21" s="1"/>
      <c r="D21" s="19"/>
      <c r="E21" s="19"/>
      <c r="F21" s="139"/>
    </row>
  </sheetData>
  <phoneticPr fontId="12" type="noConversion"/>
  <pageMargins left="0.7" right="0.7" top="0.75" bottom="0.75" header="0.3" footer="0.3"/>
  <ignoredErrors>
    <ignoredError sqref="E20" calculatedColumn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38B04-4843-43D2-BE74-DBB56493F25B}">
  <dimension ref="A2:M30"/>
  <sheetViews>
    <sheetView tabSelected="1" workbookViewId="0">
      <selection activeCell="H5" sqref="H5"/>
    </sheetView>
  </sheetViews>
  <sheetFormatPr defaultColWidth="8.85546875" defaultRowHeight="15" x14ac:dyDescent="0.25"/>
  <cols>
    <col min="1" max="1" width="20.140625" bestFit="1" customWidth="1"/>
    <col min="2" max="2" width="22.42578125" bestFit="1" customWidth="1"/>
    <col min="3" max="13" width="12.7109375" customWidth="1"/>
  </cols>
  <sheetData>
    <row r="2" spans="1:13" x14ac:dyDescent="0.25">
      <c r="A2" s="10" t="s">
        <v>325</v>
      </c>
      <c r="B2" s="71" t="s">
        <v>54</v>
      </c>
      <c r="C2" s="71" t="s">
        <v>295</v>
      </c>
      <c r="D2" s="71" t="s">
        <v>296</v>
      </c>
      <c r="E2" s="71" t="s">
        <v>297</v>
      </c>
      <c r="F2" s="71" t="s">
        <v>298</v>
      </c>
      <c r="G2" s="71" t="s">
        <v>300</v>
      </c>
      <c r="H2" s="71">
        <v>2030</v>
      </c>
      <c r="I2" s="71">
        <v>2031</v>
      </c>
      <c r="J2" s="71">
        <v>2032</v>
      </c>
      <c r="K2" s="71">
        <v>2033</v>
      </c>
      <c r="L2" s="71">
        <v>2034</v>
      </c>
      <c r="M2" s="30">
        <v>2035</v>
      </c>
    </row>
    <row r="3" spans="1:13" x14ac:dyDescent="0.25">
      <c r="A3" s="32" t="s">
        <v>188</v>
      </c>
      <c r="B3" s="20"/>
      <c r="C3" s="3">
        <f>'Growth Calculation'!$E$20</f>
        <v>5.7433149277229138E-2</v>
      </c>
      <c r="D3" s="3">
        <f>C3</f>
        <v>5.7433149277229138E-2</v>
      </c>
      <c r="E3" s="3">
        <f>D3</f>
        <v>5.7433149277229138E-2</v>
      </c>
      <c r="F3" s="3">
        <f t="shared" ref="F3:I3" si="0">E3</f>
        <v>5.7433149277229138E-2</v>
      </c>
      <c r="G3" s="3">
        <f t="shared" si="0"/>
        <v>5.7433149277229138E-2</v>
      </c>
      <c r="H3" s="3">
        <f t="shared" si="0"/>
        <v>5.7433149277229138E-2</v>
      </c>
      <c r="I3" s="3">
        <f t="shared" si="0"/>
        <v>5.7433149277229138E-2</v>
      </c>
      <c r="J3" s="3">
        <f>I3 + ($L$3-$I$3)/3</f>
        <v>4.8288766184819427E-2</v>
      </c>
      <c r="K3" s="3">
        <f>J3 + ($L$3-$I$3)/3</f>
        <v>3.9144383092409717E-2</v>
      </c>
      <c r="L3" s="3">
        <v>0.03</v>
      </c>
      <c r="M3" s="7">
        <f>L3</f>
        <v>0.03</v>
      </c>
    </row>
    <row r="4" spans="1:13" x14ac:dyDescent="0.25">
      <c r="A4" s="32" t="s">
        <v>181</v>
      </c>
      <c r="B4" s="14">
        <f>'Growth Calculation'!D13</f>
        <v>474580000</v>
      </c>
      <c r="C4" s="14">
        <f>B4*(1+C3)</f>
        <v>501836623.98398739</v>
      </c>
      <c r="D4" s="14">
        <f t="shared" ref="D4:E4" si="1">C4*(1+D3)</f>
        <v>530658681.72204041</v>
      </c>
      <c r="E4" s="14">
        <f t="shared" si="1"/>
        <v>561136081.00463998</v>
      </c>
      <c r="F4" s="14">
        <f t="shared" ref="F4" si="2">E4*(1+F3)</f>
        <v>593363893.30981874</v>
      </c>
      <c r="G4" s="14">
        <f t="shared" ref="G4" si="3">F4*(1+G3)</f>
        <v>627442650.36999941</v>
      </c>
      <c r="H4" s="14">
        <f t="shared" ref="H4" si="4">G4*(1+H3)</f>
        <v>663478657.77159989</v>
      </c>
      <c r="I4" s="14">
        <f t="shared" ref="I4" si="5">H4*(1+I3)</f>
        <v>701584326.56565177</v>
      </c>
      <c r="J4" s="14">
        <f t="shared" ref="J4" si="6">I4*(1+J3)</f>
        <v>735462968.07011461</v>
      </c>
      <c r="K4" s="14">
        <f t="shared" ref="K4" si="7">J4*(1+K3)</f>
        <v>764252212.24253178</v>
      </c>
      <c r="L4" s="14">
        <f>K4*(1+L3)</f>
        <v>787179778.60980773</v>
      </c>
      <c r="M4" s="84">
        <f t="shared" ref="M4" si="8">L4*(1+M3)</f>
        <v>810795171.96810198</v>
      </c>
    </row>
    <row r="5" spans="1:13" x14ac:dyDescent="0.25">
      <c r="A5" s="11" t="s">
        <v>189</v>
      </c>
      <c r="B5" s="12">
        <f>'Growth Calculation'!D14</f>
        <v>0</v>
      </c>
      <c r="C5" s="12">
        <f>C4/(1+WACC!$G$24)^(C2-$B$2)</f>
        <v>471027227.80938047</v>
      </c>
      <c r="D5" s="12">
        <f>D4/(1+WACC!$G$24)^(D2-$B$2)</f>
        <v>467501052.16779041</v>
      </c>
      <c r="E5" s="12">
        <f>E4/(1+WACC!$G$24)^(E2-$B$2)</f>
        <v>464001273.96974778</v>
      </c>
      <c r="F5" s="12">
        <f>F4/(1+WACC!$G$24)^(F2-$B$2)</f>
        <v>460527695.6003015</v>
      </c>
      <c r="G5" s="12">
        <f>G4/(1+WACC!$G$24)^(G2-$B$2)</f>
        <v>457080120.92387426</v>
      </c>
      <c r="H5" s="12">
        <f>H4/(1+WACC!$G$24)^(H2-$B$2)</f>
        <v>453658355.27318656</v>
      </c>
      <c r="I5" s="12">
        <f>I4/(1+WACC!$G$24)^(I2-$B$2)</f>
        <v>450262205.43826562</v>
      </c>
      <c r="J5" s="12">
        <f>J4/(1+WACC!$G$24)^(J2-$B$2)</f>
        <v>443026888.41069204</v>
      </c>
      <c r="K5" s="12">
        <f>K4/(1+WACC!$G$24)^(K2-$B$2)</f>
        <v>432105345.88684958</v>
      </c>
      <c r="L5" s="12">
        <f>L4/(1+WACC!$G$24)^(L2-$B$2)</f>
        <v>417744291.01297778</v>
      </c>
      <c r="M5" s="90"/>
    </row>
    <row r="6" spans="1:13" x14ac:dyDescent="0.25">
      <c r="A6" s="1"/>
      <c r="B6" s="21"/>
      <c r="C6" s="1"/>
      <c r="D6" s="1"/>
      <c r="E6" s="1"/>
      <c r="F6" s="1"/>
      <c r="G6" s="1"/>
      <c r="H6" s="1"/>
      <c r="I6" s="1"/>
      <c r="J6" s="1" t="s">
        <v>340</v>
      </c>
      <c r="K6" s="1"/>
      <c r="L6" s="14">
        <f>M4/(WACC!G24-M3)</f>
        <v>22898029525.211975</v>
      </c>
    </row>
    <row r="7" spans="1:13" x14ac:dyDescent="0.25">
      <c r="J7" s="1"/>
      <c r="L7" s="26"/>
    </row>
    <row r="10" spans="1:13" x14ac:dyDescent="0.25">
      <c r="I10" s="23"/>
    </row>
    <row r="11" spans="1:13" x14ac:dyDescent="0.25">
      <c r="I11" s="23"/>
    </row>
    <row r="12" spans="1:13" x14ac:dyDescent="0.25">
      <c r="A12" s="10" t="s">
        <v>2</v>
      </c>
      <c r="B12" s="5" t="s">
        <v>190</v>
      </c>
    </row>
    <row r="13" spans="1:13" x14ac:dyDescent="0.25">
      <c r="A13" s="32" t="s">
        <v>341</v>
      </c>
      <c r="B13" s="134">
        <f>SUM(C5:L5)+L6</f>
        <v>27414963981.70504</v>
      </c>
    </row>
    <row r="14" spans="1:13" x14ac:dyDescent="0.25">
      <c r="A14" s="32" t="s">
        <v>342</v>
      </c>
      <c r="B14" s="134">
        <f>WACC!D22</f>
        <v>1076200000</v>
      </c>
    </row>
    <row r="15" spans="1:13" x14ac:dyDescent="0.25">
      <c r="A15" s="32" t="s">
        <v>343</v>
      </c>
      <c r="B15" s="134">
        <f>B13-B14</f>
        <v>26338763981.70504</v>
      </c>
      <c r="C15" s="22"/>
    </row>
    <row r="16" spans="1:13" x14ac:dyDescent="0.25">
      <c r="A16" s="32" t="s">
        <v>344</v>
      </c>
      <c r="B16" s="91">
        <f>'Income Statement'!J17</f>
        <v>132004115</v>
      </c>
      <c r="C16" s="22"/>
    </row>
    <row r="17" spans="1:3" x14ac:dyDescent="0.25">
      <c r="A17" s="136" t="s">
        <v>345</v>
      </c>
      <c r="B17" s="137">
        <f>B15/B16</f>
        <v>199.52987057793646</v>
      </c>
      <c r="C17" s="22"/>
    </row>
    <row r="18" spans="1:3" x14ac:dyDescent="0.25">
      <c r="A18" s="136" t="s">
        <v>346</v>
      </c>
      <c r="B18" s="137">
        <f>WACC!D4</f>
        <v>196.66</v>
      </c>
      <c r="C18" s="54" t="s">
        <v>350</v>
      </c>
    </row>
    <row r="19" spans="1:3" x14ac:dyDescent="0.25">
      <c r="A19" s="11" t="s">
        <v>347</v>
      </c>
      <c r="B19" s="135">
        <f>B18*B16</f>
        <v>25959929255.899998</v>
      </c>
    </row>
    <row r="23" spans="1:3" x14ac:dyDescent="0.25">
      <c r="C23" s="3"/>
    </row>
    <row r="24" spans="1:3" x14ac:dyDescent="0.25">
      <c r="C24" s="3"/>
    </row>
    <row r="25" spans="1:3" x14ac:dyDescent="0.25">
      <c r="C25" s="3"/>
    </row>
    <row r="27" spans="1:3" x14ac:dyDescent="0.25">
      <c r="C27" s="24"/>
    </row>
    <row r="29" spans="1:3" x14ac:dyDescent="0.25">
      <c r="C29" s="24"/>
    </row>
    <row r="30" spans="1:3" x14ac:dyDescent="0.25">
      <c r="C30" s="24"/>
    </row>
  </sheetData>
  <phoneticPr fontId="1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Income Statement</vt:lpstr>
      <vt:lpstr>Balance Sheet</vt:lpstr>
      <vt:lpstr>Cash Flow Sheet</vt:lpstr>
      <vt:lpstr>Normalised Income Statement</vt:lpstr>
      <vt:lpstr>Ratio Analysis</vt:lpstr>
      <vt:lpstr>Bottom-up Beta</vt:lpstr>
      <vt:lpstr>WACC</vt:lpstr>
      <vt:lpstr>Growth Calculation</vt:lpstr>
      <vt:lpstr>Valuation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Nam Anh Pham</dc:creator>
  <cp:keywords/>
  <dc:description/>
  <cp:lastModifiedBy>NAM ANH PHAM</cp:lastModifiedBy>
  <cp:revision/>
  <dcterms:created xsi:type="dcterms:W3CDTF">2015-06-05T18:17:20Z</dcterms:created>
  <dcterms:modified xsi:type="dcterms:W3CDTF">2025-07-12T11:14:02Z</dcterms:modified>
  <cp:category/>
  <cp:contentStatus/>
</cp:coreProperties>
</file>